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A. Background" sheetId="2" r:id="rId5"/>
    <sheet state="visible" name="B. Start-up" sheetId="3" r:id="rId6"/>
    <sheet state="visible" name="C. Monthly Expenses" sheetId="4" r:id="rId7"/>
    <sheet state="visible" name="D. Personnel" sheetId="5" r:id="rId8"/>
    <sheet state="visible" name="E. Sales Units" sheetId="6" r:id="rId9"/>
    <sheet state="visible" name="F. Capital Required" sheetId="7" r:id="rId10"/>
    <sheet state="visible" name="Capital Assets" sheetId="8" r:id="rId11"/>
    <sheet state="visible" name="Misc Costs" sheetId="9" r:id="rId12"/>
    <sheet state="visible" name="Expenses Summary" sheetId="10" r:id="rId13"/>
    <sheet state="visible" name="Personnel Summary" sheetId="11" r:id="rId14"/>
    <sheet state="visible" name="Income Statement" sheetId="12" r:id="rId15"/>
    <sheet state="visible" name="Balance Sheet" sheetId="13" r:id="rId16"/>
    <sheet state="visible" name="Cash Flow" sheetId="14" r:id="rId17"/>
    <sheet state="visible" name="Loan Schedule" sheetId="15" r:id="rId18"/>
    <sheet state="visible" name="Pricing" sheetId="16" r:id="rId19"/>
    <sheet state="visible" name="5-Year Projection" sheetId="17" r:id="rId20"/>
    <sheet state="visible" name="5-Year Budget" sheetId="18" r:id="rId21"/>
    <sheet state="visible" name="Charts" sheetId="19" r:id="rId22"/>
    <sheet state="hidden" name="Assumptions" sheetId="20" r:id="rId23"/>
    <sheet state="hidden" name="Names" sheetId="21" r:id="rId24"/>
    <sheet state="hidden" name="Ratios" sheetId="22" r:id="rId25"/>
    <sheet state="hidden" name="Personnel -del" sheetId="23" r:id="rId26"/>
    <sheet state="hidden" name="Personnel-bkup" sheetId="24" r:id="rId27"/>
    <sheet state="hidden" name="Unit Sales-Org" sheetId="25" r:id="rId28"/>
  </sheets>
  <definedNames>
    <definedName name="Step5">'A. Background'!$I$51</definedName>
    <definedName localSheetId="12" name="Base_PrePayments">'Balance Sheet'!$B$13</definedName>
    <definedName name="Mo_SubscriptionsDues">'C. Monthly Expenses'!$D$30</definedName>
    <definedName name="Deprec_EndDates">'Expenses Summary'!$T$8:$T$16</definedName>
    <definedName name="FixedStartupDepreciation">'Expenses Summary'!$R$9:$R$16</definedName>
    <definedName name="YR2_CashFlow_AssetPurch">'Cash Flow'!$P$63</definedName>
    <definedName name="YR1_CashFlow_ShortTerm">'Cash Flow'!$P$21</definedName>
    <definedName name="SalesTax_Rate">'A. Background'!$F$58</definedName>
    <definedName name="Signage">'B. Start-up'!$D$12</definedName>
    <definedName name="Supplies">'B. Start-up'!$D$32</definedName>
    <definedName name="InsuranceDeposits">'B. Start-up'!$D$18</definedName>
    <definedName localSheetId="12" name="YR1_PrePayments">'Balance Sheet'!$J$13</definedName>
    <definedName name="YR3_CashFlow_InvPurchases">'Cash Flow'!$P$89</definedName>
    <definedName name="YR2_CashFlow_COGS_Outflow">'Cash Flow'!$P$55</definedName>
    <definedName name="Mo_WebHosting">'C. Monthly Expenses'!$D$21</definedName>
    <definedName name="YR1_CashFlow_NewEquity">'Cash Flow'!$P$12</definedName>
    <definedName name="YR5_Exp_Increase">'A. Background'!$F$31</definedName>
    <definedName name="Bad_Debt">'C. Monthly Expenses'!$D$42</definedName>
    <definedName name="YR3_CashFlow_NewEquity">'Cash Flow'!$P$82</definedName>
    <definedName name="YR1_InterestPayments">'Income Statement'!$Q$79</definedName>
    <definedName name="Emp_Start_Date">'D. Personnel'!$E$9:$E$58</definedName>
    <definedName localSheetId="12" name="Base_Cash">'Balance Sheet'!$B$8</definedName>
    <definedName name="Base_OtherDebt">'Balance Sheet'!$E$12</definedName>
    <definedName name="Mo_Licenses">'C. Monthly Expenses'!$D$18</definedName>
    <definedName name="YR3_Bal_Assets">'Balance Sheet'!$Z$31</definedName>
    <definedName name="RTN_Balance">'Balance Sheet'!$A$2</definedName>
    <definedName name="START_AmortizAmt">'A. Background'!$E$55</definedName>
    <definedName name="YR1_Headcount">'Personnel Summary'!$Q$9</definedName>
    <definedName name="Mo_Rent">'C. Monthly Expenses'!$D$8</definedName>
    <definedName name="Web_Development">'B. Start-up'!$D$23</definedName>
    <definedName localSheetId="12" name="Base_CurrentLiabilities">'Balance Sheet'!$E$14</definedName>
    <definedName name="RTN_Ratios">Ratios!$A$2</definedName>
    <definedName name="YR4_Pay_Summary">'Personnel Summary'!$I$6</definedName>
    <definedName name="Payable30Days">'A. Background'!$C$44</definedName>
    <definedName name="Mo_Utilities">'C. Monthly Expenses'!$D$15</definedName>
    <definedName name="Mo_Renovations">'C. Monthly Expenses'!$D$9</definedName>
    <definedName name="YR3_CashFlow_EndBalance">'Cash Flow'!$N$105</definedName>
    <definedName name="YR4_Exp_Increase">'A. Background'!$E$31</definedName>
    <definedName name="Step3">'A. Background'!$I$25</definedName>
    <definedName name="Mo_FurnitureLease">'C. Monthly Expenses'!$D$12</definedName>
    <definedName name="Budget_Range">'Income Statement'!$D$37:$D$71</definedName>
    <definedName name="RTN_ExpSummary">'Expenses Summary'!$A$2</definedName>
    <definedName localSheetId="12" name="YR1_FixedAssets">'Balance Sheet'!$J$29</definedName>
    <definedName name="Amoritziation_EndDate">'A. Background'!$F$54</definedName>
    <definedName name="TotalMonthlyOpExp">'C. Monthly Expenses'!$D$44</definedName>
    <definedName name="YR2_CashFlow_EndBalance">'Cash Flow'!$N$70</definedName>
    <definedName name="Business_Loans">'F. Capital Required'!$B$20</definedName>
    <definedName name="Vehicles">'B. Start-up'!$D$14</definedName>
    <definedName name="PERS_Monthly">'D. Personnel'!$G$9:$G$58</definedName>
    <definedName name="RTN_StartupExp">'B. Start-up'!$A$2</definedName>
    <definedName localSheetId="12" name="YR1_Equity">'Balance Sheet'!$M$29</definedName>
    <definedName name="Mo_Mortgage">'C. Monthly Expenses'!$D$7</definedName>
    <definedName name="RTN_MonthlyExp">'C. Monthly Expenses'!$A$2</definedName>
    <definedName localSheetId="12" name="YR1_CurrentAssets">'Balance Sheet'!$J$14</definedName>
    <definedName name="Mo_ContractLabor">'C. Monthly Expenses'!$D$26</definedName>
    <definedName localSheetId="22" name="Status">'Personnel -del'!$J$29:$J$66</definedName>
    <definedName name="YR3_CashFlow_Other">'Cash Flow'!$P$84</definedName>
    <definedName name="Other_Fixed_Startup">'B. Start-up'!$D$15</definedName>
    <definedName name="PERS_Annual_Salaries">'D. Personnel'!$I$9:$I$58</definedName>
    <definedName name="YR1_CashFlow">'Cash Flow'!$P$32</definedName>
    <definedName name="YR1_CashFlow_CapDistrib">'Cash Flow'!$P$27</definedName>
    <definedName name="YR1_PrePayments">'Balance Sheet'!$J$13</definedName>
    <definedName name="Renovations">'B. Start-up'!$D$9</definedName>
    <definedName name="YR1_Cash">'Balance Sheet'!$J$8</definedName>
    <definedName name="Base_AcctsRec">'Balance Sheet'!$B$9</definedName>
    <definedName name="YR2_Sales_Increase">'A. Background'!$C$29</definedName>
    <definedName name="YR3_CashFlow_CapDistrib">'Cash Flow'!$P$97</definedName>
    <definedName name="Mo_Travel">'C. Monthly Expenses'!$D$28</definedName>
    <definedName name="YR1_NetSales">'Income Statement'!$Q$27</definedName>
    <definedName localSheetId="6" name="RTN_Loans">'F. Capital Required'!$A$15</definedName>
    <definedName name="Base_AcctsPay">'Balance Sheet'!$E$8</definedName>
    <definedName name="Mo_Operating">'C. Monthly Expenses'!$D$35</definedName>
    <definedName name="RTN_Pricing">Pricing!$A$2</definedName>
    <definedName name="Inventory">'B. Start-up'!$D$19</definedName>
    <definedName name="VariableExp2">'C. Monthly Expenses'!$D$39</definedName>
    <definedName name="RTN_Loans">'F. Capital Required'!$A$6</definedName>
    <definedName name="PERS_StartDate">'D. Personnel'!$E$9:$E$58</definedName>
    <definedName localSheetId="6" name="START_OwnersInvestment">'F. Capital Required'!$B$12</definedName>
    <definedName name="Current_ShortTermInv">'A. Background'!$C$63</definedName>
    <definedName name="YR3_CashFlow_InflowTotal">'Cash Flow'!$P$85</definedName>
    <definedName name="YR2_Pay_Summary">'Personnel Summary'!$G$6</definedName>
    <definedName localSheetId="8" name="Cash_OnHand">#REF!</definedName>
    <definedName name="YR2_NetIncome">'Income Statement'!$Q$171</definedName>
    <definedName name="Mo_Networking">'C. Monthly Expenses'!$D$31</definedName>
    <definedName name="Base_PrePayments">'Balance Sheet'!$B$13</definedName>
    <definedName name="Travel">'B. Start-up'!$D$31</definedName>
    <definedName name="YR3_Pay_Summary">'Personnel Summary'!$H$6</definedName>
    <definedName name="Company_Name">'A. Background'!$B$8</definedName>
    <definedName name="RTN_FiveYear">'5-Year Projection'!$A$2</definedName>
    <definedName name="Professional_Fees">'B. Start-up'!$D$28</definedName>
    <definedName name="RTN_Income">'Income Statement'!$A$2</definedName>
    <definedName name="Vehicle_Loans">'F. Capital Required'!$B$22</definedName>
    <definedName localSheetId="6" name="PrePaid_Deposits">#REF!</definedName>
    <definedName name="Amortiz_Years">'A. Background'!$E$54</definedName>
    <definedName name="Building">'B. Start-up'!$D$8</definedName>
    <definedName name="Base_TaxesPay">'Balance Sheet'!$E$9</definedName>
    <definedName name="Legal">'B. Start-up'!$D$30</definedName>
    <definedName name="Furniture">'B. Start-up'!$D$13</definedName>
    <definedName name="Mo_Telephone">'C. Monthly Expenses'!$D$16</definedName>
    <definedName name="YR2_Revenue">'Income Statement'!$Q$101</definedName>
    <definedName name="Commercial_Mortgages">'F. Capital Required'!$B$21</definedName>
    <definedName localSheetId="17" name="RTN_FiveYear">'5-Year Budget'!$A$2</definedName>
    <definedName name="Mo_Insurance">'C. Monthly Expenses'!$D$17</definedName>
    <definedName name="YR1_TotalLiabilities">'Balance Sheet'!$M$19</definedName>
    <definedName localSheetId="12" name="YR1_Taxes">'Income Statement'!$Q$83</definedName>
    <definedName name="Web_Hosting_PrePayment">'B. Start-up'!$D$24</definedName>
    <definedName name="YR1_CashFlow_Other">'Cash Flow'!$P$14</definedName>
    <definedName name="YR3_Revenue">'Income Statement'!$Q$187</definedName>
    <definedName name="Cash_OnHand">#REF!</definedName>
    <definedName name="Base_LiabilitiesEq">'Balance Sheet'!$E$31</definedName>
    <definedName name="Mo_EquipLease">'C. Monthly Expenses'!$D$10</definedName>
    <definedName localSheetId="6" name="START_OtherInvestment">'F. Capital Required'!$B$13</definedName>
    <definedName name="YR3_COGS">'Income Statement'!$Q$198</definedName>
    <definedName name="Budget_Totals">'Income Statement'!$Q$37:$Q$71</definedName>
    <definedName name="Merchant_Account">'B. Start-up'!$D$22</definedName>
    <definedName name="YR1_COGS">'Income Statement'!$Q$25</definedName>
    <definedName name="YR2_CashFlow_NewEquity">'Cash Flow'!$P$47</definedName>
    <definedName localSheetId="12" name="Base_CurrentAssets">'Balance Sheet'!$B$14</definedName>
    <definedName name="Mo_WebMaintenance">'C. Monthly Expenses'!$D$20</definedName>
    <definedName name="Deprec_MonthlyAmt">'Expenses Summary'!$R$8:$R$16</definedName>
    <definedName name="YR1_CashFlow_InflowTotal">'Cash Flow'!$P$15</definedName>
    <definedName name="YR4_Expenses_Increase">'A. Background'!$E$31</definedName>
    <definedName name="YR3_CashFlow_OutflowTotal">'Cash Flow'!$P$99</definedName>
    <definedName localSheetId="6" name="Total_Debt_Funds">'F. Capital Required'!$B$25</definedName>
    <definedName name="Pre_Opening_Salaries_Wages">'B. Start-up'!$D$21</definedName>
    <definedName name="FixedStartupCosts">'Expenses Summary'!$B$8:$B$16</definedName>
    <definedName name="Mo_MerchantAccts">'C. Monthly Expenses'!$D$19</definedName>
    <definedName name="Mo_Sales">'C. Monthly Expenses'!$D$27</definedName>
    <definedName name="RTN_Personnel">'D. Personnel'!$A$2</definedName>
    <definedName name="Mo_LeaseFixture">'C. Monthly Expenses'!$D$11</definedName>
    <definedName name="RTN_CashFlow">'Cash Flow'!$A$3</definedName>
    <definedName name="YR1_Equity">'Balance Sheet'!$M$29</definedName>
    <definedName name="YR2_CashFlow_LoansRecd">'Cash Flow'!$P$48</definedName>
    <definedName name="YR3_Salaries_Increase">'A. Background'!$D$30</definedName>
    <definedName name="RTN_Assumptions">Assumptions!$A$3</definedName>
    <definedName localSheetId="12" name="YR1_LiabilitiesEquity">'Balance Sheet'!$M$31</definedName>
    <definedName name="IncomeTax_Rate">'A. Background'!$F$57</definedName>
    <definedName name="Dues_Subscriptions">'B. Start-up'!$D$33</definedName>
    <definedName name="YR1_CashFlow_COGS_Outflow">'Cash Flow'!$P$20</definedName>
    <definedName name="START_OutsideInvestors">'F. Capital Required'!$F$12</definedName>
    <definedName name="PERS_FirstMo">'D. Personnel'!$F$9:$F$58</definedName>
    <definedName name="BudgetRevenue">#REF!</definedName>
    <definedName name="Projected_Start_Date">'A. Background'!$D$8</definedName>
    <definedName name="Software">'B. Start-up'!$D$25</definedName>
    <definedName name="YR3_BadDebt">'Income Statement'!$Q$242</definedName>
    <definedName name="YR1_Inventories">'Balance Sheet'!$J$11</definedName>
    <definedName name="Base_Inventories">'Balance Sheet'!$B$11</definedName>
    <definedName name="Fixed_Assets">'B. Start-up'!$D$15</definedName>
    <definedName name="YR1_TotalAssets">'Balance Sheet'!$J$31</definedName>
    <definedName name="RentDeposits">'B. Start-up'!$D$17</definedName>
    <definedName name="VariableExp1">'C. Monthly Expenses'!$D$38</definedName>
    <definedName name="Base_CurrentAssets">'Balance Sheet'!$B$14</definedName>
    <definedName name="YR1_CurrentLiabilities">'Balance Sheet'!$M$14</definedName>
    <definedName name="RTN_Background">'A. Background'!$B$2</definedName>
    <definedName localSheetId="12" name="Base_Inventories">'Balance Sheet'!$B$11</definedName>
    <definedName name="UtilityDeposits">'B. Start-up'!$D$16</definedName>
    <definedName name="YR4_Salaries_Increase">'A. Background'!$E$30</definedName>
    <definedName name="Base_ShortTerm">'Balance Sheet'!$B$12</definedName>
    <definedName name="Step7">'A. Background'!$I$56</definedName>
    <definedName name="Payable90Days">'A. Background'!$C$46</definedName>
    <definedName localSheetId="6" name="START_OutsideInvestors">'F. Capital Required'!$F$12</definedName>
    <definedName name="Step2">'A. Background'!$I$10</definedName>
    <definedName name="Payable60Days">'A. Background'!$C$45</definedName>
    <definedName name="Other_Operating_Start_up">'B. Start-up'!$D$36</definedName>
    <definedName name="Licenses">'B. Start-up'!$D$20</definedName>
    <definedName name="YR5_Salaries_Increase">'A. Background'!$F$30</definedName>
    <definedName name="YR1_LongTermLiabilities">'Balance Sheet'!$M$18</definedName>
    <definedName name="YR5_Sales_Increase">'A. Background'!$F$29</definedName>
    <definedName name="Mo_Reserve">'C. Monthly Expenses'!$D$32</definedName>
    <definedName name="YR2_Bal_Assets">'Balance Sheet'!$R$31</definedName>
    <definedName name="FIN_StartDate">'Personnel Summary'!$A$4</definedName>
    <definedName name="RTN_SalesUnits">'E. Sales Units'!$B$2</definedName>
    <definedName name="YR2_Expenses_Increase">'A. Background'!$C$31</definedName>
    <definedName name="Mo_FixtureLease">'C. Monthly Expenses'!$D$11</definedName>
    <definedName name="Marketing">'B. Start-up'!$D$27</definedName>
    <definedName name="Base_Interest">'Balance Sheet'!$E$11</definedName>
    <definedName name="Collection90Days">'A. Background'!$C$39</definedName>
    <definedName name="START_OperatingCap">'Expenses Summary'!$B$42</definedName>
    <definedName name="Base_Assets">'Balance Sheet'!$B$31</definedName>
    <definedName name="Fixtures">'B. Start-up'!$D$11</definedName>
    <definedName name="YR3_Sales_Increase">'A. Background'!$D$29</definedName>
    <definedName name="Mo_AppSubscriptions">'C. Monthly Expenses'!$D$22</definedName>
    <definedName name="Mo_Misc">'C. Monthly Expenses'!$D$34</definedName>
    <definedName localSheetId="6" name="Business_Loans">'F. Capital Required'!$B$20</definedName>
    <definedName name="Total_Debt_Funds">'F. Capital Required'!$B$17</definedName>
    <definedName name="YR2_Salaries_Increase">'A. Background'!$C$30</definedName>
    <definedName name="YR1_CashFlow_LoansRecd">'Cash Flow'!$P$13</definedName>
    <definedName name="YR2_Bal_LiabilitiesEquity">'Balance Sheet'!$U$31</definedName>
    <definedName name="RTN_Charts">Charts!$A$2</definedName>
    <definedName name="YR3_Exp_Increase">'A. Background'!$D$31</definedName>
    <definedName name="RTN_CapAssets">'Capital Assets'!$A$2</definedName>
    <definedName name="Equipment">'B. Start-up'!$D$10</definedName>
    <definedName name="START_Fixed_Assets">'Expenses Summary'!$B$17</definedName>
    <definedName name="YR1_CashFlow_OutflowTotal">'Cash Flow'!$P$29</definedName>
    <definedName name="YR3_NetIncome">'Income Statement'!$Q$258</definedName>
    <definedName localSheetId="17" name="Cash_OnHand">#REF!</definedName>
    <definedName name="YR2_CashFlow_InvPurchases">'Cash Flow'!$P$54</definedName>
    <definedName name="YR1_BadDebt">'Income Statement'!$Q$70</definedName>
    <definedName name="Base_LoansPay">'Balance Sheet'!$E$10</definedName>
    <definedName name="Mo_Mailing">'C. Monthly Expenses'!$D$23</definedName>
    <definedName name="Mo_Mileage">'C. Monthly Expenses'!$D$14</definedName>
    <definedName localSheetId="12" name="YR1_TotalLiabilities">'Balance Sheet'!$M$19</definedName>
    <definedName localSheetId="12" name="YR1_LongTermLiabilities">'Balance Sheet'!$M$18</definedName>
    <definedName name="Mo_VehicleLease">'C. Monthly Expenses'!$D$13</definedName>
    <definedName name="Current_TaxesPay">'A. Background'!$C$62</definedName>
    <definedName name="Collection30Days">'A. Background'!$C$37</definedName>
    <definedName name="Step6">'A. Background'!$I$53</definedName>
    <definedName localSheetId="12" name="YR1_Inventories">'Balance Sheet'!$J$11</definedName>
    <definedName name="YR2_CashFlow_OutflowTotal">'Cash Flow'!$P$64</definedName>
    <definedName name="Mo_Supplies">'C. Monthly Expenses'!$D$29</definedName>
    <definedName name="START_OwnersInvestment">'F. Capital Required'!$B$12</definedName>
    <definedName name="YR1_CashFlow_EndBalance">'Cash Flow'!$N$35</definedName>
    <definedName name="YR4_Sales_Increase">'A. Background'!$E$29</definedName>
    <definedName name="YR3_CashFlow_AssetPurch">'Cash Flow'!$P$98</definedName>
    <definedName name="YR1_FixedAssets">'Balance Sheet'!$J$29</definedName>
    <definedName name="Base_CurrentLiabilities">'Balance Sheet'!$E$14</definedName>
    <definedName name="Current_AccRetainEarnings">'A. Background'!$C$64</definedName>
    <definedName name="Status">'D. Personnel'!$C$9:$C$58</definedName>
    <definedName name="YR2_Exp_Increase">'A. Background'!$C$31</definedName>
    <definedName name="Mileage">'B. Start-up'!$D$34</definedName>
    <definedName name="zList_BudgetItems">#REF!</definedName>
    <definedName name="Inspection_Fees">'B. Start-up'!$D$29</definedName>
    <definedName name="Conferences">'B. Start-up'!$D$35</definedName>
    <definedName name="Base_Cash">'Balance Sheet'!$B$8</definedName>
    <definedName name="Other_Debt">'F. Capital Required'!$B$24</definedName>
    <definedName name="VariableExp4">'C. Monthly Expenses'!$D$41</definedName>
    <definedName name="Current_AcctsRec">'A. Background'!$C$60</definedName>
    <definedName name="YR2_CashFlow_InflowTotal">'Cash Flow'!$P$50</definedName>
    <definedName localSheetId="12" name="YR1_TotalAssets">'Balance Sheet'!$J$31</definedName>
    <definedName localSheetId="22" name="Annual_Salaries">'Personnel -del'!$I$29:$I$78</definedName>
    <definedName name="YR3_Bal_LiabilitiesEquity">'Balance Sheet'!$AC$31</definedName>
    <definedName name="YR5_Pay_Summary">'Personnel Summary'!$J$6</definedName>
    <definedName name="START_OtherStartup">'Expenses Summary'!$B$41</definedName>
    <definedName name="YR2_CashFlow_Other">'Cash Flow'!$P$49</definedName>
    <definedName name="VariableExp3">'C. Monthly Expenses'!$D$40</definedName>
    <definedName name="Land">'B. Start-up'!$D$7</definedName>
    <definedName name="Start_AccDecpreciationTotal">'Expenses Summary'!$Q$17</definedName>
    <definedName name="Current_CapDistribution">'A. Background'!$C$65</definedName>
    <definedName name="Step4">'A. Background'!$I$33</definedName>
    <definedName localSheetId="12" name="YR1_CurrentLiabilities">'Balance Sheet'!$M$14</definedName>
    <definedName name="YR1_Revenue">'Income Statement'!$Q$14</definedName>
    <definedName localSheetId="12" name="YR1_Cash">'Balance Sheet'!$J$8</definedName>
    <definedName name="START_Inventory">'Expenses Summary'!$B$23</definedName>
    <definedName name="Current_AcctsPay">'A. Background'!$C$61</definedName>
    <definedName name="Postage">'B. Start-up'!$D$26</definedName>
    <definedName name="Owner_Stipend">#REF!</definedName>
    <definedName name="PERS_Status">'D. Personnel'!$C$9:$C$58</definedName>
    <definedName name="YR5_Expenses_Increase">'A. Background'!$F$31</definedName>
    <definedName name="YR2_COGS">'Income Statement'!$Q$112</definedName>
    <definedName name="YR1_CurrentAssets">'Balance Sheet'!$J$14</definedName>
    <definedName localSheetId="6" name="Commercial_Mortgages">'F. Capital Required'!$B$21</definedName>
    <definedName name="YR2_BadDebt">'Income Statement'!$Q$155</definedName>
    <definedName name="Mo_DiscountsRefunds">'C. Monthly Expenses'!$D$33</definedName>
    <definedName name="YR3_Expenses_Increase">'A. Background'!$D$31</definedName>
    <definedName name="Mo_ProfessionalFees">'C. Monthly Expenses'!$D$25</definedName>
    <definedName name="RTN_ReadMe">'Read Me'!$A$1</definedName>
    <definedName name="YR1_CashFlow_InvPurchases">'Cash Flow'!$P$19</definedName>
    <definedName name="RTN_MiscCosts">'Misc Costs'!$A$2</definedName>
    <definedName name="YR1_LiabilitiesEquity">'Balance Sheet'!$M$31</definedName>
    <definedName name="Collection60Days">'A. Background'!$C$38</definedName>
    <definedName name="Reserves">#REF!</definedName>
    <definedName name="YR1_NetIncome">'Income Statement'!$Q$85</definedName>
    <definedName name="Mo_Marketing">'C. Monthly Expenses'!$D$24</definedName>
    <definedName name="YR1_CashFlow_AssetPurch">'Cash Flow'!$P$28</definedName>
    <definedName name="YR2_CashFlow_CapDistrib">'Cash Flow'!$P$62</definedName>
    <definedName name="YR3_CashFlow_LoansRecd">'Cash Flow'!$P$83</definedName>
    <definedName name="Mo_SalesCosts">'C. Monthly Expenses'!$D$27</definedName>
    <definedName name="CreditCard_CashAdvance">'F. Capital Required'!$B$23</definedName>
    <definedName name="RTN_Capital">'F. Capital Required'!$A$2</definedName>
    <definedName name="YR3_CashFlow_COGS_Outflow">'Cash Flow'!$P$90</definedName>
    <definedName name="START_OtherInvestment">'F. Capital Required'!$B$13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54">
      <text>
        <t xml:space="preserve">Amoritization affects the balance sheet</t>
      </text>
    </comment>
  </commentList>
</comments>
</file>

<file path=xl/comments2.xml><?xml version="1.0" encoding="utf-8"?>
<comments xmlns:r="http://schemas.openxmlformats.org/officeDocument/2006/relationships" xmlns="http://schemas.openxmlformats.org/spreadsheetml/2006/main">
  <authors>
    <author/>
  </authors>
  <commentList>
    <comment authorId="0" ref="G8">
      <text>
        <t xml:space="preserve">Average monthly since not all months have the same number of working days.</t>
      </text>
    </comment>
  </commentList>
</comments>
</file>

<file path=xl/comments3.xml><?xml version="1.0" encoding="utf-8"?>
<comments xmlns:r="http://schemas.openxmlformats.org/officeDocument/2006/relationships" xmlns="http://schemas.openxmlformats.org/spreadsheetml/2006/main">
  <authors>
    <author/>
  </authors>
  <commentList>
    <comment authorId="0" ref="F12">
      <text>
        <t xml:space="preserve">INVESTMENT SOUGHT: Enter the amount from outside investors on the Background sheet. It is tied to the Balance Sheet projections.</t>
      </text>
    </comment>
    <comment authorId="0" ref="F17">
      <text>
        <t xml:space="preserve">LOANS NEEDED: Enter the loan amount if it exceeds what is listed. This cell is not tied to the other financial statements. You must enter the loan details below to include them in the cash flow, income statement and balance sheet projections.</t>
      </text>
    </comment>
    <comment authorId="0" ref="G19">
      <text>
        <t xml:space="preserve">The loan must begin after the Start Date for your Financials.</t>
      </text>
    </comment>
  </commentList>
</comments>
</file>

<file path=xl/comments4.xml><?xml version="1.0" encoding="utf-8"?>
<comments xmlns:r="http://schemas.openxmlformats.org/officeDocument/2006/relationships" xmlns="http://schemas.openxmlformats.org/spreadsheetml/2006/main">
  <authors>
    <author/>
  </authors>
  <commentList>
    <comment authorId="0" ref="G35">
      <text>
        <t xml:space="preserve">Automatically calculated by multiplying SALES tax rate by projected revenue.It is listed as an expense because it may have to be paid based on your local laws.</t>
      </text>
    </comment>
  </commentList>
</comments>
</file>

<file path=xl/sharedStrings.xml><?xml version="1.0" encoding="utf-8"?>
<sst xmlns="http://schemas.openxmlformats.org/spreadsheetml/2006/main" count="1918" uniqueCount="1089">
  <si>
    <t xml:space="preserve">© GUIDED BUSINESS PLAN - Copyright Protected - BETA- V 1.5 - GuidedBusinessPlan.com </t>
  </si>
  <si>
    <r>
      <t>GUIDED Financial Projections</t>
    </r>
    <r>
      <rPr>
        <rFont val="Calibri"/>
        <b/>
        <color theme="4"/>
        <sz val="14.0"/>
      </rPr>
      <t>™</t>
    </r>
    <r>
      <rPr>
        <rFont val="Calibri"/>
        <b/>
        <color theme="4"/>
        <sz val="26.0"/>
      </rPr>
      <t xml:space="preserve"> Tool</t>
    </r>
  </si>
  <si>
    <t>Developed by Guided Business Plan</t>
  </si>
  <si>
    <t>[Instructions: Enter your answers into the blue cells.]</t>
  </si>
  <si>
    <t>Company Overview</t>
  </si>
  <si>
    <t>[Instructions: Place a Y in the Y/N column if you need to research the expense at a later date.]</t>
  </si>
  <si>
    <t>What is your company name?</t>
  </si>
  <si>
    <t>What date will you begin selling?</t>
  </si>
  <si>
    <t>Please contact Guided Business Plan at 888.523.5244 with technical questions or licensing permission requests. Questions regarding how to enter your financials or understanding financial statements should be addressed to your Center's Director or Advisors.</t>
  </si>
  <si>
    <t>This spreadsheet is protected under copyright law and is only available for current clients of the above named organization. Please do not distribute this spreadsheet. Permission to use for non-clients may be requested by contacting Guided Business Plan at 888.523.5244.</t>
  </si>
  <si>
    <t>OTW Paints</t>
  </si>
  <si>
    <t>Important Notices:</t>
  </si>
  <si>
    <t>The GUIDED Financial Projections sheet is in beta phase. It is designed as a Financial Modeling tool to generate estimates. Complete this exercise to have a better understanding of how your financials are tracked and generated. We highly recommend that you meet with a professional financial advisor to develop accurate and specific financial statements for your business.</t>
  </si>
  <si>
    <t>Start-Up Costs</t>
  </si>
  <si>
    <t>Y/N</t>
  </si>
  <si>
    <t>This financial modeling is based on the calendar year. Year 1 will be the calendar  year, and not 12-months from the start date (i.e. May to May). Please keep this in mind prior to using this tool.</t>
  </si>
  <si>
    <t xml:space="preserve">Adding Loans </t>
  </si>
  <si>
    <t>Guided Business Plan is available to customize this spreadsheet on a consulting basis at GuidedBusinessPlan.com. You may also contact Office Leverage, a Microsoft Office® training company, to develop custom spreadsheets or to provide training at OfficeLeverage.com.</t>
  </si>
  <si>
    <t>Use for Names</t>
  </si>
  <si>
    <t>When adding a loan, you must enter the number of months or the balance sheet will not function properly.</t>
  </si>
  <si>
    <t>Start-up Costs</t>
  </si>
  <si>
    <t>Zeroes</t>
  </si>
  <si>
    <t>The copyright notice is not listed on pages that may be printed and included in your business plan.</t>
  </si>
  <si>
    <t>Please do not enter "n/a" in a cell that requires a number. Please keep it to zero.</t>
  </si>
  <si>
    <t>Personnel</t>
  </si>
  <si>
    <t>© 2013</t>
  </si>
  <si>
    <t>You must enter the Status, Start Date and Annual Salary to calculate personnel costs.</t>
  </si>
  <si>
    <t>Published by Guided Business Plan</t>
  </si>
  <si>
    <t>All rights reserved. No part of this spreadsheet may be used or reproduced in any manner whatsoever without prior written consent of the author, except as provided by the United States of America copyright law. Without limiting the rights of the Copyright law, no part of this spreadsheet may be reproduced, scanned, stored in a retrieval system, or transmitted in any form, or by any means, digital, electronic, mechanical, photocopying, recording, or otherwise, without prior permission of the publisher. Requests for permission to use portions of the spreadsheet should be sent in writing to the publisher. All trademarks are held by their respective owners. The advice and strategies contained herein may not be suitable for your situation. The publisher is not engaged in rendering professional services, and you should consult a professional where appropriate. While the publisher and author have used their best efforts in preparing this spreadsheet, they make no representations or warranties with respect to the accuracy or completeness of the contents of this spreadsheet and specifically disclaim any implied warranties of obtaining funding for a particular purpose. Neither the publisher nor developer shall be liable for any loss of profit or any other commercial damages, including but not limited to special, incidental, consequential, or other damages.</t>
  </si>
  <si>
    <t>Loan?</t>
  </si>
  <si>
    <t>Sales Estimates</t>
  </si>
  <si>
    <t>Hints</t>
  </si>
  <si>
    <t>List your products, service, product lines, services lines (up to 8)</t>
  </si>
  <si>
    <t>v31</t>
  </si>
  <si>
    <t>Be Inspired!</t>
  </si>
  <si>
    <r>
      <t>Estimate the average number of units sold per month during the first year (</t>
    </r>
    <r>
      <rPr>
        <rFont val="Calibri"/>
        <b/>
        <i/>
        <color theme="1"/>
        <sz val="11.0"/>
      </rPr>
      <t>you can update sales numbers later</t>
    </r>
    <r>
      <rPr>
        <rFont val="Calibri"/>
        <b/>
        <color theme="1"/>
        <sz val="11.0"/>
      </rPr>
      <t>)</t>
    </r>
  </si>
  <si>
    <r>
      <t xml:space="preserve">Will you buy </t>
    </r>
    <r>
      <rPr>
        <rFont val="Calibri"/>
        <b/>
        <color theme="1"/>
        <sz val="11.0"/>
      </rPr>
      <t>land</t>
    </r>
    <r>
      <rPr>
        <rFont val="Calibri"/>
        <color theme="1"/>
        <sz val="11.0"/>
      </rPr>
      <t>?</t>
    </r>
  </si>
  <si>
    <t>Products/Services</t>
  </si>
  <si>
    <t>Unit Type</t>
  </si>
  <si>
    <t>n</t>
  </si>
  <si>
    <t>Price</t>
  </si>
  <si>
    <t>Cost</t>
  </si>
  <si>
    <t>Gross Margin</t>
  </si>
  <si>
    <t>Land</t>
  </si>
  <si>
    <t>Incur
 Sales Tax?</t>
  </si>
  <si>
    <t>Avg. Units Sold/Mo.</t>
  </si>
  <si>
    <t>Paint</t>
  </si>
  <si>
    <t>1 gal</t>
  </si>
  <si>
    <t>Is this item covered by a mortgage loan?</t>
  </si>
  <si>
    <r>
      <t>Are you buying a</t>
    </r>
    <r>
      <rPr>
        <rFont val="Calibri"/>
        <b/>
        <color theme="1"/>
        <sz val="11.0"/>
      </rPr>
      <t xml:space="preserve"> building</t>
    </r>
    <r>
      <rPr>
        <rFont val="Calibri"/>
        <color theme="1"/>
        <sz val="11.0"/>
      </rPr>
      <t>?</t>
    </r>
  </si>
  <si>
    <t>Building</t>
  </si>
  <si>
    <r>
      <t xml:space="preserve">How much are </t>
    </r>
    <r>
      <rPr>
        <rFont val="Calibri"/>
        <b/>
        <color theme="1"/>
        <sz val="11.0"/>
      </rPr>
      <t>leased space renovations?</t>
    </r>
  </si>
  <si>
    <t>Renovations</t>
  </si>
  <si>
    <t>Estimate renovation costs</t>
  </si>
  <si>
    <r>
      <t xml:space="preserve">Are you buying </t>
    </r>
    <r>
      <rPr>
        <rFont val="Calibri"/>
        <b/>
        <color theme="1"/>
        <sz val="11.0"/>
      </rPr>
      <t>equipment</t>
    </r>
    <r>
      <rPr>
        <rFont val="Calibri"/>
        <color theme="1"/>
        <sz val="11.0"/>
      </rPr>
      <t>?</t>
    </r>
  </si>
  <si>
    <t>Equipment</t>
  </si>
  <si>
    <t>Production equipment, service equipment, etc.</t>
  </si>
  <si>
    <r>
      <t xml:space="preserve">How much are your </t>
    </r>
    <r>
      <rPr>
        <rFont val="Calibri"/>
        <b/>
        <color theme="1"/>
        <sz val="11.0"/>
      </rPr>
      <t>fixtures</t>
    </r>
    <r>
      <rPr>
        <rFont val="Calibri"/>
        <color theme="1"/>
        <sz val="11.0"/>
      </rPr>
      <t>?</t>
    </r>
  </si>
  <si>
    <t>REMOVER</t>
  </si>
  <si>
    <t>1GAL</t>
  </si>
  <si>
    <t>Fixtures</t>
  </si>
  <si>
    <t>Full-purchase price or down-payment 
(e.g. store shelves, custom counters)</t>
  </si>
  <si>
    <r>
      <t xml:space="preserve">Are you buying </t>
    </r>
    <r>
      <rPr>
        <rFont val="Calibri"/>
        <b/>
        <color theme="1"/>
        <sz val="11.0"/>
      </rPr>
      <t>signage</t>
    </r>
    <r>
      <rPr>
        <rFont val="Calibri"/>
        <color theme="1"/>
        <sz val="11.0"/>
      </rPr>
      <t>?</t>
    </r>
  </si>
  <si>
    <t>Signage</t>
  </si>
  <si>
    <t>Cost for exterior and interior signs</t>
  </si>
  <si>
    <r>
      <t xml:space="preserve">Are you buying </t>
    </r>
    <r>
      <rPr>
        <rFont val="Calibri"/>
        <b/>
        <color theme="1"/>
        <sz val="11.0"/>
      </rPr>
      <t>furniture</t>
    </r>
    <r>
      <rPr>
        <rFont val="Calibri"/>
        <color theme="1"/>
        <sz val="11.0"/>
      </rPr>
      <t>?</t>
    </r>
  </si>
  <si>
    <t>Furniture</t>
  </si>
  <si>
    <t>Full-purchase price or down-payment 
(e.g. desks, work room tables, etc)</t>
  </si>
  <si>
    <r>
      <t xml:space="preserve">Do you need to buy </t>
    </r>
    <r>
      <rPr>
        <rFont val="Calibri"/>
        <b/>
        <color theme="1"/>
        <sz val="11.0"/>
      </rPr>
      <t>vehicles</t>
    </r>
    <r>
      <rPr>
        <rFont val="Calibri"/>
        <color theme="1"/>
        <sz val="11.0"/>
      </rPr>
      <t>?</t>
    </r>
  </si>
  <si>
    <t>Vehicles</t>
  </si>
  <si>
    <t>Full-purchase price or down-payment 
(e.g. delivery trucks, branded car)</t>
  </si>
  <si>
    <r>
      <t xml:space="preserve">Any other </t>
    </r>
    <r>
      <rPr>
        <rFont val="Calibri"/>
        <b/>
        <color theme="1"/>
        <sz val="11.0"/>
      </rPr>
      <t>fixed assets</t>
    </r>
    <r>
      <rPr>
        <rFont val="Calibri"/>
        <color theme="1"/>
        <sz val="11.0"/>
      </rPr>
      <t>?</t>
    </r>
  </si>
  <si>
    <t>Other_Fixed_Startup</t>
  </si>
  <si>
    <r>
      <t xml:space="preserve">Do you have any </t>
    </r>
    <r>
      <rPr>
        <rFont val="Calibri"/>
        <b/>
        <color theme="1"/>
        <sz val="11.0"/>
      </rPr>
      <t>utility deposits</t>
    </r>
    <r>
      <rPr>
        <rFont val="Calibri"/>
        <color theme="1"/>
        <sz val="11.0"/>
      </rPr>
      <t>?</t>
    </r>
  </si>
  <si>
    <t>Utilities</t>
  </si>
  <si>
    <t>Pre-payments for eletric bills, etc.</t>
  </si>
  <si>
    <r>
      <t xml:space="preserve">Do you have any </t>
    </r>
    <r>
      <rPr>
        <rFont val="Calibri"/>
        <b/>
        <color theme="1"/>
        <sz val="11.0"/>
      </rPr>
      <t>rent</t>
    </r>
    <r>
      <rPr>
        <rFont val="Calibri"/>
        <color theme="1"/>
        <sz val="11.0"/>
      </rPr>
      <t xml:space="preserve"> </t>
    </r>
    <r>
      <rPr>
        <rFont val="Calibri"/>
        <b/>
        <color theme="1"/>
        <sz val="11.0"/>
      </rPr>
      <t>deposits?</t>
    </r>
  </si>
  <si>
    <t>y</t>
  </si>
  <si>
    <t>e.g. first and last rent deposits</t>
  </si>
  <si>
    <r>
      <t xml:space="preserve">What are your </t>
    </r>
    <r>
      <rPr>
        <rFont val="Calibri"/>
        <b/>
        <color theme="1"/>
        <sz val="11.0"/>
      </rPr>
      <t>insurance pre-payments?</t>
    </r>
  </si>
  <si>
    <t>Insurance</t>
  </si>
  <si>
    <r>
      <t xml:space="preserve">Do you need to have </t>
    </r>
    <r>
      <rPr>
        <rFont val="Calibri"/>
        <b/>
        <color theme="1"/>
        <sz val="11.0"/>
      </rPr>
      <t>start-up inventory</t>
    </r>
    <r>
      <rPr>
        <rFont val="Calibri"/>
        <color theme="1"/>
        <sz val="11.0"/>
      </rPr>
      <t>?</t>
    </r>
  </si>
  <si>
    <t>Inventory</t>
  </si>
  <si>
    <t>Inventory that is purchased or manufactured.</t>
  </si>
  <si>
    <r>
      <t xml:space="preserve">Do you have to pay for </t>
    </r>
    <r>
      <rPr>
        <rFont val="Calibri"/>
        <b/>
        <color theme="1"/>
        <sz val="11.0"/>
      </rPr>
      <t>licenses</t>
    </r>
    <r>
      <rPr>
        <rFont val="Calibri"/>
        <color theme="1"/>
        <sz val="11.0"/>
      </rPr>
      <t>?</t>
    </r>
  </si>
  <si>
    <t>Licenses</t>
  </si>
  <si>
    <t>Licenses or permits required to operate</t>
  </si>
  <si>
    <r>
      <t xml:space="preserve">Do you have to pay for a </t>
    </r>
    <r>
      <rPr>
        <rFont val="Calibri"/>
        <b/>
        <color theme="1"/>
        <sz val="11.0"/>
      </rPr>
      <t>staff</t>
    </r>
    <r>
      <rPr>
        <rFont val="Calibri"/>
        <color theme="1"/>
        <sz val="11.0"/>
      </rPr>
      <t xml:space="preserve"> prior to opening?</t>
    </r>
  </si>
  <si>
    <t>Pre-Opening Salaries_Wages</t>
  </si>
  <si>
    <t>e.g. staff training prior to opening</t>
  </si>
  <si>
    <r>
      <t xml:space="preserve">Do you need to make a deposit for a </t>
    </r>
    <r>
      <rPr>
        <rFont val="Calibri"/>
        <b/>
        <color theme="1"/>
        <sz val="11.0"/>
      </rPr>
      <t>merchant account</t>
    </r>
    <r>
      <rPr>
        <rFont val="Calibri"/>
        <color theme="1"/>
        <sz val="11.0"/>
      </rPr>
      <t>?</t>
    </r>
  </si>
  <si>
    <t>Y</t>
  </si>
  <si>
    <t>Merchant Account</t>
  </si>
  <si>
    <t>Pre-payments for credit card processor, etc.</t>
  </si>
  <si>
    <r>
      <t xml:space="preserve">How much is your </t>
    </r>
    <r>
      <rPr>
        <rFont val="Calibri"/>
        <b/>
        <color theme="1"/>
        <sz val="11.0"/>
      </rPr>
      <t>website development</t>
    </r>
    <r>
      <rPr>
        <rFont val="Calibri"/>
        <color theme="1"/>
        <sz val="11.0"/>
      </rPr>
      <t>?</t>
    </r>
  </si>
  <si>
    <t>Web Development</t>
  </si>
  <si>
    <t>Costs to develop a new website prior to launch. Enter $0 if your site is already live.</t>
  </si>
  <si>
    <t>What percentage will your sales, salaries, and expenses grow for the first five years?</t>
  </si>
  <si>
    <r>
      <t xml:space="preserve">Do you need to make a deposit for </t>
    </r>
    <r>
      <rPr>
        <rFont val="Calibri"/>
        <b/>
        <color theme="1"/>
        <sz val="11.0"/>
      </rPr>
      <t>web hosting</t>
    </r>
    <r>
      <rPr>
        <rFont val="Calibri"/>
        <color theme="1"/>
        <sz val="11.0"/>
      </rPr>
      <t>?</t>
    </r>
  </si>
  <si>
    <t>Web Hosting</t>
  </si>
  <si>
    <t>Pre-payment for hosting, not the monthly fee</t>
  </si>
  <si>
    <r>
      <t xml:space="preserve">Are you buying </t>
    </r>
    <r>
      <rPr>
        <rFont val="Calibri"/>
        <b/>
        <color theme="1"/>
        <sz val="11.0"/>
      </rPr>
      <t xml:space="preserve">software licenses </t>
    </r>
    <r>
      <rPr>
        <rFont val="Calibri"/>
        <color theme="1"/>
        <sz val="11.0"/>
      </rPr>
      <t>before you open?</t>
    </r>
  </si>
  <si>
    <t>For example, what percentage will it grow from year 1 to year 2?</t>
  </si>
  <si>
    <t>Software</t>
  </si>
  <si>
    <t>Purchase of software packages</t>
  </si>
  <si>
    <r>
      <t xml:space="preserve">Do you have pre-open bulk </t>
    </r>
    <r>
      <rPr>
        <rFont val="Calibri"/>
        <b/>
        <color theme="1"/>
        <sz val="11.0"/>
      </rPr>
      <t>mailing expenses</t>
    </r>
    <r>
      <rPr>
        <rFont val="Calibri"/>
        <color theme="1"/>
        <sz val="11.0"/>
      </rPr>
      <t>?</t>
    </r>
  </si>
  <si>
    <t>Postage</t>
  </si>
  <si>
    <t>Year 2</t>
  </si>
  <si>
    <t>e.g. a marketing campaign prior to opening</t>
  </si>
  <si>
    <t>Year 3</t>
  </si>
  <si>
    <t>Year 4</t>
  </si>
  <si>
    <t>Year 5</t>
  </si>
  <si>
    <r>
      <t xml:space="preserve">Do you have a budget for pre-open </t>
    </r>
    <r>
      <rPr>
        <rFont val="Calibri"/>
        <b/>
        <color theme="1"/>
        <sz val="11.0"/>
      </rPr>
      <t>marketing?</t>
    </r>
  </si>
  <si>
    <t>Marketing</t>
  </si>
  <si>
    <t>e.g. advertising, promotions and online marketing</t>
  </si>
  <si>
    <t>Sales</t>
  </si>
  <si>
    <r>
      <t xml:space="preserve">Will you pay </t>
    </r>
    <r>
      <rPr>
        <rFont val="Calibri"/>
        <b/>
        <color theme="1"/>
        <sz val="11.0"/>
      </rPr>
      <t>professional fees?</t>
    </r>
  </si>
  <si>
    <t>Professional Fees</t>
  </si>
  <si>
    <t>e.g. accountant, lawyer, insurance agent, business development consultant, etc.</t>
  </si>
  <si>
    <r>
      <t xml:space="preserve">Do you have any </t>
    </r>
    <r>
      <rPr>
        <rFont val="Calibri"/>
        <b/>
        <color theme="1"/>
        <sz val="11.0"/>
      </rPr>
      <t>inspection fees</t>
    </r>
    <r>
      <rPr>
        <rFont val="Calibri"/>
        <color theme="1"/>
        <sz val="11.0"/>
      </rPr>
      <t>?</t>
    </r>
  </si>
  <si>
    <t>Inspection Fees</t>
  </si>
  <si>
    <t>e.g. location specific inspection</t>
  </si>
  <si>
    <r>
      <t xml:space="preserve">Do you have </t>
    </r>
    <r>
      <rPr>
        <rFont val="Calibri"/>
        <b/>
        <color theme="1"/>
        <sz val="11.0"/>
      </rPr>
      <t>legal</t>
    </r>
    <r>
      <rPr>
        <rFont val="Calibri"/>
        <color theme="1"/>
        <sz val="11.0"/>
      </rPr>
      <t xml:space="preserve"> expenses?</t>
    </r>
  </si>
  <si>
    <t>Legal</t>
  </si>
  <si>
    <t>e.g. business filing</t>
  </si>
  <si>
    <r>
      <t xml:space="preserve">Do you have any pre-open </t>
    </r>
    <r>
      <rPr>
        <rFont val="Calibri"/>
        <b/>
        <color theme="1"/>
        <sz val="11.0"/>
      </rPr>
      <t>travel expenses</t>
    </r>
    <r>
      <rPr>
        <rFont val="Calibri"/>
        <color theme="1"/>
        <sz val="11.0"/>
      </rPr>
      <t>?</t>
    </r>
  </si>
  <si>
    <t>Travel</t>
  </si>
  <si>
    <t>Salaries</t>
  </si>
  <si>
    <t>e.g. location scouting</t>
  </si>
  <si>
    <r>
      <t xml:space="preserve">How much are you budgeting for initial </t>
    </r>
    <r>
      <rPr>
        <rFont val="Calibri"/>
        <b/>
        <color theme="1"/>
        <sz val="11.0"/>
      </rPr>
      <t>supplies</t>
    </r>
    <r>
      <rPr>
        <rFont val="Calibri"/>
        <color theme="1"/>
        <sz val="11.0"/>
      </rPr>
      <t>?</t>
    </r>
  </si>
  <si>
    <t>Supplies</t>
  </si>
  <si>
    <t>Expenses</t>
  </si>
  <si>
    <t>e.g. office supplies, stationery, etc.</t>
  </si>
  <si>
    <r>
      <t xml:space="preserve">What are your </t>
    </r>
    <r>
      <rPr>
        <rFont val="Calibri"/>
        <b/>
        <color theme="1"/>
        <sz val="11.0"/>
      </rPr>
      <t xml:space="preserve">dues or subscription </t>
    </r>
    <r>
      <rPr>
        <rFont val="Calibri"/>
        <color theme="1"/>
        <sz val="11.0"/>
      </rPr>
      <t>costs?</t>
    </r>
  </si>
  <si>
    <t>Dues_Subscriptions</t>
  </si>
  <si>
    <t>e.g. trade association fees, chamber memberships, periodicals, etc.</t>
  </si>
  <si>
    <r>
      <t xml:space="preserve">What are your pre-open </t>
    </r>
    <r>
      <rPr>
        <rFont val="Calibri"/>
        <b/>
        <color theme="1"/>
        <sz val="11.0"/>
      </rPr>
      <t>mileage</t>
    </r>
    <r>
      <rPr>
        <rFont val="Calibri"/>
        <color theme="1"/>
        <sz val="11.0"/>
      </rPr>
      <t xml:space="preserve"> costs?</t>
    </r>
  </si>
  <si>
    <t>Mileage</t>
  </si>
  <si>
    <r>
      <t>Do you need to budget for</t>
    </r>
    <r>
      <rPr>
        <rFont val="Calibri"/>
        <b/>
        <color theme="1"/>
        <sz val="11.0"/>
      </rPr>
      <t xml:space="preserve"> conferences</t>
    </r>
    <r>
      <rPr>
        <rFont val="Calibri"/>
        <color theme="1"/>
        <sz val="11.0"/>
      </rPr>
      <t>?</t>
    </r>
  </si>
  <si>
    <t>Disbursement Schedule</t>
  </si>
  <si>
    <t>Conferences</t>
  </si>
  <si>
    <t>e.g. seminars, chamber events, mixers prior to opening your business</t>
  </si>
  <si>
    <r>
      <t xml:space="preserve">Any </t>
    </r>
    <r>
      <rPr>
        <rFont val="Calibri"/>
        <b/>
        <color theme="1"/>
        <sz val="11.0"/>
      </rPr>
      <t xml:space="preserve">other operating start-up </t>
    </r>
    <r>
      <rPr>
        <rFont val="Calibri"/>
        <color theme="1"/>
        <sz val="11.0"/>
      </rPr>
      <t>costs?</t>
    </r>
  </si>
  <si>
    <t>Accounts Receivables</t>
  </si>
  <si>
    <t>Other Operating Start-up</t>
  </si>
  <si>
    <t>Enter percentages if your company accepts payment on credit (ie. purchase orders)</t>
  </si>
  <si>
    <t>Collections Timetable</t>
  </si>
  <si>
    <t>0-30 days</t>
  </si>
  <si>
    <t>30-60 days</t>
  </si>
  <si>
    <t>60-90 days</t>
  </si>
  <si>
    <t>Total Collections Percentage</t>
  </si>
  <si>
    <t>Accounts Payables Payments</t>
  </si>
  <si>
    <t>Enter percentages if your company pays your vendors with credit accounts. Otherwise 0-30 days equals 100%.</t>
  </si>
  <si>
    <t>Payables Timetable</t>
  </si>
  <si>
    <t>Total Payables Percentage</t>
  </si>
  <si>
    <t>Company Ownership</t>
  </si>
  <si>
    <r>
      <t xml:space="preserve">How much </t>
    </r>
    <r>
      <rPr>
        <rFont val="Calibri"/>
        <i/>
        <color theme="1"/>
        <sz val="11.0"/>
      </rPr>
      <t>have</t>
    </r>
    <r>
      <rPr>
        <rFont val="Calibri"/>
        <color theme="1"/>
        <sz val="11.0"/>
      </rPr>
      <t xml:space="preserve"> the owners invested?</t>
    </r>
  </si>
  <si>
    <r>
      <t xml:space="preserve">How much </t>
    </r>
    <r>
      <rPr>
        <rFont val="Calibri"/>
        <i/>
        <color theme="1"/>
        <sz val="11.0"/>
      </rPr>
      <t>have</t>
    </r>
    <r>
      <rPr>
        <rFont val="Calibri"/>
        <color theme="1"/>
        <sz val="11.0"/>
      </rPr>
      <t xml:space="preserve"> others invested?</t>
    </r>
  </si>
  <si>
    <r>
      <t xml:space="preserve">How much money do you </t>
    </r>
    <r>
      <rPr>
        <rFont val="Calibri"/>
        <i/>
        <color theme="1"/>
        <sz val="11.0"/>
      </rPr>
      <t>want</t>
    </r>
    <r>
      <rPr>
        <rFont val="Calibri"/>
        <color theme="1"/>
        <sz val="11.0"/>
      </rPr>
      <t xml:space="preserve"> from a lender?</t>
    </r>
  </si>
  <si>
    <r>
      <t xml:space="preserve">How much money do you </t>
    </r>
    <r>
      <rPr>
        <rFont val="Calibri"/>
        <i/>
        <color theme="1"/>
        <sz val="11.0"/>
      </rPr>
      <t>want</t>
    </r>
    <r>
      <rPr>
        <rFont val="Calibri"/>
        <color theme="1"/>
        <sz val="11.0"/>
      </rPr>
      <t xml:space="preserve"> from an investor?</t>
    </r>
  </si>
  <si>
    <t>Amortization (years)</t>
  </si>
  <si>
    <t>How many years do you want to deduct start-up expenses?</t>
  </si>
  <si>
    <t>Amortization amount</t>
  </si>
  <si>
    <t>Tax Rate</t>
  </si>
  <si>
    <t>What is the income tax rate based on your revenue or legal structure?</t>
  </si>
  <si>
    <t>What is your sales tax rate?</t>
  </si>
  <si>
    <t>Existing Businesses</t>
  </si>
  <si>
    <t>Current Accounts Receivables</t>
  </si>
  <si>
    <t>Current Accounts Payables</t>
  </si>
  <si>
    <t>Current Taxes Payables</t>
  </si>
  <si>
    <t>Current ShortTerm Investments</t>
  </si>
  <si>
    <t>Current Acc. Retained Earnings</t>
  </si>
  <si>
    <t>Current Capital Distribution</t>
  </si>
  <si>
    <t>[Instructions: Use the percentage column to compare how much you are spending in each category and adjust accordingly.]</t>
  </si>
  <si>
    <t>Monthly Expenses</t>
  </si>
  <si>
    <t>Monthly Cost</t>
  </si>
  <si>
    <t>%</t>
  </si>
  <si>
    <r>
      <t xml:space="preserve">What are your monthly </t>
    </r>
    <r>
      <rPr>
        <rFont val="Calibri"/>
        <b/>
        <color theme="1"/>
        <sz val="11.0"/>
      </rPr>
      <t>mortgage</t>
    </r>
    <r>
      <rPr>
        <rFont val="Calibri"/>
        <color theme="1"/>
        <sz val="11.0"/>
      </rPr>
      <t xml:space="preserve"> payments?</t>
    </r>
  </si>
  <si>
    <t>Mortgage</t>
  </si>
  <si>
    <r>
      <t xml:space="preserve">What are your monthly </t>
    </r>
    <r>
      <rPr>
        <rFont val="Calibri"/>
        <b/>
        <color theme="1"/>
        <sz val="11.0"/>
      </rPr>
      <t>rent</t>
    </r>
    <r>
      <rPr>
        <rFont val="Calibri"/>
        <color theme="1"/>
        <sz val="11.0"/>
      </rPr>
      <t xml:space="preserve"> payments?</t>
    </r>
  </si>
  <si>
    <t>Rent</t>
  </si>
  <si>
    <r>
      <t xml:space="preserve">Will you renovate </t>
    </r>
    <r>
      <rPr>
        <rFont val="Calibri"/>
        <b/>
        <color theme="1"/>
        <sz val="11.0"/>
      </rPr>
      <t>leased space monthly</t>
    </r>
    <r>
      <rPr>
        <rFont val="Calibri"/>
        <color theme="1"/>
        <sz val="11.0"/>
      </rPr>
      <t>?</t>
    </r>
  </si>
  <si>
    <t>Monthly renovation or decorating costs</t>
  </si>
  <si>
    <r>
      <t xml:space="preserve">Are you leasing </t>
    </r>
    <r>
      <rPr>
        <rFont val="Calibri"/>
        <b/>
        <color theme="1"/>
        <sz val="11.0"/>
      </rPr>
      <t>equipment</t>
    </r>
    <r>
      <rPr>
        <rFont val="Calibri"/>
        <color theme="1"/>
        <sz val="11.0"/>
      </rPr>
      <t>?</t>
    </r>
  </si>
  <si>
    <t>e.g. production equipment, copy machines, ec.</t>
  </si>
  <si>
    <r>
      <t xml:space="preserve">Are you leasing </t>
    </r>
    <r>
      <rPr>
        <rFont val="Calibri"/>
        <b/>
        <color theme="1"/>
        <sz val="11.0"/>
      </rPr>
      <t>fixtures</t>
    </r>
    <r>
      <rPr>
        <rFont val="Calibri"/>
        <color theme="1"/>
        <sz val="11.0"/>
      </rPr>
      <t>?</t>
    </r>
  </si>
  <si>
    <t>e.g. commercial fans, shelves, etc.</t>
  </si>
  <si>
    <r>
      <t xml:space="preserve">Are you leasing </t>
    </r>
    <r>
      <rPr>
        <rFont val="Calibri"/>
        <b/>
        <color theme="1"/>
        <sz val="11.0"/>
      </rPr>
      <t>furniture</t>
    </r>
    <r>
      <rPr>
        <rFont val="Calibri"/>
        <color theme="1"/>
        <sz val="11.0"/>
      </rPr>
      <t>?</t>
    </r>
  </si>
  <si>
    <t>e.g. tables, chairs, storage units, etc.</t>
  </si>
  <si>
    <r>
      <t xml:space="preserve">Are you leasing </t>
    </r>
    <r>
      <rPr>
        <rFont val="Calibri"/>
        <b/>
        <color theme="1"/>
        <sz val="11.0"/>
      </rPr>
      <t>vehicles</t>
    </r>
    <r>
      <rPr>
        <rFont val="Calibri"/>
        <color theme="1"/>
        <sz val="11.0"/>
      </rPr>
      <t>?</t>
    </r>
  </si>
  <si>
    <t>e.g car and truck leasing (excluding mileage)</t>
  </si>
  <si>
    <r>
      <t xml:space="preserve">What are your </t>
    </r>
    <r>
      <rPr>
        <rFont val="Calibri"/>
        <b/>
        <color theme="1"/>
        <sz val="11.0"/>
      </rPr>
      <t>mileage</t>
    </r>
    <r>
      <rPr>
        <rFont val="Calibri"/>
        <color theme="1"/>
        <sz val="11.0"/>
      </rPr>
      <t xml:space="preserve"> costs?</t>
    </r>
  </si>
  <si>
    <t>e.g. mileage reimbursement budget per month</t>
  </si>
  <si>
    <r>
      <t xml:space="preserve">How much are your monthly </t>
    </r>
    <r>
      <rPr>
        <rFont val="Calibri"/>
        <b/>
        <color theme="1"/>
        <sz val="11.0"/>
      </rPr>
      <t>utility bills</t>
    </r>
    <r>
      <rPr>
        <rFont val="Calibri"/>
        <color theme="1"/>
        <sz val="11.0"/>
      </rPr>
      <t>?</t>
    </r>
  </si>
  <si>
    <t>e.g. gas, electricity, etc.</t>
  </si>
  <si>
    <r>
      <t xml:space="preserve">How much are your monthly </t>
    </r>
    <r>
      <rPr>
        <rFont val="Calibri"/>
        <b/>
        <color theme="1"/>
        <sz val="11.0"/>
      </rPr>
      <t>telephone</t>
    </r>
    <r>
      <rPr>
        <rFont val="Calibri"/>
        <color theme="1"/>
        <sz val="11.0"/>
      </rPr>
      <t xml:space="preserve"> bills?</t>
    </r>
  </si>
  <si>
    <t>Telephone</t>
  </si>
  <si>
    <t>e.g cell phone, landlines, etc.</t>
  </si>
  <si>
    <r>
      <t xml:space="preserve">What are you </t>
    </r>
    <r>
      <rPr>
        <rFont val="Calibri"/>
        <b/>
        <color theme="1"/>
        <sz val="11.0"/>
      </rPr>
      <t>insurance payments?</t>
    </r>
  </si>
  <si>
    <r>
      <t xml:space="preserve">Do you have to pay for </t>
    </r>
    <r>
      <rPr>
        <rFont val="Calibri"/>
        <b/>
        <color theme="1"/>
        <sz val="11.0"/>
      </rPr>
      <t>licenses</t>
    </r>
    <r>
      <rPr>
        <rFont val="Calibri"/>
        <color theme="1"/>
        <sz val="11.0"/>
      </rPr>
      <t>?</t>
    </r>
  </si>
  <si>
    <t>Non-start-up licenses or permits during the year</t>
  </si>
  <si>
    <r>
      <t xml:space="preserve">What do you pay for </t>
    </r>
    <r>
      <rPr>
        <rFont val="Calibri"/>
        <b/>
        <color theme="1"/>
        <sz val="11.0"/>
      </rPr>
      <t>bank fees</t>
    </r>
    <r>
      <rPr>
        <rFont val="Calibri"/>
        <color theme="1"/>
        <sz val="11.0"/>
      </rPr>
      <t xml:space="preserve"> and </t>
    </r>
    <r>
      <rPr>
        <rFont val="Calibri"/>
        <b/>
        <color theme="1"/>
        <sz val="11.0"/>
      </rPr>
      <t>merchant accounts</t>
    </r>
    <r>
      <rPr>
        <rFont val="Calibri"/>
        <color theme="1"/>
        <sz val="11.0"/>
      </rPr>
      <t>?</t>
    </r>
  </si>
  <si>
    <t>Flat rates for merchant and bank fees</t>
  </si>
  <si>
    <r>
      <t xml:space="preserve">How much is your </t>
    </r>
    <r>
      <rPr>
        <rFont val="Calibri"/>
        <b/>
        <color theme="1"/>
        <sz val="11.0"/>
      </rPr>
      <t>website maintenance?</t>
    </r>
  </si>
  <si>
    <t>Web Maintenance</t>
  </si>
  <si>
    <t>Retainer for web developer</t>
  </si>
  <si>
    <r>
      <t xml:space="preserve">How much is your </t>
    </r>
    <r>
      <rPr>
        <rFont val="Calibri"/>
        <b/>
        <color theme="1"/>
        <sz val="11.0"/>
      </rPr>
      <t>web hosting</t>
    </r>
    <r>
      <rPr>
        <rFont val="Calibri"/>
        <color theme="1"/>
        <sz val="11.0"/>
      </rPr>
      <t>?</t>
    </r>
  </si>
  <si>
    <t>Payment to have your site live</t>
  </si>
  <si>
    <r>
      <t xml:space="preserve">What are your monthly cost for </t>
    </r>
    <r>
      <rPr>
        <rFont val="Calibri"/>
        <b/>
        <color theme="1"/>
        <sz val="11.0"/>
      </rPr>
      <t>app subscriptions/licenses?</t>
    </r>
  </si>
  <si>
    <t>Apps</t>
  </si>
  <si>
    <t>e.g. apps or cloud computing services and other software</t>
  </si>
  <si>
    <r>
      <t xml:space="preserve">What are your </t>
    </r>
    <r>
      <rPr>
        <rFont val="Calibri"/>
        <b/>
        <color theme="1"/>
        <sz val="11.0"/>
      </rPr>
      <t>mailing expenses</t>
    </r>
    <r>
      <rPr>
        <rFont val="Calibri"/>
        <color theme="1"/>
        <sz val="11.0"/>
      </rPr>
      <t>?</t>
    </r>
  </si>
  <si>
    <t>e.g. general postage expenses</t>
  </si>
  <si>
    <r>
      <t xml:space="preserve">How much are you spending on </t>
    </r>
    <r>
      <rPr>
        <rFont val="Calibri"/>
        <b/>
        <color theme="1"/>
        <sz val="11.0"/>
      </rPr>
      <t>marketing</t>
    </r>
    <r>
      <rPr>
        <rFont val="Calibri"/>
        <color theme="1"/>
        <sz val="11.0"/>
      </rPr>
      <t>?</t>
    </r>
  </si>
  <si>
    <r>
      <t xml:space="preserve">Will you pay </t>
    </r>
    <r>
      <rPr>
        <rFont val="Calibri"/>
        <b/>
        <color theme="1"/>
        <sz val="11.0"/>
      </rPr>
      <t>professional retainer fees?</t>
    </r>
  </si>
  <si>
    <r>
      <t xml:space="preserve">Do you have monthly </t>
    </r>
    <r>
      <rPr>
        <rFont val="Calibri"/>
        <b/>
        <color theme="1"/>
        <sz val="11.0"/>
      </rPr>
      <t>contract labor</t>
    </r>
    <r>
      <rPr>
        <rFont val="Calibri"/>
        <color theme="1"/>
        <sz val="11.0"/>
      </rPr>
      <t>?</t>
    </r>
  </si>
  <si>
    <t>Contract Labor</t>
  </si>
  <si>
    <t>Budget for temporary help</t>
  </si>
  <si>
    <t xml:space="preserve">© GUIDED BUSINESS PLAN - Copyright Protected - BETA- V 1.6 - GuidedBusinessPlan.com </t>
  </si>
  <si>
    <r>
      <t xml:space="preserve">How much are you paying for </t>
    </r>
    <r>
      <rPr>
        <rFont val="Calibri"/>
        <b/>
        <color theme="1"/>
        <sz val="11.0"/>
      </rPr>
      <t>sales?</t>
    </r>
  </si>
  <si>
    <t>e.g. Affiliate marketing programs, etc.</t>
  </si>
  <si>
    <r>
      <t xml:space="preserve">Do you have </t>
    </r>
    <r>
      <rPr>
        <rFont val="Calibri"/>
        <b/>
        <color theme="1"/>
        <sz val="11.0"/>
      </rPr>
      <t>travel expenses</t>
    </r>
    <r>
      <rPr>
        <rFont val="Calibri"/>
        <color theme="1"/>
        <sz val="11.0"/>
      </rPr>
      <t>?</t>
    </r>
  </si>
  <si>
    <t>e.g. flight, hotel, car rental, etc.</t>
  </si>
  <si>
    <r>
      <t xml:space="preserve">How much are you budgeting for </t>
    </r>
    <r>
      <rPr>
        <rFont val="Calibri"/>
        <b/>
        <color theme="1"/>
        <sz val="11.0"/>
      </rPr>
      <t>supplies</t>
    </r>
    <r>
      <rPr>
        <rFont val="Calibri"/>
        <color theme="1"/>
        <sz val="11.0"/>
      </rPr>
      <t>?</t>
    </r>
  </si>
  <si>
    <r>
      <t xml:space="preserve">What are your </t>
    </r>
    <r>
      <rPr>
        <rFont val="Calibri"/>
        <b/>
        <color theme="1"/>
        <sz val="11.0"/>
      </rPr>
      <t xml:space="preserve">dues or subscription </t>
    </r>
    <r>
      <rPr>
        <rFont val="Calibri"/>
        <color theme="1"/>
        <sz val="11.0"/>
      </rPr>
      <t>costs?</t>
    </r>
  </si>
  <si>
    <t>1. Enter the job functions and estimated salary for your personnel needs within the next two years.</t>
  </si>
  <si>
    <r>
      <t>Do you need to budget for</t>
    </r>
    <r>
      <rPr>
        <rFont val="Calibri"/>
        <b/>
        <color theme="1"/>
        <sz val="11.0"/>
      </rPr>
      <t xml:space="preserve"> conferences or networking events</t>
    </r>
    <r>
      <rPr>
        <rFont val="Calibri"/>
        <color theme="1"/>
        <sz val="11.0"/>
      </rPr>
      <t>?</t>
    </r>
  </si>
  <si>
    <t>You must indicate if the status is Full-Time, Part-Time or Contractor</t>
  </si>
  <si>
    <t>e.g. seminars, chamber events, mixers, conferences</t>
  </si>
  <si>
    <r>
      <t xml:space="preserve">Will you subtract an amount for </t>
    </r>
    <r>
      <rPr>
        <rFont val="Calibri"/>
        <b/>
        <color theme="1"/>
        <sz val="11.0"/>
      </rPr>
      <t>reserves?</t>
    </r>
  </si>
  <si>
    <t>Reserves</t>
  </si>
  <si>
    <t>Some companies will save a certain amount per month (e.g. petty cash)</t>
  </si>
  <si>
    <r>
      <t xml:space="preserve">[Instructions: </t>
    </r>
    <r>
      <rPr>
        <rFont val="Calibri"/>
        <b/>
        <color rgb="FF28476C"/>
        <sz val="11.0"/>
      </rPr>
      <t>Status,</t>
    </r>
    <r>
      <rPr>
        <rFont val="Calibri"/>
        <color rgb="FF28476C"/>
        <sz val="11.0"/>
      </rPr>
      <t xml:space="preserve"> </t>
    </r>
    <r>
      <rPr>
        <rFont val="Calibri"/>
        <b/>
        <color rgb="FF28476C"/>
        <sz val="11.0"/>
      </rPr>
      <t>Est. Start Date</t>
    </r>
    <r>
      <rPr>
        <rFont val="Calibri"/>
        <color rgb="FF28476C"/>
        <sz val="11.0"/>
      </rPr>
      <t xml:space="preserve"> and </t>
    </r>
    <r>
      <rPr>
        <rFont val="Calibri"/>
        <b/>
        <color rgb="FF28476C"/>
        <sz val="11.0"/>
      </rPr>
      <t>Annual</t>
    </r>
    <r>
      <rPr>
        <rFont val="Calibri"/>
        <color rgb="FF28476C"/>
        <sz val="11.0"/>
      </rPr>
      <t xml:space="preserve"> </t>
    </r>
    <r>
      <rPr>
        <rFont val="Calibri"/>
        <b/>
        <color rgb="FF28476C"/>
        <sz val="11.0"/>
      </rPr>
      <t>Salary</t>
    </r>
    <r>
      <rPr>
        <rFont val="Calibri"/>
        <color rgb="FF28476C"/>
        <sz val="11.0"/>
      </rPr>
      <t xml:space="preserve"> must be included for each employee/contractor.]</t>
    </r>
  </si>
  <si>
    <r>
      <t xml:space="preserve">How much do you budget for </t>
    </r>
    <r>
      <rPr>
        <rFont val="Calibri"/>
        <b/>
        <color theme="1"/>
        <sz val="11.0"/>
      </rPr>
      <t>customer discounts/refunds</t>
    </r>
    <r>
      <rPr>
        <rFont val="Calibri"/>
        <color theme="1"/>
        <sz val="11.0"/>
      </rPr>
      <t>?</t>
    </r>
  </si>
  <si>
    <t>Enter flat rate here or list it as a variable Expenses below</t>
  </si>
  <si>
    <r>
      <t xml:space="preserve">Do you have other </t>
    </r>
    <r>
      <rPr>
        <rFont val="Calibri"/>
        <b/>
        <color theme="1"/>
        <sz val="11.0"/>
      </rPr>
      <t>miscellaneous</t>
    </r>
    <r>
      <rPr>
        <rFont val="Calibri"/>
        <color theme="1"/>
        <sz val="11.0"/>
      </rPr>
      <t xml:space="preserve"> costs?</t>
    </r>
  </si>
  <si>
    <t>No.</t>
  </si>
  <si>
    <t>List your misc. costs and enter amount here</t>
  </si>
  <si>
    <t>Job Function</t>
  </si>
  <si>
    <r>
      <t xml:space="preserve">Any </t>
    </r>
    <r>
      <rPr>
        <rFont val="Calibri"/>
        <b/>
        <color theme="1"/>
        <sz val="11.0"/>
      </rPr>
      <t xml:space="preserve">other operating </t>
    </r>
    <r>
      <rPr>
        <rFont val="Calibri"/>
        <color theme="1"/>
        <sz val="11.0"/>
      </rPr>
      <t>costs?</t>
    </r>
  </si>
  <si>
    <t>Status*</t>
  </si>
  <si>
    <t>Person's Name (optional)</t>
  </si>
  <si>
    <t>Est. Start Date*</t>
  </si>
  <si>
    <t>First Month</t>
  </si>
  <si>
    <t>Monthly</t>
  </si>
  <si>
    <t>Year 1 Salary</t>
  </si>
  <si>
    <t>Annual Salary*</t>
  </si>
  <si>
    <t>List anything that is not included above</t>
  </si>
  <si>
    <t>Project manager</t>
  </si>
  <si>
    <r>
      <t>Variable Expenses (</t>
    </r>
    <r>
      <rPr>
        <rFont val="Calibri"/>
        <b/>
        <sz val="11.0"/>
      </rPr>
      <t>enter your own categories and the percentage of sales</t>
    </r>
    <r>
      <rPr>
        <rFont val="Calibri"/>
        <b/>
        <color rgb="FFC00000"/>
        <sz val="11.0"/>
      </rPr>
      <t>)</t>
    </r>
  </si>
  <si>
    <t>Contractor</t>
  </si>
  <si>
    <t>Sales Commission</t>
  </si>
  <si>
    <t>Merchant Fee Transactions</t>
  </si>
  <si>
    <t>Customer Discounts/Refunds</t>
  </si>
  <si>
    <t>Bad Debt</t>
  </si>
  <si>
    <t>Owner</t>
  </si>
  <si>
    <t>NOT CUSTOMIZABLE. Enter percentage of revenue that may not be collected. e.g. if an Accounts Receivables does not get paid.</t>
  </si>
  <si>
    <t>Total Monthly Operating Expenses</t>
  </si>
  <si>
    <t>[Instructions: You may manually enter the number of units sold in the blue cells to override the formulas. If needed, adjust the sales increase per item in the grey areas.]</t>
  </si>
  <si>
    <t>YEAR 1 - Units Sold</t>
  </si>
  <si>
    <t>%+</t>
  </si>
  <si>
    <t>YEAR 1 - Sales Estimates</t>
  </si>
  <si>
    <t>Monthly Units</t>
  </si>
  <si>
    <t>Total</t>
  </si>
  <si>
    <t>Sales %</t>
  </si>
  <si>
    <t>YEAR 2 - Units Sold</t>
  </si>
  <si>
    <t>YEAR 2 - Sales Estimates</t>
  </si>
  <si>
    <t>YEAR 3 - Units Sold</t>
  </si>
  <si>
    <t>YEAR 3 - Sales Estimates</t>
  </si>
  <si>
    <t xml:space="preserve">© GUIDED BUSINESS PLAN - Copyright Protected - BETA- V 1.3\5 - GuidedBusinessPlan.com </t>
  </si>
  <si>
    <t>[The Equity is pulled from the Background sheet]</t>
  </si>
  <si>
    <t>Capital Required</t>
  </si>
  <si>
    <t>You may have to adjust your funding estimates after you have reviewed your financial statements</t>
  </si>
  <si>
    <t>Total Amount Needed</t>
  </si>
  <si>
    <r>
      <t xml:space="preserve">[Instructions: Enter your capital assets. This sheet is </t>
    </r>
    <r>
      <rPr>
        <rFont val="Calibri"/>
        <b/>
        <i/>
        <color rgb="FF28476C"/>
        <sz val="11.0"/>
      </rPr>
      <t>not</t>
    </r>
    <r>
      <rPr>
        <rFont val="Calibri"/>
        <i/>
        <color rgb="FF28476C"/>
        <sz val="11.0"/>
      </rPr>
      <t xml:space="preserve"> attached to formulas on any other worksheet.]</t>
    </r>
  </si>
  <si>
    <t>Capital Assets typically have a useful life longer than a year.</t>
  </si>
  <si>
    <t>funding goal</t>
  </si>
  <si>
    <t>Capital Assets</t>
  </si>
  <si>
    <t>EQUITY</t>
  </si>
  <si>
    <t>Investment (Paid In Capital)</t>
  </si>
  <si>
    <t>Investment Sought</t>
  </si>
  <si>
    <t>Principal Owner's Investment</t>
  </si>
  <si>
    <t>Outside Investors</t>
  </si>
  <si>
    <t>Other Investment</t>
  </si>
  <si>
    <t>DEBT</t>
  </si>
  <si>
    <t>Debt</t>
  </si>
  <si>
    <t>Debt Sought</t>
  </si>
  <si>
    <t>Loans Secured</t>
  </si>
  <si>
    <t>Loans Needed</t>
  </si>
  <si>
    <t>Additional Loans or Debt</t>
  </si>
  <si>
    <t>Amount</t>
  </si>
  <si>
    <t>Interest Rate (annual)</t>
  </si>
  <si>
    <t>Term (Months)</t>
  </si>
  <si>
    <t>Monthly Payments</t>
  </si>
  <si>
    <t>Loan Start Date</t>
  </si>
  <si>
    <t>Business Loans</t>
  </si>
  <si>
    <r>
      <rPr>
        <rFont val="Calibri"/>
        <b/>
        <color theme="5"/>
        <sz val="11.0"/>
      </rPr>
      <t>NOTE:</t>
    </r>
    <r>
      <rPr>
        <rFont val="Calibri"/>
        <color theme="5"/>
        <sz val="11.0"/>
      </rPr>
      <t xml:space="preserve"> The loan date must be after the Start Date for your financial projections</t>
    </r>
  </si>
  <si>
    <t>Commercial Mortgages</t>
  </si>
  <si>
    <t>Vehicle Loans</t>
  </si>
  <si>
    <t xml:space="preserve">© GUIDED BUSINESS PLAN - Copyright Protected - BETA- V 1.3 - GuidedBusinessPlan.com </t>
  </si>
  <si>
    <t>Credit Card/
Line of Credit Cash Advance</t>
  </si>
  <si>
    <t>[Instructions: Enter your capital assets. This sheet is not attached to formulas on any other worksheet.]</t>
  </si>
  <si>
    <t>Other Debt</t>
  </si>
  <si>
    <t>Miscellaneous Costs</t>
  </si>
  <si>
    <t>Total Debt Funding</t>
  </si>
  <si>
    <t>FUNDING NEEDS</t>
  </si>
  <si>
    <t>Amount Still Needed</t>
  </si>
  <si>
    <t>Funding Surplus</t>
  </si>
  <si>
    <t>Snapshot</t>
  </si>
  <si>
    <t>Revenue</t>
  </si>
  <si>
    <t>Sales Estimates (reference only)</t>
  </si>
  <si>
    <t>YEAR 1 - COGS Estimates</t>
  </si>
  <si>
    <t>Net Income</t>
  </si>
  <si>
    <t>Percentage change</t>
  </si>
  <si>
    <t>[Enter depreciation years in blue cells]</t>
  </si>
  <si>
    <t>Year 1</t>
  </si>
  <si>
    <t>$</t>
  </si>
  <si>
    <t>Start-up Summary</t>
  </si>
  <si>
    <t>Depreciation</t>
  </si>
  <si>
    <t>Operating Summary</t>
  </si>
  <si>
    <t>Sales Revenue Estimates</t>
  </si>
  <si>
    <t>Fixed Start-up Costs</t>
  </si>
  <si>
    <t>Years</t>
  </si>
  <si>
    <t>Annual</t>
  </si>
  <si>
    <t>Depre Fee</t>
  </si>
  <si>
    <t>Months</t>
  </si>
  <si>
    <t>End Date</t>
  </si>
  <si>
    <t>Margin</t>
  </si>
  <si>
    <t>Cost %</t>
  </si>
  <si>
    <t>Margin %</t>
  </si>
  <si>
    <t>Equipment Leasing</t>
  </si>
  <si>
    <t>Fixtures Leasing</t>
  </si>
  <si>
    <t>Furniture Rental/Leasing</t>
  </si>
  <si>
    <t>Vehicles Leasing &amp; Other Expenses</t>
  </si>
  <si>
    <t>Other Fixed Assets</t>
  </si>
  <si>
    <t>Total Fixed Assets</t>
  </si>
  <si>
    <t>Operating Start-up</t>
  </si>
  <si>
    <t>Utilities Deposit</t>
  </si>
  <si>
    <t>x</t>
  </si>
  <si>
    <t>Bank or Merchant Fees</t>
  </si>
  <si>
    <t>Rent Deposits</t>
  </si>
  <si>
    <t>Insurance Deposits</t>
  </si>
  <si>
    <t>a</t>
  </si>
  <si>
    <t>Web Hosting Pre-Payment</t>
  </si>
  <si>
    <t>Software Licenses</t>
  </si>
  <si>
    <t>Petty Cash</t>
  </si>
  <si>
    <t>Networking &amp; Education Events</t>
  </si>
  <si>
    <t>Miscellaneous</t>
  </si>
  <si>
    <t>Sales Tax Reserve</t>
  </si>
  <si>
    <t>Discounts &amp; Refunds</t>
  </si>
  <si>
    <t>YEAR 2 - COGS Estimates</t>
  </si>
  <si>
    <t>Total Operating</t>
  </si>
  <si>
    <t>Other Operating Expenses</t>
  </si>
  <si>
    <t>Total Operating Expenses</t>
  </si>
  <si>
    <t>Sales Units Estimates</t>
  </si>
  <si>
    <t>Start-up Capital Needed</t>
  </si>
  <si>
    <t>Other Expenses</t>
  </si>
  <si>
    <t>© GUIDED BUSINESS PLAN - Copyright Protected - BETA- V 1.6 - GuidedBusinessPlan.com</t>
  </si>
  <si>
    <t>Total Other Expenses</t>
  </si>
  <si>
    <t xml:space="preserve">Salaries &amp; Payroll Increase </t>
  </si>
  <si>
    <t>Headcount</t>
  </si>
  <si>
    <t>Employees</t>
  </si>
  <si>
    <t>Contractors</t>
  </si>
  <si>
    <t>Salaries &amp; Wages</t>
  </si>
  <si>
    <t>YEAR 3 - COGS Estimates</t>
  </si>
  <si>
    <t>Independent Contractors</t>
  </si>
  <si>
    <t>Payroll Taxes &amp; Benefits</t>
  </si>
  <si>
    <t>Assumption: Headcount remains constant</t>
  </si>
  <si>
    <t>Wage Base</t>
  </si>
  <si>
    <t>Social Security</t>
  </si>
  <si>
    <t>Medicare</t>
  </si>
  <si>
    <t>Federal Unemployment Tax (FUTA)</t>
  </si>
  <si>
    <t>State Unemployment Tax (SUTA)</t>
  </si>
  <si>
    <t>Employee Pension Programs</t>
  </si>
  <si>
    <t>Worker's Compensation</t>
  </si>
  <si>
    <t>Employee Health Insurance</t>
  </si>
  <si>
    <t>Disability Insurance</t>
  </si>
  <si>
    <t>Employee Gifts</t>
  </si>
  <si>
    <t>Other Employee Benefit Programs</t>
  </si>
  <si>
    <t>Year 2 Start Date:</t>
  </si>
  <si>
    <t>Year 3 Start Date:</t>
  </si>
  <si>
    <t>© GUIDED BUSINESS PLAN - Copyright Protected - BETA- V 1.3 - GuidedBusinessPlan.com</t>
  </si>
  <si>
    <t>Budget Items</t>
  </si>
  <si>
    <t>Totals</t>
  </si>
  <si>
    <t xml:space="preserve">% </t>
  </si>
  <si>
    <t>Total Revenue</t>
  </si>
  <si>
    <t>Cost of Goods Sold</t>
  </si>
  <si>
    <t>Total COGS</t>
  </si>
  <si>
    <t>Gross Profit</t>
  </si>
  <si>
    <t>Personnel Costs</t>
  </si>
  <si>
    <t>Payroll</t>
  </si>
  <si>
    <t>Total Salaries &amp; Wages</t>
  </si>
  <si>
    <t>Operating Expenses</t>
  </si>
  <si>
    <t>Office Related</t>
  </si>
  <si>
    <t>Base Balance Sheet</t>
  </si>
  <si>
    <t>Utilities (web, phone)</t>
  </si>
  <si>
    <t>Liabilities &amp; Equity</t>
  </si>
  <si>
    <t>Assets</t>
  </si>
  <si>
    <t>Liabilities &amp; Owners Equity</t>
  </si>
  <si>
    <t>Current Liabilities</t>
  </si>
  <si>
    <t>Current Assets</t>
  </si>
  <si>
    <t>Cash</t>
  </si>
  <si>
    <t>yr 1 cash flow-ending cash balance (cash flow)</t>
  </si>
  <si>
    <t>Accounts Payable</t>
  </si>
  <si>
    <t>cash on hand + Y1 end bal cash flow</t>
  </si>
  <si>
    <t>Account Receivables</t>
  </si>
  <si>
    <t>yr 1 income-total cash inflows</t>
  </si>
  <si>
    <t>Taxes Payable</t>
  </si>
  <si>
    <t>yr1 end income-cash inflows</t>
  </si>
  <si>
    <t>Taxes/Legal</t>
  </si>
  <si>
    <t>Bad Debt Allowance</t>
  </si>
  <si>
    <t>Loans Payable</t>
  </si>
  <si>
    <t>Interest Payable</t>
  </si>
  <si>
    <t>Inventories</t>
  </si>
  <si>
    <t>s/u inventory +total inv additions (on cash flow)</t>
  </si>
  <si>
    <t>start inv + cash flow inv</t>
  </si>
  <si>
    <t>Short-Term Investments</t>
  </si>
  <si>
    <t>??</t>
  </si>
  <si>
    <t>Sales/Merchant Fees</t>
  </si>
  <si>
    <t>Pre-Paid Expenses</t>
  </si>
  <si>
    <t>op capital-working cap-inventory-initial start-up</t>
  </si>
  <si>
    <t>Long-Term Liabilities</t>
  </si>
  <si>
    <t>Fixed Assets</t>
  </si>
  <si>
    <t>Mortgage Payable</t>
  </si>
  <si>
    <t>Total Liabilities</t>
  </si>
  <si>
    <t>Equity</t>
  </si>
  <si>
    <t>Capital Contribution</t>
  </si>
  <si>
    <t>Acc. Retained Earnings</t>
  </si>
  <si>
    <t>Capital Distribution</t>
  </si>
  <si>
    <t>Pre-Operating Costs</t>
  </si>
  <si>
    <t>Less Acc. Amortization</t>
  </si>
  <si>
    <t>Less Acc. Depreciation</t>
  </si>
  <si>
    <t>Total Owner's Equity</t>
  </si>
  <si>
    <t>Total Liabilities &amp; Owners Equity</t>
  </si>
  <si>
    <t>Total Assets</t>
  </si>
  <si>
    <t>Balance Sheet Assumptions</t>
  </si>
  <si>
    <t>[Instructions: Write any assumptions for the balance sheet.]</t>
  </si>
  <si>
    <t>1.</t>
  </si>
  <si>
    <t>2.</t>
  </si>
  <si>
    <t>3.</t>
  </si>
  <si>
    <t>4.</t>
  </si>
  <si>
    <t>5.</t>
  </si>
  <si>
    <t>6.</t>
  </si>
  <si>
    <t>7.</t>
  </si>
  <si>
    <t>8.</t>
  </si>
  <si>
    <t>9.</t>
  </si>
  <si>
    <t>Administrative</t>
  </si>
  <si>
    <t>10.</t>
  </si>
  <si>
    <t>Other</t>
  </si>
  <si>
    <t>EBITDA</t>
  </si>
  <si>
    <t>Amortization</t>
  </si>
  <si>
    <t xml:space="preserve">© GUIDED BUSINESS PLAN - Copyright Protected - BETA- V 1.7 - GuidedBusinessPlan.com </t>
  </si>
  <si>
    <t>Opening Balance</t>
  </si>
  <si>
    <t>Interest Payments</t>
  </si>
  <si>
    <t>Cash Inflows</t>
  </si>
  <si>
    <t>Current Month Sales</t>
  </si>
  <si>
    <t>Previous Months Sales</t>
  </si>
  <si>
    <t>New Equity (add. cash)</t>
  </si>
  <si>
    <t>Loans Received</t>
  </si>
  <si>
    <t>Total Receipts</t>
  </si>
  <si>
    <t>Cash Outflows</t>
  </si>
  <si>
    <t>Inventory Purchases</t>
  </si>
  <si>
    <t>COGS</t>
  </si>
  <si>
    <t>Taxes</t>
  </si>
  <si>
    <t>Loan Principal Payments</t>
  </si>
  <si>
    <t>Asset Purchases</t>
  </si>
  <si>
    <t>Total Payments</t>
  </si>
  <si>
    <t>Cash Flow (+/-)</t>
  </si>
  <si>
    <t>Operating/End Cash Balance</t>
  </si>
  <si>
    <t>NET INCOME</t>
  </si>
  <si>
    <t>Cash Flow Assumptions</t>
  </si>
  <si>
    <t>[Write any assumptions for the cash flow statement. These will be carried over to the Assumptions sheet.]</t>
  </si>
  <si>
    <t>© GUIDED BUSINESS PLAN - Copyright Protected - BETA- V 1.3 - GuidedBusinessPlan.com -[NOTE: This sheet is locked. To change the details for the loans, return to Capital Required]</t>
  </si>
  <si>
    <t>Do Not Delete Column P</t>
  </si>
  <si>
    <t>Start Date</t>
  </si>
  <si>
    <t>Principal Amount</t>
  </si>
  <si>
    <t>Interest Rate</t>
  </si>
  <si>
    <t>Loan Term (Months)</t>
  </si>
  <si>
    <t>Monthly Payment</t>
  </si>
  <si>
    <t>Cumulative Interest Due</t>
  </si>
  <si>
    <t>Interest Remaining</t>
  </si>
  <si>
    <t>Year 6</t>
  </si>
  <si>
    <t>Principal Remaining</t>
  </si>
  <si>
    <t>Principal Due</t>
  </si>
  <si>
    <t>Interest Due</t>
  </si>
  <si>
    <t>Principal Pmt</t>
  </si>
  <si>
    <t>Interest Pmt</t>
  </si>
  <si>
    <t>Principal Balance</t>
  </si>
  <si>
    <t>Balance</t>
  </si>
  <si>
    <t>Year 1 Interest Payments</t>
  </si>
  <si>
    <t>Year 1 Principal Payments</t>
  </si>
  <si>
    <t>Balance Remaining (all loans)</t>
  </si>
  <si>
    <t>Balance Remaining (ex. mortgage)</t>
  </si>
  <si>
    <t>Year 2 Interest Payments</t>
  </si>
  <si>
    <t>Year 2 Principal Payments</t>
  </si>
  <si>
    <t>Year 3 Interest Payments</t>
  </si>
  <si>
    <t>Year 3 Principal Payments</t>
  </si>
  <si>
    <t>1. Do you know how to price your products? What is your Cost of Goods Sold (COGS)?</t>
  </si>
  <si>
    <t>You may use this worksheet to determine an estimated Manufacturer Suggested Retail Price (MSRP) or Wholesale Price</t>
  </si>
  <si>
    <t>[Instructions: Enter new numbers if you need to adjust your MSRP or Wholesale price. You will re-enter them on the Background worksheet.]</t>
  </si>
  <si>
    <t>Product/Service</t>
  </si>
  <si>
    <t>Unit</t>
  </si>
  <si>
    <t>Est. Price</t>
  </si>
  <si>
    <t>Labor</t>
  </si>
  <si>
    <t>Material</t>
  </si>
  <si>
    <t>Direct Overhead</t>
  </si>
  <si>
    <t>Packaging</t>
  </si>
  <si>
    <t>Distribution</t>
  </si>
  <si>
    <t>Profit</t>
  </si>
  <si>
    <t>Profit Margin</t>
  </si>
  <si>
    <t>MSRP</t>
  </si>
  <si>
    <t>Wholesale Price</t>
  </si>
  <si>
    <t>[This work sheet is NOT linked to other worksheets. You will have to manually enter your Price and COGS on the Background worksheet.]</t>
  </si>
  <si>
    <t>Year 4 Interest Payments</t>
  </si>
  <si>
    <t>Year 4 Principal Payments</t>
  </si>
  <si>
    <t>[Write any assumptions for the income statement.]</t>
  </si>
  <si>
    <t>Gross Revenue</t>
  </si>
  <si>
    <t>Net Revenue</t>
  </si>
  <si>
    <t>Salaries &amp; Benefits</t>
  </si>
  <si>
    <t>Total Salaries &amp; Benefits</t>
  </si>
  <si>
    <t>Year 5 Interest Payments</t>
  </si>
  <si>
    <t>Year 5 Principal Payments</t>
  </si>
  <si>
    <t>Period Counter (hidden)</t>
  </si>
  <si>
    <t>Amoritization</t>
  </si>
  <si>
    <t>Credit Card Advance</t>
  </si>
  <si>
    <t>[update prior to printing]</t>
  </si>
  <si>
    <t>Amoritziation_EndDate</t>
  </si>
  <si>
    <t>='A. Background'!$F$54</t>
  </si>
  <si>
    <t>Instructions</t>
  </si>
  <si>
    <t>Amortiz_Years</t>
  </si>
  <si>
    <t>='A. Background'!$E$54</t>
  </si>
  <si>
    <t>Click anywhere on a worksheet then click F3 and then paste list.</t>
  </si>
  <si>
    <t>Annual_Salaries</t>
  </si>
  <si>
    <t>='D. Personnel'!$I$9:$I$58</t>
  </si>
  <si>
    <t>Bad_Debt</t>
  </si>
  <si>
    <t>='C. Monthly Expenses'!$D$42</t>
  </si>
  <si>
    <t>Base_AcctsPay</t>
  </si>
  <si>
    <t>='Balance Sheet'!$E$8</t>
  </si>
  <si>
    <t>Base_AcctsRec</t>
  </si>
  <si>
    <t>='Balance Sheet'!$B$9</t>
  </si>
  <si>
    <t>Base_Cash</t>
  </si>
  <si>
    <t>='Balance Sheet'!$B$8</t>
  </si>
  <si>
    <t>Base_CurrentAssets</t>
  </si>
  <si>
    <t>='Balance Sheet'!$B$14</t>
  </si>
  <si>
    <t>Base_CurrentLiabilities</t>
  </si>
  <si>
    <t>='Balance Sheet'!$E$14</t>
  </si>
  <si>
    <t>Base_Inventories</t>
  </si>
  <si>
    <t>='Balance Sheet'!$B$11</t>
  </si>
  <si>
    <t xml:space="preserve">This worksheet is customized for META Idaho WBC. </t>
  </si>
  <si>
    <t>Base_LoansPay</t>
  </si>
  <si>
    <t>='Balance Sheet'!$E$10</t>
  </si>
  <si>
    <t>Distributed February 25, 2013.</t>
  </si>
  <si>
    <t>Base_OtherDebt</t>
  </si>
  <si>
    <t>='Balance Sheet'!$E$11</t>
  </si>
  <si>
    <t>Base_PrePayments</t>
  </si>
  <si>
    <t>='Balance Sheet'!$B$13</t>
  </si>
  <si>
    <t>Base_ShortTerm</t>
  </si>
  <si>
    <t>='Balance Sheet'!$B$12</t>
  </si>
  <si>
    <t>Base_TaxesPay</t>
  </si>
  <si>
    <t>='Balance Sheet'!$E$9</t>
  </si>
  <si>
    <t>Budget_Range</t>
  </si>
  <si>
    <t>='Income Statement'!$D$37:$D$70</t>
  </si>
  <si>
    <t>Budget_Totals</t>
  </si>
  <si>
    <t>='Income Statement'!$Q$37:$Q$70</t>
  </si>
  <si>
    <t>BudgetRevenue</t>
  </si>
  <si>
    <t>='Budget Model'!$B$12</t>
  </si>
  <si>
    <t>='B. Start-up'!$D$7</t>
  </si>
  <si>
    <t>Business_Loans</t>
  </si>
  <si>
    <t>='E. Capital Required'!$B$21</t>
  </si>
  <si>
    <t>Cash_OnHand</t>
  </si>
  <si>
    <t>=SUM('Expenses Summary'!#REF!)</t>
  </si>
  <si>
    <t>Collection30Days</t>
  </si>
  <si>
    <t>='A. Background'!$C$37</t>
  </si>
  <si>
    <t>Collection60Days</t>
  </si>
  <si>
    <t>='A. Background'!$C$38</t>
  </si>
  <si>
    <t>Collection90Days</t>
  </si>
  <si>
    <t>='A. Background'!$C$39</t>
  </si>
  <si>
    <t>Commercial_Mortgages</t>
  </si>
  <si>
    <t>='E. Capital Required'!$B$22</t>
  </si>
  <si>
    <t>Company_Name</t>
  </si>
  <si>
    <t>='A. Background'!$B$8</t>
  </si>
  <si>
    <t>='B. Start-up'!$D$34</t>
  </si>
  <si>
    <t>CreditCard_CashAdvance</t>
  </si>
  <si>
    <t>='E. Capital Required'!$B$24</t>
  </si>
  <si>
    <t>Current_AccRetainEarnings</t>
  </si>
  <si>
    <t>='A. Background'!$C$64</t>
  </si>
  <si>
    <t>Current_AcctsPay</t>
  </si>
  <si>
    <t>='A. Background'!$C$61</t>
  </si>
  <si>
    <t>Current_AcctsRec</t>
  </si>
  <si>
    <t>='A. Background'!$C$60</t>
  </si>
  <si>
    <t>Current_CapDistribution</t>
  </si>
  <si>
    <t>='A. Background'!$C$65</t>
  </si>
  <si>
    <t>Current_ShortTermInv</t>
  </si>
  <si>
    <t>='A. Background'!$C$63</t>
  </si>
  <si>
    <t>Current_TaxesPay</t>
  </si>
  <si>
    <t>='A. Background'!$C$62</t>
  </si>
  <si>
    <t>Deprec_EndDates</t>
  </si>
  <si>
    <t>='Expenses Summary'!$T$8:$T$16</t>
  </si>
  <si>
    <t>Deprec_MonthlyAmt</t>
  </si>
  <si>
    <t>='Expenses Summary'!$R$8:$R$16</t>
  </si>
  <si>
    <t>='B. Start-up'!$D$32</t>
  </si>
  <si>
    <t>Emp_Start_Date</t>
  </si>
  <si>
    <t>='D. Personnel'!$E$9:$E$58</t>
  </si>
  <si>
    <t>='B. Start-up'!$D$9</t>
  </si>
  <si>
    <t>FIN_StartDate</t>
  </si>
  <si>
    <t>='DS. Personnel Summary'!$C$4</t>
  </si>
  <si>
    <t>Fixed_Assets</t>
  </si>
  <si>
    <t>='B. Start-up'!$D$14</t>
  </si>
  <si>
    <t>FixedStartupCosts</t>
  </si>
  <si>
    <t>='Expenses Summary'!$B$8:$B$16</t>
  </si>
  <si>
    <t>FixedStartupDepreciation</t>
  </si>
  <si>
    <t>='Expenses Summary'!$R$9:$R$16</t>
  </si>
  <si>
    <t>='B. Start-up'!$D$10</t>
  </si>
  <si>
    <t>='B. Start-up'!$D$12</t>
  </si>
  <si>
    <t>IncomeTax_Rate</t>
  </si>
  <si>
    <t>='A. Background'!$F$57</t>
  </si>
  <si>
    <t>Inspection_Fees</t>
  </si>
  <si>
    <t>='B. Start-up'!$D$28</t>
  </si>
  <si>
    <t>InsuranceDeposits</t>
  </si>
  <si>
    <t>='B. Start-up'!$D$17</t>
  </si>
  <si>
    <t>='B. Start-up'!$D$18</t>
  </si>
  <si>
    <t>='B. Start-up'!$D$6</t>
  </si>
  <si>
    <t>='B. Start-up'!$D$29</t>
  </si>
  <si>
    <t>='B. Start-up'!$D$19</t>
  </si>
  <si>
    <t>='B. Start-up'!$D$26</t>
  </si>
  <si>
    <t>Merchant_Account</t>
  </si>
  <si>
    <t>='B. Start-up'!$D$21</t>
  </si>
  <si>
    <t>='B. Start-up'!$D$33</t>
  </si>
  <si>
    <t>Mo_AppSubscriptions</t>
  </si>
  <si>
    <t>='C. Monthly Expenses'!$D$22</t>
  </si>
  <si>
    <t>Mo_ContractLabor</t>
  </si>
  <si>
    <t>='C. Monthly Expenses'!$D$26</t>
  </si>
  <si>
    <t>Mo_DiscountsRefunds</t>
  </si>
  <si>
    <t>='C. Monthly Expenses'!$D$33</t>
  </si>
  <si>
    <t>Mo_EquipLease</t>
  </si>
  <si>
    <t>='C. Monthly Expenses'!$D$10</t>
  </si>
  <si>
    <t>Mo_FixtureLease</t>
  </si>
  <si>
    <t>='C. Monthly Expenses'!$D$11</t>
  </si>
  <si>
    <t>Mo_FurnitureLease</t>
  </si>
  <si>
    <t>='C. Monthly Expenses'!$D$12</t>
  </si>
  <si>
    <t>Mo_InspectionFees</t>
  </si>
  <si>
    <t>='C. Monthly Expenses'!$D$27</t>
  </si>
  <si>
    <t>Mo_Insurance</t>
  </si>
  <si>
    <t>='C. Monthly Expenses'!$D$17</t>
  </si>
  <si>
    <t>Mo_LeaseFixture</t>
  </si>
  <si>
    <t>Mo_Licenses</t>
  </si>
  <si>
    <t>='C. Monthly Expenses'!$D$18</t>
  </si>
  <si>
    <t>Mo_Mailing</t>
  </si>
  <si>
    <t>='C. Monthly Expenses'!$D$23</t>
  </si>
  <si>
    <t>Mo_Marketing</t>
  </si>
  <si>
    <t>='C. Monthly Expenses'!$D$24</t>
  </si>
  <si>
    <t>Mo_MerchantAccts</t>
  </si>
  <si>
    <t>='C. Monthly Expenses'!$D$19</t>
  </si>
  <si>
    <t>Mo_Mileage</t>
  </si>
  <si>
    <t>='C. Monthly Expenses'!$D$14</t>
  </si>
  <si>
    <t>Mo_Misc</t>
  </si>
  <si>
    <t>='C. Monthly Expenses'!$D$34</t>
  </si>
  <si>
    <t>Mo_Mortgage</t>
  </si>
  <si>
    <t>='C. Monthly Expenses'!$D$7</t>
  </si>
  <si>
    <t>Mo_Networking</t>
  </si>
  <si>
    <t>='C. Monthly Expenses'!$D$31</t>
  </si>
  <si>
    <t>Mo_Operating</t>
  </si>
  <si>
    <t>='C. Monthly Expenses'!$D$35</t>
  </si>
  <si>
    <t>Mo_ProfessionalFees</t>
  </si>
  <si>
    <t>='C. Monthly Expenses'!$D$25</t>
  </si>
  <si>
    <t>Mo_Renovations</t>
  </si>
  <si>
    <t>='C. Monthly Expenses'!$D$9</t>
  </si>
  <si>
    <t>Mo_Rent</t>
  </si>
  <si>
    <t>='C. Monthly Expenses'!$D$8</t>
  </si>
  <si>
    <t>Mo_Reserve</t>
  </si>
  <si>
    <t>='C. Monthly Expenses'!$D$32</t>
  </si>
  <si>
    <t>Mo_Sales</t>
  </si>
  <si>
    <t>Mo_SubscriptionsDues</t>
  </si>
  <si>
    <t>='C. Monthly Expenses'!$D$30</t>
  </si>
  <si>
    <t>Mo_Supplies</t>
  </si>
  <si>
    <t>='C. Monthly Expenses'!$D$29</t>
  </si>
  <si>
    <t>Mo_Telephone</t>
  </si>
  <si>
    <t>='C. Monthly Expenses'!$D$16</t>
  </si>
  <si>
    <t>Mo_Travel</t>
  </si>
  <si>
    <t>='C. Monthly Expenses'!$D$28</t>
  </si>
  <si>
    <t>Mo_Utilities</t>
  </si>
  <si>
    <t>='C. Monthly Expenses'!$D$15</t>
  </si>
  <si>
    <t>Mo_VehicleLease</t>
  </si>
  <si>
    <t>='C. Monthly Expenses'!$D$13</t>
  </si>
  <si>
    <t>Mo_WebHosting</t>
  </si>
  <si>
    <t>='C. Monthly Expenses'!$D$21</t>
  </si>
  <si>
    <t>Mo_WebMaintenance</t>
  </si>
  <si>
    <t>='C. Monthly Expenses'!$D$20</t>
  </si>
  <si>
    <t>Other_Debt</t>
  </si>
  <si>
    <t>='E. Capital Required'!$B$25</t>
  </si>
  <si>
    <t>Other_Operating_Start_up</t>
  </si>
  <si>
    <t>='B. Start-up'!$D$35</t>
  </si>
  <si>
    <t>Owner_Stipend</t>
  </si>
  <si>
    <t>='B. Start-up'!$D$37</t>
  </si>
  <si>
    <t>Payable30Days</t>
  </si>
  <si>
    <t>='A. Background'!$C$44</t>
  </si>
  <si>
    <t>Payable60Days</t>
  </si>
  <si>
    <t>='A. Background'!$C$45</t>
  </si>
  <si>
    <t>Payable90Days</t>
  </si>
  <si>
    <t>='A. Background'!$C$46</t>
  </si>
  <si>
    <t>PERS_FirstMo</t>
  </si>
  <si>
    <t>='D. Personnel'!$F$9:$F$58</t>
  </si>
  <si>
    <t>PERS_Monthly</t>
  </si>
  <si>
    <t>='D. Personnel'!$G$9:$G$58</t>
  </si>
  <si>
    <t>PERS_StartDate</t>
  </si>
  <si>
    <t>PERS_Status</t>
  </si>
  <si>
    <t>='D. Personnel'!$C$9:$C$58</t>
  </si>
  <si>
    <t>='B. Start-up'!$D$25</t>
  </si>
  <si>
    <t>Pre_Opening_Salaries_Wages</t>
  </si>
  <si>
    <t>='B. Start-up'!$D$20</t>
  </si>
  <si>
    <t>PrePaid_Deposits</t>
  </si>
  <si>
    <t>=SUM('Expenses Summary'!$B$20:$B$22,'Expenses Summary'!$B$28)</t>
  </si>
  <si>
    <t>Professional_Fees</t>
  </si>
  <si>
    <t>='B. Start-up'!$D$27</t>
  </si>
  <si>
    <t>Projected_Start_Date</t>
  </si>
  <si>
    <t>='A. Background'!$D$8</t>
  </si>
  <si>
    <t>='B. Start-up'!$D$8</t>
  </si>
  <si>
    <t>RentDeposits</t>
  </si>
  <si>
    <t>='B. Start-up'!$D$16</t>
  </si>
  <si>
    <t>='B. Start-up'!$D$36</t>
  </si>
  <si>
    <t>RTN_Assumptions</t>
  </si>
  <si>
    <t>=Assumptions!$A$3</t>
  </si>
  <si>
    <t>RTN_Background</t>
  </si>
  <si>
    <t>='A. Background'!$B$2</t>
  </si>
  <si>
    <t>RTN_Balance</t>
  </si>
  <si>
    <t>='Balance Sheet'!$A$2</t>
  </si>
  <si>
    <t>RTN_CashFlow</t>
  </si>
  <si>
    <t>='Cash Flow'!$A$3</t>
  </si>
  <si>
    <t>RTN_FiveYear</t>
  </si>
  <si>
    <t>='5-Year Projection'!$A$2</t>
  </si>
  <si>
    <t>RTN_Income</t>
  </si>
  <si>
    <t>='Income Statement'!$A$2</t>
  </si>
  <si>
    <t>RTN_Loans</t>
  </si>
  <si>
    <t>='E. Capital Required'!$A$7</t>
  </si>
  <si>
    <t>RTN_MonthlyExp</t>
  </si>
  <si>
    <t>are the ratios in the right category?</t>
  </si>
  <si>
    <t>='C. Monthly Expenses'!$A$2</t>
  </si>
  <si>
    <t>RTN_Personnel</t>
  </si>
  <si>
    <t>='D. Personnel'!$A$2</t>
  </si>
  <si>
    <t>RTN_Pricing</t>
  </si>
  <si>
    <t>=Pricing!$A$2</t>
  </si>
  <si>
    <t>RTN_Ratios</t>
  </si>
  <si>
    <t>=Ratios!$A$2</t>
  </si>
  <si>
    <t>RTN_SalesUnits</t>
  </si>
  <si>
    <t>='Sales Units'!$B$2</t>
  </si>
  <si>
    <t>RTN_StartupExp</t>
  </si>
  <si>
    <t>='B. Start-up'!$A$2</t>
  </si>
  <si>
    <t>SalesTax_Rate</t>
  </si>
  <si>
    <t>='A. Background'!$F$58</t>
  </si>
  <si>
    <t>='B. Start-up'!$D$11</t>
  </si>
  <si>
    <t>='B. Start-up'!$D$24</t>
  </si>
  <si>
    <t>Start_AccDecpreciationTotal</t>
  </si>
  <si>
    <t>='Expenses Summary'!$Q$17</t>
  </si>
  <si>
    <t>START_AmortizAmt</t>
  </si>
  <si>
    <t>='A. Background'!$E$55</t>
  </si>
  <si>
    <t>START_Fixed_Assets</t>
  </si>
  <si>
    <t>='Expenses Summary'!$B$17</t>
  </si>
  <si>
    <t>START_Inventory</t>
  </si>
  <si>
    <t>='Expenses Summary'!$B$23</t>
  </si>
  <si>
    <t>START_OperatingCap</t>
  </si>
  <si>
    <t>='Expenses Summary'!$B$41</t>
  </si>
  <si>
    <t>START_OtherInvestment</t>
  </si>
  <si>
    <t>='E. Capital Required'!$B$14</t>
  </si>
  <si>
    <t>START_OtherStartup</t>
  </si>
  <si>
    <t>='Expenses Summary'!$B$40</t>
  </si>
  <si>
    <t>START_OutsideInvestors</t>
  </si>
  <si>
    <t>='E. Capital Required'!$F$13</t>
  </si>
  <si>
    <t>START_OwnersInvestment</t>
  </si>
  <si>
    <t>='E. Capital Required'!$B$13</t>
  </si>
  <si>
    <t>START_PreOperatingCosts</t>
  </si>
  <si>
    <t>=SUMIF('Expenses Summary'!$C$20:$C$40,"a",'Expenses Summary'!$B$20:$B$40)</t>
  </si>
  <si>
    <t>Status</t>
  </si>
  <si>
    <t>Step2</t>
  </si>
  <si>
    <t>='A. Background'!$H$10</t>
  </si>
  <si>
    <t>Step3</t>
  </si>
  <si>
    <t>='A. Background'!$H$25</t>
  </si>
  <si>
    <t>Step4</t>
  </si>
  <si>
    <t>='A. Background'!$H$33</t>
  </si>
  <si>
    <t>Step5</t>
  </si>
  <si>
    <t>='A. Background'!$H$51</t>
  </si>
  <si>
    <t>Step6</t>
  </si>
  <si>
    <t>='A. Background'!$H$53</t>
  </si>
  <si>
    <t>Step7</t>
  </si>
  <si>
    <t>='A. Background'!$H$56</t>
  </si>
  <si>
    <t>Definitions</t>
  </si>
  <si>
    <t>Sum_LandBuilding</t>
  </si>
  <si>
    <t>=SUM('B. Start-up'!C126:C127)</t>
  </si>
  <si>
    <t>Gross Profit Margin</t>
  </si>
  <si>
    <t>=(Revenue-Cost)/Revenue</t>
  </si>
  <si>
    <t>='B. Start-up'!$D$31</t>
  </si>
  <si>
    <t>Total_Debt_Funds</t>
  </si>
  <si>
    <t>='E. Capital Required'!$B$18</t>
  </si>
  <si>
    <t>=((YR1_Revenue-YR1_COGS)/YR1_Revenue)</t>
  </si>
  <si>
    <t>='B. Start-up'!$D$30</t>
  </si>
  <si>
    <t>UtilityDeposits</t>
  </si>
  <si>
    <t>='B. Start-up'!$D$15</t>
  </si>
  <si>
    <t>VariableExp1</t>
  </si>
  <si>
    <t>='C. Monthly Expenses'!$D$38</t>
  </si>
  <si>
    <t>VariableExp2</t>
  </si>
  <si>
    <t>='C. Monthly Expenses'!$D$39</t>
  </si>
  <si>
    <t>VariableExp3</t>
  </si>
  <si>
    <t>='C. Monthly Expenses'!$D$40</t>
  </si>
  <si>
    <t>VariableExp4</t>
  </si>
  <si>
    <t>='C. Monthly Expenses'!$D$41</t>
  </si>
  <si>
    <t>Vehicle_Loans</t>
  </si>
  <si>
    <t>='E. Capital Required'!$B$23</t>
  </si>
  <si>
    <t>='B. Start-up'!$D$13</t>
  </si>
  <si>
    <t>Web_Development</t>
  </si>
  <si>
    <t>='B. Start-up'!$D$22</t>
  </si>
  <si>
    <t>Web_Hosting_PrePayment</t>
  </si>
  <si>
    <t>='B. Start-up'!$D$23</t>
  </si>
  <si>
    <t>YR1_BadDebt</t>
  </si>
  <si>
    <t>='Income Statement'!$Q$69</t>
  </si>
  <si>
    <t>YR1_Cash</t>
  </si>
  <si>
    <t>='Balance Sheet'!$J$8</t>
  </si>
  <si>
    <t>YR1_CashFlow</t>
  </si>
  <si>
    <t>='Cash Flow'!$P$30</t>
  </si>
  <si>
    <t>YR1_CashFlow_AssetPurch</t>
  </si>
  <si>
    <t>='Cash Flow'!$P$26</t>
  </si>
  <si>
    <t>YR1_CashFlow_CapDistrib</t>
  </si>
  <si>
    <t>='Cash Flow'!$P$25</t>
  </si>
  <si>
    <t>YR1_CashFlow_COGS_Outflow</t>
  </si>
  <si>
    <t>='Cash Flow'!$P$18</t>
  </si>
  <si>
    <t>YR1_CashFlow_EndBalance</t>
  </si>
  <si>
    <t>='Cash Flow'!$N$34</t>
  </si>
  <si>
    <t>YR1_CashFlow_InflowTotal</t>
  </si>
  <si>
    <t>='Cash Flow'!$P$13</t>
  </si>
  <si>
    <t>Net Profit Margin</t>
  </si>
  <si>
    <t>YR1_CashFlow_InvPurchases</t>
  </si>
  <si>
    <t>=Net Sales - COGS/Net Sales</t>
  </si>
  <si>
    <t>='Cash Flow'!$P$17</t>
  </si>
  <si>
    <t>=(YR1_NetSales-YR1_COGS)/YR1_NetSales</t>
  </si>
  <si>
    <t>YR1_CashFlow_LoansRecd</t>
  </si>
  <si>
    <t>='Cash Flow'!$P$11</t>
  </si>
  <si>
    <t>YR1_CashFlow_NewEquity</t>
  </si>
  <si>
    <t>='Cash Flow'!$P$10</t>
  </si>
  <si>
    <t>YR1_CashFlow_Other</t>
  </si>
  <si>
    <t>='Cash Flow'!$P$12</t>
  </si>
  <si>
    <t>YR1_CashFlow_OutflowTotal</t>
  </si>
  <si>
    <t>='Cash Flow'!$P$27</t>
  </si>
  <si>
    <t>YR1_CashFlow_ShortTerm</t>
  </si>
  <si>
    <t>='Cash Flow'!$P$19</t>
  </si>
  <si>
    <t>YR1_COGS</t>
  </si>
  <si>
    <t>='Income Statement'!$Q$25</t>
  </si>
  <si>
    <t>YR1_CurrentAssets</t>
  </si>
  <si>
    <t>='Balance Sheet'!$J$14</t>
  </si>
  <si>
    <t>YR1_CurrentLiabilities</t>
  </si>
  <si>
    <t>='Balance Sheet'!$M$14</t>
  </si>
  <si>
    <t>YR1_Equity</t>
  </si>
  <si>
    <t>='Balance Sheet'!$M$29</t>
  </si>
  <si>
    <t>YR1_FixedAssets</t>
  </si>
  <si>
    <t>='Balance Sheet'!$J$29</t>
  </si>
  <si>
    <t>YR1_Headcount</t>
  </si>
  <si>
    <t>='DS. Personnel Summary'!$Q$9</t>
  </si>
  <si>
    <t>YR1_InterestPayments</t>
  </si>
  <si>
    <t>='Income Statement'!$Q$78</t>
  </si>
  <si>
    <t>YR1_Inventories</t>
  </si>
  <si>
    <t>='Balance Sheet'!$J$11</t>
  </si>
  <si>
    <t>YR1_LiabilitiesEquity</t>
  </si>
  <si>
    <t>='Balance Sheet'!$M$31</t>
  </si>
  <si>
    <t>YR1_LongTermLiabilities</t>
  </si>
  <si>
    <t>='Balance Sheet'!$M$18</t>
  </si>
  <si>
    <t>YR1_NetIncome</t>
  </si>
  <si>
    <t>='Income Statement'!$Q$84</t>
  </si>
  <si>
    <t>YR1_NetSales</t>
  </si>
  <si>
    <t>='Income Statement'!$Q$27</t>
  </si>
  <si>
    <t>Yearly Sales Growth</t>
  </si>
  <si>
    <t>YR1_PrePayments</t>
  </si>
  <si>
    <t>='Balance Sheet'!$J$13</t>
  </si>
  <si>
    <t>YR1_Revenue</t>
  </si>
  <si>
    <t>='Income Statement'!$Q$14</t>
  </si>
  <si>
    <t>YR1_TotalAssets</t>
  </si>
  <si>
    <t>='Balance Sheet'!$J$31</t>
  </si>
  <si>
    <t>YR1_TotalLiabilities</t>
  </si>
  <si>
    <t>='Balance Sheet'!$M$19</t>
  </si>
  <si>
    <t>YR2_BadDebt</t>
  </si>
  <si>
    <t>='Income Statement'!$Q$154</t>
  </si>
  <si>
    <t>YR2_CashFlow_AssetPurch</t>
  </si>
  <si>
    <t>='Cash Flow'!$P$60</t>
  </si>
  <si>
    <t>YR2_CashFlow_CapDistrib</t>
  </si>
  <si>
    <t>='Cash Flow'!$P$59</t>
  </si>
  <si>
    <t>Liquidity</t>
  </si>
  <si>
    <t>YR2_CashFlow_COGS_Outflow</t>
  </si>
  <si>
    <t>='Cash Flow'!$P$52</t>
  </si>
  <si>
    <t>YR2_CashFlow_EndBalance</t>
  </si>
  <si>
    <t>='Cash Flow'!$N$68</t>
  </si>
  <si>
    <t>YR2_CashFlow_InflowTotal</t>
  </si>
  <si>
    <t>='Cash Flow'!$P$47</t>
  </si>
  <si>
    <t>YR2_CashFlow_InvPurchases</t>
  </si>
  <si>
    <t>='Cash Flow'!$P$51</t>
  </si>
  <si>
    <t>YR2_CashFlow_LoansRecd</t>
  </si>
  <si>
    <t>='Cash Flow'!$P$45</t>
  </si>
  <si>
    <t>YR2_CashFlow_NewEquity</t>
  </si>
  <si>
    <t>='Cash Flow'!$P$44</t>
  </si>
  <si>
    <t>YR2_CashFlow_Other</t>
  </si>
  <si>
    <t>='Cash Flow'!$P$46</t>
  </si>
  <si>
    <t>YR2_CashFlow_OutflowTotal</t>
  </si>
  <si>
    <t>='Cash Flow'!$P$61</t>
  </si>
  <si>
    <t>YR2_COGS</t>
  </si>
  <si>
    <t>='Income Statement'!$Q$111</t>
  </si>
  <si>
    <t>Current Ratio</t>
  </si>
  <si>
    <t>YR2_Exp_Increase</t>
  </si>
  <si>
    <t>='A. Background'!$C$31</t>
  </si>
  <si>
    <t>=Current Assets/Current Liabilities</t>
  </si>
  <si>
    <t>YR2_Expenses_Increase</t>
  </si>
  <si>
    <t>=YR1_CurrentAssets/YR1_CurrentLiabilities</t>
  </si>
  <si>
    <t>YR2_NetIncome</t>
  </si>
  <si>
    <t>='Income Statement'!$Q$169</t>
  </si>
  <si>
    <t>YR2_Pay_Summary</t>
  </si>
  <si>
    <t>='DS. Personnel Summary'!$G$6</t>
  </si>
  <si>
    <t>YR2_Revenue</t>
  </si>
  <si>
    <t>='Income Statement'!$Q$100</t>
  </si>
  <si>
    <t>YR2_Salaries_Increase</t>
  </si>
  <si>
    <t>='A. Background'!$C$30</t>
  </si>
  <si>
    <t>YR2_Sales_Increase</t>
  </si>
  <si>
    <t>='A. Background'!$C$29</t>
  </si>
  <si>
    <t>YR3_BadDebt</t>
  </si>
  <si>
    <t>='Income Statement'!$Q$240</t>
  </si>
  <si>
    <t>YR3_CashFlow_AssetPurch</t>
  </si>
  <si>
    <t>='Cash Flow'!$P$94</t>
  </si>
  <si>
    <t>YR3_CashFlow_CapDistrib</t>
  </si>
  <si>
    <t>='Cash Flow'!$P$93</t>
  </si>
  <si>
    <t>YR3_CashFlow_COGS_Outflow</t>
  </si>
  <si>
    <t>='Cash Flow'!$P$86</t>
  </si>
  <si>
    <t>YR3_CashFlow_EndBalance</t>
  </si>
  <si>
    <t>='Cash Flow'!$N$102</t>
  </si>
  <si>
    <t>YR3_CashFlow_InflowTotal</t>
  </si>
  <si>
    <t>='Cash Flow'!$P$81</t>
  </si>
  <si>
    <t>YR3_CashFlow_InvPurchases</t>
  </si>
  <si>
    <t>='Cash Flow'!$P$85</t>
  </si>
  <si>
    <t>YR3_CashFlow_LoansRecd</t>
  </si>
  <si>
    <t>='Cash Flow'!$P$79</t>
  </si>
  <si>
    <t>If you have more assets than liabilities, you can cover your commitments. More liabilities than assets means…you know…more problems. A higher ratio is better to a creditor. It could indicate that you are not optimizing your resources.</t>
  </si>
  <si>
    <t>YR3_CashFlow_NewEquity</t>
  </si>
  <si>
    <t>Quick Ratio</t>
  </si>
  <si>
    <t>=(Current Assets - Inventories - Pre-Payments)/Current Liabilities</t>
  </si>
  <si>
    <t>='Cash Flow'!$P$78</t>
  </si>
  <si>
    <t>=(YR1_CurrentAssets-YR1_Inventories-YR1_PrePayments)/YR1_CurrentLiabilities</t>
  </si>
  <si>
    <t>YR3_CashFlow_Other</t>
  </si>
  <si>
    <t>='Cash Flow'!$P$80</t>
  </si>
  <si>
    <t>YR3_CashFlow_OutflowTotal</t>
  </si>
  <si>
    <t>='Cash Flow'!$P$95</t>
  </si>
  <si>
    <t>YR3_COGS</t>
  </si>
  <si>
    <t>='Income Statement'!$Q$196</t>
  </si>
  <si>
    <t>YR3_Exp_Increase</t>
  </si>
  <si>
    <t>='A. Background'!$D$31</t>
  </si>
  <si>
    <t>YR3_Expenses_Increase</t>
  </si>
  <si>
    <t>YR3_NetIncome</t>
  </si>
  <si>
    <t>='Income Statement'!$Q$255</t>
  </si>
  <si>
    <t>YR3_Pay_Summary</t>
  </si>
  <si>
    <t>='DS. Personnel Summary'!$H$6</t>
  </si>
  <si>
    <t>YR3_Revenue</t>
  </si>
  <si>
    <t>='Income Statement'!$Q$185</t>
  </si>
  <si>
    <t>YR3_Salaries_Increase</t>
  </si>
  <si>
    <t>='A. Background'!$D$30</t>
  </si>
  <si>
    <t>YR3_Sales_Increase</t>
  </si>
  <si>
    <t>='A. Background'!$D$29</t>
  </si>
  <si>
    <t>YR4_Exp_Increase</t>
  </si>
  <si>
    <t>='A. Background'!$E$31</t>
  </si>
  <si>
    <t>YR4_Expenses_Increase</t>
  </si>
  <si>
    <t>YR4_Pay_Summary</t>
  </si>
  <si>
    <t>='DS. Personnel Summary'!$I$6</t>
  </si>
  <si>
    <t>YR4_Salaries_Increase</t>
  </si>
  <si>
    <t>='A. Background'!$E$30</t>
  </si>
  <si>
    <t>YR4_Sales_Increase</t>
  </si>
  <si>
    <t>='A. Background'!$E$29</t>
  </si>
  <si>
    <t>YR5_Exp_Increase</t>
  </si>
  <si>
    <t>='A. Background'!$F$31</t>
  </si>
  <si>
    <t>YR5_Expenses_Increase</t>
  </si>
  <si>
    <t>YR5_Pay_Summary</t>
  </si>
  <si>
    <t>='DS. Personnel Summary'!$J$6</t>
  </si>
  <si>
    <t>Also known as Acid Test Ratio, it is more conservative than current ration because it excludes inventory</t>
  </si>
  <si>
    <t>YR5_Salaries_Increase</t>
  </si>
  <si>
    <t>='A. Background'!$F$30</t>
  </si>
  <si>
    <t>Cash Ratio</t>
  </si>
  <si>
    <t>YR5_Sales_Increase</t>
  </si>
  <si>
    <t>='A. Background'!$F$29</t>
  </si>
  <si>
    <t>=Cash+Cash Equivalents+Invested Funds/Current Liabilities</t>
  </si>
  <si>
    <t>zList_BudgetItems</t>
  </si>
  <si>
    <t>='Budget Model'!$A$27:$A$35</t>
  </si>
  <si>
    <t>=(YR1_Cash+'BS. Start-up Summary'!G12+'BS. Start-up Summary'!G13)/YR1_CurrentLiabilities</t>
  </si>
  <si>
    <t>How much cash do you have compared to your liabilities? Important since unless you use factoring, you cannot use A/R to pay your liabilities. 1.00 or higher means you can pay liabilities at a moments notice. Companies usually have a ratio less than 1.00 to optimize their cash.</t>
  </si>
  <si>
    <t>Operating Cash Flow</t>
  </si>
  <si>
    <t>=Operating Cash Flow/Net Sales</t>
  </si>
  <si>
    <t>=YR1_CashFlow/YR1_NetSales</t>
  </si>
  <si>
    <t>Ability to turn sales into cash</t>
  </si>
  <si>
    <t>OR Is it =Operating Cash Flow/Total Debt</t>
  </si>
  <si>
    <t>Net Working Capital Ratio</t>
  </si>
  <si>
    <t>=Current Assets-Current Liabilities/Total Assets</t>
  </si>
  <si>
    <t>=(YR1_CurrentAssets-YR1_CurrentLiabilities)/YR1_TotalAssets</t>
  </si>
  <si>
    <t>Return on Assets</t>
  </si>
  <si>
    <t>=Net Income/Total Assets</t>
  </si>
  <si>
    <t>=YR1_NetIncome/YR1_TotalAssets</t>
  </si>
  <si>
    <t>How well is management using the assets to generate income</t>
  </si>
  <si>
    <t>Fixed Asset Turnover</t>
  </si>
  <si>
    <t>=Net Sales/Total Assets</t>
  </si>
  <si>
    <t>=YR1_NetSales/YR1_TotalAssets</t>
  </si>
  <si>
    <t>Financial Projections Start Date</t>
  </si>
  <si>
    <t>Year 2 Salary % Increase</t>
  </si>
  <si>
    <t>Year 3 Salary % Increase</t>
  </si>
  <si>
    <t>Higher turnover is better</t>
  </si>
  <si>
    <t>how do you calculate avg total assets?</t>
  </si>
  <si>
    <t>Return on Equity</t>
  </si>
  <si>
    <t>=Net Income/Shareholder Equity</t>
  </si>
  <si>
    <t>=YR1_NetIncome/YR1_Equity</t>
  </si>
  <si>
    <t>How much did share holders earn for their equity</t>
  </si>
  <si>
    <t>Return on Investment</t>
  </si>
  <si>
    <t>=Net Income/Average Total Assets [Beg Assets+End Assets/2]</t>
  </si>
  <si>
    <t>Capital Ratios</t>
  </si>
  <si>
    <t>Debt to Equity Ratio</t>
  </si>
  <si>
    <t>=Total Liabilities/Total Assets</t>
  </si>
  <si>
    <t>=YR1_TotalLiabilities/YR1_TotalAssets</t>
  </si>
  <si>
    <t>get the first month payment</t>
  </si>
  <si>
    <t>what is th edifference between the two?</t>
  </si>
  <si>
    <t>Long-Term Debt to Equity Ratio</t>
  </si>
  <si>
    <t>NOTES</t>
  </si>
  <si>
    <t>get monthly pmt - if greater than the previous month</t>
  </si>
  <si>
    <t>=Total Liabilities/Equity</t>
  </si>
  <si>
    <t>=YR1_TotalLiabilities/YR1_Equity</t>
  </si>
  <si>
    <t>If start date is within this month and a non-contractor, include the first month salary</t>
  </si>
  <si>
    <t>Cash Flow to Debt Ratio</t>
  </si>
  <si>
    <t>=Operating Cash Flow/Total Debt</t>
  </si>
  <si>
    <t>=YR1_CashFlow/YR1_TotalLiabilities</t>
  </si>
  <si>
    <t>If start date is before this month and a non-contractor, include the whole month salary</t>
  </si>
  <si>
    <t>Short-term borrowing, current portion of long term debt and long-term debt</t>
  </si>
  <si>
    <t>Capitalization Turnover</t>
  </si>
  <si>
    <t>=Long Term Debt/Long-Term + Equity</t>
  </si>
  <si>
    <t>How does it support the company's long-term growth</t>
  </si>
  <si>
    <t>Return on Capital</t>
  </si>
  <si>
    <t>=EBIT * (1-Tax Rate)/Invested Capital</t>
  </si>
  <si>
    <t>Sales Revenue/Employee</t>
  </si>
  <si>
    <t>Year 2 is based on the monthly rate *12 to get a full year regardless of start date * % increase</t>
  </si>
  <si>
    <t>=Revenue/Number of Employees</t>
  </si>
  <si>
    <t>Activity Ratios</t>
  </si>
  <si>
    <t>Accounts Receivables Turnover</t>
  </si>
  <si>
    <t>=Net Credit Sales/Average Net Receivables or =Sales/Average A/R</t>
  </si>
  <si>
    <t>=Sales/Average Total Assets</t>
  </si>
  <si>
    <t>Days in Inventory</t>
  </si>
  <si>
    <t>=365/Inventory Turnover Rate</t>
  </si>
  <si>
    <t>Inventory Turnover</t>
  </si>
  <si>
    <t>COGS/Inventories</t>
  </si>
  <si>
    <t>=IFERROR(YR1_COGS/YR1_Inventories,"Not Available")</t>
  </si>
  <si>
    <t>if start is greater than projection, then multiply monthly by number of remaining weeks</t>
  </si>
  <si>
    <t xml:space="preserve">Debt to income - </t>
  </si>
  <si>
    <t>Do you spend most of your monthly income on debt?</t>
  </si>
  <si>
    <t>Independent Contractor</t>
  </si>
  <si>
    <t>if start  is less than jan, then find out how many weeks are left in the year and then multiply by week rate</t>
  </si>
  <si>
    <t>If the start date is before the projections start date, then determine no. of weeks in YR 1 * by weekly salary</t>
  </si>
  <si>
    <t>If the start date is after the projections start date, then subtract week number from 52 * by weekly salary</t>
  </si>
  <si>
    <t>Full-time, part-time, independent contractor</t>
  </si>
  <si>
    <t>sumif the start date is within this month</t>
  </si>
  <si>
    <t>hide</t>
  </si>
  <si>
    <t>Person (optional)</t>
  </si>
  <si>
    <t>Est. Start Date</t>
  </si>
  <si>
    <t>Annual Salary</t>
  </si>
  <si>
    <t>Richard</t>
  </si>
  <si>
    <t>Telecomm Director</t>
  </si>
  <si>
    <t>Full-Time</t>
  </si>
  <si>
    <t>David</t>
  </si>
  <si>
    <t>Product Director</t>
  </si>
  <si>
    <t>Part-Time</t>
  </si>
  <si>
    <t>Web Developer</t>
  </si>
  <si>
    <t>Coders</t>
  </si>
  <si>
    <t>DEV. QUESTION: Too confusing? On separate sheet?</t>
  </si>
  <si>
    <t xml:space="preserve">To calculate your personnel costs for the first year, enter the estimated annual salary and start date below. </t>
  </si>
  <si>
    <t>1. Enter the increase in your personnel costs from year 1 to year 2 and from year 2 to year 3</t>
  </si>
  <si>
    <t>CREATE A LOCKED SALES FORECAST JUST TO SEE THE NUMBERS ON THE INCOME STATEMENT</t>
  </si>
  <si>
    <t>[need to figure out the starting date formula]</t>
  </si>
  <si>
    <t>Selling Start Date:</t>
  </si>
  <si>
    <t>[optional-create a sheet that shows sales numbers--copy this and include a price column instead of the monthly]</t>
  </si>
  <si>
    <t>YEAR 1</t>
  </si>
  <si>
    <t>January</t>
  </si>
  <si>
    <t>February</t>
  </si>
  <si>
    <t>March</t>
  </si>
  <si>
    <t>April</t>
  </si>
  <si>
    <t>May</t>
  </si>
  <si>
    <t>June</t>
  </si>
  <si>
    <t>July</t>
  </si>
  <si>
    <t>August</t>
  </si>
  <si>
    <t>September</t>
  </si>
  <si>
    <t>October</t>
  </si>
  <si>
    <t>November</t>
  </si>
  <si>
    <t>December</t>
  </si>
  <si>
    <t>YEAR 2</t>
  </si>
  <si>
    <t>YEAR 3</t>
  </si>
  <si>
    <t>2. Enter the job functions you will have to pay for during the first year and the estimated annual salary.</t>
  </si>
  <si>
    <t>Sales Summary</t>
  </si>
  <si>
    <t>Price %</t>
  </si>
  <si>
    <t>Overhead %</t>
  </si>
</sst>
</file>

<file path=xl/styles.xml><?xml version="1.0" encoding="utf-8"?>
<styleSheet xmlns="http://schemas.openxmlformats.org/spreadsheetml/2006/main" xmlns:x14ac="http://schemas.microsoft.com/office/spreadsheetml/2009/9/ac" xmlns:mc="http://schemas.openxmlformats.org/markup-compatibility/2006">
  <numFmts count="17">
    <numFmt numFmtId="164" formatCode="_(&quot;$&quot;* #,##0_);_(&quot;$&quot;* \(#,##0\);_(&quot;$&quot;* &quot;-&quot;_);_(@_)"/>
    <numFmt numFmtId="165" formatCode="#&quot;.&quot;"/>
    <numFmt numFmtId="166" formatCode="_(* #,##0.00_);_(* \(#,##0.00\);_(* &quot;-&quot;??_);_(@_)"/>
    <numFmt numFmtId="167" formatCode="_(&quot;$&quot;* #,##0.00_);_(&quot;$&quot;* \(#,##0.00\);_(&quot;$&quot;* &quot;-&quot;??_);_(@_)"/>
    <numFmt numFmtId="168" formatCode="#.00&quot; years&quot;"/>
    <numFmt numFmtId="169" formatCode="_(&quot;$&quot;* #,##0_);_(&quot;$&quot;* \(#,##0\);_(&quot;$&quot;* &quot;-&quot;??_);_(@_)"/>
    <numFmt numFmtId="170" formatCode="_(* #,##0_);_(* \(#,##0\);_(* &quot;-&quot;_);_(@_)"/>
    <numFmt numFmtId="171" formatCode="mmmm"/>
    <numFmt numFmtId="172" formatCode="_(* #,##0_);_(* \(#,##0\);_(* &quot;-&quot;??_);_(@_)"/>
    <numFmt numFmtId="173" formatCode="0.0%"/>
    <numFmt numFmtId="174" formatCode="mm/dd/yy"/>
    <numFmt numFmtId="175" formatCode="yyyy"/>
    <numFmt numFmtId="176" formatCode="#.##&quot; yrs.&quot;"/>
    <numFmt numFmtId="177" formatCode="_(&quot;$&quot;* #,##0_);[Red]_(&quot;$&quot;* \(#,##0\);_(&quot;$&quot;* &quot;-&quot;??_);_(@_)"/>
    <numFmt numFmtId="178" formatCode="_(&quot;$&quot;* #,##0.000_);_(&quot;$&quot;* \(#,##0.000\);_(&quot;$&quot;* &quot;-&quot;??_);_(@_)"/>
    <numFmt numFmtId="179" formatCode="&quot;$&quot;#,##0.00_);[Red]\(&quot;$&quot;#,##0.00\)"/>
    <numFmt numFmtId="180" formatCode="&quot;$&quot;#,##0"/>
  </numFmts>
  <fonts count="53">
    <font>
      <sz val="11.0"/>
      <color theme="1"/>
      <name val="Arial"/>
    </font>
    <font>
      <sz val="11.0"/>
      <color theme="0"/>
      <name val="Calibri"/>
    </font>
    <font>
      <sz val="10.0"/>
      <color theme="0"/>
      <name val="Calibri"/>
    </font>
    <font>
      <b/>
      <sz val="26.0"/>
      <color theme="4"/>
      <name val="Calibri"/>
    </font>
    <font>
      <b/>
      <sz val="14.0"/>
      <color theme="1"/>
      <name val="Calibri"/>
    </font>
    <font>
      <sz val="14.0"/>
      <color theme="5"/>
      <name val="Calibri"/>
    </font>
    <font>
      <sz val="11.0"/>
      <color theme="1"/>
      <name val="Calibri"/>
    </font>
    <font/>
    <font>
      <sz val="11.0"/>
      <color theme="4"/>
      <name val="Calibri"/>
    </font>
    <font>
      <b/>
      <sz val="11.0"/>
      <color theme="0"/>
      <name val="Calibri"/>
    </font>
    <font>
      <i/>
      <sz val="10.0"/>
      <color theme="0"/>
      <name val="Calibri"/>
    </font>
    <font>
      <i/>
      <sz val="11.0"/>
      <color theme="4"/>
      <name val="Calibri"/>
    </font>
    <font>
      <sz val="12.0"/>
      <color theme="1"/>
      <name val="Calibri"/>
    </font>
    <font>
      <b/>
      <sz val="11.0"/>
      <color theme="1"/>
      <name val="Calibri"/>
    </font>
    <font>
      <b/>
      <sz val="18.0"/>
      <color theme="1"/>
      <name val="Calibri"/>
    </font>
    <font>
      <sz val="11.0"/>
      <color theme="5"/>
      <name val="Calibri"/>
    </font>
    <font>
      <b/>
      <sz val="12.0"/>
      <color theme="0"/>
      <name val="Calibri"/>
    </font>
    <font>
      <b/>
      <sz val="14.0"/>
      <color theme="5"/>
      <name val="Calibri"/>
    </font>
    <font>
      <color theme="1"/>
      <name val="Calibri"/>
    </font>
    <font>
      <sz val="10.0"/>
      <color rgb="FF000000"/>
      <name val="Candara"/>
    </font>
    <font>
      <i/>
      <sz val="11.0"/>
      <color theme="1"/>
      <name val="Calibri"/>
    </font>
    <font>
      <sz val="8.0"/>
      <color theme="8"/>
      <name val="Calibri"/>
    </font>
    <font>
      <sz val="28.0"/>
      <color rgb="FFC00000"/>
      <name val="Bad Script"/>
    </font>
    <font>
      <sz val="10.0"/>
      <color theme="1"/>
      <name val="Calibri"/>
    </font>
    <font>
      <b/>
      <sz val="11.0"/>
      <color rgb="FFC00000"/>
      <name val="Calibri"/>
    </font>
    <font>
      <i/>
      <sz val="11.0"/>
      <color rgb="FFC00000"/>
      <name val="Calibri"/>
    </font>
    <font>
      <i/>
      <sz val="11.0"/>
      <color rgb="FF28476C"/>
      <name val="Calibri"/>
    </font>
    <font>
      <sz val="11.0"/>
      <color rgb="FFC00000"/>
      <name val="Calibri"/>
    </font>
    <font>
      <sz val="11.0"/>
      <color rgb="FF92D050"/>
      <name val="Calibri"/>
    </font>
    <font>
      <sz val="11.0"/>
      <color rgb="FF28476C"/>
      <name val="Calibri"/>
    </font>
    <font>
      <b/>
      <sz val="11.0"/>
      <color theme="5"/>
      <name val="Calibri"/>
    </font>
    <font>
      <sz val="10.0"/>
      <color theme="1"/>
      <name val="Quattrocento Sans"/>
    </font>
    <font>
      <b/>
      <sz val="11.0"/>
      <color rgb="FF315784"/>
      <name val="Calibri"/>
    </font>
    <font>
      <b/>
      <sz val="9.0"/>
      <color rgb="FF000000"/>
      <name val="Calibri"/>
    </font>
    <font>
      <b/>
      <sz val="16.0"/>
      <color theme="0"/>
      <name val="Calibri"/>
    </font>
    <font>
      <i/>
      <sz val="11.0"/>
      <color theme="0"/>
      <name val="Calibri"/>
    </font>
    <font>
      <i/>
      <sz val="11.0"/>
      <color rgb="FFFF0000"/>
      <name val="Calibri"/>
    </font>
    <font>
      <sz val="11.0"/>
      <color rgb="FFFF0000"/>
      <name val="Calibri"/>
    </font>
    <font>
      <b/>
      <sz val="14.0"/>
      <color rgb="FFC00000"/>
      <name val="Calibri"/>
    </font>
    <font>
      <b/>
      <sz val="14.0"/>
      <color theme="0"/>
      <name val="Calibri"/>
    </font>
    <font>
      <b/>
      <sz val="11.0"/>
      <color rgb="FF7F7F7F"/>
      <name val="Calibri"/>
    </font>
    <font>
      <b/>
      <i/>
      <sz val="11.0"/>
      <color theme="1"/>
      <name val="Calibri"/>
    </font>
    <font>
      <u/>
      <sz val="11.0"/>
      <color theme="1"/>
      <name val="Calibri"/>
    </font>
    <font>
      <b/>
      <sz val="12.0"/>
      <color theme="1"/>
      <name val="Calibri"/>
    </font>
    <font>
      <b/>
      <sz val="11.0"/>
      <color rgb="FF3E1109"/>
      <name val="Calibri"/>
    </font>
    <font>
      <b/>
      <sz val="14.0"/>
      <color theme="4"/>
      <name val="Calibri"/>
    </font>
    <font>
      <sz val="9.0"/>
      <color theme="1"/>
      <name val="Arial"/>
    </font>
    <font>
      <b/>
      <sz val="11.0"/>
      <color theme="4"/>
      <name val="Calibri"/>
    </font>
    <font>
      <i/>
      <sz val="11.0"/>
      <color theme="5"/>
      <name val="Calibri"/>
    </font>
    <font>
      <b/>
      <sz val="14.0"/>
      <color theme="8"/>
      <name val="Calibri"/>
    </font>
    <font>
      <i/>
      <sz val="9.0"/>
      <color rgb="FFC00000"/>
      <name val="Calibri"/>
    </font>
    <font>
      <sz val="10.0"/>
      <color theme="4"/>
      <name val="Calibri"/>
    </font>
    <font>
      <sz val="9.0"/>
      <color rgb="FF333333"/>
      <name val="Verdana"/>
    </font>
  </fonts>
  <fills count="28">
    <fill>
      <patternFill patternType="none"/>
    </fill>
    <fill>
      <patternFill patternType="lightGray"/>
    </fill>
    <fill>
      <patternFill patternType="solid">
        <fgColor theme="1"/>
        <bgColor theme="1"/>
      </patternFill>
    </fill>
    <fill>
      <patternFill patternType="solid">
        <fgColor rgb="FFC00000"/>
        <bgColor rgb="FFC00000"/>
      </patternFill>
    </fill>
    <fill>
      <patternFill patternType="solid">
        <fgColor theme="5"/>
        <bgColor theme="5"/>
      </patternFill>
    </fill>
    <fill>
      <patternFill patternType="solid">
        <fgColor rgb="FFD1DEEE"/>
        <bgColor rgb="FFD1DEEE"/>
      </patternFill>
    </fill>
    <fill>
      <patternFill patternType="solid">
        <fgColor rgb="FFB2B2B2"/>
        <bgColor rgb="FFB2B2B2"/>
      </patternFill>
    </fill>
    <fill>
      <patternFill patternType="solid">
        <fgColor theme="0"/>
        <bgColor theme="0"/>
      </patternFill>
    </fill>
    <fill>
      <patternFill patternType="solid">
        <fgColor rgb="FFD4E0EE"/>
        <bgColor rgb="FFD4E0EE"/>
      </patternFill>
    </fill>
    <fill>
      <patternFill patternType="solid">
        <fgColor rgb="FFF1AB9F"/>
        <bgColor rgb="FFF1AB9F"/>
      </patternFill>
    </fill>
    <fill>
      <patternFill patternType="solid">
        <fgColor rgb="FF656565"/>
        <bgColor rgb="FF656565"/>
      </patternFill>
    </fill>
    <fill>
      <patternFill patternType="solid">
        <fgColor theme="4"/>
        <bgColor theme="4"/>
      </patternFill>
    </fill>
    <fill>
      <patternFill patternType="solid">
        <fgColor rgb="FFD8D8D8"/>
        <bgColor rgb="FFD8D8D8"/>
      </patternFill>
    </fill>
    <fill>
      <patternFill patternType="solid">
        <fgColor rgb="FF7F7F7F"/>
        <bgColor rgb="FF7F7F7F"/>
      </patternFill>
    </fill>
    <fill>
      <patternFill patternType="solid">
        <fgColor theme="6"/>
        <bgColor theme="6"/>
      </patternFill>
    </fill>
    <fill>
      <patternFill patternType="solid">
        <fgColor rgb="FFA4BDDD"/>
        <bgColor rgb="FFA4BDDD"/>
      </patternFill>
    </fill>
    <fill>
      <patternFill patternType="solid">
        <fgColor rgb="FFBFD1E6"/>
        <bgColor rgb="FFBFD1E6"/>
      </patternFill>
    </fill>
    <fill>
      <patternFill patternType="solid">
        <fgColor rgb="FFA5A5A5"/>
        <bgColor rgb="FFA5A5A5"/>
      </patternFill>
    </fill>
    <fill>
      <patternFill patternType="solid">
        <fgColor rgb="FFEEECE1"/>
        <bgColor rgb="FFEEECE1"/>
      </patternFill>
    </fill>
    <fill>
      <patternFill patternType="solid">
        <fgColor rgb="FF5F5F5F"/>
        <bgColor rgb="FF5F5F5F"/>
      </patternFill>
    </fill>
    <fill>
      <patternFill patternType="solid">
        <fgColor theme="9"/>
        <bgColor theme="9"/>
      </patternFill>
    </fill>
    <fill>
      <patternFill patternType="solid">
        <fgColor theme="8"/>
        <bgColor theme="8"/>
      </patternFill>
    </fill>
    <fill>
      <patternFill patternType="solid">
        <fgColor rgb="FFBFBFBF"/>
        <bgColor rgb="FFBFBFBF"/>
      </patternFill>
    </fill>
    <fill>
      <patternFill patternType="solid">
        <fgColor rgb="FF595959"/>
        <bgColor rgb="FF595959"/>
      </patternFill>
    </fill>
    <fill>
      <patternFill patternType="solid">
        <fgColor rgb="FF5283BE"/>
        <bgColor rgb="FF5283BE"/>
      </patternFill>
    </fill>
    <fill>
      <patternFill patternType="solid">
        <fgColor rgb="FFDDD9C3"/>
        <bgColor rgb="FFDDD9C3"/>
      </patternFill>
    </fill>
    <fill>
      <patternFill patternType="solid">
        <fgColor rgb="FFFFFF00"/>
        <bgColor rgb="FFFFFF00"/>
      </patternFill>
    </fill>
    <fill>
      <patternFill patternType="solid">
        <fgColor rgb="FF3E1109"/>
        <bgColor rgb="FF3E1109"/>
      </patternFill>
    </fill>
  </fills>
  <borders count="96">
    <border/>
    <border>
      <left/>
      <right/>
      <top/>
      <bottom/>
    </border>
    <border>
      <bottom style="medium">
        <color rgb="FF3E1109"/>
      </bottom>
    </border>
    <border>
      <top style="medium">
        <color rgb="FF3E1109"/>
      </top>
      <bottom style="medium">
        <color rgb="FF3E1109"/>
      </bottom>
    </border>
    <border>
      <left style="medium">
        <color rgb="FF000000"/>
      </left>
      <right/>
      <top style="medium">
        <color rgb="FF000000"/>
      </top>
      <bottom/>
    </border>
    <border>
      <left/>
      <right/>
      <top style="medium">
        <color rgb="FF3E1109"/>
      </top>
      <bottom style="medium">
        <color rgb="FF3E1109"/>
      </bottom>
    </border>
    <border>
      <top style="medium">
        <color rgb="FF000000"/>
      </top>
    </border>
    <border>
      <top style="medium">
        <color rgb="FF3E1109"/>
      </top>
    </border>
    <border>
      <right style="medium">
        <color rgb="FF000000"/>
      </right>
      <top style="medium">
        <color rgb="FF000000"/>
      </top>
    </border>
    <border>
      <left style="medium">
        <color rgb="FF000000"/>
      </left>
    </border>
    <border>
      <right style="medium">
        <color rgb="FF000000"/>
      </right>
    </border>
    <border>
      <left style="medium">
        <color rgb="FF000000"/>
      </left>
      <right/>
      <top/>
      <bottom/>
    </border>
    <border>
      <bottom style="medium">
        <color rgb="FF000000"/>
      </bottom>
    </border>
    <border>
      <left style="medium">
        <color rgb="FF000000"/>
      </left>
      <bottom style="medium">
        <color rgb="FF000000"/>
      </bottom>
    </border>
    <border>
      <right style="medium">
        <color rgb="FF000000"/>
      </right>
      <bottom style="medium">
        <color rgb="FF000000"/>
      </bottom>
    </border>
    <border>
      <left/>
      <right/>
      <top style="thin">
        <color theme="0"/>
      </top>
      <bottom style="thin">
        <color theme="0"/>
      </bottom>
    </border>
    <border>
      <left style="thin">
        <color theme="0"/>
      </left>
      <right style="thin">
        <color theme="0"/>
      </right>
      <top style="thin">
        <color theme="0"/>
      </top>
      <bottom style="thin">
        <color theme="0"/>
      </bottom>
    </border>
    <border>
      <left/>
      <right style="medium">
        <color rgb="FF000000"/>
      </right>
      <top/>
      <bottom/>
    </border>
    <border>
      <left style="medium">
        <color rgb="FF000000"/>
      </left>
      <top style="medium">
        <color rgb="FF000000"/>
      </top>
    </border>
    <border>
      <left/>
      <right/>
      <top style="thin">
        <color theme="0"/>
      </top>
      <bottom style="medium">
        <color rgb="FF000000"/>
      </bottom>
    </border>
    <border>
      <left/>
      <right/>
      <top/>
      <bottom style="medium">
        <color rgb="FF000000"/>
      </bottom>
    </border>
    <border>
      <left style="thin">
        <color theme="0"/>
      </left>
      <right style="thin">
        <color theme="0"/>
      </right>
      <top style="thin">
        <color theme="0"/>
      </top>
      <bottom style="medium">
        <color rgb="FF000000"/>
      </bottom>
    </border>
    <border>
      <left/>
      <right/>
      <top style="medium">
        <color rgb="FF000000"/>
      </top>
      <bottom/>
    </border>
    <border>
      <left/>
      <top/>
      <bottom/>
    </border>
    <border>
      <right/>
      <top/>
      <bottom/>
    </border>
    <border>
      <left/>
      <right style="thin">
        <color theme="0"/>
      </right>
      <top/>
      <bottom style="thin">
        <color theme="0"/>
      </bottom>
    </border>
    <border>
      <left style="thin">
        <color theme="0"/>
      </left>
      <right style="thin">
        <color theme="0"/>
      </right>
      <top/>
      <bottom style="thin">
        <color theme="0"/>
      </bottom>
    </border>
    <border>
      <left style="thin">
        <color theme="0"/>
      </left>
      <right/>
      <top/>
      <bottom style="thin">
        <color theme="0"/>
      </bottom>
    </border>
    <border>
      <left style="thick">
        <color theme="4"/>
      </left>
      <right style="thick">
        <color theme="4"/>
      </right>
      <top/>
      <bottom/>
    </border>
    <border>
      <left/>
      <right style="thin">
        <color theme="0"/>
      </right>
      <top style="thin">
        <color theme="0"/>
      </top>
      <bottom style="thin">
        <color theme="0"/>
      </bottom>
    </border>
    <border>
      <left style="thin">
        <color theme="0"/>
      </left>
      <right/>
      <top style="thin">
        <color theme="0"/>
      </top>
      <bottom style="thin">
        <color theme="0"/>
      </bottom>
    </border>
    <border>
      <left/>
      <top style="medium">
        <color rgb="FF3E1109"/>
      </top>
      <bottom style="medium">
        <color rgb="FF3E1109"/>
      </bottom>
    </border>
    <border>
      <right/>
      <top style="medium">
        <color rgb="FF3E1109"/>
      </top>
      <bottom style="medium">
        <color rgb="FF3E1109"/>
      </bottom>
    </border>
    <border>
      <left/>
      <right style="thin">
        <color theme="0"/>
      </right>
      <top style="thin">
        <color theme="0"/>
      </top>
      <bottom/>
    </border>
    <border>
      <left style="thin">
        <color theme="0"/>
      </left>
      <right style="thin">
        <color theme="0"/>
      </right>
      <top style="thin">
        <color theme="0"/>
      </top>
      <bottom/>
    </border>
    <border>
      <left/>
      <right/>
      <top style="medium">
        <color theme="0"/>
      </top>
      <bottom style="medium">
        <color theme="0"/>
      </bottom>
    </border>
    <border>
      <left style="medium">
        <color rgb="FF000000"/>
      </left>
      <right/>
      <top style="medium">
        <color theme="0"/>
      </top>
      <bottom/>
    </border>
    <border>
      <left style="thin">
        <color theme="0"/>
      </left>
      <right/>
      <top style="thin">
        <color theme="0"/>
      </top>
      <bottom/>
    </border>
    <border>
      <left style="thin">
        <color theme="0"/>
      </left>
      <right style="medium">
        <color rgb="FF000000"/>
      </right>
      <top style="thin">
        <color theme="0"/>
      </top>
      <bottom style="thin">
        <color theme="0"/>
      </bottom>
    </border>
    <border>
      <left style="thin">
        <color rgb="FF000000"/>
      </left>
      <top style="thin">
        <color rgb="FF000000"/>
      </top>
    </border>
    <border>
      <left/>
      <right/>
      <top style="thin">
        <color rgb="FF000000"/>
      </top>
      <bottom style="thin">
        <color rgb="FF000000"/>
      </bottom>
    </border>
    <border>
      <left style="thin">
        <color rgb="FF000000"/>
      </left>
    </border>
    <border>
      <top style="thin">
        <color rgb="FF000000"/>
      </top>
      <bottom style="thin">
        <color rgb="FF000000"/>
      </bottom>
    </border>
    <border>
      <left/>
      <right/>
      <top style="thin">
        <color rgb="FF000000"/>
      </top>
      <bottom/>
    </border>
    <border>
      <left/>
      <right/>
      <top style="medium">
        <color theme="0"/>
      </top>
      <bottom style="medium">
        <color rgb="FF000000"/>
      </bottom>
    </border>
    <border>
      <right style="thin">
        <color theme="0"/>
      </right>
      <bottom style="medium">
        <color rgb="FF000000"/>
      </bottom>
    </border>
    <border>
      <left style="thin">
        <color theme="0"/>
      </left>
      <right style="medium">
        <color rgb="FF000000"/>
      </right>
      <top style="thin">
        <color theme="0"/>
      </top>
      <bottom style="medium">
        <color rgb="FF000000"/>
      </bottom>
    </border>
    <border>
      <left style="thin">
        <color rgb="FF000000"/>
      </left>
      <top style="thin">
        <color rgb="FF000000"/>
      </top>
      <bottom style="thin">
        <color rgb="FF000000"/>
      </bottom>
    </border>
    <border>
      <left style="medium">
        <color rgb="FF000000"/>
      </left>
      <top style="thin">
        <color rgb="FF000000"/>
      </top>
      <bottom style="thin">
        <color rgb="FF000000"/>
      </bottom>
    </border>
    <border>
      <left style="thin">
        <color rgb="FF000000"/>
      </left>
      <right style="thin">
        <color theme="0"/>
      </right>
      <top style="thin">
        <color rgb="FF000000"/>
      </top>
      <bottom style="thin">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top style="medium">
        <color rgb="FF000000"/>
      </top>
      <bottom style="medium">
        <color rgb="FF000000"/>
      </bottom>
    </border>
    <border>
      <left/>
      <top style="medium">
        <color rgb="FF000000"/>
      </top>
      <bottom style="medium">
        <color rgb="FF000000"/>
      </bottom>
    </border>
    <border>
      <right/>
      <top style="medium">
        <color rgb="FF000000"/>
      </top>
      <bottom style="medium">
        <color rgb="FF000000"/>
      </bottom>
    </border>
    <border>
      <right style="medium">
        <color rgb="FF000000"/>
      </right>
      <top style="medium">
        <color rgb="FF000000"/>
      </top>
      <bottom style="medium">
        <color rgb="FF000000"/>
      </bottom>
    </border>
    <border>
      <top style="thin">
        <color rgb="FF000000"/>
      </top>
    </border>
    <border>
      <left/>
      <right style="medium">
        <color rgb="FF000000"/>
      </right>
      <top/>
      <bottom style="medium">
        <color rgb="FF000000"/>
      </bottom>
    </border>
    <border>
      <right style="thin">
        <color rgb="FF000000"/>
      </right>
      <top style="thin">
        <color rgb="FF000000"/>
      </top>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style="thin">
        <color rgb="FF000000"/>
      </top>
      <bottom/>
    </border>
    <border>
      <left/>
      <top style="thin">
        <color rgb="FF000000"/>
      </top>
      <bottom/>
    </border>
    <border>
      <right/>
      <top style="thin">
        <color rgb="FF000000"/>
      </top>
      <bottom/>
    </border>
    <border>
      <left/>
      <right style="thin">
        <color rgb="FF000000"/>
      </right>
      <top style="thin">
        <color rgb="FF000000"/>
      </top>
      <bottom/>
    </border>
    <border>
      <left style="thin">
        <color rgb="FF000000"/>
      </left>
      <right/>
      <top/>
      <bottom/>
    </border>
    <border>
      <right style="thin">
        <color rgb="FF000000"/>
      </right>
    </border>
    <border>
      <left/>
      <right style="thin">
        <color rgb="FF000000"/>
      </right>
      <top/>
      <bottom/>
    </border>
    <border>
      <top style="thin">
        <color rgb="FF3E1109"/>
      </top>
      <bottom style="medium">
        <color rgb="FF7F7F7F"/>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theme="0"/>
      </left>
      <right style="thin">
        <color theme="0"/>
      </right>
      <top style="medium">
        <color theme="1"/>
      </top>
      <bottom style="medium">
        <color rgb="FF000000"/>
      </bottom>
    </border>
    <border>
      <top/>
      <bottom/>
    </border>
    <border>
      <left style="medium">
        <color theme="4"/>
      </left>
      <right style="medium">
        <color theme="4"/>
      </right>
      <top style="medium">
        <color theme="4"/>
      </top>
      <bottom/>
    </border>
    <border>
      <left/>
      <right style="medium">
        <color rgb="FF000000"/>
      </right>
      <top style="medium">
        <color rgb="FF000000"/>
      </top>
      <bottom/>
    </border>
    <border>
      <right style="hair">
        <color rgb="FFC00000"/>
      </right>
    </border>
    <border>
      <left style="hair">
        <color rgb="FFC00000"/>
      </left>
      <right style="hair">
        <color rgb="FFC00000"/>
      </right>
    </border>
    <border>
      <left style="hair">
        <color rgb="FFC00000"/>
      </left>
      <right style="medium">
        <color rgb="FF000000"/>
      </right>
    </border>
    <border>
      <left style="medium">
        <color rgb="FF000000"/>
      </left>
      <right style="thin">
        <color theme="0"/>
      </right>
      <top style="thin">
        <color theme="0"/>
      </top>
      <bottom style="thin">
        <color theme="0"/>
      </bottom>
    </border>
    <border>
      <left style="medium">
        <color rgb="FF000000"/>
      </left>
      <right/>
      <top/>
      <bottom style="medium">
        <color rgb="FF000000"/>
      </bottom>
    </border>
    <border>
      <right style="hair">
        <color rgb="FFC00000"/>
      </right>
      <bottom style="medium">
        <color rgb="FF000000"/>
      </bottom>
    </border>
    <border>
      <left style="hair">
        <color rgb="FFC00000"/>
      </left>
      <right style="medium">
        <color rgb="FF000000"/>
      </right>
      <bottom style="medium">
        <color rgb="FF000000"/>
      </bottom>
    </border>
    <border>
      <bottom style="thick">
        <color rgb="FF7F7F7F"/>
      </bottom>
    </border>
    <border>
      <left style="thin">
        <color theme="0"/>
      </left>
      <right style="thin">
        <color theme="0"/>
      </right>
      <top style="medium">
        <color theme="1"/>
      </top>
      <bottom style="thick">
        <color rgb="FF3E1109"/>
      </bottom>
    </border>
    <border>
      <left/>
      <right style="thin">
        <color theme="0"/>
      </right>
      <top style="medium">
        <color theme="1"/>
      </top>
      <bottom style="thick">
        <color rgb="FF3E1109"/>
      </bottom>
    </border>
    <border>
      <left/>
      <right/>
      <top style="thin">
        <color rgb="FF3E1109"/>
      </top>
      <bottom style="medium">
        <color rgb="FF7F7F7F"/>
      </bottom>
    </border>
    <border>
      <top style="thick">
        <color rgb="FF7F7F7F"/>
      </top>
    </border>
    <border>
      <left style="medium">
        <color rgb="FF000000"/>
      </left>
      <top style="thin">
        <color rgb="FF000000"/>
      </top>
    </border>
    <border>
      <left style="thin">
        <color theme="0"/>
      </left>
      <right/>
      <top style="medium">
        <color theme="1"/>
      </top>
      <bottom style="thick">
        <color rgb="FF3E1109"/>
      </bottom>
    </border>
    <border>
      <top style="medium">
        <color rgb="FF3E1109"/>
      </top>
      <bottom style="medium">
        <color rgb="FF7F7F7F"/>
      </bottom>
    </border>
    <border>
      <top style="medium">
        <color rgb="FF000000"/>
      </top>
      <bottom style="medium">
        <color rgb="FF7F7F7F"/>
      </bottom>
    </border>
    <border>
      <left style="medium">
        <color theme="4"/>
      </left>
      <right style="medium">
        <color theme="4"/>
      </right>
      <top style="medium">
        <color theme="4"/>
      </top>
      <bottom style="medium">
        <color theme="4"/>
      </bottom>
    </border>
    <border>
      <left/>
      <right/>
      <top/>
      <bottom style="thin">
        <color rgb="FF000000"/>
      </bottom>
    </border>
    <border>
      <left style="hair">
        <color rgb="FFC00000"/>
      </left>
      <right style="hair">
        <color rgb="FFC00000"/>
      </right>
      <bottom style="medium">
        <color rgb="FF000000"/>
      </bottom>
    </border>
  </borders>
  <cellStyleXfs count="1">
    <xf borderId="0" fillId="0" fontId="0" numFmtId="0" applyAlignment="1" applyFont="1"/>
  </cellStyleXfs>
  <cellXfs count="591">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center"/>
    </xf>
    <xf borderId="1" fillId="2" fontId="2" numFmtId="0" xfId="0" applyAlignment="1" applyBorder="1" applyFont="1">
      <alignment shrinkToFit="0" wrapText="1"/>
    </xf>
    <xf borderId="0" fillId="0" fontId="3" numFmtId="0" xfId="0" applyAlignment="1" applyFont="1">
      <alignment shrinkToFit="0" wrapText="1"/>
    </xf>
    <xf borderId="0" fillId="0" fontId="4" numFmtId="0" xfId="0" applyFont="1"/>
    <xf borderId="0" fillId="0" fontId="5" numFmtId="0" xfId="0" applyAlignment="1" applyFont="1">
      <alignment horizontal="left" shrinkToFit="0" wrapText="1"/>
    </xf>
    <xf borderId="0" fillId="0" fontId="6" numFmtId="0" xfId="0" applyAlignment="1" applyFont="1">
      <alignment horizontal="center"/>
    </xf>
    <xf borderId="2" fillId="0" fontId="4" numFmtId="0" xfId="0" applyAlignment="1" applyBorder="1" applyFont="1">
      <alignment horizontal="left" shrinkToFit="0" wrapText="1"/>
    </xf>
    <xf borderId="3" fillId="0" fontId="4" numFmtId="0" xfId="0" applyBorder="1" applyFont="1"/>
    <xf borderId="2" fillId="0" fontId="7" numFmtId="0" xfId="0" applyBorder="1" applyFont="1"/>
    <xf borderId="3" fillId="0" fontId="6" numFmtId="0" xfId="0" applyBorder="1" applyFont="1"/>
    <xf borderId="0" fillId="0" fontId="6" numFmtId="0" xfId="0" applyFont="1"/>
    <xf borderId="3" fillId="0" fontId="6" numFmtId="0" xfId="0" applyAlignment="1" applyBorder="1" applyFont="1">
      <alignment horizontal="center"/>
    </xf>
    <xf borderId="3" fillId="0" fontId="6" numFmtId="0" xfId="0" applyAlignment="1" applyBorder="1" applyFont="1">
      <alignment shrinkToFit="0" wrapText="1"/>
    </xf>
    <xf borderId="0" fillId="0" fontId="8" numFmtId="0" xfId="0" applyFont="1"/>
    <xf borderId="0" fillId="0" fontId="6" numFmtId="0" xfId="0" applyAlignment="1" applyFont="1">
      <alignment shrinkToFit="0" wrapText="1"/>
    </xf>
    <xf borderId="4" fillId="3" fontId="9" numFmtId="0" xfId="0" applyBorder="1" applyFill="1" applyFont="1"/>
    <xf borderId="5" fillId="2" fontId="10" numFmtId="0" xfId="0" applyAlignment="1" applyBorder="1" applyFont="1">
      <alignment horizontal="center" shrinkToFit="0" wrapText="1"/>
    </xf>
    <xf borderId="6" fillId="0" fontId="6" numFmtId="0" xfId="0" applyBorder="1" applyFont="1"/>
    <xf borderId="7" fillId="0" fontId="11" numFmtId="0" xfId="0" applyAlignment="1" applyBorder="1" applyFont="1">
      <alignment horizontal="left" shrinkToFit="0" wrapText="1"/>
    </xf>
    <xf borderId="8" fillId="0" fontId="6" numFmtId="0" xfId="0" applyAlignment="1" applyBorder="1" applyFont="1">
      <alignment horizontal="center"/>
    </xf>
    <xf borderId="0" fillId="0" fontId="12" numFmtId="0" xfId="0" applyAlignment="1" applyFont="1">
      <alignment shrinkToFit="0" wrapText="1"/>
    </xf>
    <xf borderId="9" fillId="0" fontId="13" numFmtId="0" xfId="0" applyBorder="1" applyFont="1"/>
    <xf borderId="0" fillId="0" fontId="14" numFmtId="0" xfId="0" applyAlignment="1" applyFont="1">
      <alignment shrinkToFit="0" wrapText="1"/>
    </xf>
    <xf borderId="0" fillId="0" fontId="13" numFmtId="0" xfId="0" applyFont="1"/>
    <xf borderId="0" fillId="0" fontId="15" numFmtId="0" xfId="0" applyAlignment="1" applyFont="1">
      <alignment horizontal="left" shrinkToFit="0" vertical="top" wrapText="1"/>
    </xf>
    <xf borderId="10" fillId="0" fontId="6" numFmtId="0" xfId="0" applyAlignment="1" applyBorder="1" applyFont="1">
      <alignment horizontal="center"/>
    </xf>
    <xf borderId="1" fillId="4" fontId="16" numFmtId="0" xfId="0" applyAlignment="1" applyBorder="1" applyFill="1" applyFont="1">
      <alignment shrinkToFit="0" wrapText="1"/>
    </xf>
    <xf borderId="11" fillId="5" fontId="6" numFmtId="0" xfId="0" applyBorder="1" applyFill="1" applyFont="1"/>
    <xf borderId="7" fillId="0" fontId="7" numFmtId="0" xfId="0" applyBorder="1" applyFont="1"/>
    <xf borderId="0" fillId="0" fontId="17" numFmtId="0" xfId="0" applyAlignment="1" applyFont="1">
      <alignment vertical="center"/>
    </xf>
    <xf borderId="12" fillId="0" fontId="11" numFmtId="0" xfId="0" applyAlignment="1" applyBorder="1" applyFont="1">
      <alignment horizontal="left" shrinkToFit="0" wrapText="1"/>
    </xf>
    <xf borderId="0" fillId="0" fontId="12" numFmtId="0" xfId="0" applyAlignment="1" applyFont="1">
      <alignment shrinkToFit="0" vertical="top" wrapText="1"/>
    </xf>
    <xf borderId="0" fillId="0" fontId="6" numFmtId="0" xfId="0" applyAlignment="1" applyFont="1">
      <alignment vertical="top"/>
    </xf>
    <xf borderId="1" fillId="5" fontId="6" numFmtId="14" xfId="0" applyBorder="1" applyFont="1" applyNumberFormat="1"/>
    <xf borderId="0" fillId="0" fontId="6" numFmtId="0" xfId="0" applyAlignment="1" applyFont="1">
      <alignment horizontal="left" shrinkToFit="0" vertical="top" wrapText="1"/>
    </xf>
    <xf borderId="6" fillId="0" fontId="13" numFmtId="0" xfId="0" applyAlignment="1" applyBorder="1" applyFont="1">
      <alignment horizontal="center"/>
    </xf>
    <xf borderId="0" fillId="0" fontId="15" numFmtId="0" xfId="0" applyFont="1"/>
    <xf borderId="6" fillId="0" fontId="6" numFmtId="0" xfId="0" applyAlignment="1" applyBorder="1" applyFont="1">
      <alignment shrinkToFit="0" wrapText="1"/>
    </xf>
    <xf borderId="13" fillId="0" fontId="6" numFmtId="0" xfId="0" applyBorder="1" applyFont="1"/>
    <xf borderId="12" fillId="0" fontId="6" numFmtId="14" xfId="0" applyBorder="1" applyFont="1" applyNumberFormat="1"/>
    <xf borderId="0" fillId="0" fontId="18" numFmtId="0" xfId="0" applyFont="1"/>
    <xf borderId="12" fillId="0" fontId="6" numFmtId="0" xfId="0" applyBorder="1" applyFont="1"/>
    <xf borderId="6" fillId="0" fontId="13" numFmtId="0" xfId="0" applyAlignment="1" applyBorder="1" applyFont="1">
      <alignment horizontal="center" shrinkToFit="0" wrapText="1"/>
    </xf>
    <xf borderId="14" fillId="0" fontId="6" numFmtId="0" xfId="0" applyAlignment="1" applyBorder="1" applyFont="1">
      <alignment horizontal="center"/>
    </xf>
    <xf borderId="6" fillId="0" fontId="9" numFmtId="0" xfId="0" applyAlignment="1" applyBorder="1" applyFont="1">
      <alignment horizontal="center" shrinkToFit="0" wrapText="1"/>
    </xf>
    <xf borderId="6" fillId="0" fontId="6" numFmtId="14" xfId="0" applyBorder="1" applyFont="1" applyNumberFormat="1"/>
    <xf borderId="0" fillId="0" fontId="19" numFmtId="0" xfId="0" applyAlignment="1" applyFont="1">
      <alignment shrinkToFit="0" wrapText="1"/>
    </xf>
    <xf borderId="9" fillId="0" fontId="20" numFmtId="0" xfId="0" applyBorder="1" applyFont="1"/>
    <xf borderId="0" fillId="0" fontId="21" numFmtId="0" xfId="0" applyAlignment="1" applyFont="1">
      <alignment shrinkToFit="0" wrapText="1"/>
    </xf>
    <xf borderId="8" fillId="0" fontId="13" numFmtId="0" xfId="0" applyAlignment="1" applyBorder="1" applyFont="1">
      <alignment horizontal="center" shrinkToFit="0" wrapText="1"/>
    </xf>
    <xf borderId="0" fillId="0" fontId="22" numFmtId="0" xfId="0" applyAlignment="1" applyFont="1">
      <alignment horizontal="right" shrinkToFit="0" wrapText="1"/>
    </xf>
    <xf borderId="9" fillId="0" fontId="6" numFmtId="0" xfId="0" applyBorder="1" applyFont="1"/>
    <xf borderId="9" fillId="0" fontId="6" numFmtId="0" xfId="0" applyAlignment="1" applyBorder="1" applyFont="1">
      <alignment shrinkToFit="0" wrapText="1"/>
    </xf>
    <xf borderId="0" fillId="0" fontId="13" numFmtId="0" xfId="0" applyAlignment="1" applyFont="1">
      <alignment horizontal="center"/>
    </xf>
    <xf borderId="15" fillId="6" fontId="1" numFmtId="0" xfId="0" applyAlignment="1" applyBorder="1" applyFill="1" applyFont="1">
      <alignment horizontal="center"/>
    </xf>
    <xf borderId="0" fillId="0" fontId="13" numFmtId="0" xfId="0" applyAlignment="1" applyFont="1">
      <alignment horizontal="center" shrinkToFit="0" wrapText="1"/>
    </xf>
    <xf borderId="1" fillId="5" fontId="6" numFmtId="0" xfId="0" applyBorder="1" applyFont="1"/>
    <xf borderId="10" fillId="0" fontId="13" numFmtId="0" xfId="0" applyAlignment="1" applyBorder="1" applyFont="1">
      <alignment horizontal="center" shrinkToFit="0" wrapText="1"/>
    </xf>
    <xf borderId="16" fillId="5" fontId="6" numFmtId="164" xfId="0" applyBorder="1" applyFont="1" applyNumberFormat="1"/>
    <xf borderId="0" fillId="0" fontId="6" numFmtId="165" xfId="0" applyFont="1" applyNumberFormat="1"/>
    <xf borderId="1" fillId="7" fontId="6" numFmtId="164" xfId="0" applyBorder="1" applyFill="1" applyFont="1" applyNumberFormat="1"/>
    <xf borderId="1" fillId="5" fontId="6" numFmtId="166" xfId="0" applyBorder="1" applyFont="1" applyNumberFormat="1"/>
    <xf borderId="10" fillId="0" fontId="23" numFmtId="0" xfId="0" applyAlignment="1" applyBorder="1" applyFont="1">
      <alignment shrinkToFit="0" wrapText="1"/>
    </xf>
    <xf borderId="1" fillId="7" fontId="6" numFmtId="167" xfId="0" applyBorder="1" applyFont="1" applyNumberFormat="1"/>
    <xf borderId="1" fillId="8" fontId="6" numFmtId="167" xfId="0" applyAlignment="1" applyBorder="1" applyFill="1" applyFont="1" applyNumberFormat="1">
      <alignment horizontal="center"/>
    </xf>
    <xf borderId="0" fillId="0" fontId="6" numFmtId="164" xfId="0" applyFont="1" applyNumberFormat="1"/>
    <xf borderId="17" fillId="5" fontId="6" numFmtId="0" xfId="0" applyAlignment="1" applyBorder="1" applyFont="1">
      <alignment horizontal="center"/>
    </xf>
    <xf borderId="0" fillId="0" fontId="6" numFmtId="167" xfId="0" applyFont="1" applyNumberFormat="1"/>
    <xf borderId="18" fillId="0" fontId="13" numFmtId="0" xfId="0" applyBorder="1" applyFont="1"/>
    <xf borderId="10" fillId="0" fontId="13" numFmtId="0" xfId="0" applyAlignment="1" applyBorder="1" applyFont="1">
      <alignment horizontal="center"/>
    </xf>
    <xf borderId="9" fillId="0" fontId="6" numFmtId="0" xfId="0" applyAlignment="1" applyBorder="1" applyFont="1">
      <alignment horizontal="right" shrinkToFit="0" vertical="center" wrapText="1"/>
    </xf>
    <xf borderId="1" fillId="5" fontId="6" numFmtId="9" xfId="0" applyAlignment="1" applyBorder="1" applyFont="1" applyNumberFormat="1">
      <alignment horizontal="center" vertical="center"/>
    </xf>
    <xf borderId="0" fillId="0" fontId="6" numFmtId="9" xfId="0" applyAlignment="1" applyFont="1" applyNumberFormat="1">
      <alignment horizontal="center" vertical="center"/>
    </xf>
    <xf borderId="10" fillId="0" fontId="6" numFmtId="9" xfId="0" applyAlignment="1" applyBorder="1" applyFont="1" applyNumberFormat="1">
      <alignment horizontal="center" shrinkToFit="0" wrapText="1"/>
    </xf>
    <xf borderId="10" fillId="0" fontId="6" numFmtId="9" xfId="0" applyAlignment="1" applyBorder="1" applyFont="1" applyNumberFormat="1">
      <alignment horizontal="center"/>
    </xf>
    <xf borderId="13" fillId="0" fontId="13" numFmtId="0" xfId="0" applyAlignment="1" applyBorder="1" applyFont="1">
      <alignment shrinkToFit="0" vertical="center" wrapText="1"/>
    </xf>
    <xf borderId="12" fillId="0" fontId="6" numFmtId="9" xfId="0" applyBorder="1" applyFont="1" applyNumberFormat="1"/>
    <xf borderId="6" fillId="0" fontId="6" numFmtId="9" xfId="0" applyBorder="1" applyFont="1" applyNumberFormat="1"/>
    <xf borderId="13" fillId="0" fontId="6" numFmtId="0" xfId="0" applyAlignment="1" applyBorder="1" applyFont="1">
      <alignment shrinkToFit="0" wrapText="1"/>
    </xf>
    <xf borderId="9" fillId="0" fontId="24" numFmtId="0" xfId="0" applyBorder="1" applyFont="1"/>
    <xf borderId="19" fillId="6" fontId="1" numFmtId="0" xfId="0" applyAlignment="1" applyBorder="1" applyFont="1">
      <alignment horizontal="center"/>
    </xf>
    <xf borderId="0" fillId="0" fontId="6" numFmtId="9" xfId="0" applyFont="1" applyNumberFormat="1"/>
    <xf borderId="20" fillId="5" fontId="6" numFmtId="0" xfId="0" applyBorder="1" applyFont="1"/>
    <xf borderId="21" fillId="5" fontId="6" numFmtId="164" xfId="0" applyBorder="1" applyFont="1" applyNumberFormat="1"/>
    <xf borderId="9" fillId="0" fontId="6" numFmtId="0" xfId="0" applyAlignment="1" applyBorder="1" applyFont="1">
      <alignment horizontal="left"/>
    </xf>
    <xf borderId="12" fillId="0" fontId="6" numFmtId="164" xfId="0" applyBorder="1" applyFont="1" applyNumberFormat="1"/>
    <xf borderId="14" fillId="0" fontId="23" numFmtId="0" xfId="0" applyAlignment="1" applyBorder="1" applyFont="1">
      <alignment shrinkToFit="0" wrapText="1"/>
    </xf>
    <xf borderId="1" fillId="5" fontId="6" numFmtId="9" xfId="0" applyAlignment="1" applyBorder="1" applyFont="1" applyNumberFormat="1">
      <alignment horizontal="center"/>
    </xf>
    <xf borderId="0" fillId="0" fontId="23" numFmtId="0" xfId="0" applyAlignment="1" applyFont="1">
      <alignment shrinkToFit="0" wrapText="1"/>
    </xf>
    <xf borderId="9" fillId="0" fontId="20" numFmtId="0" xfId="0" applyAlignment="1" applyBorder="1" applyFont="1">
      <alignment horizontal="left"/>
    </xf>
    <xf borderId="1" fillId="9" fontId="25" numFmtId="9" xfId="0" applyAlignment="1" applyBorder="1" applyFill="1" applyFont="1" applyNumberFormat="1">
      <alignment horizontal="center"/>
    </xf>
    <xf borderId="12" fillId="0" fontId="20" numFmtId="0" xfId="0" applyBorder="1" applyFont="1"/>
    <xf borderId="13" fillId="0" fontId="20" numFmtId="0" xfId="0" applyAlignment="1" applyBorder="1" applyFont="1">
      <alignment horizontal="left"/>
    </xf>
    <xf borderId="20" fillId="9" fontId="25" numFmtId="9" xfId="0" applyAlignment="1" applyBorder="1" applyFont="1" applyNumberFormat="1">
      <alignment horizontal="center"/>
    </xf>
    <xf borderId="22" fillId="3" fontId="9" numFmtId="0" xfId="0" applyBorder="1" applyFont="1"/>
    <xf borderId="1" fillId="5" fontId="6" numFmtId="164" xfId="0" applyBorder="1" applyFont="1" applyNumberFormat="1"/>
    <xf borderId="1" fillId="5" fontId="6" numFmtId="168" xfId="0" applyBorder="1" applyFont="1" applyNumberFormat="1"/>
    <xf borderId="0" fillId="0" fontId="1" numFmtId="14" xfId="0" applyFont="1" applyNumberFormat="1"/>
    <xf borderId="12" fillId="0" fontId="6" numFmtId="169" xfId="0" applyBorder="1" applyFont="1" applyNumberFormat="1"/>
    <xf borderId="11" fillId="3" fontId="9" numFmtId="0" xfId="0" applyBorder="1" applyFont="1"/>
    <xf borderId="23" fillId="5" fontId="6" numFmtId="10" xfId="0" applyAlignment="1" applyBorder="1" applyFont="1" applyNumberFormat="1">
      <alignment horizontal="left"/>
    </xf>
    <xf borderId="24" fillId="0" fontId="7" numFmtId="0" xfId="0" applyBorder="1" applyFont="1"/>
    <xf borderId="0" fillId="0" fontId="1" numFmtId="0" xfId="0" applyFont="1"/>
    <xf borderId="9" fillId="0" fontId="9" numFmtId="0" xfId="0" applyBorder="1" applyFont="1"/>
    <xf borderId="10" fillId="0" fontId="1" numFmtId="0" xfId="0" applyAlignment="1" applyBorder="1" applyFont="1">
      <alignment horizontal="center"/>
    </xf>
    <xf borderId="9" fillId="0" fontId="1" numFmtId="0" xfId="0" applyBorder="1" applyFont="1"/>
    <xf borderId="0" fillId="0" fontId="1" numFmtId="167" xfId="0" applyFont="1" applyNumberFormat="1"/>
    <xf borderId="13" fillId="0" fontId="1" numFmtId="0" xfId="0" applyBorder="1" applyFont="1"/>
    <xf borderId="12" fillId="0" fontId="1" numFmtId="167" xfId="0" applyBorder="1" applyFont="1" applyNumberFormat="1"/>
    <xf borderId="12" fillId="0" fontId="1" numFmtId="0" xfId="0" applyBorder="1" applyFont="1"/>
    <xf borderId="14" fillId="0" fontId="1" numFmtId="0" xfId="0" applyAlignment="1" applyBorder="1" applyFont="1">
      <alignment horizontal="center"/>
    </xf>
    <xf borderId="5" fillId="7" fontId="6" numFmtId="0" xfId="0" applyAlignment="1" applyBorder="1" applyFont="1">
      <alignment horizontal="center"/>
    </xf>
    <xf borderId="7" fillId="0" fontId="26" numFmtId="0" xfId="0" applyAlignment="1" applyBorder="1" applyFont="1">
      <alignment horizontal="left" shrinkToFit="0" wrapText="1"/>
    </xf>
    <xf borderId="12" fillId="0" fontId="27" numFmtId="0" xfId="0" applyAlignment="1" applyBorder="1" applyFont="1">
      <alignment horizontal="left" shrinkToFit="0" wrapText="1"/>
    </xf>
    <xf borderId="12" fillId="0" fontId="27" numFmtId="0" xfId="0" applyAlignment="1" applyBorder="1" applyFont="1">
      <alignment horizontal="center" shrinkToFit="0" wrapText="1"/>
    </xf>
    <xf borderId="22" fillId="7" fontId="13" numFmtId="0" xfId="0" applyAlignment="1" applyBorder="1" applyFont="1">
      <alignment horizontal="center" shrinkToFit="0" wrapText="1"/>
    </xf>
    <xf borderId="25" fillId="6" fontId="1" numFmtId="0" xfId="0" applyBorder="1" applyFont="1"/>
    <xf borderId="26" fillId="5" fontId="6" numFmtId="0" xfId="0" applyBorder="1" applyFont="1"/>
    <xf borderId="27" fillId="5" fontId="6" numFmtId="169" xfId="0" applyBorder="1" applyFont="1" applyNumberFormat="1"/>
    <xf borderId="28" fillId="7" fontId="6" numFmtId="9" xfId="0" applyAlignment="1" applyBorder="1" applyFont="1" applyNumberFormat="1">
      <alignment horizontal="center"/>
    </xf>
    <xf borderId="0" fillId="0" fontId="1" numFmtId="169" xfId="0" applyFont="1" applyNumberFormat="1"/>
    <xf borderId="29" fillId="6" fontId="1" numFmtId="0" xfId="0" applyAlignment="1" applyBorder="1" applyFont="1">
      <alignment horizontal="center"/>
    </xf>
    <xf borderId="16" fillId="5" fontId="6" numFmtId="0" xfId="0" applyBorder="1" applyFont="1"/>
    <xf borderId="30" fillId="5" fontId="6" numFmtId="169" xfId="0" applyBorder="1" applyFont="1" applyNumberFormat="1"/>
    <xf borderId="1" fillId="2" fontId="6" numFmtId="0" xfId="0" applyBorder="1" applyFont="1"/>
    <xf borderId="0" fillId="0" fontId="28" numFmtId="0" xfId="0" applyFont="1"/>
    <xf borderId="31" fillId="2" fontId="10" numFmtId="0" xfId="0" applyAlignment="1" applyBorder="1" applyFont="1">
      <alignment horizontal="center" shrinkToFit="0" wrapText="1"/>
    </xf>
    <xf borderId="3" fillId="0" fontId="7" numFmtId="0" xfId="0" applyBorder="1" applyFont="1"/>
    <xf borderId="32" fillId="0" fontId="7" numFmtId="0" xfId="0" applyBorder="1" applyFont="1"/>
    <xf borderId="1" fillId="4" fontId="16" numFmtId="0" xfId="0" applyBorder="1" applyFont="1"/>
    <xf borderId="1" fillId="4" fontId="1" numFmtId="0" xfId="0" applyBorder="1" applyFont="1"/>
    <xf borderId="0" fillId="0" fontId="6" numFmtId="0" xfId="0" applyAlignment="1" applyFont="1">
      <alignment horizontal="right"/>
    </xf>
    <xf borderId="0" fillId="0" fontId="6" numFmtId="1" xfId="0" applyAlignment="1" applyFont="1" applyNumberFormat="1">
      <alignment horizontal="center"/>
    </xf>
    <xf borderId="0" fillId="0" fontId="29" numFmtId="0" xfId="0" applyFont="1"/>
    <xf borderId="0" fillId="0" fontId="6" numFmtId="10" xfId="0" applyFont="1" applyNumberFormat="1"/>
    <xf borderId="0" fillId="0" fontId="6" numFmtId="2" xfId="0" applyAlignment="1" applyFont="1" applyNumberFormat="1">
      <alignment horizontal="center"/>
    </xf>
    <xf borderId="0" fillId="0" fontId="20" numFmtId="0" xfId="0" applyFont="1"/>
    <xf borderId="12" fillId="0" fontId="6" numFmtId="0" xfId="0" applyAlignment="1" applyBorder="1" applyFont="1">
      <alignment horizontal="right"/>
    </xf>
    <xf borderId="33" fillId="6" fontId="1" numFmtId="0" xfId="0" applyAlignment="1" applyBorder="1" applyFont="1">
      <alignment horizontal="center"/>
    </xf>
    <xf borderId="12" fillId="0" fontId="7" numFmtId="0" xfId="0" applyBorder="1" applyFont="1"/>
    <xf borderId="34" fillId="5" fontId="6" numFmtId="0" xfId="0" applyBorder="1" applyFont="1"/>
    <xf borderId="18" fillId="0" fontId="13" numFmtId="0" xfId="0" applyAlignment="1" applyBorder="1" applyFont="1">
      <alignment horizontal="center"/>
    </xf>
    <xf borderId="6" fillId="0" fontId="30" numFmtId="0" xfId="0" applyAlignment="1" applyBorder="1" applyFont="1">
      <alignment horizontal="center"/>
    </xf>
    <xf borderId="8" fillId="0" fontId="30" numFmtId="0" xfId="0" applyAlignment="1" applyBorder="1" applyFont="1">
      <alignment horizontal="center"/>
    </xf>
    <xf borderId="1" fillId="7" fontId="6" numFmtId="169" xfId="0" applyAlignment="1" applyBorder="1" applyFont="1" applyNumberFormat="1">
      <alignment horizontal="center"/>
    </xf>
    <xf borderId="35" fillId="8" fontId="6" numFmtId="0" xfId="0" applyBorder="1" applyFont="1"/>
    <xf borderId="9" fillId="0" fontId="24" numFmtId="0" xfId="0" applyAlignment="1" applyBorder="1" applyFont="1">
      <alignment horizontal="left" shrinkToFit="0" wrapText="1"/>
    </xf>
    <xf borderId="10" fillId="0" fontId="7" numFmtId="0" xfId="0" applyBorder="1" applyFont="1"/>
    <xf borderId="35" fillId="8" fontId="6" numFmtId="14" xfId="0" applyBorder="1" applyFont="1" applyNumberFormat="1"/>
    <xf borderId="36" fillId="6" fontId="1" numFmtId="0" xfId="0" applyAlignment="1" applyBorder="1" applyFont="1">
      <alignment shrinkToFit="0" wrapText="1"/>
    </xf>
    <xf borderId="37" fillId="5" fontId="6" numFmtId="9" xfId="0" applyBorder="1" applyFont="1" applyNumberFormat="1"/>
    <xf borderId="0" fillId="0" fontId="6" numFmtId="169" xfId="0" applyFont="1" applyNumberFormat="1"/>
    <xf borderId="1" fillId="7" fontId="6" numFmtId="9" xfId="0" applyAlignment="1" applyBorder="1" applyFont="1" applyNumberFormat="1">
      <alignment horizontal="center"/>
    </xf>
    <xf borderId="11" fillId="6" fontId="1" numFmtId="0" xfId="0" applyAlignment="1" applyBorder="1" applyFont="1">
      <alignment shrinkToFit="0" wrapText="1"/>
    </xf>
    <xf borderId="9" fillId="0" fontId="6" numFmtId="0" xfId="0" applyAlignment="1" applyBorder="1" applyFont="1">
      <alignment shrinkToFit="0" vertical="top" wrapText="1"/>
    </xf>
    <xf borderId="38" fillId="5" fontId="6" numFmtId="170" xfId="0" applyBorder="1" applyFont="1" applyNumberFormat="1"/>
    <xf borderId="33" fillId="6" fontId="1" numFmtId="0" xfId="0" applyAlignment="1" applyBorder="1" applyFont="1">
      <alignment horizontal="center" vertical="top"/>
    </xf>
    <xf borderId="34" fillId="5" fontId="6" numFmtId="0" xfId="0" applyAlignment="1" applyBorder="1" applyFont="1">
      <alignment vertical="top"/>
    </xf>
    <xf borderId="37" fillId="5" fontId="6" numFmtId="9" xfId="0" applyAlignment="1" applyBorder="1" applyFont="1" applyNumberFormat="1">
      <alignment vertical="top"/>
    </xf>
    <xf borderId="1" fillId="7" fontId="6" numFmtId="0" xfId="0" applyAlignment="1" applyBorder="1" applyFont="1">
      <alignment horizontal="center"/>
    </xf>
    <xf borderId="12" fillId="0" fontId="6" numFmtId="0" xfId="0" applyAlignment="1" applyBorder="1" applyFont="1">
      <alignment horizontal="center"/>
    </xf>
    <xf borderId="1" fillId="2" fontId="1" numFmtId="1" xfId="0" applyBorder="1" applyFont="1" applyNumberFormat="1"/>
    <xf borderId="19" fillId="2" fontId="1" numFmtId="169" xfId="0" applyBorder="1" applyFont="1" applyNumberFormat="1"/>
    <xf borderId="0" fillId="0" fontId="6" numFmtId="1" xfId="0" applyFont="1" applyNumberFormat="1"/>
    <xf borderId="20" fillId="7" fontId="1" numFmtId="169" xfId="0" applyAlignment="1" applyBorder="1" applyFont="1" applyNumberFormat="1">
      <alignment horizontal="center"/>
    </xf>
    <xf borderId="3" fillId="0" fontId="13" numFmtId="0" xfId="0" applyBorder="1" applyFont="1"/>
    <xf borderId="1" fillId="3" fontId="6" numFmtId="0" xfId="0" applyBorder="1" applyFont="1"/>
    <xf borderId="0" fillId="0" fontId="6" numFmtId="14" xfId="0" applyAlignment="1" applyFont="1" applyNumberFormat="1">
      <alignment horizontal="left"/>
    </xf>
    <xf borderId="0" fillId="0" fontId="11" numFmtId="1" xfId="0" applyFont="1" applyNumberFormat="1"/>
    <xf borderId="0" fillId="0" fontId="6" numFmtId="14" xfId="0" applyAlignment="1" applyFont="1" applyNumberFormat="1">
      <alignment horizontal="center"/>
    </xf>
    <xf borderId="39" fillId="0" fontId="6" numFmtId="0" xfId="0" applyBorder="1" applyFont="1"/>
    <xf borderId="40" fillId="10" fontId="9" numFmtId="0" xfId="0" applyBorder="1" applyFill="1" applyFont="1"/>
    <xf borderId="40" fillId="10" fontId="1" numFmtId="0" xfId="0" applyBorder="1" applyFont="1"/>
    <xf borderId="40" fillId="11" fontId="9" numFmtId="0" xfId="0" applyBorder="1" applyFill="1" applyFont="1"/>
    <xf borderId="40" fillId="11" fontId="1" numFmtId="0" xfId="0" applyBorder="1" applyFont="1"/>
    <xf borderId="41" fillId="0" fontId="6" numFmtId="0" xfId="0" applyBorder="1" applyFont="1"/>
    <xf borderId="0" fillId="0" fontId="13" numFmtId="171" xfId="0" applyAlignment="1" applyFont="1" applyNumberFormat="1">
      <alignment horizontal="center"/>
    </xf>
    <xf borderId="35" fillId="8" fontId="6" numFmtId="1" xfId="0" applyBorder="1" applyFont="1" applyNumberFormat="1"/>
    <xf borderId="0" fillId="0" fontId="13" numFmtId="1" xfId="0" applyAlignment="1" applyFont="1" applyNumberFormat="1">
      <alignment horizontal="center"/>
    </xf>
    <xf borderId="41" fillId="0" fontId="6" numFmtId="165" xfId="0" applyBorder="1" applyFont="1" applyNumberFormat="1"/>
    <xf borderId="0" fillId="0" fontId="6" numFmtId="172" xfId="0" applyAlignment="1" applyFont="1" applyNumberFormat="1">
      <alignment horizontal="center"/>
    </xf>
    <xf borderId="1" fillId="5" fontId="31" numFmtId="170" xfId="0" applyBorder="1" applyFont="1" applyNumberFormat="1"/>
    <xf borderId="0" fillId="0" fontId="32" numFmtId="170" xfId="0" applyAlignment="1" applyFont="1" applyNumberFormat="1">
      <alignment horizontal="right" vertical="center"/>
    </xf>
    <xf borderId="0" fillId="0" fontId="6" numFmtId="173" xfId="0" applyFont="1" applyNumberFormat="1"/>
    <xf borderId="0" fillId="0" fontId="31" numFmtId="169" xfId="0" applyFont="1" applyNumberFormat="1"/>
    <xf borderId="0" fillId="0" fontId="13" numFmtId="169" xfId="0" applyAlignment="1" applyFont="1" applyNumberFormat="1">
      <alignment horizontal="right" vertical="center"/>
    </xf>
    <xf borderId="0" fillId="0" fontId="31" numFmtId="172" xfId="0" applyFont="1" applyNumberFormat="1"/>
    <xf borderId="0" fillId="0" fontId="13" numFmtId="172" xfId="0" applyAlignment="1" applyFont="1" applyNumberFormat="1">
      <alignment horizontal="right" vertical="center"/>
    </xf>
    <xf borderId="0" fillId="0" fontId="32" numFmtId="0" xfId="0" applyAlignment="1" applyFont="1">
      <alignment horizontal="right" vertical="center"/>
    </xf>
    <xf borderId="0" fillId="0" fontId="13" numFmtId="1" xfId="0" applyAlignment="1" applyFont="1" applyNumberFormat="1">
      <alignment horizontal="right" vertical="center"/>
    </xf>
    <xf borderId="0" fillId="0" fontId="32" numFmtId="1" xfId="0" applyAlignment="1" applyFont="1" applyNumberFormat="1">
      <alignment horizontal="right" vertical="center"/>
    </xf>
    <xf borderId="42" fillId="0" fontId="6" numFmtId="0" xfId="0" applyBorder="1" applyFont="1"/>
    <xf borderId="40" fillId="10" fontId="6" numFmtId="0" xfId="0" applyAlignment="1" applyBorder="1" applyFont="1">
      <alignment horizontal="center"/>
    </xf>
    <xf borderId="40" fillId="10" fontId="6" numFmtId="1" xfId="0" applyBorder="1" applyFont="1" applyNumberFormat="1"/>
    <xf borderId="40" fillId="10" fontId="6" numFmtId="1" xfId="0" applyAlignment="1" applyBorder="1" applyFont="1" applyNumberFormat="1">
      <alignment horizontal="center"/>
    </xf>
    <xf borderId="40" fillId="11" fontId="6" numFmtId="0" xfId="0" applyAlignment="1" applyBorder="1" applyFont="1">
      <alignment horizontal="center"/>
    </xf>
    <xf borderId="40" fillId="11" fontId="6" numFmtId="0" xfId="0" applyBorder="1" applyFont="1"/>
    <xf borderId="40" fillId="11" fontId="6" numFmtId="1" xfId="0" applyBorder="1" applyFont="1" applyNumberFormat="1"/>
    <xf borderId="40" fillId="11" fontId="6" numFmtId="1" xfId="0" applyAlignment="1" applyBorder="1" applyFont="1" applyNumberFormat="1">
      <alignment horizontal="center"/>
    </xf>
    <xf borderId="43" fillId="11" fontId="6" numFmtId="0" xfId="0" applyBorder="1" applyFont="1"/>
    <xf borderId="1" fillId="12" fontId="6" numFmtId="9" xfId="0" applyBorder="1" applyFill="1" applyFont="1" applyNumberFormat="1"/>
    <xf borderId="44" fillId="8" fontId="6" numFmtId="0" xfId="0" applyBorder="1" applyFont="1"/>
    <xf borderId="44" fillId="8" fontId="6" numFmtId="14" xfId="0" applyBorder="1" applyFont="1" applyNumberFormat="1"/>
    <xf borderId="45" fillId="0" fontId="6" numFmtId="169" xfId="0" applyBorder="1" applyFont="1" applyNumberFormat="1"/>
    <xf borderId="46" fillId="5" fontId="6" numFmtId="170" xfId="0" applyBorder="1" applyFont="1" applyNumberFormat="1"/>
    <xf borderId="47" fillId="0" fontId="6" numFmtId="0" xfId="0" applyBorder="1" applyFont="1"/>
    <xf borderId="40" fillId="10" fontId="6" numFmtId="0" xfId="0" applyBorder="1" applyFont="1"/>
    <xf borderId="1" fillId="2" fontId="1" numFmtId="10" xfId="0" applyAlignment="1" applyBorder="1" applyFont="1" applyNumberFormat="1">
      <alignment horizontal="center"/>
    </xf>
    <xf borderId="31" fillId="2" fontId="10" numFmtId="0" xfId="0" applyAlignment="1" applyBorder="1" applyFont="1">
      <alignment horizontal="right"/>
    </xf>
    <xf borderId="0" fillId="0" fontId="6" numFmtId="10" xfId="0" applyAlignment="1" applyFont="1" applyNumberFormat="1">
      <alignment horizontal="center"/>
    </xf>
    <xf borderId="0" fillId="0" fontId="11" numFmtId="0" xfId="0" applyFont="1"/>
    <xf borderId="0" fillId="0" fontId="33" numFmtId="0" xfId="0" applyAlignment="1" applyFont="1">
      <alignment horizontal="center"/>
    </xf>
    <xf borderId="4" fillId="3" fontId="34" numFmtId="0" xfId="0" applyBorder="1" applyFont="1"/>
    <xf borderId="6" fillId="0" fontId="8" numFmtId="10" xfId="0" applyAlignment="1" applyBorder="1" applyFont="1" applyNumberFormat="1">
      <alignment horizontal="center" shrinkToFit="0" wrapText="1"/>
    </xf>
    <xf borderId="6" fillId="0" fontId="7" numFmtId="0" xfId="0" applyBorder="1" applyFont="1"/>
    <xf borderId="8" fillId="0" fontId="7" numFmtId="0" xfId="0" applyBorder="1" applyFont="1"/>
    <xf borderId="0" fillId="0" fontId="30" numFmtId="0" xfId="0" applyFont="1"/>
    <xf borderId="10" fillId="0" fontId="6" numFmtId="0" xfId="0" applyBorder="1" applyFont="1"/>
    <xf borderId="11" fillId="13" fontId="9" numFmtId="0" xfId="0" applyBorder="1" applyFill="1" applyFont="1"/>
    <xf borderId="31" fillId="2" fontId="10" numFmtId="0" xfId="0" applyAlignment="1" applyBorder="1" applyFont="1">
      <alignment horizontal="right" shrinkToFit="0" wrapText="1"/>
    </xf>
    <xf borderId="0" fillId="0" fontId="26" numFmtId="0" xfId="0" applyAlignment="1" applyFont="1">
      <alignment horizontal="left" shrinkToFit="0" wrapText="1"/>
    </xf>
    <xf borderId="0" fillId="0" fontId="35" numFmtId="9" xfId="0" applyAlignment="1" applyFont="1" applyNumberFormat="1">
      <alignment horizontal="left"/>
    </xf>
    <xf borderId="0" fillId="0" fontId="36" numFmtId="9" xfId="0" applyAlignment="1" applyFont="1" applyNumberFormat="1">
      <alignment horizontal="left"/>
    </xf>
    <xf borderId="12" fillId="0" fontId="27" numFmtId="0" xfId="0" applyAlignment="1" applyBorder="1" applyFont="1">
      <alignment horizontal="right" shrinkToFit="0" wrapText="1"/>
    </xf>
    <xf borderId="0" fillId="0" fontId="37" numFmtId="10" xfId="0" applyAlignment="1" applyFont="1" applyNumberFormat="1">
      <alignment horizontal="center"/>
    </xf>
    <xf borderId="8" fillId="0" fontId="6" numFmtId="0" xfId="0" applyBorder="1" applyFont="1"/>
    <xf borderId="0" fillId="0" fontId="37" numFmtId="0" xfId="0" applyAlignment="1" applyFont="1">
      <alignment horizontal="center"/>
    </xf>
    <xf borderId="22" fillId="3" fontId="16" numFmtId="0" xfId="0" applyBorder="1" applyFont="1"/>
    <xf borderId="0" fillId="0" fontId="37" numFmtId="0" xfId="0" applyFont="1"/>
    <xf borderId="48" fillId="0" fontId="12" numFmtId="0" xfId="0" applyAlignment="1" applyBorder="1" applyFont="1">
      <alignment shrinkToFit="0" wrapText="1"/>
    </xf>
    <xf borderId="1" fillId="2" fontId="9" numFmtId="0" xfId="0" applyAlignment="1" applyBorder="1" applyFont="1">
      <alignment horizontal="center"/>
    </xf>
    <xf borderId="49" fillId="0" fontId="12" numFmtId="164" xfId="0" applyBorder="1" applyFont="1" applyNumberFormat="1"/>
    <xf borderId="1" fillId="13" fontId="6" numFmtId="169" xfId="0" applyBorder="1" applyFont="1" applyNumberFormat="1"/>
    <xf borderId="49" fillId="0" fontId="12" numFmtId="164" xfId="0" applyAlignment="1" applyBorder="1" applyFont="1" applyNumberFormat="1">
      <alignment horizontal="center"/>
    </xf>
    <xf borderId="1" fillId="13" fontId="9" numFmtId="0" xfId="0" applyBorder="1" applyFont="1"/>
    <xf borderId="0" fillId="0" fontId="6" numFmtId="0" xfId="0" applyAlignment="1" applyFont="1">
      <alignment horizontal="left"/>
    </xf>
    <xf borderId="1" fillId="5" fontId="6" numFmtId="169" xfId="0" applyBorder="1" applyFont="1" applyNumberFormat="1"/>
    <xf borderId="9" fillId="0" fontId="6" numFmtId="0" xfId="0" applyAlignment="1" applyBorder="1" applyFont="1">
      <alignment horizontal="right"/>
    </xf>
    <xf borderId="48" fillId="0" fontId="12" numFmtId="0" xfId="0" applyBorder="1" applyFont="1"/>
    <xf borderId="1" fillId="14" fontId="27" numFmtId="169" xfId="0" applyBorder="1" applyFill="1" applyFont="1" applyNumberFormat="1"/>
    <xf borderId="47" fillId="0" fontId="12" numFmtId="164" xfId="0" applyBorder="1" applyFont="1" applyNumberFormat="1"/>
    <xf borderId="1" fillId="15" fontId="13" numFmtId="167" xfId="0" applyBorder="1" applyFill="1" applyFont="1" applyNumberFormat="1"/>
    <xf borderId="0" fillId="0" fontId="13" numFmtId="10" xfId="0" applyAlignment="1" applyFont="1" applyNumberFormat="1">
      <alignment horizontal="center" shrinkToFit="0" wrapText="1"/>
    </xf>
    <xf borderId="1" fillId="5" fontId="6" numFmtId="10" xfId="0" applyAlignment="1" applyBorder="1" applyFont="1" applyNumberFormat="1">
      <alignment horizontal="center"/>
    </xf>
    <xf borderId="1" fillId="5" fontId="6" numFmtId="0" xfId="0" applyAlignment="1" applyBorder="1" applyFont="1">
      <alignment horizontal="center"/>
    </xf>
    <xf borderId="17" fillId="16" fontId="6" numFmtId="174" xfId="0" applyBorder="1" applyFill="1" applyFont="1" applyNumberFormat="1"/>
    <xf borderId="9" fillId="0" fontId="6" numFmtId="0" xfId="0" applyAlignment="1" applyBorder="1" applyFont="1">
      <alignment horizontal="left" shrinkToFit="0" wrapText="1"/>
    </xf>
    <xf borderId="9" fillId="0" fontId="13" numFmtId="0" xfId="0" applyAlignment="1" applyBorder="1" applyFont="1">
      <alignment horizontal="right"/>
    </xf>
    <xf borderId="9" fillId="0" fontId="38" numFmtId="0" xfId="0" applyBorder="1" applyFont="1"/>
    <xf borderId="50" fillId="13" fontId="9" numFmtId="0" xfId="0" applyAlignment="1" applyBorder="1" applyFont="1">
      <alignment horizontal="right"/>
    </xf>
    <xf borderId="51" fillId="4" fontId="1" numFmtId="169" xfId="0" applyBorder="1" applyFont="1" applyNumberFormat="1"/>
    <xf borderId="52" fillId="0" fontId="6" numFmtId="0" xfId="0" applyBorder="1" applyFont="1"/>
    <xf borderId="53" fillId="14" fontId="9" numFmtId="0" xfId="0" applyAlignment="1" applyBorder="1" applyFont="1">
      <alignment horizontal="right"/>
    </xf>
    <xf borderId="54" fillId="0" fontId="7" numFmtId="0" xfId="0" applyBorder="1" applyFont="1"/>
    <xf borderId="51" fillId="2" fontId="1" numFmtId="169" xfId="0" applyBorder="1" applyFont="1" applyNumberFormat="1"/>
    <xf borderId="0" fillId="0" fontId="31" numFmtId="166" xfId="0" applyFont="1" applyNumberFormat="1"/>
    <xf borderId="55" fillId="0" fontId="6" numFmtId="0" xfId="0" applyBorder="1" applyFont="1"/>
    <xf borderId="22" fillId="13" fontId="9" numFmtId="175" xfId="0" applyBorder="1" applyFont="1" applyNumberFormat="1"/>
    <xf borderId="40" fillId="10" fontId="39" numFmtId="0" xfId="0" applyBorder="1" applyFont="1"/>
    <xf borderId="10" fillId="0" fontId="6" numFmtId="169" xfId="0" applyBorder="1" applyFont="1" applyNumberFormat="1"/>
    <xf borderId="40" fillId="3" fontId="9" numFmtId="0" xfId="0" applyBorder="1" applyFont="1"/>
    <xf borderId="40" fillId="3" fontId="1" numFmtId="0" xfId="0" applyBorder="1" applyFont="1"/>
    <xf borderId="1" fillId="4" fontId="6" numFmtId="0" xfId="0" applyAlignment="1" applyBorder="1" applyFont="1">
      <alignment shrinkToFit="0" wrapText="1"/>
    </xf>
    <xf borderId="0" fillId="0" fontId="6" numFmtId="0" xfId="0" applyAlignment="1" applyFont="1">
      <alignment horizontal="center" shrinkToFit="0" wrapText="1"/>
    </xf>
    <xf borderId="0" fillId="0" fontId="39" numFmtId="0" xfId="0" applyFont="1"/>
    <xf borderId="13" fillId="0" fontId="13" numFmtId="0" xfId="0" applyAlignment="1" applyBorder="1" applyFont="1">
      <alignment horizontal="right"/>
    </xf>
    <xf borderId="56" fillId="0" fontId="1" numFmtId="0" xfId="0" applyBorder="1" applyFont="1"/>
    <xf borderId="0" fillId="0" fontId="6" numFmtId="176" xfId="0" applyFont="1" applyNumberFormat="1"/>
    <xf borderId="20" fillId="17" fontId="1" numFmtId="169" xfId="0" applyBorder="1" applyFill="1" applyFont="1" applyNumberFormat="1"/>
    <xf borderId="0" fillId="0" fontId="20" numFmtId="0" xfId="0" applyAlignment="1" applyFont="1">
      <alignment horizontal="center"/>
    </xf>
    <xf borderId="20" fillId="17" fontId="1" numFmtId="0" xfId="0" applyBorder="1" applyFont="1"/>
    <xf borderId="0" fillId="0" fontId="6" numFmtId="14" xfId="0" applyFont="1" applyNumberFormat="1"/>
    <xf borderId="0" fillId="0" fontId="11" numFmtId="0" xfId="0" applyAlignment="1" applyFont="1">
      <alignment horizontal="left"/>
    </xf>
    <xf borderId="56" fillId="0" fontId="6" numFmtId="0" xfId="0" applyAlignment="1" applyBorder="1" applyFont="1">
      <alignment horizontal="center"/>
    </xf>
    <xf borderId="57" fillId="17" fontId="1" numFmtId="169" xfId="0" applyBorder="1" applyFont="1" applyNumberFormat="1"/>
    <xf borderId="0" fillId="0" fontId="25" numFmtId="0" xfId="0" applyFont="1"/>
    <xf borderId="58" fillId="0" fontId="6" numFmtId="0" xfId="0" applyAlignment="1" applyBorder="1" applyFont="1">
      <alignment horizontal="center"/>
    </xf>
    <xf borderId="0" fillId="0" fontId="40" numFmtId="0" xfId="0" applyAlignment="1" applyFont="1">
      <alignment horizontal="right"/>
    </xf>
    <xf borderId="59" fillId="4" fontId="35" numFmtId="1" xfId="0" applyAlignment="1" applyBorder="1" applyFont="1" applyNumberFormat="1">
      <alignment horizontal="center"/>
    </xf>
    <xf borderId="60" fillId="0" fontId="7" numFmtId="0" xfId="0" applyBorder="1" applyFont="1"/>
    <xf borderId="61" fillId="0" fontId="7" numFmtId="0" xfId="0" applyBorder="1" applyFont="1"/>
    <xf borderId="8" fillId="0" fontId="41" numFmtId="0" xfId="0" applyAlignment="1" applyBorder="1" applyFont="1">
      <alignment horizontal="right"/>
    </xf>
    <xf borderId="62" fillId="11" fontId="6" numFmtId="1" xfId="0" applyBorder="1" applyFont="1" applyNumberFormat="1"/>
    <xf borderId="63" fillId="11" fontId="1" numFmtId="1" xfId="0" applyAlignment="1" applyBorder="1" applyFont="1" applyNumberFormat="1">
      <alignment horizontal="center"/>
    </xf>
    <xf borderId="64" fillId="0" fontId="7" numFmtId="0" xfId="0" applyBorder="1" applyFont="1"/>
    <xf borderId="65" fillId="11" fontId="6" numFmtId="0" xfId="0" applyBorder="1" applyFont="1"/>
    <xf borderId="8" fillId="0" fontId="6" numFmtId="9" xfId="0" applyBorder="1" applyFont="1" applyNumberFormat="1"/>
    <xf borderId="59" fillId="2" fontId="1" numFmtId="1" xfId="0" applyAlignment="1" applyBorder="1" applyFont="1" applyNumberFormat="1">
      <alignment horizontal="center"/>
    </xf>
    <xf borderId="10" fillId="0" fontId="41" numFmtId="0" xfId="0" applyBorder="1" applyFont="1"/>
    <xf borderId="1" fillId="3" fontId="9" numFmtId="0" xfId="0" applyAlignment="1" applyBorder="1" applyFont="1">
      <alignment horizontal="right"/>
    </xf>
    <xf borderId="17" fillId="3" fontId="9" numFmtId="0" xfId="0" applyAlignment="1" applyBorder="1" applyFont="1">
      <alignment horizontal="right"/>
    </xf>
    <xf borderId="10" fillId="0" fontId="6" numFmtId="176" xfId="0" applyBorder="1" applyFont="1" applyNumberFormat="1"/>
    <xf borderId="0" fillId="0" fontId="37" numFmtId="1" xfId="0" applyFont="1" applyNumberFormat="1"/>
    <xf borderId="0" fillId="0" fontId="15" numFmtId="1" xfId="0" applyFont="1" applyNumberFormat="1"/>
    <xf borderId="17" fillId="5" fontId="6" numFmtId="176" xfId="0" applyBorder="1" applyFont="1" applyNumberFormat="1"/>
    <xf borderId="66" fillId="10" fontId="9" numFmtId="0" xfId="0" applyBorder="1" applyFont="1"/>
    <xf borderId="0" fillId="0" fontId="1" numFmtId="1" xfId="0" applyFont="1" applyNumberFormat="1"/>
    <xf borderId="67" fillId="0" fontId="6" numFmtId="0" xfId="0" applyAlignment="1" applyBorder="1" applyFont="1">
      <alignment horizontal="center"/>
    </xf>
    <xf borderId="41" fillId="0" fontId="20" numFmtId="1" xfId="0" applyAlignment="1" applyBorder="1" applyFont="1" applyNumberFormat="1">
      <alignment horizontal="center"/>
    </xf>
    <xf borderId="0" fillId="0" fontId="20" numFmtId="1" xfId="0" applyAlignment="1" applyFont="1" applyNumberFormat="1">
      <alignment horizontal="center"/>
    </xf>
    <xf borderId="0" fillId="0" fontId="6" numFmtId="170" xfId="0" applyFont="1" applyNumberFormat="1"/>
    <xf borderId="67" fillId="0" fontId="20" numFmtId="1" xfId="0" applyAlignment="1" applyBorder="1" applyFont="1" applyNumberFormat="1">
      <alignment horizontal="center"/>
    </xf>
    <xf borderId="0" fillId="0" fontId="23" numFmtId="1" xfId="0" applyAlignment="1" applyFont="1" applyNumberFormat="1">
      <alignment horizontal="left"/>
    </xf>
    <xf borderId="67" fillId="0" fontId="6" numFmtId="1" xfId="0" applyBorder="1" applyFont="1" applyNumberFormat="1"/>
    <xf borderId="41" fillId="0" fontId="41" numFmtId="1" xfId="0" applyAlignment="1" applyBorder="1" applyFont="1" applyNumberFormat="1">
      <alignment horizontal="center"/>
    </xf>
    <xf borderId="0" fillId="0" fontId="41" numFmtId="1" xfId="0" applyAlignment="1" applyFont="1" applyNumberFormat="1">
      <alignment horizontal="center"/>
    </xf>
    <xf borderId="67" fillId="0" fontId="41" numFmtId="1" xfId="0" applyAlignment="1" applyBorder="1" applyFont="1" applyNumberFormat="1">
      <alignment horizontal="center"/>
    </xf>
    <xf borderId="10" fillId="0" fontId="6" numFmtId="170" xfId="0" applyBorder="1" applyFont="1" applyNumberFormat="1"/>
    <xf borderId="0" fillId="0" fontId="31" numFmtId="170" xfId="0" applyFont="1" applyNumberFormat="1"/>
    <xf borderId="66" fillId="18" fontId="6" numFmtId="0" xfId="0" applyAlignment="1" applyBorder="1" applyFill="1" applyFont="1">
      <alignment horizontal="left"/>
    </xf>
    <xf borderId="1" fillId="18" fontId="6" numFmtId="0" xfId="0" applyAlignment="1" applyBorder="1" applyFont="1">
      <alignment horizontal="center"/>
    </xf>
    <xf borderId="68" fillId="18" fontId="6" numFmtId="0" xfId="0" applyAlignment="1" applyBorder="1" applyFont="1">
      <alignment horizontal="center"/>
    </xf>
    <xf borderId="0" fillId="0" fontId="42" numFmtId="0" xfId="0" applyFont="1"/>
    <xf borderId="66" fillId="18" fontId="6" numFmtId="167" xfId="0" applyAlignment="1" applyBorder="1" applyFont="1" applyNumberFormat="1">
      <alignment horizontal="center"/>
    </xf>
    <xf borderId="1" fillId="18" fontId="6" numFmtId="167" xfId="0" applyAlignment="1" applyBorder="1" applyFont="1" applyNumberFormat="1">
      <alignment horizontal="center"/>
    </xf>
    <xf borderId="68" fillId="18" fontId="6" numFmtId="167" xfId="0" applyAlignment="1" applyBorder="1" applyFont="1" applyNumberFormat="1">
      <alignment horizontal="center"/>
    </xf>
    <xf borderId="1" fillId="18" fontId="6" numFmtId="9" xfId="0" applyAlignment="1" applyBorder="1" applyFont="1" applyNumberFormat="1">
      <alignment horizontal="center"/>
    </xf>
    <xf borderId="41" fillId="0" fontId="6" numFmtId="164" xfId="0" applyBorder="1" applyFont="1" applyNumberFormat="1"/>
    <xf borderId="67" fillId="0" fontId="6" numFmtId="164" xfId="0" applyBorder="1" applyFont="1" applyNumberFormat="1"/>
    <xf borderId="69" fillId="0" fontId="6" numFmtId="164" xfId="0" applyBorder="1" applyFont="1" applyNumberFormat="1"/>
    <xf borderId="41" fillId="0" fontId="6" numFmtId="0" xfId="0" applyAlignment="1" applyBorder="1" applyFont="1">
      <alignment horizontal="left"/>
    </xf>
    <xf borderId="41" fillId="0" fontId="6" numFmtId="166" xfId="0" applyAlignment="1" applyBorder="1" applyFont="1" applyNumberFormat="1">
      <alignment horizontal="center"/>
    </xf>
    <xf borderId="0" fillId="0" fontId="6" numFmtId="166" xfId="0" applyAlignment="1" applyFont="1" applyNumberFormat="1">
      <alignment horizontal="center"/>
    </xf>
    <xf borderId="67" fillId="0" fontId="6" numFmtId="166" xfId="0" applyAlignment="1" applyBorder="1" applyFont="1" applyNumberFormat="1">
      <alignment horizontal="center"/>
    </xf>
    <xf borderId="0" fillId="0" fontId="6" numFmtId="9" xfId="0" applyAlignment="1" applyFont="1" applyNumberFormat="1">
      <alignment horizontal="center"/>
    </xf>
    <xf borderId="41" fillId="0" fontId="6" numFmtId="170" xfId="0" applyBorder="1" applyFont="1" applyNumberFormat="1"/>
    <xf borderId="9" fillId="0" fontId="13" numFmtId="0" xfId="0" applyAlignment="1" applyBorder="1" applyFont="1">
      <alignment horizontal="left"/>
    </xf>
    <xf borderId="66" fillId="18" fontId="6" numFmtId="166" xfId="0" applyAlignment="1" applyBorder="1" applyFont="1" applyNumberFormat="1">
      <alignment horizontal="center"/>
    </xf>
    <xf borderId="1" fillId="18" fontId="6" numFmtId="166" xfId="0" applyAlignment="1" applyBorder="1" applyFont="1" applyNumberFormat="1">
      <alignment horizontal="center"/>
    </xf>
    <xf borderId="68" fillId="18" fontId="6" numFmtId="166" xfId="0" applyAlignment="1" applyBorder="1" applyFont="1" applyNumberFormat="1">
      <alignment horizontal="center"/>
    </xf>
    <xf borderId="68" fillId="18" fontId="6" numFmtId="1" xfId="0" applyBorder="1" applyFont="1" applyNumberFormat="1"/>
    <xf borderId="0" fillId="0" fontId="15" numFmtId="169" xfId="0" applyFont="1" applyNumberFormat="1"/>
    <xf borderId="70" fillId="0" fontId="6" numFmtId="0" xfId="0" applyAlignment="1" applyBorder="1" applyFont="1">
      <alignment horizontal="left"/>
    </xf>
    <xf borderId="71" fillId="0" fontId="6" numFmtId="0" xfId="0" applyAlignment="1" applyBorder="1" applyFont="1">
      <alignment horizontal="center"/>
    </xf>
    <xf borderId="72" fillId="0" fontId="6" numFmtId="0" xfId="0" applyAlignment="1" applyBorder="1" applyFont="1">
      <alignment horizontal="center"/>
    </xf>
    <xf borderId="70" fillId="0" fontId="6" numFmtId="166" xfId="0" applyAlignment="1" applyBorder="1" applyFont="1" applyNumberFormat="1">
      <alignment horizontal="center"/>
    </xf>
    <xf borderId="71" fillId="0" fontId="6" numFmtId="166" xfId="0" applyAlignment="1" applyBorder="1" applyFont="1" applyNumberFormat="1">
      <alignment horizontal="center"/>
    </xf>
    <xf borderId="72" fillId="0" fontId="6" numFmtId="166" xfId="0" applyAlignment="1" applyBorder="1" applyFont="1" applyNumberFormat="1">
      <alignment horizontal="center"/>
    </xf>
    <xf borderId="70" fillId="0" fontId="6" numFmtId="9" xfId="0" applyAlignment="1" applyBorder="1" applyFont="1" applyNumberFormat="1">
      <alignment horizontal="center"/>
    </xf>
    <xf borderId="71" fillId="0" fontId="6" numFmtId="9" xfId="0" applyAlignment="1" applyBorder="1" applyFont="1" applyNumberFormat="1">
      <alignment horizontal="center"/>
    </xf>
    <xf borderId="71" fillId="0" fontId="6" numFmtId="1" xfId="0" applyBorder="1" applyFont="1" applyNumberFormat="1"/>
    <xf borderId="72" fillId="0" fontId="6" numFmtId="1" xfId="0" applyBorder="1" applyFont="1" applyNumberFormat="1"/>
    <xf borderId="70" fillId="0" fontId="6" numFmtId="170" xfId="0" applyBorder="1" applyFont="1" applyNumberFormat="1"/>
    <xf borderId="71" fillId="0" fontId="6" numFmtId="170" xfId="0" applyBorder="1" applyFont="1" applyNumberFormat="1"/>
    <xf borderId="71" fillId="0" fontId="6" numFmtId="164" xfId="0" applyBorder="1" applyFont="1" applyNumberFormat="1"/>
    <xf borderId="72" fillId="0" fontId="6" numFmtId="164" xfId="0" applyBorder="1" applyFont="1" applyNumberFormat="1"/>
    <xf borderId="40" fillId="3" fontId="6" numFmtId="0" xfId="0" applyAlignment="1" applyBorder="1" applyFont="1">
      <alignment horizontal="center"/>
    </xf>
    <xf borderId="40" fillId="3" fontId="6" numFmtId="0" xfId="0" applyBorder="1" applyFont="1"/>
    <xf borderId="40" fillId="3" fontId="6" numFmtId="1" xfId="0" applyBorder="1" applyFont="1" applyNumberFormat="1"/>
    <xf borderId="40" fillId="3" fontId="6" numFmtId="1" xfId="0" applyAlignment="1" applyBorder="1" applyFont="1" applyNumberFormat="1">
      <alignment horizontal="center"/>
    </xf>
    <xf borderId="43" fillId="3" fontId="6" numFmtId="0" xfId="0" applyBorder="1" applyFont="1"/>
    <xf borderId="9" fillId="0" fontId="43" numFmtId="0" xfId="0" applyAlignment="1" applyBorder="1" applyFont="1">
      <alignment horizontal="right"/>
    </xf>
    <xf borderId="1" fillId="13" fontId="1" numFmtId="169" xfId="0" applyBorder="1" applyFont="1" applyNumberFormat="1"/>
    <xf borderId="13" fillId="0" fontId="43" numFmtId="0" xfId="0" applyAlignment="1" applyBorder="1" applyFont="1">
      <alignment horizontal="right"/>
    </xf>
    <xf borderId="73" fillId="13" fontId="1" numFmtId="169" xfId="0" applyBorder="1" applyFont="1" applyNumberFormat="1"/>
    <xf borderId="14" fillId="0" fontId="6" numFmtId="0" xfId="0" applyBorder="1" applyFont="1"/>
    <xf borderId="9" fillId="0" fontId="43" numFmtId="0" xfId="0" applyAlignment="1" applyBorder="1" applyFont="1">
      <alignment horizontal="left"/>
    </xf>
    <xf borderId="0" fillId="0" fontId="6" numFmtId="172" xfId="0" applyFont="1" applyNumberFormat="1"/>
    <xf borderId="0" fillId="0" fontId="27" numFmtId="0" xfId="0" applyFont="1"/>
    <xf borderId="20" fillId="13" fontId="1" numFmtId="169" xfId="0" applyBorder="1" applyFont="1" applyNumberFormat="1"/>
    <xf borderId="23" fillId="2" fontId="10" numFmtId="14" xfId="0" applyAlignment="1" applyBorder="1" applyFont="1" applyNumberFormat="1">
      <alignment horizontal="center"/>
    </xf>
    <xf borderId="74" fillId="0" fontId="7" numFmtId="0" xfId="0" applyBorder="1" applyFont="1"/>
    <xf borderId="1" fillId="11" fontId="16" numFmtId="0" xfId="0" applyBorder="1" applyFont="1"/>
    <xf borderId="66" fillId="19" fontId="9" numFmtId="0" xfId="0" applyBorder="1" applyFill="1" applyFont="1"/>
    <xf borderId="1" fillId="19" fontId="6" numFmtId="0" xfId="0" applyAlignment="1" applyBorder="1" applyFont="1">
      <alignment horizontal="center"/>
    </xf>
    <xf borderId="1" fillId="11" fontId="1" numFmtId="0" xfId="0" applyBorder="1" applyFont="1"/>
    <xf borderId="1" fillId="11" fontId="1" numFmtId="0" xfId="0" applyAlignment="1" applyBorder="1" applyFont="1">
      <alignment horizontal="center"/>
    </xf>
    <xf borderId="75" fillId="7" fontId="6" numFmtId="9" xfId="0" applyAlignment="1" applyBorder="1" applyFont="1" applyNumberFormat="1">
      <alignment horizontal="center"/>
    </xf>
    <xf borderId="52" fillId="0" fontId="38" numFmtId="14" xfId="0" applyBorder="1" applyFont="1" applyNumberFormat="1"/>
    <xf borderId="18" fillId="0" fontId="6" numFmtId="0" xfId="0" applyBorder="1" applyFont="1"/>
    <xf borderId="22" fillId="4" fontId="9" numFmtId="171" xfId="0" applyAlignment="1" applyBorder="1" applyFont="1" applyNumberFormat="1">
      <alignment horizontal="center"/>
    </xf>
    <xf borderId="41" fillId="0" fontId="6" numFmtId="1" xfId="0" applyAlignment="1" applyBorder="1" applyFont="1" applyNumberFormat="1">
      <alignment horizontal="center"/>
    </xf>
    <xf borderId="76" fillId="2" fontId="9" numFmtId="171" xfId="0" applyAlignment="1" applyBorder="1" applyFont="1" applyNumberFormat="1">
      <alignment horizontal="center"/>
    </xf>
    <xf borderId="4" fillId="2" fontId="9" numFmtId="0" xfId="0" applyAlignment="1" applyBorder="1" applyFont="1">
      <alignment horizontal="center"/>
    </xf>
    <xf borderId="22" fillId="2" fontId="9" numFmtId="0" xfId="0" applyAlignment="1" applyBorder="1" applyFont="1">
      <alignment horizontal="center"/>
    </xf>
    <xf borderId="76" fillId="2" fontId="9" numFmtId="0" xfId="0" applyAlignment="1" applyBorder="1" applyFont="1">
      <alignment horizontal="center"/>
    </xf>
    <xf borderId="0" fillId="0" fontId="13" numFmtId="0" xfId="0" applyAlignment="1" applyFont="1">
      <alignment horizontal="right"/>
    </xf>
    <xf borderId="77" fillId="0" fontId="30" numFmtId="0" xfId="0" applyAlignment="1" applyBorder="1" applyFont="1">
      <alignment horizontal="center"/>
    </xf>
    <xf borderId="78" fillId="0" fontId="30" numFmtId="0" xfId="0" applyAlignment="1" applyBorder="1" applyFont="1">
      <alignment horizontal="center"/>
    </xf>
    <xf borderId="79" fillId="0" fontId="13" numFmtId="0" xfId="0" applyBorder="1" applyFont="1"/>
    <xf borderId="77" fillId="0" fontId="8" numFmtId="0" xfId="0" applyAlignment="1" applyBorder="1" applyFont="1">
      <alignment horizontal="center"/>
    </xf>
    <xf borderId="77" fillId="0" fontId="6" numFmtId="0" xfId="0" applyBorder="1" applyFont="1"/>
    <xf borderId="78" fillId="0" fontId="6" numFmtId="0" xfId="0" applyBorder="1" applyFont="1"/>
    <xf borderId="9" fillId="0" fontId="6" numFmtId="171" xfId="0" applyBorder="1" applyFont="1" applyNumberFormat="1"/>
    <xf borderId="0" fillId="0" fontId="6" numFmtId="171" xfId="0" applyFont="1" applyNumberFormat="1"/>
    <xf borderId="77" fillId="0" fontId="6" numFmtId="169" xfId="0" applyBorder="1" applyFont="1" applyNumberFormat="1"/>
    <xf borderId="78" fillId="0" fontId="6" numFmtId="169" xfId="0" applyBorder="1" applyFont="1" applyNumberFormat="1"/>
    <xf borderId="79" fillId="0" fontId="13" numFmtId="169" xfId="0" applyBorder="1" applyFont="1" applyNumberFormat="1"/>
    <xf borderId="70" fillId="0" fontId="6" numFmtId="1" xfId="0" applyAlignment="1" applyBorder="1" applyFont="1" applyNumberFormat="1">
      <alignment horizontal="center"/>
    </xf>
    <xf borderId="80" fillId="5" fontId="13" numFmtId="170" xfId="0" applyBorder="1" applyFont="1" applyNumberFormat="1"/>
    <xf borderId="16" fillId="5" fontId="13" numFmtId="170" xfId="0" applyBorder="1" applyFont="1" applyNumberFormat="1"/>
    <xf borderId="71" fillId="0" fontId="6" numFmtId="1" xfId="0" applyAlignment="1" applyBorder="1" applyFont="1" applyNumberFormat="1">
      <alignment horizontal="center"/>
    </xf>
    <xf borderId="38" fillId="5" fontId="13" numFmtId="170" xfId="0" applyBorder="1" applyFont="1" applyNumberFormat="1"/>
    <xf borderId="77" fillId="0" fontId="6" numFmtId="170" xfId="0" applyBorder="1" applyFont="1" applyNumberFormat="1"/>
    <xf borderId="78" fillId="0" fontId="6" numFmtId="170" xfId="0" applyBorder="1" applyFont="1" applyNumberFormat="1"/>
    <xf borderId="79" fillId="0" fontId="13" numFmtId="170" xfId="0" applyBorder="1" applyFont="1" applyNumberFormat="1"/>
    <xf borderId="9" fillId="0" fontId="13" numFmtId="170" xfId="0" applyBorder="1" applyFont="1" applyNumberFormat="1"/>
    <xf borderId="0" fillId="0" fontId="13" numFmtId="170" xfId="0" applyFont="1" applyNumberFormat="1"/>
    <xf borderId="10" fillId="0" fontId="13" numFmtId="170" xfId="0" applyBorder="1" applyFont="1" applyNumberFormat="1"/>
    <xf borderId="13" fillId="0" fontId="13" numFmtId="170" xfId="0" applyBorder="1" applyFont="1" applyNumberFormat="1"/>
    <xf borderId="12" fillId="0" fontId="13" numFmtId="170" xfId="0" applyBorder="1" applyFont="1" applyNumberFormat="1"/>
    <xf borderId="14" fillId="0" fontId="13" numFmtId="170" xfId="0" applyBorder="1" applyFont="1" applyNumberFormat="1"/>
    <xf borderId="0" fillId="0" fontId="44" numFmtId="0" xfId="0" applyAlignment="1" applyFont="1">
      <alignment horizontal="right"/>
    </xf>
    <xf borderId="77" fillId="0" fontId="44" numFmtId="169" xfId="0" applyBorder="1" applyFont="1" applyNumberFormat="1"/>
    <xf borderId="78" fillId="0" fontId="44" numFmtId="170" xfId="0" applyBorder="1" applyFont="1" applyNumberFormat="1"/>
    <xf borderId="79" fillId="0" fontId="44" numFmtId="170" xfId="0" applyBorder="1" applyFont="1" applyNumberFormat="1"/>
    <xf borderId="81" fillId="13" fontId="1" numFmtId="169" xfId="0" applyBorder="1" applyFont="1" applyNumberFormat="1"/>
    <xf borderId="57" fillId="13" fontId="1" numFmtId="169" xfId="0" applyBorder="1" applyFont="1" applyNumberFormat="1"/>
    <xf borderId="1" fillId="20" fontId="6" numFmtId="10" xfId="0" applyBorder="1" applyFill="1" applyFont="1" applyNumberFormat="1"/>
    <xf borderId="77" fillId="0" fontId="6" numFmtId="172" xfId="0" applyBorder="1" applyFont="1" applyNumberFormat="1"/>
    <xf borderId="79" fillId="0" fontId="13" numFmtId="172" xfId="0" applyBorder="1" applyFont="1" applyNumberFormat="1"/>
    <xf borderId="20" fillId="20" fontId="6" numFmtId="10" xfId="0" applyBorder="1" applyFont="1" applyNumberFormat="1"/>
    <xf borderId="82" fillId="0" fontId="6" numFmtId="172" xfId="0" applyBorder="1" applyFont="1" applyNumberFormat="1"/>
    <xf borderId="83" fillId="0" fontId="13" numFmtId="172" xfId="0" applyBorder="1" applyFont="1" applyNumberFormat="1"/>
    <xf borderId="9" fillId="0" fontId="4" numFmtId="0" xfId="0" applyBorder="1" applyFont="1"/>
    <xf borderId="0" fillId="0" fontId="38" numFmtId="14" xfId="0" applyFont="1" applyNumberFormat="1"/>
    <xf borderId="71" fillId="0" fontId="6" numFmtId="0" xfId="0" applyBorder="1" applyFont="1"/>
    <xf borderId="71" fillId="0" fontId="6" numFmtId="172" xfId="0" applyAlignment="1" applyBorder="1" applyFont="1" applyNumberFormat="1">
      <alignment horizontal="center"/>
    </xf>
    <xf borderId="1" fillId="2" fontId="1" numFmtId="0" xfId="0" applyAlignment="1" applyBorder="1" applyFont="1">
      <alignment horizontal="right"/>
    </xf>
    <xf borderId="71" fillId="0" fontId="31" numFmtId="172" xfId="0" applyBorder="1" applyFont="1" applyNumberFormat="1"/>
    <xf borderId="1" fillId="2" fontId="1" numFmtId="14" xfId="0" applyBorder="1" applyFont="1" applyNumberFormat="1"/>
    <xf borderId="71" fillId="0" fontId="32" numFmtId="1" xfId="0" applyAlignment="1" applyBorder="1" applyFont="1" applyNumberFormat="1">
      <alignment horizontal="right" vertical="center"/>
    </xf>
    <xf borderId="71" fillId="0" fontId="6" numFmtId="173" xfId="0" applyBorder="1" applyFont="1" applyNumberFormat="1"/>
    <xf borderId="52" fillId="0" fontId="6" numFmtId="9" xfId="0" applyBorder="1" applyFont="1" applyNumberFormat="1"/>
    <xf borderId="79" fillId="0" fontId="6" numFmtId="0" xfId="0" applyBorder="1" applyFont="1"/>
    <xf borderId="77" fillId="0" fontId="6" numFmtId="0" xfId="0" applyAlignment="1" applyBorder="1" applyFont="1">
      <alignment horizontal="center"/>
    </xf>
    <xf borderId="78" fillId="0" fontId="44" numFmtId="169" xfId="0" applyBorder="1" applyFont="1" applyNumberFormat="1"/>
    <xf borderId="79" fillId="0" fontId="6" numFmtId="172" xfId="0" applyBorder="1" applyFont="1" applyNumberFormat="1"/>
    <xf borderId="12" fillId="0" fontId="6" numFmtId="10" xfId="0" applyBorder="1" applyFont="1" applyNumberFormat="1"/>
    <xf borderId="83" fillId="0" fontId="6" numFmtId="172" xfId="0" applyBorder="1" applyFont="1" applyNumberFormat="1"/>
    <xf borderId="0" fillId="0" fontId="38" numFmtId="0" xfId="0" applyFont="1"/>
    <xf borderId="0" fillId="0" fontId="24" numFmtId="0" xfId="0" applyAlignment="1" applyFont="1">
      <alignment horizontal="center"/>
    </xf>
    <xf borderId="84" fillId="0" fontId="13" numFmtId="0" xfId="0" applyBorder="1" applyFont="1"/>
    <xf borderId="84" fillId="0" fontId="6" numFmtId="0" xfId="0" applyAlignment="1" applyBorder="1" applyFont="1">
      <alignment horizontal="center"/>
    </xf>
    <xf borderId="84" fillId="0" fontId="6" numFmtId="0" xfId="0" applyBorder="1" applyFont="1"/>
    <xf borderId="0" fillId="0" fontId="1" numFmtId="167" xfId="0" applyAlignment="1" applyFont="1" applyNumberFormat="1">
      <alignment horizontal="center"/>
    </xf>
    <xf borderId="0" fillId="0" fontId="13" numFmtId="164" xfId="0" applyFont="1" applyNumberFormat="1"/>
    <xf borderId="0" fillId="0" fontId="15" numFmtId="9" xfId="0" applyFont="1" applyNumberFormat="1"/>
    <xf borderId="0" fillId="0" fontId="1" numFmtId="0" xfId="0" applyAlignment="1" applyFont="1">
      <alignment horizontal="center"/>
    </xf>
    <xf borderId="85" fillId="13" fontId="1" numFmtId="169" xfId="0" applyBorder="1" applyFont="1" applyNumberFormat="1"/>
    <xf borderId="1" fillId="3" fontId="1" numFmtId="9" xfId="0" applyBorder="1" applyFont="1" applyNumberFormat="1"/>
    <xf borderId="85" fillId="18" fontId="6" numFmtId="177" xfId="0" applyBorder="1" applyFont="1" applyNumberFormat="1"/>
    <xf borderId="86" fillId="13" fontId="9" numFmtId="169" xfId="0" applyBorder="1" applyFont="1" applyNumberFormat="1"/>
    <xf borderId="0" fillId="0" fontId="6" numFmtId="169" xfId="0" applyAlignment="1" applyFont="1" applyNumberFormat="1">
      <alignment horizontal="center"/>
    </xf>
    <xf borderId="3" fillId="0" fontId="6" numFmtId="172" xfId="0" applyBorder="1" applyFont="1" applyNumberFormat="1"/>
    <xf borderId="5" fillId="3" fontId="6" numFmtId="172" xfId="0" applyBorder="1" applyFont="1" applyNumberFormat="1"/>
    <xf borderId="0" fillId="0" fontId="45" numFmtId="0" xfId="0" applyFont="1"/>
    <xf borderId="0" fillId="0" fontId="20" numFmtId="14" xfId="0" applyAlignment="1" applyFont="1" applyNumberFormat="1">
      <alignment horizontal="right"/>
    </xf>
    <xf borderId="1" fillId="21" fontId="6" numFmtId="0" xfId="0" applyBorder="1" applyFill="1" applyFont="1"/>
    <xf borderId="0" fillId="0" fontId="17" numFmtId="0" xfId="0" applyFont="1"/>
    <xf borderId="0" fillId="0" fontId="27" numFmtId="172" xfId="0" applyFont="1" applyNumberFormat="1"/>
    <xf borderId="0" fillId="0" fontId="20" numFmtId="0" xfId="0" applyAlignment="1" applyFont="1">
      <alignment horizontal="left"/>
    </xf>
    <xf borderId="0" fillId="0" fontId="46" numFmtId="0" xfId="0" applyFont="1"/>
    <xf borderId="69" fillId="0" fontId="6" numFmtId="172" xfId="0" applyBorder="1" applyFont="1" applyNumberFormat="1"/>
    <xf borderId="0" fillId="0" fontId="24" numFmtId="0" xfId="0" applyAlignment="1" applyFont="1">
      <alignment horizontal="right"/>
    </xf>
    <xf borderId="0" fillId="0" fontId="47" numFmtId="0" xfId="0" applyAlignment="1" applyFont="1">
      <alignment horizontal="right"/>
    </xf>
    <xf borderId="0" fillId="0" fontId="47" numFmtId="0" xfId="0" applyAlignment="1" applyFont="1">
      <alignment horizontal="right" shrinkToFit="0" wrapText="1"/>
    </xf>
    <xf borderId="85" fillId="4" fontId="1" numFmtId="169" xfId="0" applyBorder="1" applyFont="1" applyNumberFormat="1"/>
    <xf borderId="0" fillId="0" fontId="13" numFmtId="0" xfId="0" applyAlignment="1" applyFont="1">
      <alignment horizontal="right" shrinkToFit="0" wrapText="1"/>
    </xf>
    <xf borderId="0" fillId="0" fontId="48" numFmtId="172" xfId="0" applyFont="1" applyNumberFormat="1"/>
    <xf borderId="1" fillId="4" fontId="6" numFmtId="0" xfId="0" applyBorder="1" applyFont="1"/>
    <xf borderId="1" fillId="4" fontId="6" numFmtId="172" xfId="0" applyBorder="1" applyFont="1" applyNumberFormat="1"/>
    <xf borderId="1" fillId="2" fontId="9" numFmtId="0" xfId="0" applyBorder="1" applyFont="1"/>
    <xf quotePrefix="1" borderId="23" fillId="8" fontId="6" numFmtId="0" xfId="0" applyAlignment="1" applyBorder="1" applyFont="1">
      <alignment horizontal="left"/>
    </xf>
    <xf borderId="87" fillId="18" fontId="6" numFmtId="164" xfId="0" applyBorder="1" applyFont="1" applyNumberFormat="1"/>
    <xf borderId="12" fillId="0" fontId="38" numFmtId="0" xfId="0" applyBorder="1" applyFont="1"/>
    <xf borderId="88" fillId="0" fontId="13" numFmtId="164" xfId="0" applyBorder="1" applyFont="1" applyNumberFormat="1"/>
    <xf borderId="52" fillId="0" fontId="38" numFmtId="0" xfId="0" applyBorder="1" applyFont="1"/>
    <xf borderId="52" fillId="0" fontId="6" numFmtId="169" xfId="0" applyBorder="1" applyFont="1" applyNumberFormat="1"/>
    <xf borderId="15" fillId="17" fontId="1" numFmtId="169" xfId="0" applyBorder="1" applyFont="1" applyNumberFormat="1"/>
    <xf borderId="16" fillId="5" fontId="6" numFmtId="170" xfId="0" applyBorder="1" applyFont="1" applyNumberFormat="1"/>
    <xf borderId="34" fillId="5" fontId="6" numFmtId="170" xfId="0" applyBorder="1" applyFont="1" applyNumberFormat="1"/>
    <xf borderId="69" fillId="0" fontId="6" numFmtId="169" xfId="0" applyBorder="1" applyFont="1" applyNumberFormat="1"/>
    <xf borderId="0" fillId="0" fontId="13" numFmtId="172" xfId="0" applyFont="1" applyNumberFormat="1"/>
    <xf borderId="0" fillId="0" fontId="49" numFmtId="0" xfId="0" applyFont="1"/>
    <xf borderId="0" fillId="0" fontId="13" numFmtId="1" xfId="0" applyFont="1" applyNumberFormat="1"/>
    <xf borderId="0" fillId="0" fontId="24" numFmtId="0" xfId="0" applyFont="1"/>
    <xf borderId="0" fillId="0" fontId="13" numFmtId="178" xfId="0" applyFont="1" applyNumberFormat="1"/>
    <xf borderId="0" fillId="0" fontId="6" numFmtId="167" xfId="0" applyAlignment="1" applyFont="1" applyNumberFormat="1">
      <alignment horizontal="center"/>
    </xf>
    <xf borderId="0" fillId="0" fontId="13" numFmtId="169" xfId="0" applyFont="1" applyNumberFormat="1"/>
    <xf quotePrefix="1" borderId="23" fillId="8" fontId="6" numFmtId="0" xfId="0" applyAlignment="1" applyBorder="1" applyFont="1">
      <alignment horizontal="left" shrinkToFit="0" wrapText="1"/>
    </xf>
    <xf borderId="0" fillId="0" fontId="43" numFmtId="0" xfId="0" applyAlignment="1" applyFont="1">
      <alignment horizontal="right"/>
    </xf>
    <xf borderId="1" fillId="2" fontId="6" numFmtId="179" xfId="0" applyBorder="1" applyFont="1" applyNumberFormat="1"/>
    <xf borderId="2" fillId="0" fontId="4" numFmtId="0" xfId="0" applyAlignment="1" applyBorder="1" applyFont="1">
      <alignment horizontal="left"/>
    </xf>
    <xf borderId="1" fillId="3" fontId="35" numFmtId="0" xfId="0" applyAlignment="1" applyBorder="1" applyFont="1">
      <alignment horizontal="left"/>
    </xf>
    <xf borderId="1" fillId="3" fontId="1" numFmtId="0" xfId="0" applyBorder="1" applyFont="1"/>
    <xf borderId="0" fillId="0" fontId="50" numFmtId="0" xfId="0" applyFont="1"/>
    <xf borderId="0" fillId="0" fontId="13" numFmtId="0" xfId="0" applyAlignment="1" applyFont="1">
      <alignment horizontal="left" shrinkToFit="0" wrapText="1"/>
    </xf>
    <xf borderId="0" fillId="0" fontId="24" numFmtId="0" xfId="0" applyAlignment="1" applyFont="1">
      <alignment horizontal="right" shrinkToFit="0" wrapText="1"/>
    </xf>
    <xf borderId="0" fillId="0" fontId="6" numFmtId="174" xfId="0" applyAlignment="1" applyFont="1" applyNumberFormat="1">
      <alignment horizontal="center"/>
    </xf>
    <xf borderId="0" fillId="0" fontId="6" numFmtId="180" xfId="0" applyAlignment="1" applyFont="1" applyNumberFormat="1">
      <alignment horizontal="center"/>
    </xf>
    <xf borderId="0" fillId="0" fontId="51" numFmtId="0" xfId="0" applyAlignment="1" applyFont="1">
      <alignment horizontal="right" textRotation="90" vertical="top"/>
    </xf>
    <xf borderId="0" fillId="0" fontId="6" numFmtId="169" xfId="0" applyAlignment="1" applyFont="1" applyNumberFormat="1">
      <alignment horizontal="right"/>
    </xf>
    <xf borderId="0" fillId="0" fontId="6" numFmtId="170" xfId="0" applyAlignment="1" applyFont="1" applyNumberFormat="1">
      <alignment horizontal="right"/>
    </xf>
    <xf borderId="1" fillId="13" fontId="9" numFmtId="169" xfId="0" applyBorder="1" applyFont="1" applyNumberFormat="1"/>
    <xf borderId="1" fillId="3" fontId="9" numFmtId="169" xfId="0" applyBorder="1" applyFont="1" applyNumberFormat="1"/>
    <xf borderId="6" fillId="0" fontId="13" numFmtId="14" xfId="0" applyBorder="1" applyFont="1" applyNumberFormat="1"/>
    <xf borderId="1" fillId="22" fontId="9" numFmtId="0" xfId="0" applyAlignment="1" applyBorder="1" applyFill="1" applyFont="1">
      <alignment horizontal="center"/>
    </xf>
    <xf borderId="15" fillId="23" fontId="1" numFmtId="169" xfId="0" applyBorder="1" applyFill="1" applyFont="1" applyNumberFormat="1"/>
    <xf borderId="89" fillId="0" fontId="6" numFmtId="0" xfId="0" applyBorder="1" applyFont="1"/>
    <xf borderId="56" fillId="0" fontId="6" numFmtId="0" xfId="0" applyBorder="1" applyFont="1"/>
    <xf borderId="56" fillId="0" fontId="6" numFmtId="169" xfId="0" applyBorder="1" applyFont="1" applyNumberFormat="1"/>
    <xf borderId="1" fillId="18" fontId="6" numFmtId="169" xfId="0" applyBorder="1" applyFont="1" applyNumberFormat="1"/>
    <xf borderId="15" fillId="23" fontId="1" numFmtId="164" xfId="0" applyBorder="1" applyFont="1" applyNumberFormat="1"/>
    <xf borderId="90" fillId="13" fontId="9" numFmtId="169" xfId="0" applyBorder="1" applyFont="1" applyNumberFormat="1"/>
    <xf borderId="91" fillId="0" fontId="6" numFmtId="164" xfId="0" applyBorder="1" applyFont="1" applyNumberFormat="1"/>
    <xf borderId="1" fillId="23" fontId="6" numFmtId="0" xfId="0" applyBorder="1" applyFont="1"/>
    <xf borderId="1" fillId="3" fontId="13" numFmtId="0" xfId="0" applyAlignment="1" applyBorder="1" applyFont="1">
      <alignment horizontal="right"/>
    </xf>
    <xf borderId="1" fillId="3" fontId="6" numFmtId="169" xfId="0" applyBorder="1" applyFont="1" applyNumberFormat="1"/>
    <xf borderId="4" fillId="21" fontId="9" numFmtId="0" xfId="0" applyBorder="1" applyFont="1"/>
    <xf borderId="1" fillId="21" fontId="13" numFmtId="0" xfId="0" applyAlignment="1" applyBorder="1" applyFont="1">
      <alignment horizontal="right"/>
    </xf>
    <xf borderId="1" fillId="21" fontId="6" numFmtId="172" xfId="0" applyBorder="1" applyFont="1" applyNumberFormat="1"/>
    <xf borderId="4" fillId="11" fontId="9" numFmtId="0" xfId="0" applyBorder="1" applyFont="1"/>
    <xf borderId="92" fillId="0" fontId="6" numFmtId="164" xfId="0" applyBorder="1" applyFont="1" applyNumberFormat="1"/>
    <xf borderId="4" fillId="24" fontId="9" numFmtId="0" xfId="0" applyBorder="1" applyFill="1" applyFont="1"/>
    <xf borderId="1" fillId="11" fontId="9" numFmtId="0" xfId="0" applyBorder="1" applyFont="1"/>
    <xf borderId="0" fillId="0" fontId="13" numFmtId="0" xfId="0" applyAlignment="1" applyFont="1">
      <alignment shrinkToFit="0" wrapText="1"/>
    </xf>
    <xf borderId="1" fillId="5" fontId="6" numFmtId="167" xfId="0" applyBorder="1" applyFont="1" applyNumberFormat="1"/>
    <xf borderId="1" fillId="25" fontId="6" numFmtId="167" xfId="0" applyBorder="1" applyFill="1" applyFont="1" applyNumberFormat="1"/>
    <xf borderId="1" fillId="2" fontId="1" numFmtId="167" xfId="0" applyBorder="1" applyFont="1" applyNumberFormat="1"/>
    <xf borderId="1" fillId="4" fontId="1" numFmtId="9" xfId="0" applyAlignment="1" applyBorder="1" applyFont="1" applyNumberFormat="1">
      <alignment horizontal="center"/>
    </xf>
    <xf borderId="15" fillId="17" fontId="9" numFmtId="169" xfId="0" applyBorder="1" applyFont="1" applyNumberFormat="1"/>
    <xf borderId="12" fillId="0" fontId="4" numFmtId="0" xfId="0" applyAlignment="1" applyBorder="1" applyFont="1">
      <alignment horizontal="left" shrinkToFit="0" wrapText="1"/>
    </xf>
    <xf borderId="6" fillId="0" fontId="13" numFmtId="0" xfId="0" applyAlignment="1" applyBorder="1" applyFont="1">
      <alignment horizontal="right"/>
    </xf>
    <xf borderId="0" fillId="0" fontId="9" numFmtId="14" xfId="0" applyFont="1" applyNumberFormat="1"/>
    <xf quotePrefix="1" borderId="1" fillId="8" fontId="6" numFmtId="0" xfId="0" applyAlignment="1" applyBorder="1" applyFont="1">
      <alignment horizontal="left"/>
    </xf>
    <xf borderId="1" fillId="8" fontId="6" numFmtId="0" xfId="0" applyAlignment="1" applyBorder="1" applyFont="1">
      <alignment horizontal="left"/>
    </xf>
    <xf borderId="1" fillId="8" fontId="6" numFmtId="0" xfId="0" applyBorder="1" applyFont="1"/>
    <xf borderId="84" fillId="0" fontId="13" numFmtId="0" xfId="0" applyAlignment="1" applyBorder="1" applyFont="1">
      <alignment horizontal="right"/>
    </xf>
    <xf borderId="0" fillId="0" fontId="6" numFmtId="164" xfId="0" applyAlignment="1" applyFont="1" applyNumberFormat="1">
      <alignment horizontal="right"/>
    </xf>
    <xf borderId="1" fillId="2" fontId="6" numFmtId="164" xfId="0" applyAlignment="1" applyBorder="1" applyFont="1" applyNumberFormat="1">
      <alignment horizontal="right"/>
    </xf>
    <xf borderId="1" fillId="2" fontId="9" numFmtId="9" xfId="0" applyBorder="1" applyFont="1" applyNumberFormat="1"/>
    <xf borderId="0" fillId="0" fontId="4" numFmtId="9" xfId="0" applyAlignment="1" applyFont="1" applyNumberFormat="1">
      <alignment horizontal="left" shrinkToFit="0" wrapText="1"/>
    </xf>
    <xf borderId="6" fillId="0" fontId="13" numFmtId="9" xfId="0" applyAlignment="1" applyBorder="1" applyFont="1" applyNumberFormat="1">
      <alignment horizontal="right"/>
    </xf>
    <xf borderId="0" fillId="0" fontId="13" numFmtId="9" xfId="0" applyFont="1" applyNumberFormat="1"/>
    <xf borderId="84" fillId="0" fontId="13" numFmtId="9" xfId="0" applyBorder="1" applyFont="1" applyNumberFormat="1"/>
    <xf borderId="69" fillId="0" fontId="15" numFmtId="164" xfId="0" applyBorder="1" applyFont="1" applyNumberFormat="1"/>
    <xf borderId="0" fillId="0" fontId="30" numFmtId="9" xfId="0" applyFont="1" applyNumberFormat="1"/>
    <xf borderId="15" fillId="17" fontId="9" numFmtId="9" xfId="0" applyBorder="1" applyFont="1" applyNumberFormat="1"/>
    <xf borderId="0" fillId="0" fontId="13" numFmtId="9" xfId="0" applyAlignment="1" applyFont="1" applyNumberFormat="1">
      <alignment horizontal="right"/>
    </xf>
    <xf borderId="84" fillId="0" fontId="13" numFmtId="9" xfId="0" applyAlignment="1" applyBorder="1" applyFont="1" applyNumberFormat="1">
      <alignment horizontal="right"/>
    </xf>
    <xf borderId="1" fillId="2" fontId="13" numFmtId="9" xfId="0" applyAlignment="1" applyBorder="1" applyFont="1" applyNumberFormat="1">
      <alignment horizontal="right"/>
    </xf>
    <xf borderId="1" fillId="26" fontId="6" numFmtId="0" xfId="0" applyBorder="1" applyFill="1" applyFont="1"/>
    <xf borderId="3" fillId="0" fontId="4" numFmtId="0" xfId="0" applyAlignment="1" applyBorder="1" applyFont="1">
      <alignment horizontal="center"/>
    </xf>
    <xf borderId="85" fillId="13" fontId="9" numFmtId="9" xfId="0" applyBorder="1" applyFont="1" applyNumberFormat="1"/>
    <xf quotePrefix="1" borderId="0" fillId="0" fontId="6" numFmtId="0" xfId="0" applyFont="1"/>
    <xf borderId="0" fillId="0" fontId="37" numFmtId="2" xfId="0" applyAlignment="1" applyFont="1" applyNumberFormat="1">
      <alignment horizontal="center"/>
    </xf>
    <xf borderId="0" fillId="0" fontId="52" numFmtId="0" xfId="0" applyFont="1"/>
    <xf quotePrefix="1" borderId="0" fillId="0" fontId="6" numFmtId="2" xfId="0" applyFont="1" applyNumberFormat="1"/>
    <xf borderId="1" fillId="26" fontId="6" numFmtId="2" xfId="0" applyAlignment="1" applyBorder="1" applyFont="1" applyNumberFormat="1">
      <alignment horizontal="left"/>
    </xf>
    <xf borderId="1" fillId="26" fontId="13" numFmtId="0" xfId="0" applyAlignment="1" applyBorder="1" applyFont="1">
      <alignment horizontal="center"/>
    </xf>
    <xf borderId="1" fillId="26" fontId="6" numFmtId="0" xfId="0" applyAlignment="1" applyBorder="1" applyFont="1">
      <alignment horizontal="right"/>
    </xf>
    <xf borderId="1" fillId="26" fontId="6" numFmtId="169" xfId="0" applyAlignment="1" applyBorder="1" applyFont="1" applyNumberFormat="1">
      <alignment horizontal="center"/>
    </xf>
    <xf borderId="0" fillId="0" fontId="6" numFmtId="180" xfId="0" applyFont="1" applyNumberFormat="1"/>
    <xf borderId="0" fillId="0" fontId="6" numFmtId="3" xfId="0" applyFont="1" applyNumberFormat="1"/>
    <xf borderId="1" fillId="11" fontId="6" numFmtId="0" xfId="0" applyBorder="1" applyFont="1"/>
    <xf borderId="93" fillId="5" fontId="6" numFmtId="9" xfId="0" applyAlignment="1" applyBorder="1" applyFont="1" applyNumberFormat="1">
      <alignment horizontal="center"/>
    </xf>
    <xf borderId="76" fillId="27" fontId="9" numFmtId="171" xfId="0" applyAlignment="1" applyBorder="1" applyFill="1" applyFont="1" applyNumberFormat="1">
      <alignment horizontal="center"/>
    </xf>
    <xf borderId="4" fillId="3" fontId="9" numFmtId="0" xfId="0" applyAlignment="1" applyBorder="1" applyFont="1">
      <alignment horizontal="center"/>
    </xf>
    <xf borderId="76" fillId="3" fontId="9" numFmtId="0" xfId="0" applyAlignment="1" applyBorder="1" applyFont="1">
      <alignment horizontal="center"/>
    </xf>
    <xf borderId="10" fillId="0" fontId="6" numFmtId="1" xfId="0" applyAlignment="1" applyBorder="1" applyFont="1" applyNumberFormat="1">
      <alignment horizontal="center"/>
    </xf>
    <xf borderId="78" fillId="0" fontId="6" numFmtId="0" xfId="0" applyAlignment="1" applyBorder="1" applyFont="1">
      <alignment horizontal="center"/>
    </xf>
    <xf borderId="1" fillId="26" fontId="6" numFmtId="1" xfId="0" applyBorder="1" applyFont="1" applyNumberFormat="1"/>
    <xf borderId="56" fillId="0" fontId="40" numFmtId="0" xfId="0" applyBorder="1" applyFont="1"/>
    <xf borderId="56" fillId="0" fontId="6" numFmtId="1" xfId="0" applyBorder="1" applyFont="1" applyNumberFormat="1"/>
    <xf borderId="58" fillId="0" fontId="6" numFmtId="0" xfId="0" applyBorder="1" applyFont="1"/>
    <xf borderId="67" fillId="0" fontId="13" numFmtId="0" xfId="0" applyAlignment="1" applyBorder="1" applyFont="1">
      <alignment horizontal="center"/>
    </xf>
    <xf borderId="1" fillId="5" fontId="6" numFmtId="1" xfId="0" applyBorder="1" applyFont="1" applyNumberFormat="1"/>
    <xf borderId="67" fillId="0" fontId="6" numFmtId="173" xfId="0" applyBorder="1" applyFont="1" applyNumberFormat="1"/>
    <xf borderId="70" fillId="0" fontId="6" numFmtId="165" xfId="0" applyBorder="1" applyFont="1" applyNumberFormat="1"/>
    <xf borderId="94" fillId="5" fontId="6" numFmtId="1" xfId="0" applyBorder="1" applyFont="1" applyNumberFormat="1"/>
    <xf borderId="9" fillId="0" fontId="13" numFmtId="169" xfId="0" applyBorder="1" applyFont="1" applyNumberFormat="1"/>
    <xf borderId="10" fillId="0" fontId="13" numFmtId="169" xfId="0" applyBorder="1" applyFont="1" applyNumberFormat="1"/>
    <xf borderId="71" fillId="0" fontId="13" numFmtId="1" xfId="0" applyBorder="1" applyFont="1" applyNumberFormat="1"/>
    <xf borderId="72" fillId="0" fontId="6" numFmtId="173" xfId="0" applyBorder="1" applyFont="1" applyNumberFormat="1"/>
    <xf borderId="1" fillId="10" fontId="6" numFmtId="0" xfId="0" applyBorder="1" applyFont="1"/>
    <xf borderId="1" fillId="10" fontId="6" numFmtId="0" xfId="0" applyAlignment="1" applyBorder="1" applyFont="1">
      <alignment horizontal="center"/>
    </xf>
    <xf borderId="1" fillId="10" fontId="6" numFmtId="1" xfId="0" applyBorder="1" applyFont="1" applyNumberFormat="1"/>
    <xf borderId="56" fillId="0" fontId="13" numFmtId="1" xfId="0" applyBorder="1" applyFont="1" applyNumberFormat="1"/>
    <xf borderId="67" fillId="0" fontId="13" numFmtId="0" xfId="0" applyBorder="1" applyFont="1"/>
    <xf borderId="79" fillId="0" fontId="44" numFmtId="169" xfId="0" applyBorder="1" applyFont="1" applyNumberFormat="1"/>
    <xf borderId="13" fillId="0" fontId="13" numFmtId="169" xfId="0" applyBorder="1" applyFont="1" applyNumberFormat="1"/>
    <xf borderId="14" fillId="0" fontId="13" numFmtId="169" xfId="0" applyBorder="1" applyFont="1" applyNumberFormat="1"/>
    <xf borderId="78" fillId="0" fontId="6" numFmtId="172" xfId="0" applyBorder="1" applyFont="1" applyNumberFormat="1"/>
    <xf borderId="95" fillId="0" fontId="6" numFmtId="172" xfId="0" applyBorder="1" applyFont="1" applyNumberFormat="1"/>
    <xf borderId="83" fillId="0" fontId="6" numFmtId="0" xfId="0" applyBorder="1" applyFont="1"/>
    <xf borderId="8" fillId="0" fontId="13" numFmtId="0" xfId="0" applyAlignment="1" applyBorder="1" applyFont="1">
      <alignment horizontal="center"/>
    </xf>
    <xf borderId="1" fillId="26" fontId="6" numFmtId="167" xfId="0" applyBorder="1" applyFont="1" applyNumberFormat="1"/>
    <xf borderId="12" fillId="0" fontId="6" numFmtId="167" xfId="0" applyBorder="1" applyFont="1" applyNumberFormat="1"/>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theme="5"/>
          <bgColor theme="5"/>
        </patternFill>
      </fill>
      <border/>
    </dxf>
    <dxf>
      <font/>
      <fill>
        <patternFill patternType="solid">
          <fgColor rgb="FFEEECE1"/>
          <bgColor rgb="FFEEECE1"/>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00456621004566"/>
          <c:y val="0.125541125541127"/>
          <c:w val="0.7990867579908671"/>
          <c:h val="0.826839826839834"/>
        </c:manualLayout>
      </c:layout>
      <c:barChart>
        <c:barDir val="col"/>
        <c:grouping val="clustered"/>
        <c:ser>
          <c:idx val="0"/>
          <c:order val="0"/>
          <c:spPr>
            <a:solidFill>
              <a:schemeClr val="accent1"/>
            </a:solidFill>
          </c:spPr>
          <c:val>
            <c:numRef>
              <c:f>'F. Capital Required'!$D$8</c:f>
            </c:numRef>
          </c:val>
        </c:ser>
        <c:axId val="1538362827"/>
        <c:axId val="2146040583"/>
      </c:barChart>
      <c:catAx>
        <c:axId val="1538362827"/>
        <c:scaling>
          <c:orientation val="minMax"/>
        </c:scaling>
        <c:delete val="0"/>
        <c:axPos val="b"/>
        <c:txPr>
          <a:bodyPr/>
          <a:lstStyle/>
          <a:p>
            <a:pPr lvl="0">
              <a:defRPr b="0"/>
            </a:pPr>
          </a:p>
        </c:txPr>
        <c:crossAx val="2146040583"/>
      </c:catAx>
      <c:valAx>
        <c:axId val="2146040583"/>
        <c:scaling>
          <c:orientation val="minMax"/>
          <c:max val="1.0"/>
        </c:scaling>
        <c:delete val="0"/>
        <c:axPos val="l"/>
        <c:majorGridlines>
          <c:spPr>
            <a:ln>
              <a:solidFill>
                <a:srgbClr val="FFFFFF"/>
              </a:solidFill>
            </a:ln>
          </c:spPr>
        </c:majorGridlines>
        <c:numFmt formatCode="General" sourceLinked="1"/>
        <c:tickLblPos val="nextTo"/>
        <c:spPr>
          <a:ln w="47625">
            <a:noFill/>
          </a:ln>
        </c:spPr>
        <c:txPr>
          <a:bodyPr/>
          <a:lstStyle/>
          <a:p>
            <a:pPr lvl="0">
              <a:defRPr b="0"/>
            </a:pPr>
          </a:p>
        </c:txPr>
        <c:crossAx val="1538362827"/>
      </c:valAx>
      <c:spPr>
        <a:solidFill>
          <a:srgbClr val="FFFFFF"/>
        </a:solidFill>
      </c:spPr>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pPr>
            <a:r>
              <a:t>5-Year Comparison</a:t>
            </a:r>
          </a:p>
        </c:rich>
      </c:tx>
      <c:overlay val="0"/>
    </c:title>
    <c:plotArea>
      <c:layout/>
      <c:barChart>
        <c:barDir val="col"/>
        <c:grouping val="clustered"/>
        <c:ser>
          <c:idx val="0"/>
          <c:order val="0"/>
          <c:tx>
            <c:strRef>
              <c:f>'5-Year Projection'!$A$14</c:f>
            </c:strRef>
          </c:tx>
          <c:spPr>
            <a:solidFill>
              <a:srgbClr val="2E517B"/>
            </a:solidFill>
          </c:spPr>
          <c:cat>
            <c:strRef>
              <c:f>'5-Year Projection'!$B$3:$F$3</c:f>
            </c:strRef>
          </c:cat>
          <c:val>
            <c:numRef>
              <c:f>'5-Year Projection'!$B$14:$F$14</c:f>
            </c:numRef>
          </c:val>
        </c:ser>
        <c:ser>
          <c:idx val="1"/>
          <c:order val="1"/>
          <c:tx>
            <c:strRef>
              <c:f>'5-Year Projection'!$A$25</c:f>
            </c:strRef>
          </c:tx>
          <c:spPr>
            <a:solidFill>
              <a:srgbClr val="A30000"/>
            </a:solidFill>
          </c:spPr>
          <c:cat>
            <c:strRef>
              <c:f>'5-Year Projection'!$B$3:$F$3</c:f>
            </c:strRef>
          </c:cat>
          <c:val>
            <c:numRef>
              <c:f>'5-Year Projection'!$B$25:$F$25</c:f>
            </c:numRef>
          </c:val>
        </c:ser>
        <c:ser>
          <c:idx val="2"/>
          <c:order val="2"/>
          <c:tx>
            <c:strRef>
              <c:f>'5-Year Projection'!$A$27</c:f>
            </c:strRef>
          </c:tx>
          <c:spPr>
            <a:solidFill>
              <a:srgbClr val="6C6C6C"/>
            </a:solidFill>
          </c:spPr>
          <c:cat>
            <c:strRef>
              <c:f>'5-Year Projection'!$B$3:$F$3</c:f>
            </c:strRef>
          </c:cat>
          <c:val>
            <c:numRef>
              <c:f>'5-Year Projection'!$B$27:$F$27</c:f>
            </c:numRef>
          </c:val>
        </c:ser>
        <c:ser>
          <c:idx val="3"/>
          <c:order val="3"/>
          <c:tx>
            <c:strRef>
              <c:f>'5-Year Projection'!$A$30</c:f>
            </c:strRef>
          </c:tx>
          <c:spPr>
            <a:solidFill>
              <a:srgbClr val="000000"/>
            </a:solidFill>
          </c:spPr>
          <c:cat>
            <c:strRef>
              <c:f>'5-Year Projection'!$B$3:$F$3</c:f>
            </c:strRef>
          </c:cat>
          <c:val>
            <c:numRef>
              <c:f>'5-Year Projection'!$B$30:$F$30</c:f>
            </c:numRef>
          </c:val>
        </c:ser>
        <c:ser>
          <c:idx val="4"/>
          <c:order val="4"/>
          <c:tx>
            <c:strRef>
              <c:f>'5-Year Projection'!$A$68</c:f>
            </c:strRef>
          </c:tx>
          <c:spPr>
            <a:solidFill>
              <a:srgbClr val="363636"/>
            </a:solidFill>
          </c:spPr>
          <c:cat>
            <c:strRef>
              <c:f>'5-Year Projection'!$B$3:$F$3</c:f>
            </c:strRef>
          </c:cat>
          <c:val>
            <c:numRef>
              <c:f>'5-Year Projection'!$B$68:$F$68</c:f>
            </c:numRef>
          </c:val>
        </c:ser>
        <c:ser>
          <c:idx val="5"/>
          <c:order val="5"/>
          <c:tx>
            <c:strRef>
              <c:f>'5-Year Projection'!$A$74</c:f>
            </c:strRef>
          </c:tx>
          <c:spPr>
            <a:solidFill>
              <a:srgbClr val="7F98B7"/>
            </a:solidFill>
          </c:spPr>
          <c:cat>
            <c:strRef>
              <c:f>'5-Year Projection'!$B$3:$F$3</c:f>
            </c:strRef>
          </c:cat>
          <c:val>
            <c:numRef>
              <c:f>'5-Year Projection'!$B$74:$F$74</c:f>
            </c:numRef>
          </c:val>
        </c:ser>
        <c:ser>
          <c:idx val="6"/>
          <c:order val="6"/>
          <c:tx>
            <c:strRef>
              <c:f>'5-Year Projection'!$A$77</c:f>
            </c:strRef>
          </c:tx>
          <c:spPr>
            <a:solidFill>
              <a:srgbClr val="4A6F9C"/>
            </a:solidFill>
          </c:spPr>
          <c:cat>
            <c:strRef>
              <c:f>'5-Year Projection'!$B$3:$F$3</c:f>
            </c:strRef>
          </c:cat>
          <c:val>
            <c:numRef>
              <c:f>'5-Year Projection'!$B$77:$F$77</c:f>
            </c:numRef>
          </c:val>
        </c:ser>
        <c:ser>
          <c:idx val="7"/>
          <c:order val="7"/>
          <c:tx>
            <c:strRef>
              <c:f>'5-Year Projection'!$A$80</c:f>
            </c:strRef>
          </c:tx>
          <c:spPr>
            <a:solidFill>
              <a:srgbClr val="C61A1A"/>
            </a:solidFill>
          </c:spPr>
          <c:cat>
            <c:strRef>
              <c:f>'5-Year Projection'!$B$3:$F$3</c:f>
            </c:strRef>
          </c:cat>
          <c:val>
            <c:numRef>
              <c:f>'5-Year Projection'!$B$80:$F$80</c:f>
            </c:numRef>
          </c:val>
        </c:ser>
        <c:axId val="373359212"/>
        <c:axId val="1445728867"/>
      </c:barChart>
      <c:catAx>
        <c:axId val="373359212"/>
        <c:scaling>
          <c:orientation val="minMax"/>
        </c:scaling>
        <c:delete val="0"/>
        <c:axPos val="b"/>
        <c:txPr>
          <a:bodyPr/>
          <a:lstStyle/>
          <a:p>
            <a:pPr lvl="0">
              <a:defRPr b="0"/>
            </a:pPr>
          </a:p>
        </c:txPr>
        <c:crossAx val="1445728867"/>
      </c:catAx>
      <c:valAx>
        <c:axId val="1445728867"/>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373359212"/>
      </c:valAx>
      <c:spPr>
        <a:solidFill>
          <a:srgbClr val="FFFFFF"/>
        </a:solidFill>
      </c:spPr>
    </c:plotArea>
    <c:legend>
      <c:legendPos val="r"/>
      <c:overlay val="0"/>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pPr>
            <a:r>
              <a:t>5-Year Gross Revenue Compared to </a:t>
            </a:r>
          </a:p>
        </c:rich>
      </c:tx>
      <c:overlay val="0"/>
    </c:title>
    <c:plotArea>
      <c:layout/>
      <c:barChart>
        <c:barDir val="col"/>
        <c:grouping val="clustered"/>
        <c:ser>
          <c:idx val="0"/>
          <c:order val="0"/>
          <c:tx>
            <c:strRef>
              <c:f>'5-Year Projection'!$A$27</c:f>
            </c:strRef>
          </c:tx>
          <c:spPr>
            <a:solidFill>
              <a:schemeClr val="accent3"/>
            </a:solidFill>
          </c:spPr>
          <c:cat>
            <c:strRef>
              <c:f>'5-Year Projection'!$B$3:$F$3</c:f>
            </c:strRef>
          </c:cat>
          <c:val>
            <c:numRef>
              <c:f>'5-Year Projection'!$B$27:$F$27</c:f>
            </c:numRef>
          </c:val>
        </c:ser>
        <c:axId val="2066061073"/>
        <c:axId val="488329033"/>
      </c:barChart>
      <c:lineChart>
        <c:ser>
          <c:idx val="1"/>
          <c:order val="1"/>
          <c:tx>
            <c:strRef>
              <c:f>'5-Year Projection'!$A$14</c:f>
            </c:strRef>
          </c:tx>
          <c:spPr>
            <a:ln cmpd="sng" w="19050">
              <a:solidFill>
                <a:schemeClr val="accent1"/>
              </a:solidFill>
            </a:ln>
          </c:spPr>
          <c:marker>
            <c:symbol val="circle"/>
            <c:size val="5"/>
            <c:spPr>
              <a:solidFill>
                <a:schemeClr val="accent1"/>
              </a:solidFill>
              <a:ln cmpd="sng">
                <a:solidFill>
                  <a:schemeClr val="accent1"/>
                </a:solidFill>
              </a:ln>
            </c:spPr>
          </c:marker>
          <c:cat>
            <c:strRef>
              <c:f>'5-Year Projection'!$B$3:$F$3</c:f>
            </c:strRef>
          </c:cat>
          <c:val>
            <c:numRef>
              <c:f>'5-Year Projection'!$B$14:$F$14</c:f>
            </c:numRef>
          </c:val>
          <c:smooth val="0"/>
        </c:ser>
        <c:ser>
          <c:idx val="2"/>
          <c:order val="2"/>
          <c:tx>
            <c:strRef>
              <c:f>'5-Year Projection'!$A$25</c:f>
            </c:strRef>
          </c:tx>
          <c:spPr>
            <a:ln cmpd="sng" w="19050">
              <a:solidFill>
                <a:schemeClr val="accent2"/>
              </a:solidFill>
            </a:ln>
          </c:spPr>
          <c:marker>
            <c:symbol val="circle"/>
            <c:size val="5"/>
            <c:spPr>
              <a:solidFill>
                <a:schemeClr val="accent2"/>
              </a:solidFill>
              <a:ln cmpd="sng">
                <a:solidFill>
                  <a:schemeClr val="accent2"/>
                </a:solidFill>
              </a:ln>
            </c:spPr>
          </c:marker>
          <c:cat>
            <c:strRef>
              <c:f>'5-Year Projection'!$B$3:$F$3</c:f>
            </c:strRef>
          </c:cat>
          <c:val>
            <c:numRef>
              <c:f>'5-Year Projection'!$B$25:$F$25</c:f>
            </c:numRef>
          </c:val>
          <c:smooth val="0"/>
        </c:ser>
        <c:axId val="2066061073"/>
        <c:axId val="488329033"/>
      </c:lineChart>
      <c:catAx>
        <c:axId val="2066061073"/>
        <c:scaling>
          <c:orientation val="minMax"/>
        </c:scaling>
        <c:delete val="0"/>
        <c:axPos val="b"/>
        <c:txPr>
          <a:bodyPr/>
          <a:lstStyle/>
          <a:p>
            <a:pPr lvl="0">
              <a:defRPr b="0"/>
            </a:pPr>
          </a:p>
        </c:txPr>
        <c:crossAx val="488329033"/>
      </c:catAx>
      <c:valAx>
        <c:axId val="488329033"/>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066061073"/>
      </c:valAx>
      <c:spPr>
        <a:solidFill>
          <a:srgbClr val="FFFFFF"/>
        </a:solidFill>
      </c:spPr>
    </c:plotArea>
    <c:legend>
      <c:legendPos val="r"/>
      <c:overlay val="0"/>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pPr>
            <a:r>
              <a:t>Year 1 Sales Units By Product/Service</a:t>
            </a:r>
          </a:p>
        </c:rich>
      </c:tx>
      <c:overlay val="0"/>
    </c:title>
    <c:plotArea>
      <c:layout/>
      <c:barChart>
        <c:barDir val="col"/>
        <c:grouping val="clustered"/>
        <c:ser>
          <c:idx val="0"/>
          <c:order val="0"/>
          <c:spPr>
            <a:solidFill>
              <a:schemeClr val="accent1"/>
            </a:solidFill>
          </c:spPr>
          <c:cat>
            <c:strRef>
              <c:f>'E. Sales Units'!$B$8:$B$15</c:f>
            </c:strRef>
          </c:cat>
          <c:val>
            <c:numRef>
              <c:f>'E. Sales Units'!$Q$8:$Q$15</c:f>
            </c:numRef>
          </c:val>
        </c:ser>
        <c:axId val="1394237997"/>
        <c:axId val="633121704"/>
      </c:barChart>
      <c:catAx>
        <c:axId val="1394237997"/>
        <c:scaling>
          <c:orientation val="minMax"/>
        </c:scaling>
        <c:delete val="0"/>
        <c:axPos val="b"/>
        <c:txPr>
          <a:bodyPr/>
          <a:lstStyle/>
          <a:p>
            <a:pPr lvl="0">
              <a:defRPr b="0"/>
            </a:pPr>
          </a:p>
        </c:txPr>
        <c:crossAx val="633121704"/>
      </c:catAx>
      <c:valAx>
        <c:axId val="633121704"/>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394237997"/>
      </c:valAx>
      <c:spPr>
        <a:solidFill>
          <a:srgbClr val="FFFFFF"/>
        </a:solidFill>
      </c:spPr>
    </c:plotArea>
    <c:plotVisOnly val="1"/>
  </c:chart>
</c:chartSpace>
</file>

<file path=xl/drawings/_rels/drawing1.xml.rels><?xml version="1.0" encoding="UTF-8" standalone="yes"?><Relationships xmlns="http://schemas.openxmlformats.org/package/2006/relationships"><Relationship Id="rId20" Type="http://schemas.openxmlformats.org/officeDocument/2006/relationships/image" Target="../media/image1.jpg"/><Relationship Id="rId11" Type="http://schemas.openxmlformats.org/officeDocument/2006/relationships/hyperlink" Target="#RTN_Pricing" TargetMode="External"/><Relationship Id="rId10" Type="http://schemas.openxmlformats.org/officeDocument/2006/relationships/hyperlink" Target="#RTN_ExpSummary" TargetMode="External"/><Relationship Id="rId13" Type="http://schemas.openxmlformats.org/officeDocument/2006/relationships/hyperlink" Target="#RTN_CapAssets" TargetMode="External"/><Relationship Id="rId12" Type="http://schemas.openxmlformats.org/officeDocument/2006/relationships/hyperlink" Target="#RTN_MiscCosts" TargetMode="External"/><Relationship Id="rId1" Type="http://schemas.openxmlformats.org/officeDocument/2006/relationships/hyperlink" Target="http://www.guidedbusinessplan.com/" TargetMode="External"/><Relationship Id="rId2" Type="http://schemas.openxmlformats.org/officeDocument/2006/relationships/hyperlink" Target="#RTN_Charts" TargetMode="External"/><Relationship Id="rId3" Type="http://schemas.openxmlformats.org/officeDocument/2006/relationships/hyperlink" Target="#RTN_Personnel" TargetMode="External"/><Relationship Id="rId4" Type="http://schemas.openxmlformats.org/officeDocument/2006/relationships/hyperlink" Target="#RTN_FiveYear" TargetMode="External"/><Relationship Id="rId9" Type="http://schemas.openxmlformats.org/officeDocument/2006/relationships/hyperlink" Target="#RTN_StartupExp" TargetMode="External"/><Relationship Id="rId15" Type="http://schemas.openxmlformats.org/officeDocument/2006/relationships/hyperlink" Target="#RTN_CashFlow" TargetMode="External"/><Relationship Id="rId14" Type="http://schemas.openxmlformats.org/officeDocument/2006/relationships/hyperlink" Target="#RTN_Income" TargetMode="External"/><Relationship Id="rId17" Type="http://schemas.openxmlformats.org/officeDocument/2006/relationships/hyperlink" Target="#RTN_Ratios" TargetMode="External"/><Relationship Id="rId16" Type="http://schemas.openxmlformats.org/officeDocument/2006/relationships/hyperlink" Target="#RTN_Balance" TargetMode="External"/><Relationship Id="rId5" Type="http://schemas.openxmlformats.org/officeDocument/2006/relationships/hyperlink" Target="#RTN_SalesUnits" TargetMode="External"/><Relationship Id="rId19" Type="http://schemas.openxmlformats.org/officeDocument/2006/relationships/hyperlink" Target="#RTN_ReadMe" TargetMode="External"/><Relationship Id="rId6" Type="http://schemas.openxmlformats.org/officeDocument/2006/relationships/hyperlink" Target="#RTN_Capital" TargetMode="External"/><Relationship Id="rId18" Type="http://schemas.openxmlformats.org/officeDocument/2006/relationships/hyperlink" Target="#RTN_Loans" TargetMode="External"/><Relationship Id="rId7" Type="http://schemas.openxmlformats.org/officeDocument/2006/relationships/hyperlink" Target="#RTN_Background" TargetMode="External"/><Relationship Id="rId8" Type="http://schemas.openxmlformats.org/officeDocument/2006/relationships/hyperlink" Target="#RTN_MonthlyExp" TargetMode="External"/></Relationships>
</file>

<file path=xl/drawings/_rels/drawing2.xml.rels><?xml version="1.0" encoding="UTF-8" standalone="yes"?><Relationships xmlns="http://schemas.openxmlformats.org/package/2006/relationships"><Relationship Id="rId20" Type="http://schemas.openxmlformats.org/officeDocument/2006/relationships/hyperlink" Target="#RTN_Loans" TargetMode="External"/><Relationship Id="rId11" Type="http://schemas.openxmlformats.org/officeDocument/2006/relationships/hyperlink" Target="#RTN_StartupExp" TargetMode="External"/><Relationship Id="rId10" Type="http://schemas.openxmlformats.org/officeDocument/2006/relationships/hyperlink" Target="#RTN_MonthlyExp" TargetMode="External"/><Relationship Id="rId21" Type="http://schemas.openxmlformats.org/officeDocument/2006/relationships/hyperlink" Target="#RTN_ReadMe" TargetMode="External"/><Relationship Id="rId13" Type="http://schemas.openxmlformats.org/officeDocument/2006/relationships/hyperlink" Target="#RTN_Pricing" TargetMode="External"/><Relationship Id="rId12" Type="http://schemas.openxmlformats.org/officeDocument/2006/relationships/hyperlink" Target="#RTN_ExpSummary" TargetMode="External"/><Relationship Id="rId1" Type="http://schemas.openxmlformats.org/officeDocument/2006/relationships/hyperlink" Target="#RTN_StartupExp" TargetMode="External"/><Relationship Id="rId2" Type="http://schemas.openxmlformats.org/officeDocument/2006/relationships/hyperlink" Target="#Pricing!A1" TargetMode="External"/><Relationship Id="rId3" Type="http://schemas.openxmlformats.org/officeDocument/2006/relationships/hyperlink" Target="http://www.guidedbusinessplan.com/" TargetMode="External"/><Relationship Id="rId4" Type="http://schemas.openxmlformats.org/officeDocument/2006/relationships/hyperlink" Target="#RTN_Charts" TargetMode="External"/><Relationship Id="rId9" Type="http://schemas.openxmlformats.org/officeDocument/2006/relationships/hyperlink" Target="#RTN_Background" TargetMode="External"/><Relationship Id="rId15" Type="http://schemas.openxmlformats.org/officeDocument/2006/relationships/hyperlink" Target="#RTN_CapAssets" TargetMode="External"/><Relationship Id="rId14" Type="http://schemas.openxmlformats.org/officeDocument/2006/relationships/hyperlink" Target="#RTN_MiscCosts" TargetMode="External"/><Relationship Id="rId17" Type="http://schemas.openxmlformats.org/officeDocument/2006/relationships/hyperlink" Target="#RTN_CashFlow" TargetMode="External"/><Relationship Id="rId16" Type="http://schemas.openxmlformats.org/officeDocument/2006/relationships/hyperlink" Target="#RTN_Income" TargetMode="External"/><Relationship Id="rId5" Type="http://schemas.openxmlformats.org/officeDocument/2006/relationships/hyperlink" Target="#RTN_Personnel" TargetMode="External"/><Relationship Id="rId19" Type="http://schemas.openxmlformats.org/officeDocument/2006/relationships/hyperlink" Target="#RTN_Ratios" TargetMode="External"/><Relationship Id="rId6" Type="http://schemas.openxmlformats.org/officeDocument/2006/relationships/hyperlink" Target="#RTN_FiveYear" TargetMode="External"/><Relationship Id="rId18" Type="http://schemas.openxmlformats.org/officeDocument/2006/relationships/hyperlink" Target="#RTN_Balance" TargetMode="External"/><Relationship Id="rId7" Type="http://schemas.openxmlformats.org/officeDocument/2006/relationships/hyperlink" Target="#RTN_SalesUnits" TargetMode="External"/><Relationship Id="rId8" Type="http://schemas.openxmlformats.org/officeDocument/2006/relationships/hyperlink" Target="#RTN_Capital" TargetMode="External"/></Relationships>
</file>

<file path=xl/drawings/_rels/drawing3.xml.rels><?xml version="1.0" encoding="UTF-8" standalone="yes"?><Relationships xmlns="http://schemas.openxmlformats.org/package/2006/relationships"><Relationship Id="rId20" Type="http://schemas.openxmlformats.org/officeDocument/2006/relationships/hyperlink" Target="#RTN_Loans" TargetMode="External"/><Relationship Id="rId11" Type="http://schemas.openxmlformats.org/officeDocument/2006/relationships/hyperlink" Target="#RTN_StartupExp" TargetMode="External"/><Relationship Id="rId10" Type="http://schemas.openxmlformats.org/officeDocument/2006/relationships/hyperlink" Target="#RTN_MonthlyExp" TargetMode="External"/><Relationship Id="rId21" Type="http://schemas.openxmlformats.org/officeDocument/2006/relationships/hyperlink" Target="#RTN_ReadMe" TargetMode="External"/><Relationship Id="rId13" Type="http://schemas.openxmlformats.org/officeDocument/2006/relationships/hyperlink" Target="#RTN_Pricing" TargetMode="External"/><Relationship Id="rId12" Type="http://schemas.openxmlformats.org/officeDocument/2006/relationships/hyperlink" Target="#RTN_ExpSummary" TargetMode="External"/><Relationship Id="rId1" Type="http://schemas.openxmlformats.org/officeDocument/2006/relationships/hyperlink" Target="#RTN_MonthlyExp" TargetMode="External"/><Relationship Id="rId2" Type="http://schemas.openxmlformats.org/officeDocument/2006/relationships/hyperlink" Target="#RTN_CapAssets" TargetMode="External"/><Relationship Id="rId3" Type="http://schemas.openxmlformats.org/officeDocument/2006/relationships/hyperlink" Target="http://www.guidedbusinessplan.com/" TargetMode="External"/><Relationship Id="rId4" Type="http://schemas.openxmlformats.org/officeDocument/2006/relationships/hyperlink" Target="#RTN_Charts" TargetMode="External"/><Relationship Id="rId9" Type="http://schemas.openxmlformats.org/officeDocument/2006/relationships/hyperlink" Target="#RTN_Background" TargetMode="External"/><Relationship Id="rId15" Type="http://schemas.openxmlformats.org/officeDocument/2006/relationships/hyperlink" Target="#RTN_CapAssets" TargetMode="External"/><Relationship Id="rId14" Type="http://schemas.openxmlformats.org/officeDocument/2006/relationships/hyperlink" Target="#RTN_MiscCosts" TargetMode="External"/><Relationship Id="rId17" Type="http://schemas.openxmlformats.org/officeDocument/2006/relationships/hyperlink" Target="#RTN_CashFlow" TargetMode="External"/><Relationship Id="rId16" Type="http://schemas.openxmlformats.org/officeDocument/2006/relationships/hyperlink" Target="#RTN_Income" TargetMode="External"/><Relationship Id="rId5" Type="http://schemas.openxmlformats.org/officeDocument/2006/relationships/hyperlink" Target="#RTN_Personnel" TargetMode="External"/><Relationship Id="rId19" Type="http://schemas.openxmlformats.org/officeDocument/2006/relationships/hyperlink" Target="#RTN_Ratios" TargetMode="External"/><Relationship Id="rId6" Type="http://schemas.openxmlformats.org/officeDocument/2006/relationships/hyperlink" Target="#RTN_FiveYear" TargetMode="External"/><Relationship Id="rId18" Type="http://schemas.openxmlformats.org/officeDocument/2006/relationships/hyperlink" Target="#RTN_Balance" TargetMode="External"/><Relationship Id="rId7" Type="http://schemas.openxmlformats.org/officeDocument/2006/relationships/hyperlink" Target="#RTN_SalesUnits" TargetMode="External"/><Relationship Id="rId8" Type="http://schemas.openxmlformats.org/officeDocument/2006/relationships/hyperlink" Target="#RTN_Capital" TargetMode="External"/></Relationships>
</file>

<file path=xl/drawings/_rels/drawing4.xml.rels><?xml version="1.0" encoding="UTF-8" standalone="yes"?><Relationships xmlns="http://schemas.openxmlformats.org/package/2006/relationships"><Relationship Id="rId20" Type="http://schemas.openxmlformats.org/officeDocument/2006/relationships/hyperlink" Target="#RTN_Loans" TargetMode="External"/><Relationship Id="rId11" Type="http://schemas.openxmlformats.org/officeDocument/2006/relationships/hyperlink" Target="#RTN_StartupExp" TargetMode="External"/><Relationship Id="rId10" Type="http://schemas.openxmlformats.org/officeDocument/2006/relationships/hyperlink" Target="#RTN_MonthlyExp" TargetMode="External"/><Relationship Id="rId21" Type="http://schemas.openxmlformats.org/officeDocument/2006/relationships/hyperlink" Target="#RTN_ReadMe" TargetMode="External"/><Relationship Id="rId13" Type="http://schemas.openxmlformats.org/officeDocument/2006/relationships/hyperlink" Target="#RTN_Pricing" TargetMode="External"/><Relationship Id="rId12" Type="http://schemas.openxmlformats.org/officeDocument/2006/relationships/hyperlink" Target="#RTN_ExpSummary" TargetMode="External"/><Relationship Id="rId1" Type="http://schemas.openxmlformats.org/officeDocument/2006/relationships/hyperlink" Target="#RTN_Personnel" TargetMode="External"/><Relationship Id="rId2" Type="http://schemas.openxmlformats.org/officeDocument/2006/relationships/hyperlink" Target="#RTN_MiscCosts" TargetMode="External"/><Relationship Id="rId3" Type="http://schemas.openxmlformats.org/officeDocument/2006/relationships/hyperlink" Target="http://www.guidedbusinessplan.com/" TargetMode="External"/><Relationship Id="rId4" Type="http://schemas.openxmlformats.org/officeDocument/2006/relationships/hyperlink" Target="#RTN_Charts" TargetMode="External"/><Relationship Id="rId9" Type="http://schemas.openxmlformats.org/officeDocument/2006/relationships/hyperlink" Target="#RTN_Background" TargetMode="External"/><Relationship Id="rId15" Type="http://schemas.openxmlformats.org/officeDocument/2006/relationships/hyperlink" Target="#RTN_CapAssets" TargetMode="External"/><Relationship Id="rId14" Type="http://schemas.openxmlformats.org/officeDocument/2006/relationships/hyperlink" Target="#RTN_MiscCosts" TargetMode="External"/><Relationship Id="rId17" Type="http://schemas.openxmlformats.org/officeDocument/2006/relationships/hyperlink" Target="#RTN_CashFlow" TargetMode="External"/><Relationship Id="rId16" Type="http://schemas.openxmlformats.org/officeDocument/2006/relationships/hyperlink" Target="#RTN_Income" TargetMode="External"/><Relationship Id="rId5" Type="http://schemas.openxmlformats.org/officeDocument/2006/relationships/hyperlink" Target="#RTN_Personnel" TargetMode="External"/><Relationship Id="rId19" Type="http://schemas.openxmlformats.org/officeDocument/2006/relationships/hyperlink" Target="#RTN_Ratios" TargetMode="External"/><Relationship Id="rId6" Type="http://schemas.openxmlformats.org/officeDocument/2006/relationships/hyperlink" Target="#RTN_FiveYear" TargetMode="External"/><Relationship Id="rId18" Type="http://schemas.openxmlformats.org/officeDocument/2006/relationships/hyperlink" Target="#RTN_Balance" TargetMode="External"/><Relationship Id="rId7" Type="http://schemas.openxmlformats.org/officeDocument/2006/relationships/hyperlink" Target="#RTN_SalesUnits" TargetMode="External"/><Relationship Id="rId8" Type="http://schemas.openxmlformats.org/officeDocument/2006/relationships/hyperlink" Target="#RTN_Capital" TargetMode="External"/></Relationships>
</file>

<file path=xl/drawings/_rels/drawing5.xml.rels><?xml version="1.0" encoding="UTF-8" standalone="yes"?><Relationships xmlns="http://schemas.openxmlformats.org/package/2006/relationships"><Relationship Id="rId20" Type="http://schemas.openxmlformats.org/officeDocument/2006/relationships/hyperlink" Target="#RTN_ReadMe" TargetMode="External"/><Relationship Id="rId11" Type="http://schemas.openxmlformats.org/officeDocument/2006/relationships/hyperlink" Target="#RTN_ExpSummary" TargetMode="External"/><Relationship Id="rId10" Type="http://schemas.openxmlformats.org/officeDocument/2006/relationships/hyperlink" Target="#RTN_StartupExp" TargetMode="External"/><Relationship Id="rId13" Type="http://schemas.openxmlformats.org/officeDocument/2006/relationships/hyperlink" Target="#RTN_MiscCosts" TargetMode="External"/><Relationship Id="rId12" Type="http://schemas.openxmlformats.org/officeDocument/2006/relationships/hyperlink" Target="#RTN_Pricing" TargetMode="External"/><Relationship Id="rId1" Type="http://schemas.openxmlformats.org/officeDocument/2006/relationships/hyperlink" Target="#RTN_SalesUnits" TargetMode="External"/><Relationship Id="rId2" Type="http://schemas.openxmlformats.org/officeDocument/2006/relationships/hyperlink" Target="http://www.guidedbusinessplan.com/" TargetMode="External"/><Relationship Id="rId3" Type="http://schemas.openxmlformats.org/officeDocument/2006/relationships/hyperlink" Target="#RTN_Charts" TargetMode="External"/><Relationship Id="rId4" Type="http://schemas.openxmlformats.org/officeDocument/2006/relationships/hyperlink" Target="#RTN_Personnel" TargetMode="External"/><Relationship Id="rId9" Type="http://schemas.openxmlformats.org/officeDocument/2006/relationships/hyperlink" Target="#RTN_MonthlyExp" TargetMode="External"/><Relationship Id="rId15" Type="http://schemas.openxmlformats.org/officeDocument/2006/relationships/hyperlink" Target="#RTN_Income" TargetMode="External"/><Relationship Id="rId14" Type="http://schemas.openxmlformats.org/officeDocument/2006/relationships/hyperlink" Target="#RTN_CapAssets" TargetMode="External"/><Relationship Id="rId17" Type="http://schemas.openxmlformats.org/officeDocument/2006/relationships/hyperlink" Target="#RTN_Balance" TargetMode="External"/><Relationship Id="rId16" Type="http://schemas.openxmlformats.org/officeDocument/2006/relationships/hyperlink" Target="#RTN_CashFlow" TargetMode="External"/><Relationship Id="rId5" Type="http://schemas.openxmlformats.org/officeDocument/2006/relationships/hyperlink" Target="#RTN_FiveYear" TargetMode="External"/><Relationship Id="rId19" Type="http://schemas.openxmlformats.org/officeDocument/2006/relationships/hyperlink" Target="#RTN_Loans" TargetMode="External"/><Relationship Id="rId6" Type="http://schemas.openxmlformats.org/officeDocument/2006/relationships/hyperlink" Target="#RTN_SalesUnits" TargetMode="External"/><Relationship Id="rId18" Type="http://schemas.openxmlformats.org/officeDocument/2006/relationships/hyperlink" Target="#RTN_Ratios" TargetMode="External"/><Relationship Id="rId7" Type="http://schemas.openxmlformats.org/officeDocument/2006/relationships/hyperlink" Target="#RTN_Capital" TargetMode="External"/><Relationship Id="rId8" Type="http://schemas.openxmlformats.org/officeDocument/2006/relationships/hyperlink" Target="#RTN_Background" TargetMode="External"/></Relationships>
</file>

<file path=xl/drawings/_rels/drawing6.xml.rels><?xml version="1.0" encoding="UTF-8" standalone="yes"?><Relationships xmlns="http://schemas.openxmlformats.org/package/2006/relationships"><Relationship Id="rId11" Type="http://schemas.openxmlformats.org/officeDocument/2006/relationships/hyperlink" Target="#RTN_Pricing" TargetMode="External"/><Relationship Id="rId10" Type="http://schemas.openxmlformats.org/officeDocument/2006/relationships/hyperlink" Target="#RTN_ExpSummary" TargetMode="External"/><Relationship Id="rId13" Type="http://schemas.openxmlformats.org/officeDocument/2006/relationships/hyperlink" Target="#RTN_CapAssets" TargetMode="External"/><Relationship Id="rId12" Type="http://schemas.openxmlformats.org/officeDocument/2006/relationships/hyperlink" Target="#RTN_MiscCosts" TargetMode="External"/><Relationship Id="rId1" Type="http://schemas.openxmlformats.org/officeDocument/2006/relationships/hyperlink" Target="http://www.guidedbusinessplan.com/" TargetMode="External"/><Relationship Id="rId2" Type="http://schemas.openxmlformats.org/officeDocument/2006/relationships/hyperlink" Target="#RTN_Charts" TargetMode="External"/><Relationship Id="rId3" Type="http://schemas.openxmlformats.org/officeDocument/2006/relationships/hyperlink" Target="#RTN_Personnel" TargetMode="External"/><Relationship Id="rId4" Type="http://schemas.openxmlformats.org/officeDocument/2006/relationships/hyperlink" Target="#RTN_FiveYear" TargetMode="External"/><Relationship Id="rId9" Type="http://schemas.openxmlformats.org/officeDocument/2006/relationships/hyperlink" Target="#RTN_StartupExp" TargetMode="External"/><Relationship Id="rId15" Type="http://schemas.openxmlformats.org/officeDocument/2006/relationships/hyperlink" Target="#RTN_CashFlow" TargetMode="External"/><Relationship Id="rId14" Type="http://schemas.openxmlformats.org/officeDocument/2006/relationships/hyperlink" Target="#RTN_Income" TargetMode="External"/><Relationship Id="rId17" Type="http://schemas.openxmlformats.org/officeDocument/2006/relationships/hyperlink" Target="#RTN_Ratios" TargetMode="External"/><Relationship Id="rId16" Type="http://schemas.openxmlformats.org/officeDocument/2006/relationships/hyperlink" Target="#RTN_Balance" TargetMode="External"/><Relationship Id="rId5" Type="http://schemas.openxmlformats.org/officeDocument/2006/relationships/hyperlink" Target="#RTN_SalesUnits" TargetMode="External"/><Relationship Id="rId19" Type="http://schemas.openxmlformats.org/officeDocument/2006/relationships/hyperlink" Target="#RTN_ReadMe" TargetMode="External"/><Relationship Id="rId6" Type="http://schemas.openxmlformats.org/officeDocument/2006/relationships/hyperlink" Target="#RTN_Capital" TargetMode="External"/><Relationship Id="rId18" Type="http://schemas.openxmlformats.org/officeDocument/2006/relationships/hyperlink" Target="#RTN_Loans" TargetMode="External"/><Relationship Id="rId7" Type="http://schemas.openxmlformats.org/officeDocument/2006/relationships/hyperlink" Target="#RTN_Background" TargetMode="External"/><Relationship Id="rId8" Type="http://schemas.openxmlformats.org/officeDocument/2006/relationships/hyperlink" Target="#RTN_MonthlyExp" TargetMode="External"/></Relationships>
</file>

<file path=xl/drawings/_rels/drawing7.xml.rels><?xml version="1.0" encoding="UTF-8" standalone="yes"?><Relationships xmlns="http://schemas.openxmlformats.org/package/2006/relationships"><Relationship Id="rId20" Type="http://schemas.openxmlformats.org/officeDocument/2006/relationships/hyperlink" Target="#RTN_ReadMe" TargetMode="External"/><Relationship Id="rId11" Type="http://schemas.openxmlformats.org/officeDocument/2006/relationships/hyperlink" Target="#RTN_ExpSummary" TargetMode="External"/><Relationship Id="rId10" Type="http://schemas.openxmlformats.org/officeDocument/2006/relationships/hyperlink" Target="#RTN_StartupExp" TargetMode="External"/><Relationship Id="rId13" Type="http://schemas.openxmlformats.org/officeDocument/2006/relationships/hyperlink" Target="#RTN_MiscCosts" TargetMode="External"/><Relationship Id="rId12" Type="http://schemas.openxmlformats.org/officeDocument/2006/relationships/hyperlink" Target="#RTN_Pricing" TargetMode="External"/><Relationship Id="rId1" Type="http://schemas.openxmlformats.org/officeDocument/2006/relationships/chart" Target="../charts/chart1.xml"/><Relationship Id="rId2" Type="http://schemas.openxmlformats.org/officeDocument/2006/relationships/hyperlink" Target="http://www.guidedbusinessplan.com/" TargetMode="External"/><Relationship Id="rId3" Type="http://schemas.openxmlformats.org/officeDocument/2006/relationships/hyperlink" Target="#RTN_Charts" TargetMode="External"/><Relationship Id="rId4" Type="http://schemas.openxmlformats.org/officeDocument/2006/relationships/hyperlink" Target="#RTN_Personnel" TargetMode="External"/><Relationship Id="rId9" Type="http://schemas.openxmlformats.org/officeDocument/2006/relationships/hyperlink" Target="#RTN_MonthlyExp" TargetMode="External"/><Relationship Id="rId15" Type="http://schemas.openxmlformats.org/officeDocument/2006/relationships/hyperlink" Target="#RTN_Income" TargetMode="External"/><Relationship Id="rId14" Type="http://schemas.openxmlformats.org/officeDocument/2006/relationships/hyperlink" Target="#RTN_CapAssets" TargetMode="External"/><Relationship Id="rId17" Type="http://schemas.openxmlformats.org/officeDocument/2006/relationships/hyperlink" Target="#RTN_Balance" TargetMode="External"/><Relationship Id="rId16" Type="http://schemas.openxmlformats.org/officeDocument/2006/relationships/hyperlink" Target="#RTN_CashFlow" TargetMode="External"/><Relationship Id="rId5" Type="http://schemas.openxmlformats.org/officeDocument/2006/relationships/hyperlink" Target="#RTN_FiveYear" TargetMode="External"/><Relationship Id="rId19" Type="http://schemas.openxmlformats.org/officeDocument/2006/relationships/hyperlink" Target="#RTN_Loans" TargetMode="External"/><Relationship Id="rId6" Type="http://schemas.openxmlformats.org/officeDocument/2006/relationships/hyperlink" Target="#RTN_SalesUnits" TargetMode="External"/><Relationship Id="rId18" Type="http://schemas.openxmlformats.org/officeDocument/2006/relationships/hyperlink" Target="#RTN_Ratios" TargetMode="External"/><Relationship Id="rId7" Type="http://schemas.openxmlformats.org/officeDocument/2006/relationships/hyperlink" Target="#RTN_Capital" TargetMode="External"/><Relationship Id="rId8" Type="http://schemas.openxmlformats.org/officeDocument/2006/relationships/hyperlink" Target="#RTN_Background" TargetMode="External"/></Relationships>
</file>

<file path=xl/drawings/_rels/drawing8.xml.rels><?xml version="1.0" encoding="UTF-8" standalone="yes"?><Relationships xmlns="http://schemas.openxmlformats.org/package/2006/relationships"><Relationship Id="rId11" Type="http://schemas.openxmlformats.org/officeDocument/2006/relationships/hyperlink" Target="#RTN_Pricing" TargetMode="External"/><Relationship Id="rId10" Type="http://schemas.openxmlformats.org/officeDocument/2006/relationships/hyperlink" Target="#RTN_ExpSummary" TargetMode="External"/><Relationship Id="rId13" Type="http://schemas.openxmlformats.org/officeDocument/2006/relationships/hyperlink" Target="#RTN_CapAssets" TargetMode="External"/><Relationship Id="rId12" Type="http://schemas.openxmlformats.org/officeDocument/2006/relationships/hyperlink" Target="#RTN_MiscCosts" TargetMode="External"/><Relationship Id="rId1" Type="http://schemas.openxmlformats.org/officeDocument/2006/relationships/hyperlink" Target="http://www.guidedbusinessplan.com/" TargetMode="External"/><Relationship Id="rId2" Type="http://schemas.openxmlformats.org/officeDocument/2006/relationships/hyperlink" Target="#RTN_Charts" TargetMode="External"/><Relationship Id="rId3" Type="http://schemas.openxmlformats.org/officeDocument/2006/relationships/hyperlink" Target="#RTN_Personnel" TargetMode="External"/><Relationship Id="rId4" Type="http://schemas.openxmlformats.org/officeDocument/2006/relationships/hyperlink" Target="#RTN_FiveYear" TargetMode="External"/><Relationship Id="rId9" Type="http://schemas.openxmlformats.org/officeDocument/2006/relationships/hyperlink" Target="#RTN_StartupExp" TargetMode="External"/><Relationship Id="rId15" Type="http://schemas.openxmlformats.org/officeDocument/2006/relationships/hyperlink" Target="#RTN_CashFlow" TargetMode="External"/><Relationship Id="rId14" Type="http://schemas.openxmlformats.org/officeDocument/2006/relationships/hyperlink" Target="#RTN_Income" TargetMode="External"/><Relationship Id="rId17" Type="http://schemas.openxmlformats.org/officeDocument/2006/relationships/hyperlink" Target="#RTN_Ratios" TargetMode="External"/><Relationship Id="rId16" Type="http://schemas.openxmlformats.org/officeDocument/2006/relationships/hyperlink" Target="#RTN_Balance" TargetMode="External"/><Relationship Id="rId5" Type="http://schemas.openxmlformats.org/officeDocument/2006/relationships/hyperlink" Target="#RTN_SalesUnits" TargetMode="External"/><Relationship Id="rId19" Type="http://schemas.openxmlformats.org/officeDocument/2006/relationships/hyperlink" Target="#RTN_ReadMe" TargetMode="External"/><Relationship Id="rId6" Type="http://schemas.openxmlformats.org/officeDocument/2006/relationships/hyperlink" Target="#RTN_Capital" TargetMode="External"/><Relationship Id="rId18" Type="http://schemas.openxmlformats.org/officeDocument/2006/relationships/hyperlink" Target="#RTN_Loans" TargetMode="External"/><Relationship Id="rId7" Type="http://schemas.openxmlformats.org/officeDocument/2006/relationships/hyperlink" Target="#RTN_Background" TargetMode="External"/><Relationship Id="rId8" Type="http://schemas.openxmlformats.org/officeDocument/2006/relationships/hyperlink" Target="#RTN_MonthlyExp" TargetMode="External"/></Relationships>
</file>

<file path=xl/drawings/_rels/drawing9.xml.rels><?xml version="1.0" encoding="UTF-8" standalone="yes"?><Relationships xmlns="http://schemas.openxmlformats.org/package/2006/relationships"><Relationship Id="rId11" Type="http://schemas.openxmlformats.org/officeDocument/2006/relationships/hyperlink" Target="#RTN_Pricing" TargetMode="External"/><Relationship Id="rId10" Type="http://schemas.openxmlformats.org/officeDocument/2006/relationships/hyperlink" Target="#RTN_ExpSummary" TargetMode="External"/><Relationship Id="rId13" Type="http://schemas.openxmlformats.org/officeDocument/2006/relationships/hyperlink" Target="#RTN_CapAssets" TargetMode="External"/><Relationship Id="rId12" Type="http://schemas.openxmlformats.org/officeDocument/2006/relationships/hyperlink" Target="#RTN_MiscCosts" TargetMode="External"/><Relationship Id="rId1" Type="http://schemas.openxmlformats.org/officeDocument/2006/relationships/hyperlink" Target="http://www.guidedbusinessplan.com/" TargetMode="External"/><Relationship Id="rId2" Type="http://schemas.openxmlformats.org/officeDocument/2006/relationships/hyperlink" Target="#RTN_Charts" TargetMode="External"/><Relationship Id="rId3" Type="http://schemas.openxmlformats.org/officeDocument/2006/relationships/hyperlink" Target="#RTN_Personnel" TargetMode="External"/><Relationship Id="rId4" Type="http://schemas.openxmlformats.org/officeDocument/2006/relationships/hyperlink" Target="#RTN_FiveYear" TargetMode="External"/><Relationship Id="rId9" Type="http://schemas.openxmlformats.org/officeDocument/2006/relationships/hyperlink" Target="#RTN_StartupExp" TargetMode="External"/><Relationship Id="rId15" Type="http://schemas.openxmlformats.org/officeDocument/2006/relationships/hyperlink" Target="#RTN_CashFlow" TargetMode="External"/><Relationship Id="rId14" Type="http://schemas.openxmlformats.org/officeDocument/2006/relationships/hyperlink" Target="#RTN_Income" TargetMode="External"/><Relationship Id="rId17" Type="http://schemas.openxmlformats.org/officeDocument/2006/relationships/hyperlink" Target="#RTN_Ratios" TargetMode="External"/><Relationship Id="rId16" Type="http://schemas.openxmlformats.org/officeDocument/2006/relationships/hyperlink" Target="#RTN_Balance" TargetMode="External"/><Relationship Id="rId5" Type="http://schemas.openxmlformats.org/officeDocument/2006/relationships/hyperlink" Target="#RTN_SalesUnits" TargetMode="External"/><Relationship Id="rId19" Type="http://schemas.openxmlformats.org/officeDocument/2006/relationships/hyperlink" Target="#RTN_ReadMe" TargetMode="External"/><Relationship Id="rId6" Type="http://schemas.openxmlformats.org/officeDocument/2006/relationships/hyperlink" Target="#RTN_Capital" TargetMode="External"/><Relationship Id="rId18" Type="http://schemas.openxmlformats.org/officeDocument/2006/relationships/hyperlink" Target="#RTN_Loans" TargetMode="External"/><Relationship Id="rId7" Type="http://schemas.openxmlformats.org/officeDocument/2006/relationships/hyperlink" Target="#RTN_Background" TargetMode="External"/><Relationship Id="rId8" Type="http://schemas.openxmlformats.org/officeDocument/2006/relationships/hyperlink" Target="#RTN_MonthlyExp" TargetMode="External"/></Relationships>
</file>

<file path=xl/drawings/_rels/drawing10.xml.rels><?xml version="1.0" encoding="UTF-8" standalone="yes"?><Relationships xmlns="http://schemas.openxmlformats.org/package/2006/relationships"><Relationship Id="rId11" Type="http://schemas.openxmlformats.org/officeDocument/2006/relationships/hyperlink" Target="#RTN_Ratios" TargetMode="External"/><Relationship Id="rId10" Type="http://schemas.openxmlformats.org/officeDocument/2006/relationships/hyperlink" Target="#RTN_Balance" TargetMode="External"/><Relationship Id="rId13" Type="http://schemas.openxmlformats.org/officeDocument/2006/relationships/hyperlink" Target="#RTN_Background" TargetMode="External"/><Relationship Id="rId12" Type="http://schemas.openxmlformats.org/officeDocument/2006/relationships/hyperlink" Target="#RTN_Loans" TargetMode="External"/><Relationship Id="rId1" Type="http://schemas.openxmlformats.org/officeDocument/2006/relationships/hyperlink" Target="#RTN_StartupExp" TargetMode="External"/><Relationship Id="rId2" Type="http://schemas.openxmlformats.org/officeDocument/2006/relationships/hyperlink" Target="#RTN_MonthlyExp" TargetMode="External"/><Relationship Id="rId3" Type="http://schemas.openxmlformats.org/officeDocument/2006/relationships/hyperlink" Target="#RTN_Charts" TargetMode="External"/><Relationship Id="rId4" Type="http://schemas.openxmlformats.org/officeDocument/2006/relationships/hyperlink" Target="#RTN_Personnel" TargetMode="External"/><Relationship Id="rId9" Type="http://schemas.openxmlformats.org/officeDocument/2006/relationships/hyperlink" Target="#RTN_CashFlow" TargetMode="External"/><Relationship Id="rId15" Type="http://schemas.openxmlformats.org/officeDocument/2006/relationships/hyperlink" Target="#RTN_StartupExp" TargetMode="External"/><Relationship Id="rId14" Type="http://schemas.openxmlformats.org/officeDocument/2006/relationships/hyperlink" Target="#RTN_MonthlyExp" TargetMode="External"/><Relationship Id="rId17" Type="http://schemas.openxmlformats.org/officeDocument/2006/relationships/hyperlink" Target="#RTN_Pricing" TargetMode="External"/><Relationship Id="rId16" Type="http://schemas.openxmlformats.org/officeDocument/2006/relationships/hyperlink" Target="#RTN_ExpSummary" TargetMode="External"/><Relationship Id="rId5" Type="http://schemas.openxmlformats.org/officeDocument/2006/relationships/hyperlink" Target="#RTN_FiveYear" TargetMode="External"/><Relationship Id="rId6" Type="http://schemas.openxmlformats.org/officeDocument/2006/relationships/hyperlink" Target="#RTN_SalesUnits" TargetMode="External"/><Relationship Id="rId18" Type="http://schemas.openxmlformats.org/officeDocument/2006/relationships/hyperlink" Target="http://www.guidedbusinessplan.com/" TargetMode="External"/><Relationship Id="rId7" Type="http://schemas.openxmlformats.org/officeDocument/2006/relationships/hyperlink" Target="#RTN_Capital" TargetMode="External"/><Relationship Id="rId8" Type="http://schemas.openxmlformats.org/officeDocument/2006/relationships/hyperlink" Target="#RTN_Income" TargetMode="External"/></Relationships>
</file>

<file path=xl/drawings/_rels/drawing11.xml.rels><?xml version="1.0" encoding="UTF-8" standalone="yes"?><Relationships xmlns="http://schemas.openxmlformats.org/package/2006/relationships"><Relationship Id="rId1" Type="http://schemas.openxmlformats.org/officeDocument/2006/relationships/hyperlink" Target="#Step3" TargetMode="External"/></Relationships>
</file>

<file path=xl/drawings/_rels/drawing15.xml.rels><?xml version="1.0" encoding="UTF-8" standalone="yes"?><Relationships xmlns="http://schemas.openxmlformats.org/package/2006/relationships"><Relationship Id="rId11" Type="http://schemas.openxmlformats.org/officeDocument/2006/relationships/hyperlink" Target="#RTN_Loans" TargetMode="External"/><Relationship Id="rId10" Type="http://schemas.openxmlformats.org/officeDocument/2006/relationships/hyperlink" Target="#RTN_Ratios" TargetMode="External"/><Relationship Id="rId13" Type="http://schemas.openxmlformats.org/officeDocument/2006/relationships/hyperlink" Target="#RTN_MonthlyExp" TargetMode="External"/><Relationship Id="rId12" Type="http://schemas.openxmlformats.org/officeDocument/2006/relationships/hyperlink" Target="#RTN_Background" TargetMode="External"/><Relationship Id="rId1" Type="http://schemas.openxmlformats.org/officeDocument/2006/relationships/hyperlink" Target="#RTN_Loans" TargetMode="External"/><Relationship Id="rId2" Type="http://schemas.openxmlformats.org/officeDocument/2006/relationships/hyperlink" Target="#RTN_Charts" TargetMode="External"/><Relationship Id="rId3" Type="http://schemas.openxmlformats.org/officeDocument/2006/relationships/hyperlink" Target="#RTN_Personnel" TargetMode="External"/><Relationship Id="rId4" Type="http://schemas.openxmlformats.org/officeDocument/2006/relationships/hyperlink" Target="#RTN_FiveYear" TargetMode="External"/><Relationship Id="rId9" Type="http://schemas.openxmlformats.org/officeDocument/2006/relationships/hyperlink" Target="#RTN_Balance" TargetMode="External"/><Relationship Id="rId15" Type="http://schemas.openxmlformats.org/officeDocument/2006/relationships/hyperlink" Target="#RTN_ExpSummary" TargetMode="External"/><Relationship Id="rId14" Type="http://schemas.openxmlformats.org/officeDocument/2006/relationships/hyperlink" Target="#RTN_StartupExp" TargetMode="External"/><Relationship Id="rId17" Type="http://schemas.openxmlformats.org/officeDocument/2006/relationships/hyperlink" Target="http://www.guidedbusinessplan.com/" TargetMode="External"/><Relationship Id="rId16" Type="http://schemas.openxmlformats.org/officeDocument/2006/relationships/hyperlink" Target="#RTN_Pricing" TargetMode="External"/><Relationship Id="rId5" Type="http://schemas.openxmlformats.org/officeDocument/2006/relationships/hyperlink" Target="#RTN_SalesUnits" TargetMode="External"/><Relationship Id="rId6" Type="http://schemas.openxmlformats.org/officeDocument/2006/relationships/hyperlink" Target="#RTN_Capital" TargetMode="External"/><Relationship Id="rId7" Type="http://schemas.openxmlformats.org/officeDocument/2006/relationships/hyperlink" Target="#RTN_Income" TargetMode="External"/><Relationship Id="rId8" Type="http://schemas.openxmlformats.org/officeDocument/2006/relationships/hyperlink" Target="#RTN_CashFlow" TargetMode="External"/></Relationships>
</file>

<file path=xl/drawings/_rels/drawing16.xml.rels><?xml version="1.0" encoding="UTF-8" standalone="yes"?><Relationships xmlns="http://schemas.openxmlformats.org/package/2006/relationships"><Relationship Id="rId11" Type="http://schemas.openxmlformats.org/officeDocument/2006/relationships/hyperlink" Target="#RTN_Loans" TargetMode="External"/><Relationship Id="rId10" Type="http://schemas.openxmlformats.org/officeDocument/2006/relationships/hyperlink" Target="#RTN_Ratios" TargetMode="External"/><Relationship Id="rId13" Type="http://schemas.openxmlformats.org/officeDocument/2006/relationships/hyperlink" Target="#RTN_MonthlyExp" TargetMode="External"/><Relationship Id="rId12" Type="http://schemas.openxmlformats.org/officeDocument/2006/relationships/hyperlink" Target="#RTN_Background" TargetMode="External"/><Relationship Id="rId1" Type="http://schemas.openxmlformats.org/officeDocument/2006/relationships/hyperlink" Target="#RTN_Background" TargetMode="External"/><Relationship Id="rId2" Type="http://schemas.openxmlformats.org/officeDocument/2006/relationships/hyperlink" Target="#RTN_Charts" TargetMode="External"/><Relationship Id="rId3" Type="http://schemas.openxmlformats.org/officeDocument/2006/relationships/hyperlink" Target="#RTN_Personnel" TargetMode="External"/><Relationship Id="rId4" Type="http://schemas.openxmlformats.org/officeDocument/2006/relationships/hyperlink" Target="#RTN_FiveYear" TargetMode="External"/><Relationship Id="rId9" Type="http://schemas.openxmlformats.org/officeDocument/2006/relationships/hyperlink" Target="#RTN_Balance" TargetMode="External"/><Relationship Id="rId15" Type="http://schemas.openxmlformats.org/officeDocument/2006/relationships/hyperlink" Target="#RTN_ExpSummary" TargetMode="External"/><Relationship Id="rId14" Type="http://schemas.openxmlformats.org/officeDocument/2006/relationships/hyperlink" Target="#RTN_StartupExp" TargetMode="External"/><Relationship Id="rId17" Type="http://schemas.openxmlformats.org/officeDocument/2006/relationships/hyperlink" Target="http://www.guidedbusinessplan.com/" TargetMode="External"/><Relationship Id="rId16" Type="http://schemas.openxmlformats.org/officeDocument/2006/relationships/hyperlink" Target="#RTN_Pricing" TargetMode="External"/><Relationship Id="rId5" Type="http://schemas.openxmlformats.org/officeDocument/2006/relationships/hyperlink" Target="#RTN_SalesUnits" TargetMode="External"/><Relationship Id="rId6" Type="http://schemas.openxmlformats.org/officeDocument/2006/relationships/hyperlink" Target="#RTN_Capital" TargetMode="External"/><Relationship Id="rId7" Type="http://schemas.openxmlformats.org/officeDocument/2006/relationships/hyperlink" Target="#RTN_Income" TargetMode="External"/><Relationship Id="rId8" Type="http://schemas.openxmlformats.org/officeDocument/2006/relationships/hyperlink" Target="#RTN_CashFlow" TargetMode="External"/></Relationships>
</file>

<file path=xl/drawings/_rels/drawing17.xml.rels><?xml version="1.0" encoding="UTF-8" standalone="yes"?><Relationships xmlns="http://schemas.openxmlformats.org/package/2006/relationships"><Relationship Id="rId11" Type="http://schemas.openxmlformats.org/officeDocument/2006/relationships/hyperlink" Target="#RTN_Background" TargetMode="External"/><Relationship Id="rId10" Type="http://schemas.openxmlformats.org/officeDocument/2006/relationships/hyperlink" Target="#RTN_Loans" TargetMode="External"/><Relationship Id="rId13" Type="http://schemas.openxmlformats.org/officeDocument/2006/relationships/hyperlink" Target="#RTN_StartupExp" TargetMode="External"/><Relationship Id="rId12" Type="http://schemas.openxmlformats.org/officeDocument/2006/relationships/hyperlink" Target="#RTN_MonthlyExp" TargetMode="External"/><Relationship Id="rId1" Type="http://schemas.openxmlformats.org/officeDocument/2006/relationships/hyperlink" Target="#RTN_Charts" TargetMode="External"/><Relationship Id="rId2" Type="http://schemas.openxmlformats.org/officeDocument/2006/relationships/hyperlink" Target="#RTN_Personnel" TargetMode="External"/><Relationship Id="rId3" Type="http://schemas.openxmlformats.org/officeDocument/2006/relationships/hyperlink" Target="#RTN_FiveYear" TargetMode="External"/><Relationship Id="rId4" Type="http://schemas.openxmlformats.org/officeDocument/2006/relationships/hyperlink" Target="#RTN_SalesUnits" TargetMode="External"/><Relationship Id="rId9" Type="http://schemas.openxmlformats.org/officeDocument/2006/relationships/hyperlink" Target="#RTN_Ratios" TargetMode="External"/><Relationship Id="rId15" Type="http://schemas.openxmlformats.org/officeDocument/2006/relationships/hyperlink" Target="#RTN_Pricing" TargetMode="External"/><Relationship Id="rId14" Type="http://schemas.openxmlformats.org/officeDocument/2006/relationships/hyperlink" Target="#RTN_ExpSummary" TargetMode="External"/><Relationship Id="rId16" Type="http://schemas.openxmlformats.org/officeDocument/2006/relationships/hyperlink" Target="http://www.guidedbusinessplan.com/" TargetMode="External"/><Relationship Id="rId5" Type="http://schemas.openxmlformats.org/officeDocument/2006/relationships/hyperlink" Target="#RTN_Capital" TargetMode="External"/><Relationship Id="rId6" Type="http://schemas.openxmlformats.org/officeDocument/2006/relationships/hyperlink" Target="#RTN_Income" TargetMode="External"/><Relationship Id="rId7" Type="http://schemas.openxmlformats.org/officeDocument/2006/relationships/hyperlink" Target="#RTN_CashFlow" TargetMode="External"/><Relationship Id="rId8" Type="http://schemas.openxmlformats.org/officeDocument/2006/relationships/hyperlink" Target="#RTN_Balance" TargetMode="External"/></Relationships>
</file>

<file path=xl/drawings/_rels/drawing18.xml.rels><?xml version="1.0" encoding="UTF-8" standalone="yes"?><Relationships xmlns="http://schemas.openxmlformats.org/package/2006/relationships"><Relationship Id="rId11" Type="http://schemas.openxmlformats.org/officeDocument/2006/relationships/hyperlink" Target="#RTN_Background" TargetMode="External"/><Relationship Id="rId10" Type="http://schemas.openxmlformats.org/officeDocument/2006/relationships/hyperlink" Target="#RTN_Loans" TargetMode="External"/><Relationship Id="rId13" Type="http://schemas.openxmlformats.org/officeDocument/2006/relationships/hyperlink" Target="#RTN_StartupExp" TargetMode="External"/><Relationship Id="rId12" Type="http://schemas.openxmlformats.org/officeDocument/2006/relationships/hyperlink" Target="#RTN_MonthlyExp" TargetMode="External"/><Relationship Id="rId1" Type="http://schemas.openxmlformats.org/officeDocument/2006/relationships/hyperlink" Target="#RTN_Charts" TargetMode="External"/><Relationship Id="rId2" Type="http://schemas.openxmlformats.org/officeDocument/2006/relationships/hyperlink" Target="#RTN_Personnel" TargetMode="External"/><Relationship Id="rId3" Type="http://schemas.openxmlformats.org/officeDocument/2006/relationships/hyperlink" Target="#RTN_FiveYear" TargetMode="External"/><Relationship Id="rId4" Type="http://schemas.openxmlformats.org/officeDocument/2006/relationships/hyperlink" Target="#RTN_SalesUnits" TargetMode="External"/><Relationship Id="rId9" Type="http://schemas.openxmlformats.org/officeDocument/2006/relationships/hyperlink" Target="#RTN_Ratios" TargetMode="External"/><Relationship Id="rId15" Type="http://schemas.openxmlformats.org/officeDocument/2006/relationships/hyperlink" Target="#RTN_Pricing" TargetMode="External"/><Relationship Id="rId14" Type="http://schemas.openxmlformats.org/officeDocument/2006/relationships/hyperlink" Target="#RTN_ExpSummary" TargetMode="External"/><Relationship Id="rId16" Type="http://schemas.openxmlformats.org/officeDocument/2006/relationships/hyperlink" Target="http://www.guidedbusinessplan.com/" TargetMode="External"/><Relationship Id="rId5" Type="http://schemas.openxmlformats.org/officeDocument/2006/relationships/hyperlink" Target="#RTN_Capital" TargetMode="External"/><Relationship Id="rId6" Type="http://schemas.openxmlformats.org/officeDocument/2006/relationships/hyperlink" Target="#RTN_Income" TargetMode="External"/><Relationship Id="rId7" Type="http://schemas.openxmlformats.org/officeDocument/2006/relationships/hyperlink" Target="#RTN_CashFlow" TargetMode="External"/><Relationship Id="rId8" Type="http://schemas.openxmlformats.org/officeDocument/2006/relationships/hyperlink" Target="#RTN_Balance" TargetMode="External"/></Relationships>
</file>

<file path=xl/drawings/_rels/drawing19.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2981325</xdr:colOff>
      <xdr:row>4</xdr:row>
      <xdr:rowOff>57150</xdr:rowOff>
    </xdr:from>
    <xdr:ext cx="1647825" cy="238125"/>
    <xdr:sp>
      <xdr:nvSpPr>
        <xdr:cNvPr id="3" name="Shape 3"/>
        <xdr:cNvSpPr txBox="1"/>
      </xdr:nvSpPr>
      <xdr:spPr>
        <a:xfrm>
          <a:off x="4522088" y="3660938"/>
          <a:ext cx="1647825" cy="2381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accent5"/>
              </a:solidFill>
              <a:latin typeface="Calibri"/>
              <a:ea typeface="Calibri"/>
              <a:cs typeface="Calibri"/>
              <a:sym typeface="Calibri"/>
            </a:rPr>
            <a:t>Presented by</a:t>
          </a:r>
          <a:endParaRPr sz="1400"/>
        </a:p>
      </xdr:txBody>
    </xdr:sp>
    <xdr:clientData fLocksWithSheet="0"/>
  </xdr:oneCellAnchor>
  <xdr:oneCellAnchor>
    <xdr:from>
      <xdr:col>1</xdr:col>
      <xdr:colOff>238125</xdr:colOff>
      <xdr:row>0</xdr:row>
      <xdr:rowOff>0</xdr:rowOff>
    </xdr:from>
    <xdr:ext cx="4591050" cy="914400"/>
    <xdr:grpSp>
      <xdr:nvGrpSpPr>
        <xdr:cNvPr id="2" name="Shape 2"/>
        <xdr:cNvGrpSpPr/>
      </xdr:nvGrpSpPr>
      <xdr:grpSpPr>
        <a:xfrm>
          <a:off x="3050475" y="3322800"/>
          <a:ext cx="4591050" cy="914400"/>
          <a:chOff x="3050475" y="3322800"/>
          <a:chExt cx="4591050" cy="914400"/>
        </a:xfrm>
      </xdr:grpSpPr>
      <xdr:grpSp>
        <xdr:nvGrpSpPr>
          <xdr:cNvPr id="6" name="Shape 6"/>
          <xdr:cNvGrpSpPr/>
        </xdr:nvGrpSpPr>
        <xdr:grpSpPr>
          <a:xfrm>
            <a:off x="3050475" y="3322800"/>
            <a:ext cx="4591050" cy="914400"/>
            <a:chOff x="7453844" y="121708"/>
            <a:chExt cx="4705885" cy="892175"/>
          </a:xfrm>
        </xdr:grpSpPr>
        <xdr:sp>
          <xdr:nvSpPr>
            <xdr:cNvPr id="7" name="Shape 7"/>
            <xdr:cNvSpPr/>
          </xdr:nvSpPr>
          <xdr:spPr>
            <a:xfrm>
              <a:off x="7453844" y="121708"/>
              <a:ext cx="4705875" cy="892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8" name="Shape 8"/>
            <xdr:cNvGrpSpPr/>
          </xdr:nvGrpSpPr>
          <xdr:grpSpPr>
            <a:xfrm>
              <a:off x="7453844" y="121708"/>
              <a:ext cx="4705885" cy="892175"/>
              <a:chOff x="7453844" y="121708"/>
              <a:chExt cx="4705885" cy="892175"/>
            </a:xfrm>
          </xdr:grpSpPr>
          <xdr:sp>
            <xdr:nvSpPr>
              <xdr:cNvPr id="9" name="Shape 9"/>
              <xdr:cNvSpPr/>
            </xdr:nvSpPr>
            <xdr:spPr>
              <a:xfrm rot="-5400000">
                <a:off x="7165977" y="411691"/>
                <a:ext cx="775758"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sp>
            <xdr:nvSpPr>
              <xdr:cNvPr id="10" name="Shape 10">
                <a:hlinkClick r:id="rId1"/>
              </xdr:cNvPr>
              <xdr:cNvSpPr/>
            </xdr:nvSpPr>
            <xdr:spPr>
              <a:xfrm>
                <a:off x="7663388" y="861484"/>
                <a:ext cx="4491569"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nvGrpSpPr>
              <xdr:cNvPr id="11" name="Shape 11"/>
              <xdr:cNvGrpSpPr/>
            </xdr:nvGrpSpPr>
            <xdr:grpSpPr>
              <a:xfrm>
                <a:off x="7694122" y="121708"/>
                <a:ext cx="4465607" cy="468455"/>
                <a:chOff x="7694122" y="121708"/>
                <a:chExt cx="4465607" cy="468455"/>
              </a:xfrm>
            </xdr:grpSpPr>
            <xdr:sp>
              <xdr:nvSpPr>
                <xdr:cNvPr id="12" name="Shape 12">
                  <a:hlinkClick r:id="rId2"/>
                </xdr:cNvPr>
                <xdr:cNvSpPr/>
              </xdr:nvSpPr>
              <xdr:spPr>
                <a:xfrm>
                  <a:off x="10676902"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13" name="Shape 13">
                  <a:hlinkClick r:id="rId3"/>
                </xdr:cNvPr>
                <xdr:cNvSpPr/>
              </xdr:nvSpPr>
              <xdr:spPr>
                <a:xfrm>
                  <a:off x="8447940"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14" name="Shape 14">
                  <a:hlinkClick r:id="rId4"/>
                </xdr:cNvPr>
                <xdr:cNvSpPr/>
              </xdr:nvSpPr>
              <xdr:spPr>
                <a:xfrm>
                  <a:off x="9937634"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15" name="Shape 15">
                  <a:hlinkClick r:id="rId5"/>
                </xdr:cNvPr>
                <xdr:cNvSpPr/>
              </xdr:nvSpPr>
              <xdr:spPr>
                <a:xfrm>
                  <a:off x="7694122"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16" name="Shape 16">
                  <a:hlinkClick r:id="rId6"/>
                </xdr:cNvPr>
                <xdr:cNvSpPr/>
              </xdr:nvSpPr>
              <xdr:spPr>
                <a:xfrm>
                  <a:off x="9188033"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nvGrpSpPr>
                <xdr:cNvPr id="17" name="Shape 17"/>
                <xdr:cNvGrpSpPr/>
              </xdr:nvGrpSpPr>
              <xdr:grpSpPr>
                <a:xfrm>
                  <a:off x="7694122" y="121708"/>
                  <a:ext cx="4460658" cy="233943"/>
                  <a:chOff x="7694122" y="121708"/>
                  <a:chExt cx="4460658" cy="233943"/>
                </a:xfrm>
              </xdr:grpSpPr>
              <xdr:sp>
                <xdr:nvSpPr>
                  <xdr:cNvPr id="18" name="Shape 18">
                    <a:hlinkClick r:id="rId7"/>
                  </xdr:cNvPr>
                  <xdr:cNvSpPr/>
                </xdr:nvSpPr>
                <xdr:spPr>
                  <a:xfrm>
                    <a:off x="7694122" y="123825"/>
                    <a:ext cx="735362"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19" name="Shape 19">
                    <a:hlinkClick r:id="rId8"/>
                  </xdr:cNvPr>
                  <xdr:cNvSpPr/>
                </xdr:nvSpPr>
                <xdr:spPr>
                  <a:xfrm>
                    <a:off x="9188469" y="123825"/>
                    <a:ext cx="734304"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20" name="Shape 20">
                    <a:hlinkClick r:id="rId9"/>
                  </xdr:cNvPr>
                  <xdr:cNvSpPr/>
                </xdr:nvSpPr>
                <xdr:spPr>
                  <a:xfrm>
                    <a:off x="8448174"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21" name="Shape 21">
                    <a:hlinkClick r:id="rId10"/>
                  </xdr:cNvPr>
                  <xdr:cNvSpPr/>
                </xdr:nvSpPr>
                <xdr:spPr>
                  <a:xfrm>
                    <a:off x="9937230"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22" name="Shape 22">
                    <a:hlinkClick r:id="rId11"/>
                  </xdr:cNvPr>
                  <xdr:cNvSpPr/>
                </xdr:nvSpPr>
                <xdr:spPr>
                  <a:xfrm>
                    <a:off x="10676699"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sp>
                <xdr:nvSpPr>
                  <xdr:cNvPr id="23" name="Shape 23">
                    <a:hlinkClick r:id="rId12"/>
                  </xdr:cNvPr>
                  <xdr:cNvSpPr/>
                </xdr:nvSpPr>
                <xdr:spPr>
                  <a:xfrm>
                    <a:off x="11419417" y="121708"/>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Misc. Costs</a:t>
                    </a:r>
                    <a:endParaRPr sz="1400"/>
                  </a:p>
                </xdr:txBody>
              </xdr:sp>
            </xdr:grpSp>
            <xdr:sp>
              <xdr:nvSpPr>
                <xdr:cNvPr id="24" name="Shape 24">
                  <a:hlinkClick r:id="rId13"/>
                </xdr:cNvPr>
                <xdr:cNvSpPr/>
              </xdr:nvSpPr>
              <xdr:spPr>
                <a:xfrm>
                  <a:off x="11419417"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 Assets</a:t>
                  </a:r>
                  <a:endParaRPr sz="1400"/>
                </a:p>
              </xdr:txBody>
            </xdr:sp>
          </xdr:grpSp>
        </xdr:grpSp>
        <xdr:grpSp>
          <xdr:nvGrpSpPr>
            <xdr:cNvPr id="25" name="Shape 25"/>
            <xdr:cNvGrpSpPr/>
          </xdr:nvGrpSpPr>
          <xdr:grpSpPr>
            <a:xfrm>
              <a:off x="7697318" y="603250"/>
              <a:ext cx="4457265" cy="233638"/>
              <a:chOff x="7697318" y="603250"/>
              <a:chExt cx="4457265" cy="233638"/>
            </a:xfrm>
          </xdr:grpSpPr>
          <xdr:sp>
            <xdr:nvSpPr>
              <xdr:cNvPr id="26" name="Shape 26">
                <a:hlinkClick r:id="rId14"/>
              </xdr:cNvPr>
              <xdr:cNvSpPr/>
            </xdr:nvSpPr>
            <xdr:spPr>
              <a:xfrm>
                <a:off x="7697318" y="607179"/>
                <a:ext cx="73197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27" name="Shape 27">
                <a:hlinkClick r:id="rId15"/>
              </xdr:cNvPr>
              <xdr:cNvSpPr/>
            </xdr:nvSpPr>
            <xdr:spPr>
              <a:xfrm>
                <a:off x="8447943" y="607179"/>
                <a:ext cx="733570"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28" name="Shape 28">
                <a:hlinkClick r:id="rId16"/>
              </xdr:cNvPr>
              <xdr:cNvSpPr/>
            </xdr:nvSpPr>
            <xdr:spPr>
              <a:xfrm>
                <a:off x="9186436" y="607179"/>
                <a:ext cx="736762"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29" name="Shape 29">
                <a:hlinkClick r:id="rId17"/>
              </xdr:cNvPr>
              <xdr:cNvSpPr/>
            </xdr:nvSpPr>
            <xdr:spPr>
              <a:xfrm>
                <a:off x="9937631" y="607179"/>
                <a:ext cx="73516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30" name="Shape 30">
                <a:hlinkClick r:id="rId18"/>
              </xdr:cNvPr>
              <xdr:cNvSpPr/>
            </xdr:nvSpPr>
            <xdr:spPr>
              <a:xfrm>
                <a:off x="10676896" y="607179"/>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sp>
            <xdr:nvSpPr>
              <xdr:cNvPr id="31" name="Shape 31">
                <a:hlinkClick r:id="rId19"/>
              </xdr:cNvPr>
              <xdr:cNvSpPr/>
            </xdr:nvSpPr>
            <xdr:spPr>
              <a:xfrm>
                <a:off x="11419417" y="603250"/>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800">
                    <a:solidFill>
                      <a:srgbClr val="000000"/>
                    </a:solidFill>
                    <a:latin typeface="Calibri"/>
                    <a:ea typeface="Calibri"/>
                    <a:cs typeface="Calibri"/>
                    <a:sym typeface="Calibri"/>
                  </a:rPr>
                  <a:t>Copyright</a:t>
                </a:r>
                <a:r>
                  <a:rPr b="1" lang="en-US" sz="800">
                    <a:solidFill>
                      <a:srgbClr val="000000"/>
                    </a:solidFill>
                    <a:latin typeface="Calibri"/>
                    <a:ea typeface="Calibri"/>
                    <a:cs typeface="Calibri"/>
                    <a:sym typeface="Calibri"/>
                  </a:rPr>
                  <a:t> Notice</a:t>
                </a:r>
                <a:endParaRPr b="1" sz="800">
                  <a:solidFill>
                    <a:srgbClr val="000000"/>
                  </a:solidFill>
                  <a:latin typeface="Calibri"/>
                  <a:ea typeface="Calibri"/>
                  <a:cs typeface="Calibri"/>
                  <a:sym typeface="Calibri"/>
                </a:endParaRPr>
              </a:p>
            </xdr:txBody>
          </xdr:sp>
        </xdr:grpSp>
      </xdr:grpSp>
    </xdr:grpSp>
    <xdr:clientData fLocksWithSheet="0"/>
  </xdr:oneCellAnchor>
  <xdr:oneCellAnchor>
    <xdr:from>
      <xdr:col>0</xdr:col>
      <xdr:colOff>3905250</xdr:colOff>
      <xdr:row>2</xdr:row>
      <xdr:rowOff>114300</xdr:rowOff>
    </xdr:from>
    <xdr:ext cx="1657350" cy="714375"/>
    <xdr:pic>
      <xdr:nvPicPr>
        <xdr:cNvPr descr="WBDC_FullLogo_RGB (2).jpg" id="0" name="image1.jpg"/>
        <xdr:cNvPicPr preferRelativeResize="0"/>
      </xdr:nvPicPr>
      <xdr:blipFill>
        <a:blip cstate="print" r:embed="rId20"/>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85725</xdr:colOff>
      <xdr:row>5</xdr:row>
      <xdr:rowOff>76200</xdr:rowOff>
    </xdr:from>
    <xdr:ext cx="2762250" cy="609600"/>
    <xdr:sp>
      <xdr:nvSpPr>
        <xdr:cNvPr id="5" name="Shape 5"/>
        <xdr:cNvSpPr/>
      </xdr:nvSpPr>
      <xdr:spPr>
        <a:xfrm>
          <a:off x="3969638" y="3475470"/>
          <a:ext cx="27527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4000" cap="none">
              <a:solidFill>
                <a:srgbClr val="FFFFFF"/>
              </a:solidFill>
            </a:rPr>
            <a:t>Step 1</a:t>
          </a:r>
          <a:endParaRPr sz="1400"/>
        </a:p>
      </xdr:txBody>
    </xdr:sp>
    <xdr:clientData fLocksWithSheet="0"/>
  </xdr:oneCellAnchor>
  <xdr:oneCellAnchor>
    <xdr:from>
      <xdr:col>8</xdr:col>
      <xdr:colOff>85725</xdr:colOff>
      <xdr:row>10</xdr:row>
      <xdr:rowOff>123825</xdr:rowOff>
    </xdr:from>
    <xdr:ext cx="2762250" cy="609600"/>
    <xdr:sp>
      <xdr:nvSpPr>
        <xdr:cNvPr id="33" name="Shape 33"/>
        <xdr:cNvSpPr/>
      </xdr:nvSpPr>
      <xdr:spPr>
        <a:xfrm>
          <a:off x="3969638" y="3475470"/>
          <a:ext cx="27527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4000" cap="none">
              <a:solidFill>
                <a:srgbClr val="FFFFFF"/>
              </a:solidFill>
            </a:rPr>
            <a:t>Step 2</a:t>
          </a:r>
          <a:endParaRPr sz="1400"/>
        </a:p>
      </xdr:txBody>
    </xdr:sp>
    <xdr:clientData fLocksWithSheet="0"/>
  </xdr:oneCellAnchor>
  <xdr:oneCellAnchor>
    <xdr:from>
      <xdr:col>8</xdr:col>
      <xdr:colOff>85725</xdr:colOff>
      <xdr:row>24</xdr:row>
      <xdr:rowOff>161925</xdr:rowOff>
    </xdr:from>
    <xdr:ext cx="2762250" cy="609600"/>
    <xdr:sp>
      <xdr:nvSpPr>
        <xdr:cNvPr id="59" name="Shape 59"/>
        <xdr:cNvSpPr/>
      </xdr:nvSpPr>
      <xdr:spPr>
        <a:xfrm>
          <a:off x="3969638" y="3475470"/>
          <a:ext cx="27527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4000" cap="none">
              <a:solidFill>
                <a:srgbClr val="FFFFFF"/>
              </a:solidFill>
            </a:rPr>
            <a:t>Step 3</a:t>
          </a:r>
          <a:endParaRPr sz="1400"/>
        </a:p>
      </xdr:txBody>
    </xdr:sp>
    <xdr:clientData fLocksWithSheet="0"/>
  </xdr:oneCellAnchor>
  <xdr:oneCellAnchor>
    <xdr:from>
      <xdr:col>8</xdr:col>
      <xdr:colOff>85725</xdr:colOff>
      <xdr:row>47</xdr:row>
      <xdr:rowOff>19050</xdr:rowOff>
    </xdr:from>
    <xdr:ext cx="2762250" cy="609600"/>
    <xdr:sp>
      <xdr:nvSpPr>
        <xdr:cNvPr id="60" name="Shape 60"/>
        <xdr:cNvSpPr/>
      </xdr:nvSpPr>
      <xdr:spPr>
        <a:xfrm>
          <a:off x="3969638" y="3475470"/>
          <a:ext cx="27527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4000" cap="none">
              <a:solidFill>
                <a:srgbClr val="FFFFFF"/>
              </a:solidFill>
            </a:rPr>
            <a:t>Step 5</a:t>
          </a:r>
          <a:endParaRPr sz="1400"/>
        </a:p>
      </xdr:txBody>
    </xdr:sp>
    <xdr:clientData fLocksWithSheet="0"/>
  </xdr:oneCellAnchor>
  <xdr:oneCellAnchor>
    <xdr:from>
      <xdr:col>8</xdr:col>
      <xdr:colOff>85725</xdr:colOff>
      <xdr:row>51</xdr:row>
      <xdr:rowOff>19050</xdr:rowOff>
    </xdr:from>
    <xdr:ext cx="2762250" cy="609600"/>
    <xdr:sp>
      <xdr:nvSpPr>
        <xdr:cNvPr id="61" name="Shape 61"/>
        <xdr:cNvSpPr/>
      </xdr:nvSpPr>
      <xdr:spPr>
        <a:xfrm>
          <a:off x="3969638" y="3475470"/>
          <a:ext cx="27527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4000" cap="none">
              <a:solidFill>
                <a:srgbClr val="FFFFFF"/>
              </a:solidFill>
            </a:rPr>
            <a:t>Step 6</a:t>
          </a:r>
          <a:endParaRPr sz="1400"/>
        </a:p>
      </xdr:txBody>
    </xdr:sp>
    <xdr:clientData fLocksWithSheet="0"/>
  </xdr:oneCellAnchor>
  <xdr:oneCellAnchor>
    <xdr:from>
      <xdr:col>1</xdr:col>
      <xdr:colOff>238125</xdr:colOff>
      <xdr:row>60</xdr:row>
      <xdr:rowOff>19050</xdr:rowOff>
    </xdr:from>
    <xdr:ext cx="6534150" cy="609600"/>
    <xdr:sp>
      <xdr:nvSpPr>
        <xdr:cNvPr id="62" name="Shape 62">
          <a:hlinkClick r:id="rId1"/>
        </xdr:cNvPr>
        <xdr:cNvSpPr/>
      </xdr:nvSpPr>
      <xdr:spPr>
        <a:xfrm>
          <a:off x="2083688" y="3475470"/>
          <a:ext cx="65246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3600" cap="none">
              <a:solidFill>
                <a:srgbClr val="FFFFFF"/>
              </a:solidFill>
            </a:rPr>
            <a:t>Next:</a:t>
          </a:r>
          <a:r>
            <a:rPr b="0" lang="en-US" sz="3600" cap="none">
              <a:solidFill>
                <a:srgbClr val="FFFFFF"/>
              </a:solidFill>
            </a:rPr>
            <a:t>  Start-Up/Expansion Costs</a:t>
          </a:r>
          <a:endParaRPr b="0" sz="3600" cap="none">
            <a:solidFill>
              <a:srgbClr val="FFFFFF"/>
            </a:solidFill>
          </a:endParaRPr>
        </a:p>
      </xdr:txBody>
    </xdr:sp>
    <xdr:clientData fLocksWithSheet="0"/>
  </xdr:oneCellAnchor>
  <xdr:oneCellAnchor>
    <xdr:from>
      <xdr:col>8</xdr:col>
      <xdr:colOff>190500</xdr:colOff>
      <xdr:row>15</xdr:row>
      <xdr:rowOff>85725</xdr:rowOff>
    </xdr:from>
    <xdr:ext cx="1857375" cy="676275"/>
    <xdr:sp>
      <xdr:nvSpPr>
        <xdr:cNvPr id="63" name="Shape 63">
          <a:hlinkClick r:id="rId2"/>
        </xdr:cNvPr>
        <xdr:cNvSpPr/>
      </xdr:nvSpPr>
      <xdr:spPr>
        <a:xfrm>
          <a:off x="4431600" y="3451388"/>
          <a:ext cx="1828800" cy="657225"/>
        </a:xfrm>
        <a:prstGeom prst="rect">
          <a:avLst/>
        </a:prstGeom>
        <a:solidFill>
          <a:schemeClr val="accent2"/>
        </a:solidFill>
        <a:ln cap="flat" cmpd="sng" w="25400">
          <a:solidFill>
            <a:srgbClr val="27456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Do</a:t>
          </a:r>
          <a:r>
            <a:rPr lang="en-US" sz="1100">
              <a:solidFill>
                <a:schemeClr val="lt1"/>
              </a:solidFill>
              <a:latin typeface="Calibri"/>
              <a:ea typeface="Calibri"/>
              <a:cs typeface="Calibri"/>
              <a:sym typeface="Calibri"/>
            </a:rPr>
            <a:t> you need help determining your pricing? Click for pricing worksheet.</a:t>
          </a:r>
          <a:endParaRPr sz="1100"/>
        </a:p>
      </xdr:txBody>
    </xdr:sp>
    <xdr:clientData fLocksWithSheet="0"/>
  </xdr:oneCellAnchor>
  <xdr:oneCellAnchor>
    <xdr:from>
      <xdr:col>8</xdr:col>
      <xdr:colOff>85725</xdr:colOff>
      <xdr:row>33</xdr:row>
      <xdr:rowOff>142875</xdr:rowOff>
    </xdr:from>
    <xdr:ext cx="2762250" cy="609600"/>
    <xdr:sp>
      <xdr:nvSpPr>
        <xdr:cNvPr id="64" name="Shape 64"/>
        <xdr:cNvSpPr/>
      </xdr:nvSpPr>
      <xdr:spPr>
        <a:xfrm>
          <a:off x="3969638" y="3475470"/>
          <a:ext cx="27527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4000" cap="none">
              <a:solidFill>
                <a:srgbClr val="FFFFFF"/>
              </a:solidFill>
            </a:rPr>
            <a:t>Step 4</a:t>
          </a:r>
          <a:endParaRPr sz="1400"/>
        </a:p>
      </xdr:txBody>
    </xdr:sp>
    <xdr:clientData fLocksWithSheet="0"/>
  </xdr:oneCellAnchor>
  <xdr:oneCellAnchor>
    <xdr:from>
      <xdr:col>8</xdr:col>
      <xdr:colOff>85725</xdr:colOff>
      <xdr:row>54</xdr:row>
      <xdr:rowOff>95250</xdr:rowOff>
    </xdr:from>
    <xdr:ext cx="2762250" cy="609600"/>
    <xdr:sp>
      <xdr:nvSpPr>
        <xdr:cNvPr id="65" name="Shape 65"/>
        <xdr:cNvSpPr/>
      </xdr:nvSpPr>
      <xdr:spPr>
        <a:xfrm>
          <a:off x="3969638" y="3475470"/>
          <a:ext cx="27527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4000" cap="none">
              <a:solidFill>
                <a:srgbClr val="FFFFFF"/>
              </a:solidFill>
            </a:rPr>
            <a:t>Step 7</a:t>
          </a:r>
          <a:endParaRPr sz="1400"/>
        </a:p>
      </xdr:txBody>
    </xdr:sp>
    <xdr:clientData fLocksWithSheet="0"/>
  </xdr:oneCellAnchor>
  <xdr:oneCellAnchor>
    <xdr:from>
      <xdr:col>11</xdr:col>
      <xdr:colOff>285750</xdr:colOff>
      <xdr:row>4</xdr:row>
      <xdr:rowOff>66675</xdr:rowOff>
    </xdr:from>
    <xdr:ext cx="1771650" cy="1704975"/>
    <xdr:sp>
      <xdr:nvSpPr>
        <xdr:cNvPr id="66" name="Shape 66"/>
        <xdr:cNvSpPr txBox="1"/>
      </xdr:nvSpPr>
      <xdr:spPr>
        <a:xfrm>
          <a:off x="4460175" y="2927513"/>
          <a:ext cx="1771650" cy="1704975"/>
        </a:xfrm>
        <a:prstGeom prst="rect">
          <a:avLst/>
        </a:prstGeom>
        <a:noFill/>
        <a:ln>
          <a:noFill/>
        </a:ln>
      </xdr:spPr>
      <xdr:txBody>
        <a:bodyPr anchorCtr="0" anchor="t" bIns="45700" lIns="91425" spcFirstLastPara="1" rIns="91425" wrap="square" tIns="45700">
          <a:noAutofit/>
        </a:bodyPr>
        <a:lstStyle/>
        <a:p>
          <a:pPr indent="0" lvl="0" marL="0" marR="0" rtl="0" algn="l">
            <a:lnSpc>
              <a:spcPct val="100000"/>
            </a:lnSpc>
            <a:spcBef>
              <a:spcPts val="0"/>
            </a:spcBef>
            <a:spcAft>
              <a:spcPts val="0"/>
            </a:spcAft>
            <a:buClr>
              <a:schemeClr val="accent3"/>
            </a:buClr>
            <a:buSzPts val="1100"/>
            <a:buFont typeface="Calibri"/>
            <a:buNone/>
          </a:pPr>
          <a:r>
            <a:rPr lang="en-US" sz="1100">
              <a:solidFill>
                <a:schemeClr val="accent3"/>
              </a:solidFill>
              <a:latin typeface="Calibri"/>
              <a:ea typeface="Calibri"/>
              <a:cs typeface="Calibri"/>
              <a:sym typeface="Calibri"/>
            </a:rPr>
            <a:t>Call Guided Business Plan </a:t>
          </a:r>
          <a:br>
            <a:rPr lang="en-US" sz="1100">
              <a:solidFill>
                <a:schemeClr val="accent3"/>
              </a:solidFill>
              <a:latin typeface="Calibri"/>
              <a:ea typeface="Calibri"/>
              <a:cs typeface="Calibri"/>
              <a:sym typeface="Calibri"/>
            </a:rPr>
          </a:br>
          <a:r>
            <a:rPr lang="en-US" sz="1100">
              <a:solidFill>
                <a:schemeClr val="accent3"/>
              </a:solidFill>
              <a:latin typeface="Calibri"/>
              <a:ea typeface="Calibri"/>
              <a:cs typeface="Calibri"/>
              <a:sym typeface="Calibri"/>
            </a:rPr>
            <a:t>to learn more about customizing this spreadsheet for your organization or business. 888.523.5244.</a:t>
          </a:r>
          <a:br>
            <a:rPr lang="en-US" sz="1100">
              <a:solidFill>
                <a:schemeClr val="accent3"/>
              </a:solidFill>
              <a:latin typeface="Calibri"/>
              <a:ea typeface="Calibri"/>
              <a:cs typeface="Calibri"/>
              <a:sym typeface="Calibri"/>
            </a:rPr>
          </a:br>
          <a:r>
            <a:rPr lang="en-US" sz="1100">
              <a:solidFill>
                <a:schemeClr val="accent3"/>
              </a:solidFill>
              <a:latin typeface="Calibri"/>
              <a:ea typeface="Calibri"/>
              <a:cs typeface="Calibri"/>
              <a:sym typeface="Calibri"/>
            </a:rPr>
            <a:t>© All Rights Reserved.</a:t>
          </a:r>
          <a:endParaRPr sz="1400"/>
        </a:p>
        <a:p>
          <a:pPr indent="0" lvl="0" marL="0" marR="0" rtl="0" algn="l">
            <a:lnSpc>
              <a:spcPct val="100000"/>
            </a:lnSpc>
            <a:spcBef>
              <a:spcPts val="0"/>
            </a:spcBef>
            <a:spcAft>
              <a:spcPts val="0"/>
            </a:spcAft>
            <a:buClr>
              <a:schemeClr val="accent3"/>
            </a:buClr>
            <a:buSzPts val="1100"/>
            <a:buFont typeface="Calibri"/>
            <a:buNone/>
          </a:pPr>
          <a:r>
            <a:rPr lang="en-US" sz="1100">
              <a:solidFill>
                <a:schemeClr val="accent3"/>
              </a:solidFill>
              <a:latin typeface="Calibri"/>
              <a:ea typeface="Calibri"/>
              <a:cs typeface="Calibri"/>
              <a:sym typeface="Calibri"/>
            </a:rPr>
            <a:t>Protected</a:t>
          </a:r>
          <a:r>
            <a:rPr lang="en-US" sz="1100">
              <a:solidFill>
                <a:schemeClr val="accent3"/>
              </a:solidFill>
              <a:latin typeface="Calibri"/>
              <a:ea typeface="Calibri"/>
              <a:cs typeface="Calibri"/>
              <a:sym typeface="Calibri"/>
            </a:rPr>
            <a:t> by copyright.</a:t>
          </a:r>
          <a:endParaRPr sz="1100">
            <a:solidFill>
              <a:schemeClr val="accent3"/>
            </a:solidFill>
            <a:latin typeface="Calibri"/>
            <a:ea typeface="Calibri"/>
            <a:cs typeface="Calibri"/>
            <a:sym typeface="Calibri"/>
          </a:endParaRPr>
        </a:p>
        <a:p>
          <a:pPr indent="0" lvl="0" marL="0" rtl="0" algn="l">
            <a:spcBef>
              <a:spcPts val="0"/>
            </a:spcBef>
            <a:spcAft>
              <a:spcPts val="0"/>
            </a:spcAft>
            <a:buNone/>
          </a:pPr>
          <a:r>
            <a:t/>
          </a:r>
          <a:endParaRPr sz="1100">
            <a:solidFill>
              <a:schemeClr val="accent3"/>
            </a:solidFill>
          </a:endParaRPr>
        </a:p>
      </xdr:txBody>
    </xdr:sp>
    <xdr:clientData fLocksWithSheet="0"/>
  </xdr:oneCellAnchor>
  <xdr:oneCellAnchor>
    <xdr:from>
      <xdr:col>8</xdr:col>
      <xdr:colOff>114300</xdr:colOff>
      <xdr:row>0</xdr:row>
      <xdr:rowOff>114300</xdr:rowOff>
    </xdr:from>
    <xdr:ext cx="4581525" cy="790575"/>
    <xdr:grpSp>
      <xdr:nvGrpSpPr>
        <xdr:cNvPr id="2" name="Shape 2"/>
        <xdr:cNvGrpSpPr/>
      </xdr:nvGrpSpPr>
      <xdr:grpSpPr>
        <a:xfrm>
          <a:off x="3055238" y="3384713"/>
          <a:ext cx="4581525" cy="790575"/>
          <a:chOff x="3055238" y="3384713"/>
          <a:chExt cx="4581525" cy="790575"/>
        </a:xfrm>
      </xdr:grpSpPr>
      <xdr:grpSp>
        <xdr:nvGrpSpPr>
          <xdr:cNvPr id="67" name="Shape 67"/>
          <xdr:cNvGrpSpPr/>
        </xdr:nvGrpSpPr>
        <xdr:grpSpPr>
          <a:xfrm>
            <a:off x="3055238" y="3384713"/>
            <a:ext cx="4581525" cy="790575"/>
            <a:chOff x="7453844" y="121708"/>
            <a:chExt cx="4705885" cy="892175"/>
          </a:xfrm>
        </xdr:grpSpPr>
        <xdr:sp>
          <xdr:nvSpPr>
            <xdr:cNvPr id="7" name="Shape 7"/>
            <xdr:cNvSpPr/>
          </xdr:nvSpPr>
          <xdr:spPr>
            <a:xfrm>
              <a:off x="7453844" y="121708"/>
              <a:ext cx="4705875" cy="892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68" name="Shape 68"/>
            <xdr:cNvGrpSpPr/>
          </xdr:nvGrpSpPr>
          <xdr:grpSpPr>
            <a:xfrm>
              <a:off x="7453844" y="121708"/>
              <a:ext cx="4705885" cy="892175"/>
              <a:chOff x="7453844" y="121708"/>
              <a:chExt cx="4705885" cy="892175"/>
            </a:xfrm>
          </xdr:grpSpPr>
          <xdr:sp>
            <xdr:nvSpPr>
              <xdr:cNvPr id="69" name="Shape 69"/>
              <xdr:cNvSpPr/>
            </xdr:nvSpPr>
            <xdr:spPr>
              <a:xfrm rot="-5400000">
                <a:off x="7165977" y="411691"/>
                <a:ext cx="775758"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sp>
            <xdr:nvSpPr>
              <xdr:cNvPr id="70" name="Shape 70">
                <a:hlinkClick r:id="rId3"/>
              </xdr:cNvPr>
              <xdr:cNvSpPr/>
            </xdr:nvSpPr>
            <xdr:spPr>
              <a:xfrm>
                <a:off x="7663388" y="861484"/>
                <a:ext cx="4491569"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nvGrpSpPr>
              <xdr:cNvPr id="71" name="Shape 71"/>
              <xdr:cNvGrpSpPr/>
            </xdr:nvGrpSpPr>
            <xdr:grpSpPr>
              <a:xfrm>
                <a:off x="7694122" y="121708"/>
                <a:ext cx="4465607" cy="468455"/>
                <a:chOff x="7694122" y="121708"/>
                <a:chExt cx="4465607" cy="468455"/>
              </a:xfrm>
            </xdr:grpSpPr>
            <xdr:sp>
              <xdr:nvSpPr>
                <xdr:cNvPr id="72" name="Shape 72">
                  <a:hlinkClick r:id="rId4"/>
                </xdr:cNvPr>
                <xdr:cNvSpPr/>
              </xdr:nvSpPr>
              <xdr:spPr>
                <a:xfrm>
                  <a:off x="10676902"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73" name="Shape 73">
                  <a:hlinkClick r:id="rId5"/>
                </xdr:cNvPr>
                <xdr:cNvSpPr/>
              </xdr:nvSpPr>
              <xdr:spPr>
                <a:xfrm>
                  <a:off x="8447940"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74" name="Shape 74">
                  <a:hlinkClick r:id="rId6"/>
                </xdr:cNvPr>
                <xdr:cNvSpPr/>
              </xdr:nvSpPr>
              <xdr:spPr>
                <a:xfrm>
                  <a:off x="9937634"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75" name="Shape 75">
                  <a:hlinkClick r:id="rId7"/>
                </xdr:cNvPr>
                <xdr:cNvSpPr/>
              </xdr:nvSpPr>
              <xdr:spPr>
                <a:xfrm>
                  <a:off x="7694122"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76" name="Shape 76">
                  <a:hlinkClick r:id="rId8"/>
                </xdr:cNvPr>
                <xdr:cNvSpPr/>
              </xdr:nvSpPr>
              <xdr:spPr>
                <a:xfrm>
                  <a:off x="9188033"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nvGrpSpPr>
                <xdr:cNvPr id="77" name="Shape 77"/>
                <xdr:cNvGrpSpPr/>
              </xdr:nvGrpSpPr>
              <xdr:grpSpPr>
                <a:xfrm>
                  <a:off x="7694122" y="121708"/>
                  <a:ext cx="4460658" cy="233943"/>
                  <a:chOff x="7694122" y="121708"/>
                  <a:chExt cx="4460658" cy="233943"/>
                </a:xfrm>
              </xdr:grpSpPr>
              <xdr:sp>
                <xdr:nvSpPr>
                  <xdr:cNvPr id="78" name="Shape 78">
                    <a:hlinkClick r:id="rId9"/>
                  </xdr:cNvPr>
                  <xdr:cNvSpPr/>
                </xdr:nvSpPr>
                <xdr:spPr>
                  <a:xfrm>
                    <a:off x="7694122" y="123825"/>
                    <a:ext cx="735362"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79" name="Shape 79">
                    <a:hlinkClick r:id="rId10"/>
                  </xdr:cNvPr>
                  <xdr:cNvSpPr/>
                </xdr:nvSpPr>
                <xdr:spPr>
                  <a:xfrm>
                    <a:off x="9188469" y="123825"/>
                    <a:ext cx="734304"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80" name="Shape 80">
                    <a:hlinkClick r:id="rId11"/>
                  </xdr:cNvPr>
                  <xdr:cNvSpPr/>
                </xdr:nvSpPr>
                <xdr:spPr>
                  <a:xfrm>
                    <a:off x="8448174"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81" name="Shape 81">
                    <a:hlinkClick r:id="rId12"/>
                  </xdr:cNvPr>
                  <xdr:cNvSpPr/>
                </xdr:nvSpPr>
                <xdr:spPr>
                  <a:xfrm>
                    <a:off x="9937230"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82" name="Shape 82">
                    <a:hlinkClick r:id="rId13"/>
                  </xdr:cNvPr>
                  <xdr:cNvSpPr/>
                </xdr:nvSpPr>
                <xdr:spPr>
                  <a:xfrm>
                    <a:off x="10676699"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sp>
                <xdr:nvSpPr>
                  <xdr:cNvPr id="83" name="Shape 83">
                    <a:hlinkClick r:id="rId14"/>
                  </xdr:cNvPr>
                  <xdr:cNvSpPr/>
                </xdr:nvSpPr>
                <xdr:spPr>
                  <a:xfrm>
                    <a:off x="11419417" y="121708"/>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Misc. Costs</a:t>
                    </a:r>
                    <a:endParaRPr sz="1400"/>
                  </a:p>
                </xdr:txBody>
              </xdr:sp>
            </xdr:grpSp>
            <xdr:sp>
              <xdr:nvSpPr>
                <xdr:cNvPr id="84" name="Shape 84">
                  <a:hlinkClick r:id="rId15"/>
                </xdr:cNvPr>
                <xdr:cNvSpPr/>
              </xdr:nvSpPr>
              <xdr:spPr>
                <a:xfrm>
                  <a:off x="11419417"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 Assets</a:t>
                  </a:r>
                  <a:endParaRPr sz="1400"/>
                </a:p>
              </xdr:txBody>
            </xdr:sp>
          </xdr:grpSp>
        </xdr:grpSp>
        <xdr:grpSp>
          <xdr:nvGrpSpPr>
            <xdr:cNvPr id="85" name="Shape 85"/>
            <xdr:cNvGrpSpPr/>
          </xdr:nvGrpSpPr>
          <xdr:grpSpPr>
            <a:xfrm>
              <a:off x="7697318" y="603250"/>
              <a:ext cx="4457265" cy="233638"/>
              <a:chOff x="7697318" y="603250"/>
              <a:chExt cx="4457265" cy="233638"/>
            </a:xfrm>
          </xdr:grpSpPr>
          <xdr:sp>
            <xdr:nvSpPr>
              <xdr:cNvPr id="86" name="Shape 86">
                <a:hlinkClick r:id="rId16"/>
              </xdr:cNvPr>
              <xdr:cNvSpPr/>
            </xdr:nvSpPr>
            <xdr:spPr>
              <a:xfrm>
                <a:off x="7697318" y="607179"/>
                <a:ext cx="73197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87" name="Shape 87">
                <a:hlinkClick r:id="rId17"/>
              </xdr:cNvPr>
              <xdr:cNvSpPr/>
            </xdr:nvSpPr>
            <xdr:spPr>
              <a:xfrm>
                <a:off x="8447943" y="607179"/>
                <a:ext cx="733570"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88" name="Shape 88">
                <a:hlinkClick r:id="rId18"/>
              </xdr:cNvPr>
              <xdr:cNvSpPr/>
            </xdr:nvSpPr>
            <xdr:spPr>
              <a:xfrm>
                <a:off x="9186436" y="607179"/>
                <a:ext cx="736762"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89" name="Shape 89">
                <a:hlinkClick r:id="rId19"/>
              </xdr:cNvPr>
              <xdr:cNvSpPr/>
            </xdr:nvSpPr>
            <xdr:spPr>
              <a:xfrm>
                <a:off x="9937631" y="607179"/>
                <a:ext cx="73516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90" name="Shape 90">
                <a:hlinkClick r:id="rId20"/>
              </xdr:cNvPr>
              <xdr:cNvSpPr/>
            </xdr:nvSpPr>
            <xdr:spPr>
              <a:xfrm>
                <a:off x="10676896" y="607179"/>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sp>
            <xdr:nvSpPr>
              <xdr:cNvPr id="91" name="Shape 91">
                <a:hlinkClick r:id="rId21"/>
              </xdr:cNvPr>
              <xdr:cNvSpPr/>
            </xdr:nvSpPr>
            <xdr:spPr>
              <a:xfrm>
                <a:off x="11419417" y="603250"/>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800">
                    <a:solidFill>
                      <a:srgbClr val="000000"/>
                    </a:solidFill>
                    <a:latin typeface="Calibri"/>
                    <a:ea typeface="Calibri"/>
                    <a:cs typeface="Calibri"/>
                    <a:sym typeface="Calibri"/>
                  </a:rPr>
                  <a:t>Copyright</a:t>
                </a:r>
                <a:r>
                  <a:rPr b="1" lang="en-US" sz="800">
                    <a:solidFill>
                      <a:srgbClr val="000000"/>
                    </a:solidFill>
                    <a:latin typeface="Calibri"/>
                    <a:ea typeface="Calibri"/>
                    <a:cs typeface="Calibri"/>
                    <a:sym typeface="Calibri"/>
                  </a:rPr>
                  <a:t> Notice</a:t>
                </a:r>
                <a:endParaRPr b="1" sz="800">
                  <a:solidFill>
                    <a:srgbClr val="000000"/>
                  </a:solidFill>
                  <a:latin typeface="Calibri"/>
                  <a:ea typeface="Calibri"/>
                  <a:cs typeface="Calibri"/>
                  <a:sym typeface="Calibri"/>
                </a:endParaRPr>
              </a:p>
            </xdr:txBody>
          </xdr:sp>
        </xdr:grp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37</xdr:row>
      <xdr:rowOff>0</xdr:rowOff>
    </xdr:from>
    <xdr:ext cx="6534150" cy="609600"/>
    <xdr:sp>
      <xdr:nvSpPr>
        <xdr:cNvPr id="4" name="Shape 4">
          <a:hlinkClick r:id="rId1"/>
        </xdr:cNvPr>
        <xdr:cNvSpPr/>
      </xdr:nvSpPr>
      <xdr:spPr>
        <a:xfrm>
          <a:off x="2083688" y="3475470"/>
          <a:ext cx="65246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3600" cap="none">
              <a:solidFill>
                <a:srgbClr val="FFFFFF"/>
              </a:solidFill>
            </a:rPr>
            <a:t>Next:</a:t>
          </a:r>
          <a:r>
            <a:rPr b="0" lang="en-US" sz="3600" cap="none">
              <a:solidFill>
                <a:srgbClr val="FFFFFF"/>
              </a:solidFill>
            </a:rPr>
            <a:t>  Monthly Operating Costs</a:t>
          </a:r>
          <a:endParaRPr b="0" sz="3600" cap="none">
            <a:solidFill>
              <a:srgbClr val="FFFFFF"/>
            </a:solidFill>
          </a:endParaRPr>
        </a:p>
      </xdr:txBody>
    </xdr:sp>
    <xdr:clientData fLocksWithSheet="0"/>
  </xdr:oneCellAnchor>
  <xdr:oneCellAnchor>
    <xdr:from>
      <xdr:col>6</xdr:col>
      <xdr:colOff>171450</xdr:colOff>
      <xdr:row>7</xdr:row>
      <xdr:rowOff>47625</xdr:rowOff>
    </xdr:from>
    <xdr:ext cx="1838325" cy="666750"/>
    <xdr:sp>
      <xdr:nvSpPr>
        <xdr:cNvPr id="32" name="Shape 32">
          <a:hlinkClick r:id="rId2"/>
        </xdr:cNvPr>
        <xdr:cNvSpPr/>
      </xdr:nvSpPr>
      <xdr:spPr>
        <a:xfrm>
          <a:off x="4436363" y="3456150"/>
          <a:ext cx="1819275" cy="647700"/>
        </a:xfrm>
        <a:prstGeom prst="rect">
          <a:avLst/>
        </a:prstGeom>
        <a:solidFill>
          <a:schemeClr val="accent2"/>
        </a:solidFill>
        <a:ln cap="flat" cmpd="sng" w="25400">
          <a:solidFill>
            <a:srgbClr val="27456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Do</a:t>
          </a:r>
          <a:r>
            <a:rPr lang="en-US" sz="1100">
              <a:solidFill>
                <a:schemeClr val="lt1"/>
              </a:solidFill>
              <a:latin typeface="Calibri"/>
              <a:ea typeface="Calibri"/>
              <a:cs typeface="Calibri"/>
              <a:sym typeface="Calibri"/>
            </a:rPr>
            <a:t> you need  to list your Capital Assets? Click to list on a separate sheet.</a:t>
          </a:r>
          <a:endParaRPr sz="1100">
            <a:solidFill>
              <a:schemeClr val="lt1"/>
            </a:solidFill>
            <a:latin typeface="Calibri"/>
            <a:ea typeface="Calibri"/>
            <a:cs typeface="Calibri"/>
            <a:sym typeface="Calibri"/>
          </a:endParaRPr>
        </a:p>
      </xdr:txBody>
    </xdr:sp>
    <xdr:clientData fLocksWithSheet="0"/>
  </xdr:oneCellAnchor>
  <xdr:oneCellAnchor>
    <xdr:from>
      <xdr:col>6</xdr:col>
      <xdr:colOff>152400</xdr:colOff>
      <xdr:row>0</xdr:row>
      <xdr:rowOff>152400</xdr:rowOff>
    </xdr:from>
    <xdr:ext cx="4591050" cy="876300"/>
    <xdr:grpSp>
      <xdr:nvGrpSpPr>
        <xdr:cNvPr id="2" name="Shape 2"/>
        <xdr:cNvGrpSpPr/>
      </xdr:nvGrpSpPr>
      <xdr:grpSpPr>
        <a:xfrm>
          <a:off x="3050475" y="3341850"/>
          <a:ext cx="4591050" cy="876300"/>
          <a:chOff x="3050475" y="3341850"/>
          <a:chExt cx="4591050" cy="876300"/>
        </a:xfrm>
      </xdr:grpSpPr>
      <xdr:grpSp>
        <xdr:nvGrpSpPr>
          <xdr:cNvPr id="34" name="Shape 34"/>
          <xdr:cNvGrpSpPr/>
        </xdr:nvGrpSpPr>
        <xdr:grpSpPr>
          <a:xfrm>
            <a:off x="3050475" y="3341850"/>
            <a:ext cx="4591050" cy="876300"/>
            <a:chOff x="7453844" y="121708"/>
            <a:chExt cx="4705885" cy="892175"/>
          </a:xfrm>
        </xdr:grpSpPr>
        <xdr:sp>
          <xdr:nvSpPr>
            <xdr:cNvPr id="7" name="Shape 7"/>
            <xdr:cNvSpPr/>
          </xdr:nvSpPr>
          <xdr:spPr>
            <a:xfrm>
              <a:off x="7453844" y="121708"/>
              <a:ext cx="4705875" cy="892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35" name="Shape 35"/>
            <xdr:cNvGrpSpPr/>
          </xdr:nvGrpSpPr>
          <xdr:grpSpPr>
            <a:xfrm>
              <a:off x="7453844" y="121708"/>
              <a:ext cx="4705885" cy="892175"/>
              <a:chOff x="7453844" y="121708"/>
              <a:chExt cx="4705885" cy="892175"/>
            </a:xfrm>
          </xdr:grpSpPr>
          <xdr:sp>
            <xdr:nvSpPr>
              <xdr:cNvPr id="36" name="Shape 36"/>
              <xdr:cNvSpPr/>
            </xdr:nvSpPr>
            <xdr:spPr>
              <a:xfrm rot="-5400000">
                <a:off x="7165977" y="411691"/>
                <a:ext cx="775758"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sp>
            <xdr:nvSpPr>
              <xdr:cNvPr id="37" name="Shape 37">
                <a:hlinkClick r:id="rId3"/>
              </xdr:cNvPr>
              <xdr:cNvSpPr/>
            </xdr:nvSpPr>
            <xdr:spPr>
              <a:xfrm>
                <a:off x="7663388" y="861484"/>
                <a:ext cx="4491569"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nvGrpSpPr>
              <xdr:cNvPr id="38" name="Shape 38"/>
              <xdr:cNvGrpSpPr/>
            </xdr:nvGrpSpPr>
            <xdr:grpSpPr>
              <a:xfrm>
                <a:off x="7694122" y="121708"/>
                <a:ext cx="4465607" cy="468455"/>
                <a:chOff x="7694122" y="121708"/>
                <a:chExt cx="4465607" cy="468455"/>
              </a:xfrm>
            </xdr:grpSpPr>
            <xdr:sp>
              <xdr:nvSpPr>
                <xdr:cNvPr id="39" name="Shape 39">
                  <a:hlinkClick r:id="rId4"/>
                </xdr:cNvPr>
                <xdr:cNvSpPr/>
              </xdr:nvSpPr>
              <xdr:spPr>
                <a:xfrm>
                  <a:off x="10676902"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40" name="Shape 40">
                  <a:hlinkClick r:id="rId5"/>
                </xdr:cNvPr>
                <xdr:cNvSpPr/>
              </xdr:nvSpPr>
              <xdr:spPr>
                <a:xfrm>
                  <a:off x="8447940"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41" name="Shape 41">
                  <a:hlinkClick r:id="rId6"/>
                </xdr:cNvPr>
                <xdr:cNvSpPr/>
              </xdr:nvSpPr>
              <xdr:spPr>
                <a:xfrm>
                  <a:off x="9937634"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42" name="Shape 42">
                  <a:hlinkClick r:id="rId7"/>
                </xdr:cNvPr>
                <xdr:cNvSpPr/>
              </xdr:nvSpPr>
              <xdr:spPr>
                <a:xfrm>
                  <a:off x="7694122"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43" name="Shape 43">
                  <a:hlinkClick r:id="rId8"/>
                </xdr:cNvPr>
                <xdr:cNvSpPr/>
              </xdr:nvSpPr>
              <xdr:spPr>
                <a:xfrm>
                  <a:off x="9188033"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nvGrpSpPr>
                <xdr:cNvPr id="44" name="Shape 44"/>
                <xdr:cNvGrpSpPr/>
              </xdr:nvGrpSpPr>
              <xdr:grpSpPr>
                <a:xfrm>
                  <a:off x="7694122" y="121708"/>
                  <a:ext cx="4460658" cy="233943"/>
                  <a:chOff x="7694122" y="121708"/>
                  <a:chExt cx="4460658" cy="233943"/>
                </a:xfrm>
              </xdr:grpSpPr>
              <xdr:sp>
                <xdr:nvSpPr>
                  <xdr:cNvPr id="45" name="Shape 45">
                    <a:hlinkClick r:id="rId9"/>
                  </xdr:cNvPr>
                  <xdr:cNvSpPr/>
                </xdr:nvSpPr>
                <xdr:spPr>
                  <a:xfrm>
                    <a:off x="7694122" y="123825"/>
                    <a:ext cx="735362"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46" name="Shape 46">
                    <a:hlinkClick r:id="rId10"/>
                  </xdr:cNvPr>
                  <xdr:cNvSpPr/>
                </xdr:nvSpPr>
                <xdr:spPr>
                  <a:xfrm>
                    <a:off x="9188469" y="123825"/>
                    <a:ext cx="734304"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47" name="Shape 47">
                    <a:hlinkClick r:id="rId11"/>
                  </xdr:cNvPr>
                  <xdr:cNvSpPr/>
                </xdr:nvSpPr>
                <xdr:spPr>
                  <a:xfrm>
                    <a:off x="8448174"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48" name="Shape 48">
                    <a:hlinkClick r:id="rId12"/>
                  </xdr:cNvPr>
                  <xdr:cNvSpPr/>
                </xdr:nvSpPr>
                <xdr:spPr>
                  <a:xfrm>
                    <a:off x="9937230"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49" name="Shape 49">
                    <a:hlinkClick r:id="rId13"/>
                  </xdr:cNvPr>
                  <xdr:cNvSpPr/>
                </xdr:nvSpPr>
                <xdr:spPr>
                  <a:xfrm>
                    <a:off x="10676699"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sp>
                <xdr:nvSpPr>
                  <xdr:cNvPr id="50" name="Shape 50">
                    <a:hlinkClick r:id="rId14"/>
                  </xdr:cNvPr>
                  <xdr:cNvSpPr/>
                </xdr:nvSpPr>
                <xdr:spPr>
                  <a:xfrm>
                    <a:off x="11419417" y="121708"/>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Misc. Costs</a:t>
                    </a:r>
                    <a:endParaRPr sz="1400"/>
                  </a:p>
                </xdr:txBody>
              </xdr:sp>
            </xdr:grpSp>
            <xdr:sp>
              <xdr:nvSpPr>
                <xdr:cNvPr id="51" name="Shape 51">
                  <a:hlinkClick r:id="rId15"/>
                </xdr:cNvPr>
                <xdr:cNvSpPr/>
              </xdr:nvSpPr>
              <xdr:spPr>
                <a:xfrm>
                  <a:off x="11419417"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 Assets</a:t>
                  </a:r>
                  <a:endParaRPr sz="1400"/>
                </a:p>
              </xdr:txBody>
            </xdr:sp>
          </xdr:grpSp>
        </xdr:grpSp>
        <xdr:grpSp>
          <xdr:nvGrpSpPr>
            <xdr:cNvPr id="52" name="Shape 52"/>
            <xdr:cNvGrpSpPr/>
          </xdr:nvGrpSpPr>
          <xdr:grpSpPr>
            <a:xfrm>
              <a:off x="7697318" y="603250"/>
              <a:ext cx="4457265" cy="233638"/>
              <a:chOff x="7697318" y="603250"/>
              <a:chExt cx="4457265" cy="233638"/>
            </a:xfrm>
          </xdr:grpSpPr>
          <xdr:sp>
            <xdr:nvSpPr>
              <xdr:cNvPr id="53" name="Shape 53">
                <a:hlinkClick r:id="rId16"/>
              </xdr:cNvPr>
              <xdr:cNvSpPr/>
            </xdr:nvSpPr>
            <xdr:spPr>
              <a:xfrm>
                <a:off x="7697318" y="607179"/>
                <a:ext cx="73197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54" name="Shape 54">
                <a:hlinkClick r:id="rId17"/>
              </xdr:cNvPr>
              <xdr:cNvSpPr/>
            </xdr:nvSpPr>
            <xdr:spPr>
              <a:xfrm>
                <a:off x="8447943" y="607179"/>
                <a:ext cx="733570"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55" name="Shape 55">
                <a:hlinkClick r:id="rId18"/>
              </xdr:cNvPr>
              <xdr:cNvSpPr/>
            </xdr:nvSpPr>
            <xdr:spPr>
              <a:xfrm>
                <a:off x="9186436" y="607179"/>
                <a:ext cx="736762"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56" name="Shape 56">
                <a:hlinkClick r:id="rId19"/>
              </xdr:cNvPr>
              <xdr:cNvSpPr/>
            </xdr:nvSpPr>
            <xdr:spPr>
              <a:xfrm>
                <a:off x="9937631" y="607179"/>
                <a:ext cx="73516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57" name="Shape 57">
                <a:hlinkClick r:id="rId20"/>
              </xdr:cNvPr>
              <xdr:cNvSpPr/>
            </xdr:nvSpPr>
            <xdr:spPr>
              <a:xfrm>
                <a:off x="10676896" y="607179"/>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sp>
            <xdr:nvSpPr>
              <xdr:cNvPr id="58" name="Shape 58">
                <a:hlinkClick r:id="rId21"/>
              </xdr:cNvPr>
              <xdr:cNvSpPr/>
            </xdr:nvSpPr>
            <xdr:spPr>
              <a:xfrm>
                <a:off x="11419417" y="603250"/>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800">
                    <a:solidFill>
                      <a:srgbClr val="000000"/>
                    </a:solidFill>
                    <a:latin typeface="Calibri"/>
                    <a:ea typeface="Calibri"/>
                    <a:cs typeface="Calibri"/>
                    <a:sym typeface="Calibri"/>
                  </a:rPr>
                  <a:t>Copyright</a:t>
                </a:r>
                <a:r>
                  <a:rPr b="1" lang="en-US" sz="800">
                    <a:solidFill>
                      <a:srgbClr val="000000"/>
                    </a:solidFill>
                    <a:latin typeface="Calibri"/>
                    <a:ea typeface="Calibri"/>
                    <a:cs typeface="Calibri"/>
                    <a:sym typeface="Calibri"/>
                  </a:rPr>
                  <a:t> Notice</a:t>
                </a:r>
                <a:endParaRPr b="1" sz="800">
                  <a:solidFill>
                    <a:srgbClr val="000000"/>
                  </a:solidFill>
                  <a:latin typeface="Calibri"/>
                  <a:ea typeface="Calibri"/>
                  <a:cs typeface="Calibri"/>
                  <a:sym typeface="Calibri"/>
                </a:endParaRPr>
              </a:p>
            </xdr:txBody>
          </xdr:sp>
        </xdr:grpSp>
      </xdr:grp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342900</xdr:colOff>
      <xdr:row>45</xdr:row>
      <xdr:rowOff>0</xdr:rowOff>
    </xdr:from>
    <xdr:ext cx="6534150" cy="609600"/>
    <xdr:sp>
      <xdr:nvSpPr>
        <xdr:cNvPr id="92" name="Shape 92">
          <a:hlinkClick r:id="rId1"/>
        </xdr:cNvPr>
        <xdr:cNvSpPr/>
      </xdr:nvSpPr>
      <xdr:spPr>
        <a:xfrm>
          <a:off x="2083688" y="3475470"/>
          <a:ext cx="65246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3600" cap="none">
              <a:solidFill>
                <a:srgbClr val="FFFFFF"/>
              </a:solidFill>
            </a:rPr>
            <a:t>Next:</a:t>
          </a:r>
          <a:r>
            <a:rPr b="0" lang="en-US" sz="3600" cap="none">
              <a:solidFill>
                <a:srgbClr val="FFFFFF"/>
              </a:solidFill>
            </a:rPr>
            <a:t>  Personnel Costs</a:t>
          </a:r>
          <a:endParaRPr b="0" sz="3600" cap="none">
            <a:solidFill>
              <a:srgbClr val="FFFFFF"/>
            </a:solidFill>
          </a:endParaRPr>
        </a:p>
      </xdr:txBody>
    </xdr:sp>
    <xdr:clientData fLocksWithSheet="0"/>
  </xdr:oneCellAnchor>
  <xdr:oneCellAnchor>
    <xdr:from>
      <xdr:col>6</xdr:col>
      <xdr:colOff>104775</xdr:colOff>
      <xdr:row>32</xdr:row>
      <xdr:rowOff>0</xdr:rowOff>
    </xdr:from>
    <xdr:ext cx="1857375" cy="476250"/>
    <xdr:sp>
      <xdr:nvSpPr>
        <xdr:cNvPr id="93" name="Shape 93">
          <a:hlinkClick r:id="rId2"/>
        </xdr:cNvPr>
        <xdr:cNvSpPr/>
      </xdr:nvSpPr>
      <xdr:spPr>
        <a:xfrm>
          <a:off x="4426838" y="3551400"/>
          <a:ext cx="1838325" cy="457200"/>
        </a:xfrm>
        <a:prstGeom prst="rect">
          <a:avLst/>
        </a:prstGeom>
        <a:solidFill>
          <a:schemeClr val="accent2"/>
        </a:solidFill>
        <a:ln cap="flat" cmpd="sng" w="25400">
          <a:solidFill>
            <a:srgbClr val="27456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Do</a:t>
          </a:r>
          <a:r>
            <a:rPr lang="en-US" sz="1100">
              <a:solidFill>
                <a:schemeClr val="lt1"/>
              </a:solidFill>
              <a:latin typeface="Calibri"/>
              <a:ea typeface="Calibri"/>
              <a:cs typeface="Calibri"/>
              <a:sym typeface="Calibri"/>
            </a:rPr>
            <a:t> you need  to list your Miscellaneous expenses? Click for Misc.worksheet.</a:t>
          </a:r>
          <a:endParaRPr sz="1100"/>
        </a:p>
      </xdr:txBody>
    </xdr:sp>
    <xdr:clientData fLocksWithSheet="0"/>
  </xdr:oneCellAnchor>
  <xdr:oneCellAnchor>
    <xdr:from>
      <xdr:col>6</xdr:col>
      <xdr:colOff>133350</xdr:colOff>
      <xdr:row>0</xdr:row>
      <xdr:rowOff>133350</xdr:rowOff>
    </xdr:from>
    <xdr:ext cx="4648200" cy="885825"/>
    <xdr:grpSp>
      <xdr:nvGrpSpPr>
        <xdr:cNvPr id="2" name="Shape 2"/>
        <xdr:cNvGrpSpPr/>
      </xdr:nvGrpSpPr>
      <xdr:grpSpPr>
        <a:xfrm>
          <a:off x="3021900" y="3337088"/>
          <a:ext cx="4648200" cy="885825"/>
          <a:chOff x="3021900" y="3337088"/>
          <a:chExt cx="4648200" cy="885825"/>
        </a:xfrm>
      </xdr:grpSpPr>
      <xdr:grpSp>
        <xdr:nvGrpSpPr>
          <xdr:cNvPr id="94" name="Shape 94"/>
          <xdr:cNvGrpSpPr/>
        </xdr:nvGrpSpPr>
        <xdr:grpSpPr>
          <a:xfrm>
            <a:off x="3021900" y="3337088"/>
            <a:ext cx="4648200" cy="885825"/>
            <a:chOff x="7453844" y="121708"/>
            <a:chExt cx="4705885" cy="892175"/>
          </a:xfrm>
        </xdr:grpSpPr>
        <xdr:sp>
          <xdr:nvSpPr>
            <xdr:cNvPr id="7" name="Shape 7"/>
            <xdr:cNvSpPr/>
          </xdr:nvSpPr>
          <xdr:spPr>
            <a:xfrm>
              <a:off x="7453844" y="121708"/>
              <a:ext cx="4705875" cy="892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95" name="Shape 95"/>
            <xdr:cNvGrpSpPr/>
          </xdr:nvGrpSpPr>
          <xdr:grpSpPr>
            <a:xfrm>
              <a:off x="7453844" y="121708"/>
              <a:ext cx="4705885" cy="892175"/>
              <a:chOff x="7453844" y="121708"/>
              <a:chExt cx="4705885" cy="892175"/>
            </a:xfrm>
          </xdr:grpSpPr>
          <xdr:sp>
            <xdr:nvSpPr>
              <xdr:cNvPr id="96" name="Shape 96"/>
              <xdr:cNvSpPr/>
            </xdr:nvSpPr>
            <xdr:spPr>
              <a:xfrm rot="-5400000">
                <a:off x="7165977" y="411691"/>
                <a:ext cx="775758"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sp>
            <xdr:nvSpPr>
              <xdr:cNvPr id="97" name="Shape 97">
                <a:hlinkClick r:id="rId3"/>
              </xdr:cNvPr>
              <xdr:cNvSpPr/>
            </xdr:nvSpPr>
            <xdr:spPr>
              <a:xfrm>
                <a:off x="7663388" y="861484"/>
                <a:ext cx="4491569"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nvGrpSpPr>
              <xdr:cNvPr id="98" name="Shape 98"/>
              <xdr:cNvGrpSpPr/>
            </xdr:nvGrpSpPr>
            <xdr:grpSpPr>
              <a:xfrm>
                <a:off x="7694122" y="121708"/>
                <a:ext cx="4465607" cy="468455"/>
                <a:chOff x="7694122" y="121708"/>
                <a:chExt cx="4465607" cy="468455"/>
              </a:xfrm>
            </xdr:grpSpPr>
            <xdr:sp>
              <xdr:nvSpPr>
                <xdr:cNvPr id="99" name="Shape 99">
                  <a:hlinkClick r:id="rId4"/>
                </xdr:cNvPr>
                <xdr:cNvSpPr/>
              </xdr:nvSpPr>
              <xdr:spPr>
                <a:xfrm>
                  <a:off x="10676902"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100" name="Shape 100">
                  <a:hlinkClick r:id="rId5"/>
                </xdr:cNvPr>
                <xdr:cNvSpPr/>
              </xdr:nvSpPr>
              <xdr:spPr>
                <a:xfrm>
                  <a:off x="8447940"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101" name="Shape 101">
                  <a:hlinkClick r:id="rId6"/>
                </xdr:cNvPr>
                <xdr:cNvSpPr/>
              </xdr:nvSpPr>
              <xdr:spPr>
                <a:xfrm>
                  <a:off x="9937634"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102" name="Shape 102">
                  <a:hlinkClick r:id="rId7"/>
                </xdr:cNvPr>
                <xdr:cNvSpPr/>
              </xdr:nvSpPr>
              <xdr:spPr>
                <a:xfrm>
                  <a:off x="7694122"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103" name="Shape 103">
                  <a:hlinkClick r:id="rId8"/>
                </xdr:cNvPr>
                <xdr:cNvSpPr/>
              </xdr:nvSpPr>
              <xdr:spPr>
                <a:xfrm>
                  <a:off x="9188033"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nvGrpSpPr>
                <xdr:cNvPr id="104" name="Shape 104"/>
                <xdr:cNvGrpSpPr/>
              </xdr:nvGrpSpPr>
              <xdr:grpSpPr>
                <a:xfrm>
                  <a:off x="7694122" y="121708"/>
                  <a:ext cx="4460658" cy="233943"/>
                  <a:chOff x="7694122" y="121708"/>
                  <a:chExt cx="4460658" cy="233943"/>
                </a:xfrm>
              </xdr:grpSpPr>
              <xdr:sp>
                <xdr:nvSpPr>
                  <xdr:cNvPr id="105" name="Shape 105">
                    <a:hlinkClick r:id="rId9"/>
                  </xdr:cNvPr>
                  <xdr:cNvSpPr/>
                </xdr:nvSpPr>
                <xdr:spPr>
                  <a:xfrm>
                    <a:off x="7694122" y="123825"/>
                    <a:ext cx="735362"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106" name="Shape 106">
                    <a:hlinkClick r:id="rId10"/>
                  </xdr:cNvPr>
                  <xdr:cNvSpPr/>
                </xdr:nvSpPr>
                <xdr:spPr>
                  <a:xfrm>
                    <a:off x="9188469" y="123825"/>
                    <a:ext cx="734304"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107" name="Shape 107">
                    <a:hlinkClick r:id="rId11"/>
                  </xdr:cNvPr>
                  <xdr:cNvSpPr/>
                </xdr:nvSpPr>
                <xdr:spPr>
                  <a:xfrm>
                    <a:off x="8448174"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108" name="Shape 108">
                    <a:hlinkClick r:id="rId12"/>
                  </xdr:cNvPr>
                  <xdr:cNvSpPr/>
                </xdr:nvSpPr>
                <xdr:spPr>
                  <a:xfrm>
                    <a:off x="9937230"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109" name="Shape 109">
                    <a:hlinkClick r:id="rId13"/>
                  </xdr:cNvPr>
                  <xdr:cNvSpPr/>
                </xdr:nvSpPr>
                <xdr:spPr>
                  <a:xfrm>
                    <a:off x="10676699"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sp>
                <xdr:nvSpPr>
                  <xdr:cNvPr id="110" name="Shape 110">
                    <a:hlinkClick r:id="rId14"/>
                  </xdr:cNvPr>
                  <xdr:cNvSpPr/>
                </xdr:nvSpPr>
                <xdr:spPr>
                  <a:xfrm>
                    <a:off x="11419417" y="121708"/>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Misc. Costs</a:t>
                    </a:r>
                    <a:endParaRPr sz="1400"/>
                  </a:p>
                </xdr:txBody>
              </xdr:sp>
            </xdr:grpSp>
            <xdr:sp>
              <xdr:nvSpPr>
                <xdr:cNvPr id="111" name="Shape 111">
                  <a:hlinkClick r:id="rId15"/>
                </xdr:cNvPr>
                <xdr:cNvSpPr/>
              </xdr:nvSpPr>
              <xdr:spPr>
                <a:xfrm>
                  <a:off x="11419417"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 Assets</a:t>
                  </a:r>
                  <a:endParaRPr sz="1400"/>
                </a:p>
              </xdr:txBody>
            </xdr:sp>
          </xdr:grpSp>
        </xdr:grpSp>
        <xdr:grpSp>
          <xdr:nvGrpSpPr>
            <xdr:cNvPr id="112" name="Shape 112"/>
            <xdr:cNvGrpSpPr/>
          </xdr:nvGrpSpPr>
          <xdr:grpSpPr>
            <a:xfrm>
              <a:off x="7697318" y="603250"/>
              <a:ext cx="4457265" cy="233638"/>
              <a:chOff x="7697318" y="603250"/>
              <a:chExt cx="4457265" cy="233638"/>
            </a:xfrm>
          </xdr:grpSpPr>
          <xdr:sp>
            <xdr:nvSpPr>
              <xdr:cNvPr id="113" name="Shape 113">
                <a:hlinkClick r:id="rId16"/>
              </xdr:cNvPr>
              <xdr:cNvSpPr/>
            </xdr:nvSpPr>
            <xdr:spPr>
              <a:xfrm>
                <a:off x="7697318" y="607179"/>
                <a:ext cx="73197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114" name="Shape 114">
                <a:hlinkClick r:id="rId17"/>
              </xdr:cNvPr>
              <xdr:cNvSpPr/>
            </xdr:nvSpPr>
            <xdr:spPr>
              <a:xfrm>
                <a:off x="8447943" y="607179"/>
                <a:ext cx="733570"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115" name="Shape 115">
                <a:hlinkClick r:id="rId18"/>
              </xdr:cNvPr>
              <xdr:cNvSpPr/>
            </xdr:nvSpPr>
            <xdr:spPr>
              <a:xfrm>
                <a:off x="9186436" y="607179"/>
                <a:ext cx="736762"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116" name="Shape 116">
                <a:hlinkClick r:id="rId19"/>
              </xdr:cNvPr>
              <xdr:cNvSpPr/>
            </xdr:nvSpPr>
            <xdr:spPr>
              <a:xfrm>
                <a:off x="9937631" y="607179"/>
                <a:ext cx="73516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117" name="Shape 117">
                <a:hlinkClick r:id="rId20"/>
              </xdr:cNvPr>
              <xdr:cNvSpPr/>
            </xdr:nvSpPr>
            <xdr:spPr>
              <a:xfrm>
                <a:off x="10676896" y="607179"/>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sp>
            <xdr:nvSpPr>
              <xdr:cNvPr id="118" name="Shape 118">
                <a:hlinkClick r:id="rId21"/>
              </xdr:cNvPr>
              <xdr:cNvSpPr/>
            </xdr:nvSpPr>
            <xdr:spPr>
              <a:xfrm>
                <a:off x="11419417" y="603250"/>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800">
                    <a:solidFill>
                      <a:srgbClr val="000000"/>
                    </a:solidFill>
                    <a:latin typeface="Calibri"/>
                    <a:ea typeface="Calibri"/>
                    <a:cs typeface="Calibri"/>
                    <a:sym typeface="Calibri"/>
                  </a:rPr>
                  <a:t>Copyright</a:t>
                </a:r>
                <a:r>
                  <a:rPr b="1" lang="en-US" sz="800">
                    <a:solidFill>
                      <a:srgbClr val="000000"/>
                    </a:solidFill>
                    <a:latin typeface="Calibri"/>
                    <a:ea typeface="Calibri"/>
                    <a:cs typeface="Calibri"/>
                    <a:sym typeface="Calibri"/>
                  </a:rPr>
                  <a:t> Notice</a:t>
                </a:r>
                <a:endParaRPr b="1" sz="800">
                  <a:solidFill>
                    <a:srgbClr val="000000"/>
                  </a:solidFill>
                  <a:latin typeface="Calibri"/>
                  <a:ea typeface="Calibri"/>
                  <a:cs typeface="Calibri"/>
                  <a:sym typeface="Calibri"/>
                </a:endParaRPr>
              </a:p>
            </xdr:txBody>
          </xdr:sp>
        </xdr:grpSp>
      </xdr:grpSp>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142875</xdr:colOff>
      <xdr:row>4</xdr:row>
      <xdr:rowOff>161925</xdr:rowOff>
    </xdr:from>
    <xdr:ext cx="2762250" cy="609600"/>
    <xdr:sp>
      <xdr:nvSpPr>
        <xdr:cNvPr id="119" name="Shape 119"/>
        <xdr:cNvSpPr/>
      </xdr:nvSpPr>
      <xdr:spPr>
        <a:xfrm>
          <a:off x="3969638" y="3475470"/>
          <a:ext cx="27527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4000" cap="none">
              <a:solidFill>
                <a:srgbClr val="FFFFFF"/>
              </a:solidFill>
            </a:rPr>
            <a:t>Step 1</a:t>
          </a:r>
          <a:endParaRPr sz="1400"/>
        </a:p>
      </xdr:txBody>
    </xdr:sp>
    <xdr:clientData fLocksWithSheet="0"/>
  </xdr:oneCellAnchor>
  <xdr:oneCellAnchor>
    <xdr:from>
      <xdr:col>1</xdr:col>
      <xdr:colOff>666750</xdr:colOff>
      <xdr:row>59</xdr:row>
      <xdr:rowOff>38100</xdr:rowOff>
    </xdr:from>
    <xdr:ext cx="6534150" cy="609600"/>
    <xdr:sp>
      <xdr:nvSpPr>
        <xdr:cNvPr id="120" name="Shape 120">
          <a:hlinkClick r:id="rId1"/>
        </xdr:cNvPr>
        <xdr:cNvSpPr/>
      </xdr:nvSpPr>
      <xdr:spPr>
        <a:xfrm>
          <a:off x="2083688" y="3475470"/>
          <a:ext cx="65246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3600" cap="none">
              <a:solidFill>
                <a:srgbClr val="FFFFFF"/>
              </a:solidFill>
            </a:rPr>
            <a:t>Next:</a:t>
          </a:r>
          <a:r>
            <a:rPr b="0" lang="en-US" sz="3600" cap="none">
              <a:solidFill>
                <a:srgbClr val="FFFFFF"/>
              </a:solidFill>
            </a:rPr>
            <a:t>  Sales Units</a:t>
          </a:r>
          <a:endParaRPr b="0" sz="3600" cap="none">
            <a:solidFill>
              <a:srgbClr val="FFFFFF"/>
            </a:solidFill>
          </a:endParaRPr>
        </a:p>
      </xdr:txBody>
    </xdr:sp>
    <xdr:clientData fLocksWithSheet="0"/>
  </xdr:oneCellAnchor>
  <xdr:oneCellAnchor>
    <xdr:from>
      <xdr:col>9</xdr:col>
      <xdr:colOff>57150</xdr:colOff>
      <xdr:row>0</xdr:row>
      <xdr:rowOff>114300</xdr:rowOff>
    </xdr:from>
    <xdr:ext cx="4714875" cy="828675"/>
    <xdr:grpSp>
      <xdr:nvGrpSpPr>
        <xdr:cNvPr id="2" name="Shape 2"/>
        <xdr:cNvGrpSpPr/>
      </xdr:nvGrpSpPr>
      <xdr:grpSpPr>
        <a:xfrm>
          <a:off x="2988562" y="3365663"/>
          <a:ext cx="4714875" cy="828675"/>
          <a:chOff x="2988562" y="3365663"/>
          <a:chExt cx="4714875" cy="828675"/>
        </a:xfrm>
      </xdr:grpSpPr>
      <xdr:grpSp>
        <xdr:nvGrpSpPr>
          <xdr:cNvPr id="121" name="Shape 121"/>
          <xdr:cNvGrpSpPr/>
        </xdr:nvGrpSpPr>
        <xdr:grpSpPr>
          <a:xfrm>
            <a:off x="2988562" y="3365663"/>
            <a:ext cx="4714875" cy="828675"/>
            <a:chOff x="7453844" y="121708"/>
            <a:chExt cx="4705885" cy="892175"/>
          </a:xfrm>
        </xdr:grpSpPr>
        <xdr:sp>
          <xdr:nvSpPr>
            <xdr:cNvPr id="7" name="Shape 7"/>
            <xdr:cNvSpPr/>
          </xdr:nvSpPr>
          <xdr:spPr>
            <a:xfrm>
              <a:off x="7453844" y="121708"/>
              <a:ext cx="4705875" cy="892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122" name="Shape 122"/>
            <xdr:cNvGrpSpPr/>
          </xdr:nvGrpSpPr>
          <xdr:grpSpPr>
            <a:xfrm>
              <a:off x="7453844" y="121708"/>
              <a:ext cx="4705885" cy="892175"/>
              <a:chOff x="7453844" y="121708"/>
              <a:chExt cx="4705885" cy="892175"/>
            </a:xfrm>
          </xdr:grpSpPr>
          <xdr:sp>
            <xdr:nvSpPr>
              <xdr:cNvPr id="123" name="Shape 123"/>
              <xdr:cNvSpPr/>
            </xdr:nvSpPr>
            <xdr:spPr>
              <a:xfrm rot="-5400000">
                <a:off x="7165977" y="411691"/>
                <a:ext cx="775758"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sp>
            <xdr:nvSpPr>
              <xdr:cNvPr id="124" name="Shape 124">
                <a:hlinkClick r:id="rId2"/>
              </xdr:cNvPr>
              <xdr:cNvSpPr/>
            </xdr:nvSpPr>
            <xdr:spPr>
              <a:xfrm>
                <a:off x="7663388" y="861484"/>
                <a:ext cx="4491569"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nvGrpSpPr>
              <xdr:cNvPr id="125" name="Shape 125"/>
              <xdr:cNvGrpSpPr/>
            </xdr:nvGrpSpPr>
            <xdr:grpSpPr>
              <a:xfrm>
                <a:off x="7694122" y="121708"/>
                <a:ext cx="4465607" cy="468455"/>
                <a:chOff x="7694122" y="121708"/>
                <a:chExt cx="4465607" cy="468455"/>
              </a:xfrm>
            </xdr:grpSpPr>
            <xdr:sp>
              <xdr:nvSpPr>
                <xdr:cNvPr id="126" name="Shape 126">
                  <a:hlinkClick r:id="rId3"/>
                </xdr:cNvPr>
                <xdr:cNvSpPr/>
              </xdr:nvSpPr>
              <xdr:spPr>
                <a:xfrm>
                  <a:off x="10676902"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127" name="Shape 127">
                  <a:hlinkClick r:id="rId4"/>
                </xdr:cNvPr>
                <xdr:cNvSpPr/>
              </xdr:nvSpPr>
              <xdr:spPr>
                <a:xfrm>
                  <a:off x="8447940"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128" name="Shape 128">
                  <a:hlinkClick r:id="rId5"/>
                </xdr:cNvPr>
                <xdr:cNvSpPr/>
              </xdr:nvSpPr>
              <xdr:spPr>
                <a:xfrm>
                  <a:off x="9937634"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129" name="Shape 129">
                  <a:hlinkClick r:id="rId6"/>
                </xdr:cNvPr>
                <xdr:cNvSpPr/>
              </xdr:nvSpPr>
              <xdr:spPr>
                <a:xfrm>
                  <a:off x="7694122"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130" name="Shape 130">
                  <a:hlinkClick r:id="rId7"/>
                </xdr:cNvPr>
                <xdr:cNvSpPr/>
              </xdr:nvSpPr>
              <xdr:spPr>
                <a:xfrm>
                  <a:off x="9188033"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nvGrpSpPr>
                <xdr:cNvPr id="131" name="Shape 131"/>
                <xdr:cNvGrpSpPr/>
              </xdr:nvGrpSpPr>
              <xdr:grpSpPr>
                <a:xfrm>
                  <a:off x="7694122" y="121708"/>
                  <a:ext cx="4460658" cy="233943"/>
                  <a:chOff x="7694122" y="121708"/>
                  <a:chExt cx="4460658" cy="233943"/>
                </a:xfrm>
              </xdr:grpSpPr>
              <xdr:sp>
                <xdr:nvSpPr>
                  <xdr:cNvPr id="132" name="Shape 132">
                    <a:hlinkClick r:id="rId8"/>
                  </xdr:cNvPr>
                  <xdr:cNvSpPr/>
                </xdr:nvSpPr>
                <xdr:spPr>
                  <a:xfrm>
                    <a:off x="7694122" y="123825"/>
                    <a:ext cx="735362"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133" name="Shape 133">
                    <a:hlinkClick r:id="rId9"/>
                  </xdr:cNvPr>
                  <xdr:cNvSpPr/>
                </xdr:nvSpPr>
                <xdr:spPr>
                  <a:xfrm>
                    <a:off x="9188469" y="123825"/>
                    <a:ext cx="734304"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134" name="Shape 134">
                    <a:hlinkClick r:id="rId10"/>
                  </xdr:cNvPr>
                  <xdr:cNvSpPr/>
                </xdr:nvSpPr>
                <xdr:spPr>
                  <a:xfrm>
                    <a:off x="8448174"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135" name="Shape 135">
                    <a:hlinkClick r:id="rId11"/>
                  </xdr:cNvPr>
                  <xdr:cNvSpPr/>
                </xdr:nvSpPr>
                <xdr:spPr>
                  <a:xfrm>
                    <a:off x="9937230"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136" name="Shape 136">
                    <a:hlinkClick r:id="rId12"/>
                  </xdr:cNvPr>
                  <xdr:cNvSpPr/>
                </xdr:nvSpPr>
                <xdr:spPr>
                  <a:xfrm>
                    <a:off x="10676699"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sp>
                <xdr:nvSpPr>
                  <xdr:cNvPr id="137" name="Shape 137">
                    <a:hlinkClick r:id="rId13"/>
                  </xdr:cNvPr>
                  <xdr:cNvSpPr/>
                </xdr:nvSpPr>
                <xdr:spPr>
                  <a:xfrm>
                    <a:off x="11419417" y="121708"/>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Misc. Costs</a:t>
                    </a:r>
                    <a:endParaRPr sz="1400"/>
                  </a:p>
                </xdr:txBody>
              </xdr:sp>
            </xdr:grpSp>
            <xdr:sp>
              <xdr:nvSpPr>
                <xdr:cNvPr id="138" name="Shape 138">
                  <a:hlinkClick r:id="rId14"/>
                </xdr:cNvPr>
                <xdr:cNvSpPr/>
              </xdr:nvSpPr>
              <xdr:spPr>
                <a:xfrm>
                  <a:off x="11419417"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 Assets</a:t>
                  </a:r>
                  <a:endParaRPr sz="1400"/>
                </a:p>
              </xdr:txBody>
            </xdr:sp>
          </xdr:grpSp>
        </xdr:grpSp>
        <xdr:grpSp>
          <xdr:nvGrpSpPr>
            <xdr:cNvPr id="139" name="Shape 139"/>
            <xdr:cNvGrpSpPr/>
          </xdr:nvGrpSpPr>
          <xdr:grpSpPr>
            <a:xfrm>
              <a:off x="7697318" y="603250"/>
              <a:ext cx="4457265" cy="233638"/>
              <a:chOff x="7697318" y="603250"/>
              <a:chExt cx="4457265" cy="233638"/>
            </a:xfrm>
          </xdr:grpSpPr>
          <xdr:sp>
            <xdr:nvSpPr>
              <xdr:cNvPr id="140" name="Shape 140">
                <a:hlinkClick r:id="rId15"/>
              </xdr:cNvPr>
              <xdr:cNvSpPr/>
            </xdr:nvSpPr>
            <xdr:spPr>
              <a:xfrm>
                <a:off x="7697318" y="607179"/>
                <a:ext cx="73197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141" name="Shape 141">
                <a:hlinkClick r:id="rId16"/>
              </xdr:cNvPr>
              <xdr:cNvSpPr/>
            </xdr:nvSpPr>
            <xdr:spPr>
              <a:xfrm>
                <a:off x="8447943" y="607179"/>
                <a:ext cx="733570"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142" name="Shape 142">
                <a:hlinkClick r:id="rId17"/>
              </xdr:cNvPr>
              <xdr:cNvSpPr/>
            </xdr:nvSpPr>
            <xdr:spPr>
              <a:xfrm>
                <a:off x="9186436" y="607179"/>
                <a:ext cx="736762"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143" name="Shape 143">
                <a:hlinkClick r:id="rId18"/>
              </xdr:cNvPr>
              <xdr:cNvSpPr/>
            </xdr:nvSpPr>
            <xdr:spPr>
              <a:xfrm>
                <a:off x="9937631" y="607179"/>
                <a:ext cx="73516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144" name="Shape 144">
                <a:hlinkClick r:id="rId19"/>
              </xdr:cNvPr>
              <xdr:cNvSpPr/>
            </xdr:nvSpPr>
            <xdr:spPr>
              <a:xfrm>
                <a:off x="10676896" y="607179"/>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sp>
            <xdr:nvSpPr>
              <xdr:cNvPr id="145" name="Shape 145">
                <a:hlinkClick r:id="rId20"/>
              </xdr:cNvPr>
              <xdr:cNvSpPr/>
            </xdr:nvSpPr>
            <xdr:spPr>
              <a:xfrm>
                <a:off x="11419417" y="603250"/>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800">
                    <a:solidFill>
                      <a:srgbClr val="000000"/>
                    </a:solidFill>
                    <a:latin typeface="Calibri"/>
                    <a:ea typeface="Calibri"/>
                    <a:cs typeface="Calibri"/>
                    <a:sym typeface="Calibri"/>
                  </a:rPr>
                  <a:t>Copyright</a:t>
                </a:r>
                <a:r>
                  <a:rPr b="1" lang="en-US" sz="800">
                    <a:solidFill>
                      <a:srgbClr val="000000"/>
                    </a:solidFill>
                    <a:latin typeface="Calibri"/>
                    <a:ea typeface="Calibri"/>
                    <a:cs typeface="Calibri"/>
                    <a:sym typeface="Calibri"/>
                  </a:rPr>
                  <a:t> Notice</a:t>
                </a:r>
                <a:endParaRPr b="1" sz="800">
                  <a:solidFill>
                    <a:srgbClr val="000000"/>
                  </a:solidFill>
                  <a:latin typeface="Calibri"/>
                  <a:ea typeface="Calibri"/>
                  <a:cs typeface="Calibri"/>
                  <a:sym typeface="Calibri"/>
                </a:endParaRPr>
              </a:p>
            </xdr:txBody>
          </xdr:sp>
        </xdr:grpSp>
      </xdr:grp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457200</xdr:colOff>
      <xdr:row>66</xdr:row>
      <xdr:rowOff>133350</xdr:rowOff>
    </xdr:from>
    <xdr:ext cx="6534150" cy="609600"/>
    <xdr:sp>
      <xdr:nvSpPr>
        <xdr:cNvPr id="146" name="Shape 146"/>
        <xdr:cNvSpPr/>
      </xdr:nvSpPr>
      <xdr:spPr>
        <a:xfrm>
          <a:off x="2083688" y="3475470"/>
          <a:ext cx="65246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3600" cap="none">
              <a:solidFill>
                <a:srgbClr val="FFFFFF"/>
              </a:solidFill>
            </a:rPr>
            <a:t>Next:</a:t>
          </a:r>
          <a:r>
            <a:rPr b="0" lang="en-US" sz="3600" cap="none">
              <a:solidFill>
                <a:srgbClr val="FFFFFF"/>
              </a:solidFill>
            </a:rPr>
            <a:t>  Capital Required</a:t>
          </a:r>
          <a:endParaRPr b="0" sz="3600" cap="none">
            <a:solidFill>
              <a:srgbClr val="FFFFFF"/>
            </a:solidFill>
          </a:endParaRPr>
        </a:p>
      </xdr:txBody>
    </xdr:sp>
    <xdr:clientData fLocksWithSheet="0"/>
  </xdr:oneCellAnchor>
  <xdr:oneCellAnchor>
    <xdr:from>
      <xdr:col>37</xdr:col>
      <xdr:colOff>171450</xdr:colOff>
      <xdr:row>0</xdr:row>
      <xdr:rowOff>95250</xdr:rowOff>
    </xdr:from>
    <xdr:ext cx="4591050" cy="828675"/>
    <xdr:grpSp>
      <xdr:nvGrpSpPr>
        <xdr:cNvPr id="2" name="Shape 2"/>
        <xdr:cNvGrpSpPr/>
      </xdr:nvGrpSpPr>
      <xdr:grpSpPr>
        <a:xfrm>
          <a:off x="3050475" y="3365663"/>
          <a:ext cx="4591050" cy="828675"/>
          <a:chOff x="3050475" y="3365663"/>
          <a:chExt cx="4591050" cy="828675"/>
        </a:xfrm>
      </xdr:grpSpPr>
      <xdr:grpSp>
        <xdr:nvGrpSpPr>
          <xdr:cNvPr id="147" name="Shape 147"/>
          <xdr:cNvGrpSpPr/>
        </xdr:nvGrpSpPr>
        <xdr:grpSpPr>
          <a:xfrm>
            <a:off x="3050475" y="3365663"/>
            <a:ext cx="4591050" cy="828675"/>
            <a:chOff x="7453844" y="121708"/>
            <a:chExt cx="4705885" cy="892175"/>
          </a:xfrm>
        </xdr:grpSpPr>
        <xdr:sp>
          <xdr:nvSpPr>
            <xdr:cNvPr id="7" name="Shape 7"/>
            <xdr:cNvSpPr/>
          </xdr:nvSpPr>
          <xdr:spPr>
            <a:xfrm>
              <a:off x="7453844" y="121708"/>
              <a:ext cx="4705875" cy="892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148" name="Shape 148"/>
            <xdr:cNvGrpSpPr/>
          </xdr:nvGrpSpPr>
          <xdr:grpSpPr>
            <a:xfrm>
              <a:off x="7453844" y="121708"/>
              <a:ext cx="4705885" cy="892175"/>
              <a:chOff x="7453844" y="121708"/>
              <a:chExt cx="4705885" cy="892175"/>
            </a:xfrm>
          </xdr:grpSpPr>
          <xdr:sp>
            <xdr:nvSpPr>
              <xdr:cNvPr id="149" name="Shape 149"/>
              <xdr:cNvSpPr/>
            </xdr:nvSpPr>
            <xdr:spPr>
              <a:xfrm rot="-5400000">
                <a:off x="7165977" y="411691"/>
                <a:ext cx="775758"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sp>
            <xdr:nvSpPr>
              <xdr:cNvPr id="150" name="Shape 150">
                <a:hlinkClick r:id="rId1"/>
              </xdr:cNvPr>
              <xdr:cNvSpPr/>
            </xdr:nvSpPr>
            <xdr:spPr>
              <a:xfrm>
                <a:off x="7663388" y="861484"/>
                <a:ext cx="4491569"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nvGrpSpPr>
              <xdr:cNvPr id="151" name="Shape 151"/>
              <xdr:cNvGrpSpPr/>
            </xdr:nvGrpSpPr>
            <xdr:grpSpPr>
              <a:xfrm>
                <a:off x="7694122" y="121708"/>
                <a:ext cx="4465607" cy="468455"/>
                <a:chOff x="7694122" y="121708"/>
                <a:chExt cx="4465607" cy="468455"/>
              </a:xfrm>
            </xdr:grpSpPr>
            <xdr:sp>
              <xdr:nvSpPr>
                <xdr:cNvPr id="152" name="Shape 152">
                  <a:hlinkClick r:id="rId2"/>
                </xdr:cNvPr>
                <xdr:cNvSpPr/>
              </xdr:nvSpPr>
              <xdr:spPr>
                <a:xfrm>
                  <a:off x="10676902"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153" name="Shape 153">
                  <a:hlinkClick r:id="rId3"/>
                </xdr:cNvPr>
                <xdr:cNvSpPr/>
              </xdr:nvSpPr>
              <xdr:spPr>
                <a:xfrm>
                  <a:off x="8447940"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154" name="Shape 154">
                  <a:hlinkClick r:id="rId4"/>
                </xdr:cNvPr>
                <xdr:cNvSpPr/>
              </xdr:nvSpPr>
              <xdr:spPr>
                <a:xfrm>
                  <a:off x="9937634"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155" name="Shape 155">
                  <a:hlinkClick r:id="rId5"/>
                </xdr:cNvPr>
                <xdr:cNvSpPr/>
              </xdr:nvSpPr>
              <xdr:spPr>
                <a:xfrm>
                  <a:off x="7694122"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156" name="Shape 156">
                  <a:hlinkClick r:id="rId6"/>
                </xdr:cNvPr>
                <xdr:cNvSpPr/>
              </xdr:nvSpPr>
              <xdr:spPr>
                <a:xfrm>
                  <a:off x="9188033"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nvGrpSpPr>
                <xdr:cNvPr id="157" name="Shape 157"/>
                <xdr:cNvGrpSpPr/>
              </xdr:nvGrpSpPr>
              <xdr:grpSpPr>
                <a:xfrm>
                  <a:off x="7694122" y="121708"/>
                  <a:ext cx="4460658" cy="233943"/>
                  <a:chOff x="7694122" y="121708"/>
                  <a:chExt cx="4460658" cy="233943"/>
                </a:xfrm>
              </xdr:grpSpPr>
              <xdr:sp>
                <xdr:nvSpPr>
                  <xdr:cNvPr id="158" name="Shape 158">
                    <a:hlinkClick r:id="rId7"/>
                  </xdr:cNvPr>
                  <xdr:cNvSpPr/>
                </xdr:nvSpPr>
                <xdr:spPr>
                  <a:xfrm>
                    <a:off x="7694122" y="123825"/>
                    <a:ext cx="735362"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159" name="Shape 159">
                    <a:hlinkClick r:id="rId8"/>
                  </xdr:cNvPr>
                  <xdr:cNvSpPr/>
                </xdr:nvSpPr>
                <xdr:spPr>
                  <a:xfrm>
                    <a:off x="9188469" y="123825"/>
                    <a:ext cx="734304"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160" name="Shape 160">
                    <a:hlinkClick r:id="rId9"/>
                  </xdr:cNvPr>
                  <xdr:cNvSpPr/>
                </xdr:nvSpPr>
                <xdr:spPr>
                  <a:xfrm>
                    <a:off x="8448174"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161" name="Shape 161">
                    <a:hlinkClick r:id="rId10"/>
                  </xdr:cNvPr>
                  <xdr:cNvSpPr/>
                </xdr:nvSpPr>
                <xdr:spPr>
                  <a:xfrm>
                    <a:off x="9937230"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162" name="Shape 162">
                    <a:hlinkClick r:id="rId11"/>
                  </xdr:cNvPr>
                  <xdr:cNvSpPr/>
                </xdr:nvSpPr>
                <xdr:spPr>
                  <a:xfrm>
                    <a:off x="10676699"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sp>
                <xdr:nvSpPr>
                  <xdr:cNvPr id="163" name="Shape 163">
                    <a:hlinkClick r:id="rId12"/>
                  </xdr:cNvPr>
                  <xdr:cNvSpPr/>
                </xdr:nvSpPr>
                <xdr:spPr>
                  <a:xfrm>
                    <a:off x="11419417" y="121708"/>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Misc. Costs</a:t>
                    </a:r>
                    <a:endParaRPr sz="1400"/>
                  </a:p>
                </xdr:txBody>
              </xdr:sp>
            </xdr:grpSp>
            <xdr:sp>
              <xdr:nvSpPr>
                <xdr:cNvPr id="164" name="Shape 164">
                  <a:hlinkClick r:id="rId13"/>
                </xdr:cNvPr>
                <xdr:cNvSpPr/>
              </xdr:nvSpPr>
              <xdr:spPr>
                <a:xfrm>
                  <a:off x="11419417"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 Assets</a:t>
                  </a:r>
                  <a:endParaRPr sz="1400"/>
                </a:p>
              </xdr:txBody>
            </xdr:sp>
          </xdr:grpSp>
        </xdr:grpSp>
        <xdr:grpSp>
          <xdr:nvGrpSpPr>
            <xdr:cNvPr id="165" name="Shape 165"/>
            <xdr:cNvGrpSpPr/>
          </xdr:nvGrpSpPr>
          <xdr:grpSpPr>
            <a:xfrm>
              <a:off x="7697318" y="603250"/>
              <a:ext cx="4457265" cy="233638"/>
              <a:chOff x="7697318" y="603250"/>
              <a:chExt cx="4457265" cy="233638"/>
            </a:xfrm>
          </xdr:grpSpPr>
          <xdr:sp>
            <xdr:nvSpPr>
              <xdr:cNvPr id="166" name="Shape 166">
                <a:hlinkClick r:id="rId14"/>
              </xdr:cNvPr>
              <xdr:cNvSpPr/>
            </xdr:nvSpPr>
            <xdr:spPr>
              <a:xfrm>
                <a:off x="7697318" y="607179"/>
                <a:ext cx="73197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167" name="Shape 167">
                <a:hlinkClick r:id="rId15"/>
              </xdr:cNvPr>
              <xdr:cNvSpPr/>
            </xdr:nvSpPr>
            <xdr:spPr>
              <a:xfrm>
                <a:off x="8447943" y="607179"/>
                <a:ext cx="733570"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168" name="Shape 168">
                <a:hlinkClick r:id="rId16"/>
              </xdr:cNvPr>
              <xdr:cNvSpPr/>
            </xdr:nvSpPr>
            <xdr:spPr>
              <a:xfrm>
                <a:off x="9186436" y="607179"/>
                <a:ext cx="736762"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169" name="Shape 169">
                <a:hlinkClick r:id="rId17"/>
              </xdr:cNvPr>
              <xdr:cNvSpPr/>
            </xdr:nvSpPr>
            <xdr:spPr>
              <a:xfrm>
                <a:off x="9937631" y="607179"/>
                <a:ext cx="73516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170" name="Shape 170">
                <a:hlinkClick r:id="rId18"/>
              </xdr:cNvPr>
              <xdr:cNvSpPr/>
            </xdr:nvSpPr>
            <xdr:spPr>
              <a:xfrm>
                <a:off x="10676896" y="607179"/>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sp>
            <xdr:nvSpPr>
              <xdr:cNvPr id="171" name="Shape 171">
                <a:hlinkClick r:id="rId19"/>
              </xdr:cNvPr>
              <xdr:cNvSpPr/>
            </xdr:nvSpPr>
            <xdr:spPr>
              <a:xfrm>
                <a:off x="11419417" y="603250"/>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800">
                    <a:solidFill>
                      <a:srgbClr val="000000"/>
                    </a:solidFill>
                    <a:latin typeface="Calibri"/>
                    <a:ea typeface="Calibri"/>
                    <a:cs typeface="Calibri"/>
                    <a:sym typeface="Calibri"/>
                  </a:rPr>
                  <a:t>Copyright</a:t>
                </a:r>
                <a:r>
                  <a:rPr b="1" lang="en-US" sz="800">
                    <a:solidFill>
                      <a:srgbClr val="000000"/>
                    </a:solidFill>
                    <a:latin typeface="Calibri"/>
                    <a:ea typeface="Calibri"/>
                    <a:cs typeface="Calibri"/>
                    <a:sym typeface="Calibri"/>
                  </a:rPr>
                  <a:t> Notice</a:t>
                </a:r>
                <a:endParaRPr b="1" sz="800">
                  <a:solidFill>
                    <a:srgbClr val="000000"/>
                  </a:solidFill>
                  <a:latin typeface="Calibri"/>
                  <a:ea typeface="Calibri"/>
                  <a:cs typeface="Calibri"/>
                  <a:sym typeface="Calibri"/>
                </a:endParaRPr>
              </a:p>
            </xdr:txBody>
          </xdr:sp>
        </xdr:grpSp>
      </xdr:grpSp>
    </xdr:grp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142875</xdr:colOff>
      <xdr:row>4</xdr:row>
      <xdr:rowOff>180975</xdr:rowOff>
    </xdr:from>
    <xdr:ext cx="1028700" cy="30003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38</xdr:row>
      <xdr:rowOff>133350</xdr:rowOff>
    </xdr:from>
    <xdr:ext cx="6534150" cy="609600"/>
    <xdr:sp>
      <xdr:nvSpPr>
        <xdr:cNvPr id="172" name="Shape 172"/>
        <xdr:cNvSpPr/>
      </xdr:nvSpPr>
      <xdr:spPr>
        <a:xfrm>
          <a:off x="2083688" y="3475470"/>
          <a:ext cx="65246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3600" cap="none">
              <a:solidFill>
                <a:srgbClr val="FFFFFF"/>
              </a:solidFill>
            </a:rPr>
            <a:t>Next:</a:t>
          </a:r>
          <a:r>
            <a:rPr b="0" lang="en-US" sz="3600" cap="none">
              <a:solidFill>
                <a:srgbClr val="FFFFFF"/>
              </a:solidFill>
            </a:rPr>
            <a:t>  Enter Operating Expenses</a:t>
          </a:r>
          <a:endParaRPr b="0" sz="3600" cap="none">
            <a:solidFill>
              <a:srgbClr val="FFFFFF"/>
            </a:solidFill>
          </a:endParaRPr>
        </a:p>
      </xdr:txBody>
    </xdr:sp>
    <xdr:clientData fLocksWithSheet="0"/>
  </xdr:oneCellAnchor>
  <xdr:oneCellAnchor>
    <xdr:from>
      <xdr:col>7</xdr:col>
      <xdr:colOff>171450</xdr:colOff>
      <xdr:row>0</xdr:row>
      <xdr:rowOff>95250</xdr:rowOff>
    </xdr:from>
    <xdr:ext cx="4562475" cy="866775"/>
    <xdr:grpSp>
      <xdr:nvGrpSpPr>
        <xdr:cNvPr id="2" name="Shape 2"/>
        <xdr:cNvGrpSpPr/>
      </xdr:nvGrpSpPr>
      <xdr:grpSpPr>
        <a:xfrm>
          <a:off x="3064763" y="3346613"/>
          <a:ext cx="4562475" cy="866775"/>
          <a:chOff x="3064763" y="3346613"/>
          <a:chExt cx="4562475" cy="866775"/>
        </a:xfrm>
      </xdr:grpSpPr>
      <xdr:grpSp>
        <xdr:nvGrpSpPr>
          <xdr:cNvPr id="173" name="Shape 173"/>
          <xdr:cNvGrpSpPr/>
        </xdr:nvGrpSpPr>
        <xdr:grpSpPr>
          <a:xfrm>
            <a:off x="3064763" y="3346613"/>
            <a:ext cx="4562475" cy="866775"/>
            <a:chOff x="7453844" y="121708"/>
            <a:chExt cx="4705885" cy="892175"/>
          </a:xfrm>
        </xdr:grpSpPr>
        <xdr:sp>
          <xdr:nvSpPr>
            <xdr:cNvPr id="7" name="Shape 7"/>
            <xdr:cNvSpPr/>
          </xdr:nvSpPr>
          <xdr:spPr>
            <a:xfrm>
              <a:off x="7453844" y="121708"/>
              <a:ext cx="4705875" cy="892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174" name="Shape 174"/>
            <xdr:cNvGrpSpPr/>
          </xdr:nvGrpSpPr>
          <xdr:grpSpPr>
            <a:xfrm>
              <a:off x="7453844" y="121708"/>
              <a:ext cx="4705885" cy="892175"/>
              <a:chOff x="7453844" y="121708"/>
              <a:chExt cx="4705885" cy="892175"/>
            </a:xfrm>
          </xdr:grpSpPr>
          <xdr:sp>
            <xdr:nvSpPr>
              <xdr:cNvPr id="175" name="Shape 175"/>
              <xdr:cNvSpPr/>
            </xdr:nvSpPr>
            <xdr:spPr>
              <a:xfrm rot="-5400000">
                <a:off x="7165977" y="411691"/>
                <a:ext cx="775758"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sp>
            <xdr:nvSpPr>
              <xdr:cNvPr id="176" name="Shape 176">
                <a:hlinkClick r:id="rId2"/>
              </xdr:cNvPr>
              <xdr:cNvSpPr/>
            </xdr:nvSpPr>
            <xdr:spPr>
              <a:xfrm>
                <a:off x="7663388" y="861484"/>
                <a:ext cx="4491569"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nvGrpSpPr>
              <xdr:cNvPr id="177" name="Shape 177"/>
              <xdr:cNvGrpSpPr/>
            </xdr:nvGrpSpPr>
            <xdr:grpSpPr>
              <a:xfrm>
                <a:off x="7694122" y="121708"/>
                <a:ext cx="4465607" cy="468455"/>
                <a:chOff x="7694122" y="121708"/>
                <a:chExt cx="4465607" cy="468455"/>
              </a:xfrm>
            </xdr:grpSpPr>
            <xdr:sp>
              <xdr:nvSpPr>
                <xdr:cNvPr id="178" name="Shape 178">
                  <a:hlinkClick r:id="rId3"/>
                </xdr:cNvPr>
                <xdr:cNvSpPr/>
              </xdr:nvSpPr>
              <xdr:spPr>
                <a:xfrm>
                  <a:off x="10676902"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179" name="Shape 179">
                  <a:hlinkClick r:id="rId4"/>
                </xdr:cNvPr>
                <xdr:cNvSpPr/>
              </xdr:nvSpPr>
              <xdr:spPr>
                <a:xfrm>
                  <a:off x="8447940"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180" name="Shape 180">
                  <a:hlinkClick r:id="rId5"/>
                </xdr:cNvPr>
                <xdr:cNvSpPr/>
              </xdr:nvSpPr>
              <xdr:spPr>
                <a:xfrm>
                  <a:off x="9937634"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181" name="Shape 181">
                  <a:hlinkClick r:id="rId6"/>
                </xdr:cNvPr>
                <xdr:cNvSpPr/>
              </xdr:nvSpPr>
              <xdr:spPr>
                <a:xfrm>
                  <a:off x="7694122"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182" name="Shape 182">
                  <a:hlinkClick r:id="rId7"/>
                </xdr:cNvPr>
                <xdr:cNvSpPr/>
              </xdr:nvSpPr>
              <xdr:spPr>
                <a:xfrm>
                  <a:off x="9188033"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nvGrpSpPr>
                <xdr:cNvPr id="183" name="Shape 183"/>
                <xdr:cNvGrpSpPr/>
              </xdr:nvGrpSpPr>
              <xdr:grpSpPr>
                <a:xfrm>
                  <a:off x="7694122" y="121708"/>
                  <a:ext cx="4460658" cy="233943"/>
                  <a:chOff x="7694122" y="121708"/>
                  <a:chExt cx="4460658" cy="233943"/>
                </a:xfrm>
              </xdr:grpSpPr>
              <xdr:sp>
                <xdr:nvSpPr>
                  <xdr:cNvPr id="184" name="Shape 184">
                    <a:hlinkClick r:id="rId8"/>
                  </xdr:cNvPr>
                  <xdr:cNvSpPr/>
                </xdr:nvSpPr>
                <xdr:spPr>
                  <a:xfrm>
                    <a:off x="7694122" y="123825"/>
                    <a:ext cx="735362"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185" name="Shape 185">
                    <a:hlinkClick r:id="rId9"/>
                  </xdr:cNvPr>
                  <xdr:cNvSpPr/>
                </xdr:nvSpPr>
                <xdr:spPr>
                  <a:xfrm>
                    <a:off x="9188469" y="123825"/>
                    <a:ext cx="734304"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186" name="Shape 186">
                    <a:hlinkClick r:id="rId10"/>
                  </xdr:cNvPr>
                  <xdr:cNvSpPr/>
                </xdr:nvSpPr>
                <xdr:spPr>
                  <a:xfrm>
                    <a:off x="8448174"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187" name="Shape 187">
                    <a:hlinkClick r:id="rId11"/>
                  </xdr:cNvPr>
                  <xdr:cNvSpPr/>
                </xdr:nvSpPr>
                <xdr:spPr>
                  <a:xfrm>
                    <a:off x="9937230"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188" name="Shape 188">
                    <a:hlinkClick r:id="rId12"/>
                  </xdr:cNvPr>
                  <xdr:cNvSpPr/>
                </xdr:nvSpPr>
                <xdr:spPr>
                  <a:xfrm>
                    <a:off x="10676699"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sp>
                <xdr:nvSpPr>
                  <xdr:cNvPr id="189" name="Shape 189">
                    <a:hlinkClick r:id="rId13"/>
                  </xdr:cNvPr>
                  <xdr:cNvSpPr/>
                </xdr:nvSpPr>
                <xdr:spPr>
                  <a:xfrm>
                    <a:off x="11419417" y="121708"/>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Misc. Costs</a:t>
                    </a:r>
                    <a:endParaRPr sz="1400"/>
                  </a:p>
                </xdr:txBody>
              </xdr:sp>
            </xdr:grpSp>
            <xdr:sp>
              <xdr:nvSpPr>
                <xdr:cNvPr id="190" name="Shape 190">
                  <a:hlinkClick r:id="rId14"/>
                </xdr:cNvPr>
                <xdr:cNvSpPr/>
              </xdr:nvSpPr>
              <xdr:spPr>
                <a:xfrm>
                  <a:off x="11419417"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 Assets</a:t>
                  </a:r>
                  <a:endParaRPr sz="1400"/>
                </a:p>
              </xdr:txBody>
            </xdr:sp>
          </xdr:grpSp>
        </xdr:grpSp>
        <xdr:grpSp>
          <xdr:nvGrpSpPr>
            <xdr:cNvPr id="191" name="Shape 191"/>
            <xdr:cNvGrpSpPr/>
          </xdr:nvGrpSpPr>
          <xdr:grpSpPr>
            <a:xfrm>
              <a:off x="7697318" y="603250"/>
              <a:ext cx="4457265" cy="233638"/>
              <a:chOff x="7697318" y="603250"/>
              <a:chExt cx="4457265" cy="233638"/>
            </a:xfrm>
          </xdr:grpSpPr>
          <xdr:sp>
            <xdr:nvSpPr>
              <xdr:cNvPr id="192" name="Shape 192">
                <a:hlinkClick r:id="rId15"/>
              </xdr:cNvPr>
              <xdr:cNvSpPr/>
            </xdr:nvSpPr>
            <xdr:spPr>
              <a:xfrm>
                <a:off x="7697318" y="607179"/>
                <a:ext cx="73197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193" name="Shape 193">
                <a:hlinkClick r:id="rId16"/>
              </xdr:cNvPr>
              <xdr:cNvSpPr/>
            </xdr:nvSpPr>
            <xdr:spPr>
              <a:xfrm>
                <a:off x="8447943" y="607179"/>
                <a:ext cx="733570"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194" name="Shape 194">
                <a:hlinkClick r:id="rId17"/>
              </xdr:cNvPr>
              <xdr:cNvSpPr/>
            </xdr:nvSpPr>
            <xdr:spPr>
              <a:xfrm>
                <a:off x="9186436" y="607179"/>
                <a:ext cx="736762"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195" name="Shape 195">
                <a:hlinkClick r:id="rId18"/>
              </xdr:cNvPr>
              <xdr:cNvSpPr/>
            </xdr:nvSpPr>
            <xdr:spPr>
              <a:xfrm>
                <a:off x="9937631" y="607179"/>
                <a:ext cx="73516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196" name="Shape 196">
                <a:hlinkClick r:id="rId19"/>
              </xdr:cNvPr>
              <xdr:cNvSpPr/>
            </xdr:nvSpPr>
            <xdr:spPr>
              <a:xfrm>
                <a:off x="10676896" y="607179"/>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sp>
            <xdr:nvSpPr>
              <xdr:cNvPr id="197" name="Shape 197">
                <a:hlinkClick r:id="rId20"/>
              </xdr:cNvPr>
              <xdr:cNvSpPr/>
            </xdr:nvSpPr>
            <xdr:spPr>
              <a:xfrm>
                <a:off x="11419417" y="603250"/>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800">
                    <a:solidFill>
                      <a:srgbClr val="000000"/>
                    </a:solidFill>
                    <a:latin typeface="Calibri"/>
                    <a:ea typeface="Calibri"/>
                    <a:cs typeface="Calibri"/>
                    <a:sym typeface="Calibri"/>
                  </a:rPr>
                  <a:t>Copyright</a:t>
                </a:r>
                <a:r>
                  <a:rPr b="1" lang="en-US" sz="800">
                    <a:solidFill>
                      <a:srgbClr val="000000"/>
                    </a:solidFill>
                    <a:latin typeface="Calibri"/>
                    <a:ea typeface="Calibri"/>
                    <a:cs typeface="Calibri"/>
                    <a:sym typeface="Calibri"/>
                  </a:rPr>
                  <a:t> Notice</a:t>
                </a:r>
                <a:endParaRPr b="1" sz="800">
                  <a:solidFill>
                    <a:srgbClr val="000000"/>
                  </a:solidFill>
                  <a:latin typeface="Calibri"/>
                  <a:ea typeface="Calibri"/>
                  <a:cs typeface="Calibri"/>
                  <a:sym typeface="Calibri"/>
                </a:endParaRPr>
              </a:p>
            </xdr:txBody>
          </xdr:sp>
        </xdr:grpSp>
      </xdr:grpSp>
    </xdr:grp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133350</xdr:colOff>
      <xdr:row>1</xdr:row>
      <xdr:rowOff>9525</xdr:rowOff>
    </xdr:from>
    <xdr:ext cx="4600575" cy="847725"/>
    <xdr:grpSp>
      <xdr:nvGrpSpPr>
        <xdr:cNvPr id="2" name="Shape 2"/>
        <xdr:cNvGrpSpPr/>
      </xdr:nvGrpSpPr>
      <xdr:grpSpPr>
        <a:xfrm>
          <a:off x="3045713" y="3356138"/>
          <a:ext cx="4600575" cy="847725"/>
          <a:chOff x="3045713" y="3356138"/>
          <a:chExt cx="4600575" cy="847725"/>
        </a:xfrm>
      </xdr:grpSpPr>
      <xdr:grpSp>
        <xdr:nvGrpSpPr>
          <xdr:cNvPr id="198" name="Shape 198"/>
          <xdr:cNvGrpSpPr/>
        </xdr:nvGrpSpPr>
        <xdr:grpSpPr>
          <a:xfrm>
            <a:off x="3045713" y="3356138"/>
            <a:ext cx="4600575" cy="847725"/>
            <a:chOff x="7453844" y="121708"/>
            <a:chExt cx="4705885" cy="892175"/>
          </a:xfrm>
        </xdr:grpSpPr>
        <xdr:sp>
          <xdr:nvSpPr>
            <xdr:cNvPr id="7" name="Shape 7"/>
            <xdr:cNvSpPr/>
          </xdr:nvSpPr>
          <xdr:spPr>
            <a:xfrm>
              <a:off x="7453844" y="121708"/>
              <a:ext cx="4705875" cy="892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199" name="Shape 199"/>
            <xdr:cNvGrpSpPr/>
          </xdr:nvGrpSpPr>
          <xdr:grpSpPr>
            <a:xfrm>
              <a:off x="7453844" y="121708"/>
              <a:ext cx="4705885" cy="892175"/>
              <a:chOff x="7453844" y="121708"/>
              <a:chExt cx="4705885" cy="892175"/>
            </a:xfrm>
          </xdr:grpSpPr>
          <xdr:sp>
            <xdr:nvSpPr>
              <xdr:cNvPr id="200" name="Shape 200"/>
              <xdr:cNvSpPr/>
            </xdr:nvSpPr>
            <xdr:spPr>
              <a:xfrm rot="-5400000">
                <a:off x="7165977" y="411691"/>
                <a:ext cx="775758"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sp>
            <xdr:nvSpPr>
              <xdr:cNvPr id="201" name="Shape 201">
                <a:hlinkClick r:id="rId1"/>
              </xdr:cNvPr>
              <xdr:cNvSpPr/>
            </xdr:nvSpPr>
            <xdr:spPr>
              <a:xfrm>
                <a:off x="7663388" y="861484"/>
                <a:ext cx="4491569"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nvGrpSpPr>
              <xdr:cNvPr id="202" name="Shape 202"/>
              <xdr:cNvGrpSpPr/>
            </xdr:nvGrpSpPr>
            <xdr:grpSpPr>
              <a:xfrm>
                <a:off x="7694122" y="121708"/>
                <a:ext cx="4465607" cy="468455"/>
                <a:chOff x="7694122" y="121708"/>
                <a:chExt cx="4465607" cy="468455"/>
              </a:xfrm>
            </xdr:grpSpPr>
            <xdr:sp>
              <xdr:nvSpPr>
                <xdr:cNvPr id="203" name="Shape 203">
                  <a:hlinkClick r:id="rId2"/>
                </xdr:cNvPr>
                <xdr:cNvSpPr/>
              </xdr:nvSpPr>
              <xdr:spPr>
                <a:xfrm>
                  <a:off x="10676902"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204" name="Shape 204">
                  <a:hlinkClick r:id="rId3"/>
                </xdr:cNvPr>
                <xdr:cNvSpPr/>
              </xdr:nvSpPr>
              <xdr:spPr>
                <a:xfrm>
                  <a:off x="8447940"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205" name="Shape 205">
                  <a:hlinkClick r:id="rId4"/>
                </xdr:cNvPr>
                <xdr:cNvSpPr/>
              </xdr:nvSpPr>
              <xdr:spPr>
                <a:xfrm>
                  <a:off x="9937634"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206" name="Shape 206">
                  <a:hlinkClick r:id="rId5"/>
                </xdr:cNvPr>
                <xdr:cNvSpPr/>
              </xdr:nvSpPr>
              <xdr:spPr>
                <a:xfrm>
                  <a:off x="7694122"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207" name="Shape 207">
                  <a:hlinkClick r:id="rId6"/>
                </xdr:cNvPr>
                <xdr:cNvSpPr/>
              </xdr:nvSpPr>
              <xdr:spPr>
                <a:xfrm>
                  <a:off x="9188033"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nvGrpSpPr>
                <xdr:cNvPr id="208" name="Shape 208"/>
                <xdr:cNvGrpSpPr/>
              </xdr:nvGrpSpPr>
              <xdr:grpSpPr>
                <a:xfrm>
                  <a:off x="7694122" y="121708"/>
                  <a:ext cx="4460658" cy="233943"/>
                  <a:chOff x="7694122" y="121708"/>
                  <a:chExt cx="4460658" cy="233943"/>
                </a:xfrm>
              </xdr:grpSpPr>
              <xdr:sp>
                <xdr:nvSpPr>
                  <xdr:cNvPr id="209" name="Shape 209">
                    <a:hlinkClick r:id="rId7"/>
                  </xdr:cNvPr>
                  <xdr:cNvSpPr/>
                </xdr:nvSpPr>
                <xdr:spPr>
                  <a:xfrm>
                    <a:off x="7694122" y="123825"/>
                    <a:ext cx="735362"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210" name="Shape 210">
                    <a:hlinkClick r:id="rId8"/>
                  </xdr:cNvPr>
                  <xdr:cNvSpPr/>
                </xdr:nvSpPr>
                <xdr:spPr>
                  <a:xfrm>
                    <a:off x="9188469" y="123825"/>
                    <a:ext cx="734304"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211" name="Shape 211">
                    <a:hlinkClick r:id="rId9"/>
                  </xdr:cNvPr>
                  <xdr:cNvSpPr/>
                </xdr:nvSpPr>
                <xdr:spPr>
                  <a:xfrm>
                    <a:off x="8448174"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212" name="Shape 212">
                    <a:hlinkClick r:id="rId10"/>
                  </xdr:cNvPr>
                  <xdr:cNvSpPr/>
                </xdr:nvSpPr>
                <xdr:spPr>
                  <a:xfrm>
                    <a:off x="9937230"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213" name="Shape 213">
                    <a:hlinkClick r:id="rId11"/>
                  </xdr:cNvPr>
                  <xdr:cNvSpPr/>
                </xdr:nvSpPr>
                <xdr:spPr>
                  <a:xfrm>
                    <a:off x="10676699"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sp>
                <xdr:nvSpPr>
                  <xdr:cNvPr id="214" name="Shape 214">
                    <a:hlinkClick r:id="rId12"/>
                  </xdr:cNvPr>
                  <xdr:cNvSpPr/>
                </xdr:nvSpPr>
                <xdr:spPr>
                  <a:xfrm>
                    <a:off x="11419417" y="121708"/>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Misc. Costs</a:t>
                    </a:r>
                    <a:endParaRPr sz="1400"/>
                  </a:p>
                </xdr:txBody>
              </xdr:sp>
            </xdr:grpSp>
            <xdr:sp>
              <xdr:nvSpPr>
                <xdr:cNvPr id="215" name="Shape 215">
                  <a:hlinkClick r:id="rId13"/>
                </xdr:cNvPr>
                <xdr:cNvSpPr/>
              </xdr:nvSpPr>
              <xdr:spPr>
                <a:xfrm>
                  <a:off x="11419417"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 Assets</a:t>
                  </a:r>
                  <a:endParaRPr sz="1400"/>
                </a:p>
              </xdr:txBody>
            </xdr:sp>
          </xdr:grpSp>
        </xdr:grpSp>
        <xdr:grpSp>
          <xdr:nvGrpSpPr>
            <xdr:cNvPr id="216" name="Shape 216"/>
            <xdr:cNvGrpSpPr/>
          </xdr:nvGrpSpPr>
          <xdr:grpSpPr>
            <a:xfrm>
              <a:off x="7697318" y="603250"/>
              <a:ext cx="4457265" cy="233638"/>
              <a:chOff x="7697318" y="603250"/>
              <a:chExt cx="4457265" cy="233638"/>
            </a:xfrm>
          </xdr:grpSpPr>
          <xdr:sp>
            <xdr:nvSpPr>
              <xdr:cNvPr id="217" name="Shape 217">
                <a:hlinkClick r:id="rId14"/>
              </xdr:cNvPr>
              <xdr:cNvSpPr/>
            </xdr:nvSpPr>
            <xdr:spPr>
              <a:xfrm>
                <a:off x="7697318" y="607179"/>
                <a:ext cx="73197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218" name="Shape 218">
                <a:hlinkClick r:id="rId15"/>
              </xdr:cNvPr>
              <xdr:cNvSpPr/>
            </xdr:nvSpPr>
            <xdr:spPr>
              <a:xfrm>
                <a:off x="8447943" y="607179"/>
                <a:ext cx="733570"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219" name="Shape 219">
                <a:hlinkClick r:id="rId16"/>
              </xdr:cNvPr>
              <xdr:cNvSpPr/>
            </xdr:nvSpPr>
            <xdr:spPr>
              <a:xfrm>
                <a:off x="9186436" y="607179"/>
                <a:ext cx="736762"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220" name="Shape 220">
                <a:hlinkClick r:id="rId17"/>
              </xdr:cNvPr>
              <xdr:cNvSpPr/>
            </xdr:nvSpPr>
            <xdr:spPr>
              <a:xfrm>
                <a:off x="9937631" y="607179"/>
                <a:ext cx="73516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221" name="Shape 221">
                <a:hlinkClick r:id="rId18"/>
              </xdr:cNvPr>
              <xdr:cNvSpPr/>
            </xdr:nvSpPr>
            <xdr:spPr>
              <a:xfrm>
                <a:off x="10676896" y="607179"/>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sp>
            <xdr:nvSpPr>
              <xdr:cNvPr id="222" name="Shape 222">
                <a:hlinkClick r:id="rId19"/>
              </xdr:cNvPr>
              <xdr:cNvSpPr/>
            </xdr:nvSpPr>
            <xdr:spPr>
              <a:xfrm>
                <a:off x="11419417" y="603250"/>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800">
                    <a:solidFill>
                      <a:srgbClr val="000000"/>
                    </a:solidFill>
                    <a:latin typeface="Calibri"/>
                    <a:ea typeface="Calibri"/>
                    <a:cs typeface="Calibri"/>
                    <a:sym typeface="Calibri"/>
                  </a:rPr>
                  <a:t>Copyright</a:t>
                </a:r>
                <a:r>
                  <a:rPr b="1" lang="en-US" sz="800">
                    <a:solidFill>
                      <a:srgbClr val="000000"/>
                    </a:solidFill>
                    <a:latin typeface="Calibri"/>
                    <a:ea typeface="Calibri"/>
                    <a:cs typeface="Calibri"/>
                    <a:sym typeface="Calibri"/>
                  </a:rPr>
                  <a:t> Notice</a:t>
                </a:r>
                <a:endParaRPr b="1" sz="800">
                  <a:solidFill>
                    <a:srgbClr val="000000"/>
                  </a:solidFill>
                  <a:latin typeface="Calibri"/>
                  <a:ea typeface="Calibri"/>
                  <a:cs typeface="Calibri"/>
                  <a:sym typeface="Calibri"/>
                </a:endParaRPr>
              </a:p>
            </xdr:txBody>
          </xdr:sp>
        </xdr:grpSp>
      </xdr:grpSp>
    </xdr:grp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161925</xdr:colOff>
      <xdr:row>1</xdr:row>
      <xdr:rowOff>0</xdr:rowOff>
    </xdr:from>
    <xdr:ext cx="4591050" cy="847725"/>
    <xdr:grpSp>
      <xdr:nvGrpSpPr>
        <xdr:cNvPr id="2" name="Shape 2"/>
        <xdr:cNvGrpSpPr/>
      </xdr:nvGrpSpPr>
      <xdr:grpSpPr>
        <a:xfrm>
          <a:off x="3050475" y="3356138"/>
          <a:ext cx="4591050" cy="847725"/>
          <a:chOff x="3050475" y="3356138"/>
          <a:chExt cx="4591050" cy="847725"/>
        </a:xfrm>
      </xdr:grpSpPr>
      <xdr:grpSp>
        <xdr:nvGrpSpPr>
          <xdr:cNvPr id="223" name="Shape 223"/>
          <xdr:cNvGrpSpPr/>
        </xdr:nvGrpSpPr>
        <xdr:grpSpPr>
          <a:xfrm>
            <a:off x="3050475" y="3356138"/>
            <a:ext cx="4591050" cy="847725"/>
            <a:chOff x="7453844" y="121708"/>
            <a:chExt cx="4705885" cy="892175"/>
          </a:xfrm>
        </xdr:grpSpPr>
        <xdr:sp>
          <xdr:nvSpPr>
            <xdr:cNvPr id="7" name="Shape 7"/>
            <xdr:cNvSpPr/>
          </xdr:nvSpPr>
          <xdr:spPr>
            <a:xfrm>
              <a:off x="7453844" y="121708"/>
              <a:ext cx="4705875" cy="892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224" name="Shape 224"/>
            <xdr:cNvGrpSpPr/>
          </xdr:nvGrpSpPr>
          <xdr:grpSpPr>
            <a:xfrm>
              <a:off x="7453844" y="121708"/>
              <a:ext cx="4705885" cy="892175"/>
              <a:chOff x="7453844" y="121708"/>
              <a:chExt cx="4705885" cy="892175"/>
            </a:xfrm>
          </xdr:grpSpPr>
          <xdr:sp>
            <xdr:nvSpPr>
              <xdr:cNvPr id="225" name="Shape 225"/>
              <xdr:cNvSpPr/>
            </xdr:nvSpPr>
            <xdr:spPr>
              <a:xfrm rot="-5400000">
                <a:off x="7165977" y="411691"/>
                <a:ext cx="775758"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sp>
            <xdr:nvSpPr>
              <xdr:cNvPr id="226" name="Shape 226">
                <a:hlinkClick r:id="rId1"/>
              </xdr:cNvPr>
              <xdr:cNvSpPr/>
            </xdr:nvSpPr>
            <xdr:spPr>
              <a:xfrm>
                <a:off x="7663388" y="861484"/>
                <a:ext cx="4491569"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nvGrpSpPr>
              <xdr:cNvPr id="227" name="Shape 227"/>
              <xdr:cNvGrpSpPr/>
            </xdr:nvGrpSpPr>
            <xdr:grpSpPr>
              <a:xfrm>
                <a:off x="7694122" y="121708"/>
                <a:ext cx="4465607" cy="468455"/>
                <a:chOff x="7694122" y="121708"/>
                <a:chExt cx="4465607" cy="468455"/>
              </a:xfrm>
            </xdr:grpSpPr>
            <xdr:sp>
              <xdr:nvSpPr>
                <xdr:cNvPr id="228" name="Shape 228">
                  <a:hlinkClick r:id="rId2"/>
                </xdr:cNvPr>
                <xdr:cNvSpPr/>
              </xdr:nvSpPr>
              <xdr:spPr>
                <a:xfrm>
                  <a:off x="10676902"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229" name="Shape 229">
                  <a:hlinkClick r:id="rId3"/>
                </xdr:cNvPr>
                <xdr:cNvSpPr/>
              </xdr:nvSpPr>
              <xdr:spPr>
                <a:xfrm>
                  <a:off x="8447940"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230" name="Shape 230">
                  <a:hlinkClick r:id="rId4"/>
                </xdr:cNvPr>
                <xdr:cNvSpPr/>
              </xdr:nvSpPr>
              <xdr:spPr>
                <a:xfrm>
                  <a:off x="9937634"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231" name="Shape 231">
                  <a:hlinkClick r:id="rId5"/>
                </xdr:cNvPr>
                <xdr:cNvSpPr/>
              </xdr:nvSpPr>
              <xdr:spPr>
                <a:xfrm>
                  <a:off x="7694122"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232" name="Shape 232">
                  <a:hlinkClick r:id="rId6"/>
                </xdr:cNvPr>
                <xdr:cNvSpPr/>
              </xdr:nvSpPr>
              <xdr:spPr>
                <a:xfrm>
                  <a:off x="9188033" y="357569"/>
                  <a:ext cx="735169" cy="232594"/>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nvGrpSpPr>
                <xdr:cNvPr id="233" name="Shape 233"/>
                <xdr:cNvGrpSpPr/>
              </xdr:nvGrpSpPr>
              <xdr:grpSpPr>
                <a:xfrm>
                  <a:off x="7694122" y="121708"/>
                  <a:ext cx="4460658" cy="233943"/>
                  <a:chOff x="7694122" y="121708"/>
                  <a:chExt cx="4460658" cy="233943"/>
                </a:xfrm>
              </xdr:grpSpPr>
              <xdr:sp>
                <xdr:nvSpPr>
                  <xdr:cNvPr id="234" name="Shape 234">
                    <a:hlinkClick r:id="rId7"/>
                  </xdr:cNvPr>
                  <xdr:cNvSpPr/>
                </xdr:nvSpPr>
                <xdr:spPr>
                  <a:xfrm>
                    <a:off x="7694122" y="123825"/>
                    <a:ext cx="735362"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235" name="Shape 235">
                    <a:hlinkClick r:id="rId8"/>
                  </xdr:cNvPr>
                  <xdr:cNvSpPr/>
                </xdr:nvSpPr>
                <xdr:spPr>
                  <a:xfrm>
                    <a:off x="9188469" y="123825"/>
                    <a:ext cx="734304"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236" name="Shape 236">
                    <a:hlinkClick r:id="rId9"/>
                  </xdr:cNvPr>
                  <xdr:cNvSpPr/>
                </xdr:nvSpPr>
                <xdr:spPr>
                  <a:xfrm>
                    <a:off x="8448174"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237" name="Shape 237">
                    <a:hlinkClick r:id="rId10"/>
                  </xdr:cNvPr>
                  <xdr:cNvSpPr/>
                </xdr:nvSpPr>
                <xdr:spPr>
                  <a:xfrm>
                    <a:off x="9937230"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238" name="Shape 238">
                    <a:hlinkClick r:id="rId11"/>
                  </xdr:cNvPr>
                  <xdr:cNvSpPr/>
                </xdr:nvSpPr>
                <xdr:spPr>
                  <a:xfrm>
                    <a:off x="10676699" y="123825"/>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sp>
                <xdr:nvSpPr>
                  <xdr:cNvPr id="239" name="Shape 239">
                    <a:hlinkClick r:id="rId12"/>
                  </xdr:cNvPr>
                  <xdr:cNvSpPr/>
                </xdr:nvSpPr>
                <xdr:spPr>
                  <a:xfrm>
                    <a:off x="11419417" y="121708"/>
                    <a:ext cx="735363" cy="231826"/>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Misc. Costs</a:t>
                    </a:r>
                    <a:endParaRPr sz="1400"/>
                  </a:p>
                </xdr:txBody>
              </xdr:sp>
            </xdr:grpSp>
            <xdr:sp>
              <xdr:nvSpPr>
                <xdr:cNvPr id="240" name="Shape 240">
                  <a:hlinkClick r:id="rId13"/>
                </xdr:cNvPr>
                <xdr:cNvSpPr/>
              </xdr:nvSpPr>
              <xdr:spPr>
                <a:xfrm>
                  <a:off x="11419417" y="357569"/>
                  <a:ext cx="740312" cy="231471"/>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 Assets</a:t>
                  </a:r>
                  <a:endParaRPr sz="1400"/>
                </a:p>
              </xdr:txBody>
            </xdr:sp>
          </xdr:grpSp>
        </xdr:grpSp>
        <xdr:grpSp>
          <xdr:nvGrpSpPr>
            <xdr:cNvPr id="241" name="Shape 241"/>
            <xdr:cNvGrpSpPr/>
          </xdr:nvGrpSpPr>
          <xdr:grpSpPr>
            <a:xfrm>
              <a:off x="7697318" y="603250"/>
              <a:ext cx="4457265" cy="233638"/>
              <a:chOff x="7697318" y="603250"/>
              <a:chExt cx="4457265" cy="233638"/>
            </a:xfrm>
          </xdr:grpSpPr>
          <xdr:sp>
            <xdr:nvSpPr>
              <xdr:cNvPr id="242" name="Shape 242">
                <a:hlinkClick r:id="rId14"/>
              </xdr:cNvPr>
              <xdr:cNvSpPr/>
            </xdr:nvSpPr>
            <xdr:spPr>
              <a:xfrm>
                <a:off x="7697318" y="607179"/>
                <a:ext cx="73197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243" name="Shape 243">
                <a:hlinkClick r:id="rId15"/>
              </xdr:cNvPr>
              <xdr:cNvSpPr/>
            </xdr:nvSpPr>
            <xdr:spPr>
              <a:xfrm>
                <a:off x="8447943" y="607179"/>
                <a:ext cx="733570"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244" name="Shape 244">
                <a:hlinkClick r:id="rId16"/>
              </xdr:cNvPr>
              <xdr:cNvSpPr/>
            </xdr:nvSpPr>
            <xdr:spPr>
              <a:xfrm>
                <a:off x="9186436" y="607179"/>
                <a:ext cx="736762"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245" name="Shape 245">
                <a:hlinkClick r:id="rId17"/>
              </xdr:cNvPr>
              <xdr:cNvSpPr/>
            </xdr:nvSpPr>
            <xdr:spPr>
              <a:xfrm>
                <a:off x="9937631" y="607179"/>
                <a:ext cx="735166"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246" name="Shape 246">
                <a:hlinkClick r:id="rId18"/>
              </xdr:cNvPr>
              <xdr:cNvSpPr/>
            </xdr:nvSpPr>
            <xdr:spPr>
              <a:xfrm>
                <a:off x="10676896" y="607179"/>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sp>
            <xdr:nvSpPr>
              <xdr:cNvPr id="247" name="Shape 247">
                <a:hlinkClick r:id="rId19"/>
              </xdr:cNvPr>
              <xdr:cNvSpPr/>
            </xdr:nvSpPr>
            <xdr:spPr>
              <a:xfrm>
                <a:off x="11419417" y="603250"/>
                <a:ext cx="735166"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800">
                    <a:solidFill>
                      <a:srgbClr val="000000"/>
                    </a:solidFill>
                    <a:latin typeface="Calibri"/>
                    <a:ea typeface="Calibri"/>
                    <a:cs typeface="Calibri"/>
                    <a:sym typeface="Calibri"/>
                  </a:rPr>
                  <a:t>Copyright</a:t>
                </a:r>
                <a:r>
                  <a:rPr b="1" lang="en-US" sz="800">
                    <a:solidFill>
                      <a:srgbClr val="000000"/>
                    </a:solidFill>
                    <a:latin typeface="Calibri"/>
                    <a:ea typeface="Calibri"/>
                    <a:cs typeface="Calibri"/>
                    <a:sym typeface="Calibri"/>
                  </a:rPr>
                  <a:t> Notice</a:t>
                </a:r>
                <a:endParaRPr b="1" sz="800">
                  <a:solidFill>
                    <a:srgbClr val="000000"/>
                  </a:solidFill>
                  <a:latin typeface="Calibri"/>
                  <a:ea typeface="Calibri"/>
                  <a:cs typeface="Calibri"/>
                  <a:sym typeface="Calibri"/>
                </a:endParaRPr>
              </a:p>
            </xdr:txBody>
          </xdr:sp>
        </xdr:grpSp>
      </xdr:grpSp>
    </xdr:grp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2</xdr:row>
      <xdr:rowOff>19050</xdr:rowOff>
    </xdr:from>
    <xdr:ext cx="2276475" cy="257175"/>
    <xdr:sp>
      <xdr:nvSpPr>
        <xdr:cNvPr id="248" name="Shape 248">
          <a:hlinkClick r:id="rId1"/>
        </xdr:cNvPr>
        <xdr:cNvSpPr/>
      </xdr:nvSpPr>
      <xdr:spPr>
        <a:xfrm>
          <a:off x="4217288" y="3660938"/>
          <a:ext cx="2257425" cy="238125"/>
        </a:xfrm>
        <a:prstGeom prst="roundRect">
          <a:avLst>
            <a:gd fmla="val 16667" name="adj"/>
          </a:avLst>
        </a:prstGeom>
        <a:solidFill>
          <a:srgbClr val="769DCC"/>
        </a:solidFill>
        <a:ln cap="flat" cmpd="sng" w="25400">
          <a:solidFill>
            <a:srgbClr val="27456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Update Start-up Expenses</a:t>
          </a:r>
          <a:endParaRPr sz="1400"/>
        </a:p>
      </xdr:txBody>
    </xdr:sp>
    <xdr:clientData fLocksWithSheet="0"/>
  </xdr:oneCellAnchor>
  <xdr:oneCellAnchor>
    <xdr:from>
      <xdr:col>6</xdr:col>
      <xdr:colOff>-9525</xdr:colOff>
      <xdr:row>2</xdr:row>
      <xdr:rowOff>38100</xdr:rowOff>
    </xdr:from>
    <xdr:ext cx="2276475" cy="257175"/>
    <xdr:sp>
      <xdr:nvSpPr>
        <xdr:cNvPr id="249" name="Shape 249">
          <a:hlinkClick r:id="rId2"/>
        </xdr:cNvPr>
        <xdr:cNvSpPr/>
      </xdr:nvSpPr>
      <xdr:spPr>
        <a:xfrm>
          <a:off x="4217288" y="3660938"/>
          <a:ext cx="2257425" cy="238125"/>
        </a:xfrm>
        <a:prstGeom prst="roundRect">
          <a:avLst>
            <a:gd fmla="val 16667" name="adj"/>
          </a:avLst>
        </a:prstGeom>
        <a:solidFill>
          <a:srgbClr val="769DCC"/>
        </a:solidFill>
        <a:ln cap="flat" cmpd="sng" w="25400">
          <a:solidFill>
            <a:srgbClr val="27456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Update Monthly Expenses</a:t>
          </a:r>
          <a:endParaRPr sz="1400"/>
        </a:p>
      </xdr:txBody>
    </xdr:sp>
    <xdr:clientData fLocksWithSheet="0"/>
  </xdr:oneCellAnchor>
  <xdr:oneCellAnchor>
    <xdr:from>
      <xdr:col>20</xdr:col>
      <xdr:colOff>66675</xdr:colOff>
      <xdr:row>1</xdr:row>
      <xdr:rowOff>200025</xdr:rowOff>
    </xdr:from>
    <xdr:ext cx="3886200" cy="904875"/>
    <xdr:grpSp>
      <xdr:nvGrpSpPr>
        <xdr:cNvPr id="2" name="Shape 2"/>
        <xdr:cNvGrpSpPr/>
      </xdr:nvGrpSpPr>
      <xdr:grpSpPr>
        <a:xfrm>
          <a:off x="3402899" y="3327563"/>
          <a:ext cx="3886200" cy="904875"/>
          <a:chOff x="3402899" y="3327563"/>
          <a:chExt cx="3886200" cy="904875"/>
        </a:xfrm>
      </xdr:grpSpPr>
      <xdr:grpSp>
        <xdr:nvGrpSpPr>
          <xdr:cNvPr id="250" name="Shape 250"/>
          <xdr:cNvGrpSpPr/>
        </xdr:nvGrpSpPr>
        <xdr:grpSpPr>
          <a:xfrm>
            <a:off x="3402899" y="3327563"/>
            <a:ext cx="3886200" cy="904875"/>
            <a:chOff x="7448552" y="123824"/>
            <a:chExt cx="3990973" cy="885826"/>
          </a:xfrm>
        </xdr:grpSpPr>
        <xdr:sp>
          <xdr:nvSpPr>
            <xdr:cNvPr id="7" name="Shape 7"/>
            <xdr:cNvSpPr/>
          </xdr:nvSpPr>
          <xdr:spPr>
            <a:xfrm>
              <a:off x="7448552" y="123824"/>
              <a:ext cx="3990950" cy="885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251" name="Shape 251"/>
            <xdr:cNvGrpSpPr/>
          </xdr:nvGrpSpPr>
          <xdr:grpSpPr>
            <a:xfrm>
              <a:off x="7683538" y="352277"/>
              <a:ext cx="3734734" cy="252836"/>
              <a:chOff x="7683538" y="352277"/>
              <a:chExt cx="3734734" cy="252836"/>
            </a:xfrm>
          </xdr:grpSpPr>
          <xdr:sp>
            <xdr:nvSpPr>
              <xdr:cNvPr id="252" name="Shape 252">
                <a:hlinkClick r:id="rId3"/>
              </xdr:cNvPr>
              <xdr:cNvSpPr/>
            </xdr:nvSpPr>
            <xdr:spPr>
              <a:xfrm>
                <a:off x="10676699" y="366849"/>
                <a:ext cx="741573" cy="228600"/>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253" name="Shape 253">
                <a:hlinkClick r:id="rId4"/>
              </xdr:cNvPr>
              <xdr:cNvSpPr/>
            </xdr:nvSpPr>
            <xdr:spPr>
              <a:xfrm>
                <a:off x="8443941" y="362984"/>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254" name="Shape 254">
                <a:hlinkClick r:id="rId5"/>
              </xdr:cNvPr>
              <xdr:cNvSpPr/>
            </xdr:nvSpPr>
            <xdr:spPr>
              <a:xfrm>
                <a:off x="9936172" y="352277"/>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255" name="Shape 255">
                <a:hlinkClick r:id="rId6"/>
              </xdr:cNvPr>
              <xdr:cNvSpPr/>
            </xdr:nvSpPr>
            <xdr:spPr>
              <a:xfrm>
                <a:off x="7683538" y="371030"/>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256" name="Shape 256">
                <a:hlinkClick r:id="rId7"/>
              </xdr:cNvPr>
              <xdr:cNvSpPr/>
            </xdr:nvSpPr>
            <xdr:spPr>
              <a:xfrm>
                <a:off x="9185294" y="375404"/>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grpSp>
          <xdr:nvGrpSpPr>
            <xdr:cNvPr id="257" name="Shape 257"/>
            <xdr:cNvGrpSpPr/>
          </xdr:nvGrpSpPr>
          <xdr:grpSpPr>
            <a:xfrm>
              <a:off x="7448552" y="123825"/>
              <a:ext cx="3990973" cy="885825"/>
              <a:chOff x="7448552" y="123825"/>
              <a:chExt cx="3990973" cy="885825"/>
            </a:xfrm>
          </xdr:grpSpPr>
          <xdr:grpSp>
            <xdr:nvGrpSpPr>
              <xdr:cNvPr id="258" name="Shape 258"/>
              <xdr:cNvGrpSpPr/>
            </xdr:nvGrpSpPr>
            <xdr:grpSpPr>
              <a:xfrm>
                <a:off x="7686734" y="604004"/>
                <a:ext cx="3726386" cy="229709"/>
                <a:chOff x="7686734" y="604004"/>
                <a:chExt cx="3726386" cy="229709"/>
              </a:xfrm>
            </xdr:grpSpPr>
            <xdr:sp>
              <xdr:nvSpPr>
                <xdr:cNvPr id="259" name="Shape 259">
                  <a:hlinkClick r:id="rId8"/>
                </xdr:cNvPr>
                <xdr:cNvSpPr/>
              </xdr:nvSpPr>
              <xdr:spPr>
                <a:xfrm>
                  <a:off x="7686734" y="604004"/>
                  <a:ext cx="733225"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260" name="Shape 260">
                  <a:hlinkClick r:id="rId9"/>
                </xdr:cNvPr>
                <xdr:cNvSpPr/>
              </xdr:nvSpPr>
              <xdr:spPr>
                <a:xfrm>
                  <a:off x="8443941" y="604004"/>
                  <a:ext cx="734822"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261" name="Shape 261">
                  <a:hlinkClick r:id="rId10"/>
                </xdr:cNvPr>
                <xdr:cNvSpPr/>
              </xdr:nvSpPr>
              <xdr:spPr>
                <a:xfrm>
                  <a:off x="9183695" y="604004"/>
                  <a:ext cx="738020"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262" name="Shape 262">
                  <a:hlinkClick r:id="rId11"/>
                </xdr:cNvPr>
                <xdr:cNvSpPr/>
              </xdr:nvSpPr>
              <xdr:spPr>
                <a:xfrm>
                  <a:off x="9936172" y="604004"/>
                  <a:ext cx="736421"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263" name="Shape 263">
                  <a:hlinkClick r:id="rId12"/>
                </xdr:cNvPr>
                <xdr:cNvSpPr/>
              </xdr:nvSpPr>
              <xdr:spPr>
                <a:xfrm>
                  <a:off x="10676699" y="604004"/>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grpSp>
          <xdr:sp>
            <xdr:nvSpPr>
              <xdr:cNvPr id="264" name="Shape 264"/>
              <xdr:cNvSpPr/>
            </xdr:nvSpPr>
            <xdr:spPr>
              <a:xfrm rot="-5400000">
                <a:off x="7162801" y="409575"/>
                <a:ext cx="771525"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grpSp>
            <xdr:nvGrpSpPr>
              <xdr:cNvPr id="265" name="Shape 265"/>
              <xdr:cNvGrpSpPr/>
            </xdr:nvGrpSpPr>
            <xdr:grpSpPr>
              <a:xfrm>
                <a:off x="7683538" y="123825"/>
                <a:ext cx="3729582" cy="229709"/>
                <a:chOff x="7683538" y="123825"/>
                <a:chExt cx="3729582" cy="229709"/>
              </a:xfrm>
            </xdr:grpSpPr>
            <xdr:sp>
              <xdr:nvSpPr>
                <xdr:cNvPr id="266" name="Shape 266">
                  <a:hlinkClick r:id="rId13"/>
                </xdr:cNvPr>
                <xdr:cNvSpPr/>
              </xdr:nvSpPr>
              <xdr:spPr>
                <a:xfrm>
                  <a:off x="7683538"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267" name="Shape 267">
                  <a:hlinkClick r:id="rId14"/>
                </xdr:cNvPr>
                <xdr:cNvSpPr/>
              </xdr:nvSpPr>
              <xdr:spPr>
                <a:xfrm>
                  <a:off x="9185294"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268" name="Shape 268">
                  <a:hlinkClick r:id="rId15"/>
                </xdr:cNvPr>
                <xdr:cNvSpPr/>
              </xdr:nvSpPr>
              <xdr:spPr>
                <a:xfrm>
                  <a:off x="8443941"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269" name="Shape 269">
                  <a:hlinkClick r:id="rId16"/>
                </xdr:cNvPr>
                <xdr:cNvSpPr/>
              </xdr:nvSpPr>
              <xdr:spPr>
                <a:xfrm>
                  <a:off x="9936172"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270" name="Shape 270">
                  <a:hlinkClick r:id="rId17"/>
                </xdr:cNvPr>
                <xdr:cNvSpPr/>
              </xdr:nvSpPr>
              <xdr:spPr>
                <a:xfrm>
                  <a:off x="10676699"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grpSp>
          <xdr:sp>
            <xdr:nvSpPr>
              <xdr:cNvPr id="271" name="Shape 271">
                <a:hlinkClick r:id="rId18"/>
              </xdr:cNvPr>
              <xdr:cNvSpPr/>
            </xdr:nvSpPr>
            <xdr:spPr>
              <a:xfrm>
                <a:off x="7658097" y="857251"/>
                <a:ext cx="3781428"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grpSp>
    </xdr:grp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66675</xdr:colOff>
      <xdr:row>4</xdr:row>
      <xdr:rowOff>0</xdr:rowOff>
    </xdr:from>
    <xdr:ext cx="2266950" cy="238125"/>
    <xdr:sp>
      <xdr:nvSpPr>
        <xdr:cNvPr id="272" name="Shape 272">
          <a:hlinkClick r:id="rId1"/>
        </xdr:cNvPr>
        <xdr:cNvSpPr/>
      </xdr:nvSpPr>
      <xdr:spPr>
        <a:xfrm>
          <a:off x="4226813" y="3675225"/>
          <a:ext cx="2238375" cy="209550"/>
        </a:xfrm>
        <a:prstGeom prst="roundRect">
          <a:avLst>
            <a:gd fmla="val 16667" name="adj"/>
          </a:avLst>
        </a:prstGeom>
        <a:solidFill>
          <a:schemeClr val="accent1"/>
        </a:solidFill>
        <a:ln cap="flat" cmpd="sng" w="25400">
          <a:solidFill>
            <a:srgbClr val="27456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return to update Salary Increases</a:t>
          </a:r>
          <a:endParaRPr sz="14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17</xdr:col>
      <xdr:colOff>533400</xdr:colOff>
      <xdr:row>4</xdr:row>
      <xdr:rowOff>95250</xdr:rowOff>
    </xdr:from>
    <xdr:ext cx="2533650" cy="257175"/>
    <xdr:sp>
      <xdr:nvSpPr>
        <xdr:cNvPr id="273" name="Shape 273">
          <a:hlinkClick r:id="rId1"/>
        </xdr:cNvPr>
        <xdr:cNvSpPr/>
      </xdr:nvSpPr>
      <xdr:spPr>
        <a:xfrm>
          <a:off x="4088700" y="3660938"/>
          <a:ext cx="2514600" cy="238125"/>
        </a:xfrm>
        <a:prstGeom prst="roundRect">
          <a:avLst>
            <a:gd fmla="val 16667" name="adj"/>
          </a:avLst>
        </a:prstGeom>
        <a:solidFill>
          <a:schemeClr val="accent1"/>
        </a:solidFill>
        <a:ln cap="flat" cmpd="sng" w="25400">
          <a:solidFill>
            <a:srgbClr val="27456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return to update Loan</a:t>
          </a:r>
          <a:r>
            <a:rPr lang="en-US" sz="1100">
              <a:solidFill>
                <a:schemeClr val="lt1"/>
              </a:solidFill>
              <a:latin typeface="Calibri"/>
              <a:ea typeface="Calibri"/>
              <a:cs typeface="Calibri"/>
              <a:sym typeface="Calibri"/>
            </a:rPr>
            <a:t> Details</a:t>
          </a:r>
          <a:endParaRPr sz="1100"/>
        </a:p>
      </xdr:txBody>
    </xdr:sp>
    <xdr:clientData fLocksWithSheet="0"/>
  </xdr:oneCellAnchor>
  <xdr:oneCellAnchor>
    <xdr:from>
      <xdr:col>15</xdr:col>
      <xdr:colOff>257175</xdr:colOff>
      <xdr:row>0</xdr:row>
      <xdr:rowOff>133350</xdr:rowOff>
    </xdr:from>
    <xdr:ext cx="4010025" cy="847725"/>
    <xdr:grpSp>
      <xdr:nvGrpSpPr>
        <xdr:cNvPr id="2" name="Shape 2"/>
        <xdr:cNvGrpSpPr/>
      </xdr:nvGrpSpPr>
      <xdr:grpSpPr>
        <a:xfrm>
          <a:off x="3340987" y="3356138"/>
          <a:ext cx="4010025" cy="847725"/>
          <a:chOff x="3340987" y="3356138"/>
          <a:chExt cx="4010025" cy="847725"/>
        </a:xfrm>
      </xdr:grpSpPr>
      <xdr:grpSp>
        <xdr:nvGrpSpPr>
          <xdr:cNvPr id="274" name="Shape 274"/>
          <xdr:cNvGrpSpPr/>
        </xdr:nvGrpSpPr>
        <xdr:grpSpPr>
          <a:xfrm>
            <a:off x="3340987" y="3356138"/>
            <a:ext cx="4010025" cy="847725"/>
            <a:chOff x="7448552" y="123824"/>
            <a:chExt cx="3990973" cy="885826"/>
          </a:xfrm>
        </xdr:grpSpPr>
        <xdr:sp>
          <xdr:nvSpPr>
            <xdr:cNvPr id="7" name="Shape 7"/>
            <xdr:cNvSpPr/>
          </xdr:nvSpPr>
          <xdr:spPr>
            <a:xfrm>
              <a:off x="7448552" y="123824"/>
              <a:ext cx="3990950" cy="885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275" name="Shape 275"/>
            <xdr:cNvGrpSpPr/>
          </xdr:nvGrpSpPr>
          <xdr:grpSpPr>
            <a:xfrm>
              <a:off x="7683538" y="352277"/>
              <a:ext cx="3734734" cy="252836"/>
              <a:chOff x="7683538" y="352277"/>
              <a:chExt cx="3734734" cy="252836"/>
            </a:xfrm>
          </xdr:grpSpPr>
          <xdr:sp>
            <xdr:nvSpPr>
              <xdr:cNvPr id="276" name="Shape 276">
                <a:hlinkClick r:id="rId2"/>
              </xdr:cNvPr>
              <xdr:cNvSpPr/>
            </xdr:nvSpPr>
            <xdr:spPr>
              <a:xfrm>
                <a:off x="10676699" y="366849"/>
                <a:ext cx="741573" cy="228600"/>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277" name="Shape 277">
                <a:hlinkClick r:id="rId3"/>
              </xdr:cNvPr>
              <xdr:cNvSpPr/>
            </xdr:nvSpPr>
            <xdr:spPr>
              <a:xfrm>
                <a:off x="8443941" y="362984"/>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278" name="Shape 278">
                <a:hlinkClick r:id="rId4"/>
              </xdr:cNvPr>
              <xdr:cNvSpPr/>
            </xdr:nvSpPr>
            <xdr:spPr>
              <a:xfrm>
                <a:off x="9936172" y="352277"/>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279" name="Shape 279">
                <a:hlinkClick r:id="rId5"/>
              </xdr:cNvPr>
              <xdr:cNvSpPr/>
            </xdr:nvSpPr>
            <xdr:spPr>
              <a:xfrm>
                <a:off x="7683538" y="371030"/>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280" name="Shape 280">
                <a:hlinkClick r:id="rId6"/>
              </xdr:cNvPr>
              <xdr:cNvSpPr/>
            </xdr:nvSpPr>
            <xdr:spPr>
              <a:xfrm>
                <a:off x="9185294" y="375404"/>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grpSp>
          <xdr:nvGrpSpPr>
            <xdr:cNvPr id="281" name="Shape 281"/>
            <xdr:cNvGrpSpPr/>
          </xdr:nvGrpSpPr>
          <xdr:grpSpPr>
            <a:xfrm>
              <a:off x="7448552" y="123825"/>
              <a:ext cx="3990973" cy="885825"/>
              <a:chOff x="7448552" y="123825"/>
              <a:chExt cx="3990973" cy="885825"/>
            </a:xfrm>
          </xdr:grpSpPr>
          <xdr:grpSp>
            <xdr:nvGrpSpPr>
              <xdr:cNvPr id="282" name="Shape 282"/>
              <xdr:cNvGrpSpPr/>
            </xdr:nvGrpSpPr>
            <xdr:grpSpPr>
              <a:xfrm>
                <a:off x="7686734" y="604004"/>
                <a:ext cx="3726386" cy="229709"/>
                <a:chOff x="7686734" y="604004"/>
                <a:chExt cx="3726386" cy="229709"/>
              </a:xfrm>
            </xdr:grpSpPr>
            <xdr:sp>
              <xdr:nvSpPr>
                <xdr:cNvPr id="283" name="Shape 283">
                  <a:hlinkClick r:id="rId7"/>
                </xdr:cNvPr>
                <xdr:cNvSpPr/>
              </xdr:nvSpPr>
              <xdr:spPr>
                <a:xfrm>
                  <a:off x="7686734" y="604004"/>
                  <a:ext cx="733225"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284" name="Shape 284">
                  <a:hlinkClick r:id="rId8"/>
                </xdr:cNvPr>
                <xdr:cNvSpPr/>
              </xdr:nvSpPr>
              <xdr:spPr>
                <a:xfrm>
                  <a:off x="8443941" y="604004"/>
                  <a:ext cx="734822"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285" name="Shape 285">
                  <a:hlinkClick r:id="rId9"/>
                </xdr:cNvPr>
                <xdr:cNvSpPr/>
              </xdr:nvSpPr>
              <xdr:spPr>
                <a:xfrm>
                  <a:off x="9183695" y="604004"/>
                  <a:ext cx="738020"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286" name="Shape 286">
                  <a:hlinkClick r:id="rId10"/>
                </xdr:cNvPr>
                <xdr:cNvSpPr/>
              </xdr:nvSpPr>
              <xdr:spPr>
                <a:xfrm>
                  <a:off x="9936172" y="604004"/>
                  <a:ext cx="736421"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287" name="Shape 287">
                  <a:hlinkClick r:id="rId11"/>
                </xdr:cNvPr>
                <xdr:cNvSpPr/>
              </xdr:nvSpPr>
              <xdr:spPr>
                <a:xfrm>
                  <a:off x="10676699" y="604004"/>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grpSp>
          <xdr:sp>
            <xdr:nvSpPr>
              <xdr:cNvPr id="288" name="Shape 288"/>
              <xdr:cNvSpPr/>
            </xdr:nvSpPr>
            <xdr:spPr>
              <a:xfrm rot="-5400000">
                <a:off x="7162801" y="409575"/>
                <a:ext cx="771525"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grpSp>
            <xdr:nvGrpSpPr>
              <xdr:cNvPr id="289" name="Shape 289"/>
              <xdr:cNvGrpSpPr/>
            </xdr:nvGrpSpPr>
            <xdr:grpSpPr>
              <a:xfrm>
                <a:off x="7683538" y="123825"/>
                <a:ext cx="3729582" cy="229709"/>
                <a:chOff x="7683538" y="123825"/>
                <a:chExt cx="3729582" cy="229709"/>
              </a:xfrm>
            </xdr:grpSpPr>
            <xdr:sp>
              <xdr:nvSpPr>
                <xdr:cNvPr id="290" name="Shape 290">
                  <a:hlinkClick r:id="rId12"/>
                </xdr:cNvPr>
                <xdr:cNvSpPr/>
              </xdr:nvSpPr>
              <xdr:spPr>
                <a:xfrm>
                  <a:off x="7683538"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291" name="Shape 291">
                  <a:hlinkClick r:id="rId13"/>
                </xdr:cNvPr>
                <xdr:cNvSpPr/>
              </xdr:nvSpPr>
              <xdr:spPr>
                <a:xfrm>
                  <a:off x="9185294"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292" name="Shape 292">
                  <a:hlinkClick r:id="rId14"/>
                </xdr:cNvPr>
                <xdr:cNvSpPr/>
              </xdr:nvSpPr>
              <xdr:spPr>
                <a:xfrm>
                  <a:off x="8443941"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293" name="Shape 293">
                  <a:hlinkClick r:id="rId15"/>
                </xdr:cNvPr>
                <xdr:cNvSpPr/>
              </xdr:nvSpPr>
              <xdr:spPr>
                <a:xfrm>
                  <a:off x="9936172"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294" name="Shape 294">
                  <a:hlinkClick r:id="rId16"/>
                </xdr:cNvPr>
                <xdr:cNvSpPr/>
              </xdr:nvSpPr>
              <xdr:spPr>
                <a:xfrm>
                  <a:off x="10676699"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grpSp>
          <xdr:sp>
            <xdr:nvSpPr>
              <xdr:cNvPr id="295" name="Shape 295">
                <a:hlinkClick r:id="rId17"/>
              </xdr:cNvPr>
              <xdr:cNvSpPr/>
            </xdr:nvSpPr>
            <xdr:spPr>
              <a:xfrm>
                <a:off x="7658097" y="857251"/>
                <a:ext cx="3781428"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grpSp>
    </xdr:grpSp>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161925</xdr:colOff>
      <xdr:row>3</xdr:row>
      <xdr:rowOff>114300</xdr:rowOff>
    </xdr:from>
    <xdr:ext cx="2276475" cy="266700"/>
    <xdr:sp>
      <xdr:nvSpPr>
        <xdr:cNvPr id="296" name="Shape 296">
          <a:hlinkClick r:id="rId1"/>
        </xdr:cNvPr>
        <xdr:cNvSpPr/>
      </xdr:nvSpPr>
      <xdr:spPr>
        <a:xfrm>
          <a:off x="4217288" y="3656175"/>
          <a:ext cx="2257425" cy="247650"/>
        </a:xfrm>
        <a:prstGeom prst="roundRect">
          <a:avLst>
            <a:gd fmla="val 16667" name="adj"/>
          </a:avLst>
        </a:prstGeom>
        <a:solidFill>
          <a:srgbClr val="769DCC"/>
        </a:solidFill>
        <a:ln cap="flat" cmpd="sng" w="25400">
          <a:solidFill>
            <a:srgbClr val="27456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Calibri"/>
              <a:ea typeface="Calibri"/>
              <a:cs typeface="Calibri"/>
              <a:sym typeface="Calibri"/>
            </a:rPr>
            <a:t>return to Background </a:t>
          </a:r>
          <a:endParaRPr sz="1400"/>
        </a:p>
      </xdr:txBody>
    </xdr:sp>
    <xdr:clientData fLocksWithSheet="0"/>
  </xdr:oneCellAnchor>
  <xdr:oneCellAnchor>
    <xdr:from>
      <xdr:col>14</xdr:col>
      <xdr:colOff>323850</xdr:colOff>
      <xdr:row>0</xdr:row>
      <xdr:rowOff>85725</xdr:rowOff>
    </xdr:from>
    <xdr:ext cx="3857625" cy="790575"/>
    <xdr:grpSp>
      <xdr:nvGrpSpPr>
        <xdr:cNvPr id="2" name="Shape 2"/>
        <xdr:cNvGrpSpPr/>
      </xdr:nvGrpSpPr>
      <xdr:grpSpPr>
        <a:xfrm>
          <a:off x="3417188" y="3384713"/>
          <a:ext cx="3857625" cy="790575"/>
          <a:chOff x="3417188" y="3384713"/>
          <a:chExt cx="3857625" cy="790575"/>
        </a:xfrm>
      </xdr:grpSpPr>
      <xdr:grpSp>
        <xdr:nvGrpSpPr>
          <xdr:cNvPr id="297" name="Shape 297"/>
          <xdr:cNvGrpSpPr/>
        </xdr:nvGrpSpPr>
        <xdr:grpSpPr>
          <a:xfrm>
            <a:off x="3417188" y="3384713"/>
            <a:ext cx="3857625" cy="790575"/>
            <a:chOff x="7448552" y="123824"/>
            <a:chExt cx="3990973" cy="885826"/>
          </a:xfrm>
        </xdr:grpSpPr>
        <xdr:sp>
          <xdr:nvSpPr>
            <xdr:cNvPr id="7" name="Shape 7"/>
            <xdr:cNvSpPr/>
          </xdr:nvSpPr>
          <xdr:spPr>
            <a:xfrm>
              <a:off x="7448552" y="123824"/>
              <a:ext cx="3990950" cy="885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298" name="Shape 298"/>
            <xdr:cNvGrpSpPr/>
          </xdr:nvGrpSpPr>
          <xdr:grpSpPr>
            <a:xfrm>
              <a:off x="7683538" y="352277"/>
              <a:ext cx="3734734" cy="252836"/>
              <a:chOff x="7683538" y="352277"/>
              <a:chExt cx="3734734" cy="252836"/>
            </a:xfrm>
          </xdr:grpSpPr>
          <xdr:sp>
            <xdr:nvSpPr>
              <xdr:cNvPr id="299" name="Shape 299">
                <a:hlinkClick r:id="rId2"/>
              </xdr:cNvPr>
              <xdr:cNvSpPr/>
            </xdr:nvSpPr>
            <xdr:spPr>
              <a:xfrm>
                <a:off x="10676699" y="366849"/>
                <a:ext cx="741573" cy="228600"/>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300" name="Shape 300">
                <a:hlinkClick r:id="rId3"/>
              </xdr:cNvPr>
              <xdr:cNvSpPr/>
            </xdr:nvSpPr>
            <xdr:spPr>
              <a:xfrm>
                <a:off x="8443941" y="362984"/>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301" name="Shape 301">
                <a:hlinkClick r:id="rId4"/>
              </xdr:cNvPr>
              <xdr:cNvSpPr/>
            </xdr:nvSpPr>
            <xdr:spPr>
              <a:xfrm>
                <a:off x="9936172" y="352277"/>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302" name="Shape 302">
                <a:hlinkClick r:id="rId5"/>
              </xdr:cNvPr>
              <xdr:cNvSpPr/>
            </xdr:nvSpPr>
            <xdr:spPr>
              <a:xfrm>
                <a:off x="7683538" y="371030"/>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303" name="Shape 303">
                <a:hlinkClick r:id="rId6"/>
              </xdr:cNvPr>
              <xdr:cNvSpPr/>
            </xdr:nvSpPr>
            <xdr:spPr>
              <a:xfrm>
                <a:off x="9185294" y="375404"/>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grpSp>
          <xdr:nvGrpSpPr>
            <xdr:cNvPr id="304" name="Shape 304"/>
            <xdr:cNvGrpSpPr/>
          </xdr:nvGrpSpPr>
          <xdr:grpSpPr>
            <a:xfrm>
              <a:off x="7448552" y="123825"/>
              <a:ext cx="3990973" cy="885825"/>
              <a:chOff x="7448552" y="123825"/>
              <a:chExt cx="3990973" cy="885825"/>
            </a:xfrm>
          </xdr:grpSpPr>
          <xdr:grpSp>
            <xdr:nvGrpSpPr>
              <xdr:cNvPr id="305" name="Shape 305"/>
              <xdr:cNvGrpSpPr/>
            </xdr:nvGrpSpPr>
            <xdr:grpSpPr>
              <a:xfrm>
                <a:off x="7686734" y="604004"/>
                <a:ext cx="3726386" cy="229709"/>
                <a:chOff x="7686734" y="604004"/>
                <a:chExt cx="3726386" cy="229709"/>
              </a:xfrm>
            </xdr:grpSpPr>
            <xdr:sp>
              <xdr:nvSpPr>
                <xdr:cNvPr id="306" name="Shape 306">
                  <a:hlinkClick r:id="rId7"/>
                </xdr:cNvPr>
                <xdr:cNvSpPr/>
              </xdr:nvSpPr>
              <xdr:spPr>
                <a:xfrm>
                  <a:off x="7686734" y="604004"/>
                  <a:ext cx="733225"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307" name="Shape 307">
                  <a:hlinkClick r:id="rId8"/>
                </xdr:cNvPr>
                <xdr:cNvSpPr/>
              </xdr:nvSpPr>
              <xdr:spPr>
                <a:xfrm>
                  <a:off x="8443941" y="604004"/>
                  <a:ext cx="734822"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308" name="Shape 308">
                  <a:hlinkClick r:id="rId9"/>
                </xdr:cNvPr>
                <xdr:cNvSpPr/>
              </xdr:nvSpPr>
              <xdr:spPr>
                <a:xfrm>
                  <a:off x="9183695" y="604004"/>
                  <a:ext cx="738020"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309" name="Shape 309">
                  <a:hlinkClick r:id="rId10"/>
                </xdr:cNvPr>
                <xdr:cNvSpPr/>
              </xdr:nvSpPr>
              <xdr:spPr>
                <a:xfrm>
                  <a:off x="9936172" y="604004"/>
                  <a:ext cx="736421"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310" name="Shape 310">
                  <a:hlinkClick r:id="rId11"/>
                </xdr:cNvPr>
                <xdr:cNvSpPr/>
              </xdr:nvSpPr>
              <xdr:spPr>
                <a:xfrm>
                  <a:off x="10676699" y="604004"/>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grpSp>
          <xdr:sp>
            <xdr:nvSpPr>
              <xdr:cNvPr id="311" name="Shape 311"/>
              <xdr:cNvSpPr/>
            </xdr:nvSpPr>
            <xdr:spPr>
              <a:xfrm rot="-5400000">
                <a:off x="7162801" y="409575"/>
                <a:ext cx="771525"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grpSp>
            <xdr:nvGrpSpPr>
              <xdr:cNvPr id="312" name="Shape 312"/>
              <xdr:cNvGrpSpPr/>
            </xdr:nvGrpSpPr>
            <xdr:grpSpPr>
              <a:xfrm>
                <a:off x="7683538" y="123825"/>
                <a:ext cx="3729582" cy="229709"/>
                <a:chOff x="7683538" y="123825"/>
                <a:chExt cx="3729582" cy="229709"/>
              </a:xfrm>
            </xdr:grpSpPr>
            <xdr:sp>
              <xdr:nvSpPr>
                <xdr:cNvPr id="313" name="Shape 313">
                  <a:hlinkClick r:id="rId12"/>
                </xdr:cNvPr>
                <xdr:cNvSpPr/>
              </xdr:nvSpPr>
              <xdr:spPr>
                <a:xfrm>
                  <a:off x="7683538"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314" name="Shape 314">
                  <a:hlinkClick r:id="rId13"/>
                </xdr:cNvPr>
                <xdr:cNvSpPr/>
              </xdr:nvSpPr>
              <xdr:spPr>
                <a:xfrm>
                  <a:off x="9185294"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315" name="Shape 315">
                  <a:hlinkClick r:id="rId14"/>
                </xdr:cNvPr>
                <xdr:cNvSpPr/>
              </xdr:nvSpPr>
              <xdr:spPr>
                <a:xfrm>
                  <a:off x="8443941"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316" name="Shape 316">
                  <a:hlinkClick r:id="rId15"/>
                </xdr:cNvPr>
                <xdr:cNvSpPr/>
              </xdr:nvSpPr>
              <xdr:spPr>
                <a:xfrm>
                  <a:off x="9936172"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317" name="Shape 317">
                  <a:hlinkClick r:id="rId16"/>
                </xdr:cNvPr>
                <xdr:cNvSpPr/>
              </xdr:nvSpPr>
              <xdr:spPr>
                <a:xfrm>
                  <a:off x="10676699"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grpSp>
          <xdr:sp>
            <xdr:nvSpPr>
              <xdr:cNvPr id="318" name="Shape 318">
                <a:hlinkClick r:id="rId17"/>
              </xdr:cNvPr>
              <xdr:cNvSpPr/>
            </xdr:nvSpPr>
            <xdr:spPr>
              <a:xfrm>
                <a:off x="7658097" y="857251"/>
                <a:ext cx="3781428"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grpSp>
    </xdr:grpSp>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314325</xdr:colOff>
      <xdr:row>0</xdr:row>
      <xdr:rowOff>95250</xdr:rowOff>
    </xdr:from>
    <xdr:ext cx="3857625" cy="914400"/>
    <xdr:grpSp>
      <xdr:nvGrpSpPr>
        <xdr:cNvPr id="2" name="Shape 2"/>
        <xdr:cNvGrpSpPr/>
      </xdr:nvGrpSpPr>
      <xdr:grpSpPr>
        <a:xfrm>
          <a:off x="3417188" y="3322800"/>
          <a:ext cx="3857625" cy="914400"/>
          <a:chOff x="3417188" y="3322800"/>
          <a:chExt cx="3857625" cy="914400"/>
        </a:xfrm>
      </xdr:grpSpPr>
      <xdr:grpSp>
        <xdr:nvGrpSpPr>
          <xdr:cNvPr id="319" name="Shape 319"/>
          <xdr:cNvGrpSpPr/>
        </xdr:nvGrpSpPr>
        <xdr:grpSpPr>
          <a:xfrm>
            <a:off x="3417188" y="3322800"/>
            <a:ext cx="3857625" cy="914400"/>
            <a:chOff x="7448552" y="123824"/>
            <a:chExt cx="3990973" cy="885826"/>
          </a:xfrm>
        </xdr:grpSpPr>
        <xdr:sp>
          <xdr:nvSpPr>
            <xdr:cNvPr id="7" name="Shape 7"/>
            <xdr:cNvSpPr/>
          </xdr:nvSpPr>
          <xdr:spPr>
            <a:xfrm>
              <a:off x="7448552" y="123824"/>
              <a:ext cx="3990950" cy="885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320" name="Shape 320"/>
            <xdr:cNvGrpSpPr/>
          </xdr:nvGrpSpPr>
          <xdr:grpSpPr>
            <a:xfrm>
              <a:off x="7683538" y="352277"/>
              <a:ext cx="3734734" cy="252836"/>
              <a:chOff x="7683538" y="352277"/>
              <a:chExt cx="3734734" cy="252836"/>
            </a:xfrm>
          </xdr:grpSpPr>
          <xdr:sp>
            <xdr:nvSpPr>
              <xdr:cNvPr id="321" name="Shape 321">
                <a:hlinkClick r:id="rId1"/>
              </xdr:cNvPr>
              <xdr:cNvSpPr/>
            </xdr:nvSpPr>
            <xdr:spPr>
              <a:xfrm>
                <a:off x="10676699" y="366849"/>
                <a:ext cx="741573" cy="228600"/>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322" name="Shape 322">
                <a:hlinkClick r:id="rId2"/>
              </xdr:cNvPr>
              <xdr:cNvSpPr/>
            </xdr:nvSpPr>
            <xdr:spPr>
              <a:xfrm>
                <a:off x="8443941" y="362984"/>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323" name="Shape 323">
                <a:hlinkClick r:id="rId3"/>
              </xdr:cNvPr>
              <xdr:cNvSpPr/>
            </xdr:nvSpPr>
            <xdr:spPr>
              <a:xfrm>
                <a:off x="9936172" y="352277"/>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324" name="Shape 324">
                <a:hlinkClick r:id="rId4"/>
              </xdr:cNvPr>
              <xdr:cNvSpPr/>
            </xdr:nvSpPr>
            <xdr:spPr>
              <a:xfrm>
                <a:off x="7683538" y="371030"/>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325" name="Shape 325">
                <a:hlinkClick r:id="rId5"/>
              </xdr:cNvPr>
              <xdr:cNvSpPr/>
            </xdr:nvSpPr>
            <xdr:spPr>
              <a:xfrm>
                <a:off x="9185294" y="375404"/>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grpSp>
          <xdr:nvGrpSpPr>
            <xdr:cNvPr id="326" name="Shape 326"/>
            <xdr:cNvGrpSpPr/>
          </xdr:nvGrpSpPr>
          <xdr:grpSpPr>
            <a:xfrm>
              <a:off x="7448552" y="123825"/>
              <a:ext cx="3990973" cy="885825"/>
              <a:chOff x="7448552" y="123825"/>
              <a:chExt cx="3990973" cy="885825"/>
            </a:xfrm>
          </xdr:grpSpPr>
          <xdr:grpSp>
            <xdr:nvGrpSpPr>
              <xdr:cNvPr id="327" name="Shape 327"/>
              <xdr:cNvGrpSpPr/>
            </xdr:nvGrpSpPr>
            <xdr:grpSpPr>
              <a:xfrm>
                <a:off x="7686734" y="604004"/>
                <a:ext cx="3726386" cy="229709"/>
                <a:chOff x="7686734" y="604004"/>
                <a:chExt cx="3726386" cy="229709"/>
              </a:xfrm>
            </xdr:grpSpPr>
            <xdr:sp>
              <xdr:nvSpPr>
                <xdr:cNvPr id="328" name="Shape 328">
                  <a:hlinkClick r:id="rId6"/>
                </xdr:cNvPr>
                <xdr:cNvSpPr/>
              </xdr:nvSpPr>
              <xdr:spPr>
                <a:xfrm>
                  <a:off x="7686734" y="604004"/>
                  <a:ext cx="733225"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329" name="Shape 329">
                  <a:hlinkClick r:id="rId7"/>
                </xdr:cNvPr>
                <xdr:cNvSpPr/>
              </xdr:nvSpPr>
              <xdr:spPr>
                <a:xfrm>
                  <a:off x="8443941" y="604004"/>
                  <a:ext cx="734822"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330" name="Shape 330">
                  <a:hlinkClick r:id="rId8"/>
                </xdr:cNvPr>
                <xdr:cNvSpPr/>
              </xdr:nvSpPr>
              <xdr:spPr>
                <a:xfrm>
                  <a:off x="9183695" y="604004"/>
                  <a:ext cx="738020"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331" name="Shape 331">
                  <a:hlinkClick r:id="rId9"/>
                </xdr:cNvPr>
                <xdr:cNvSpPr/>
              </xdr:nvSpPr>
              <xdr:spPr>
                <a:xfrm>
                  <a:off x="9936172" y="604004"/>
                  <a:ext cx="736421"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332" name="Shape 332">
                  <a:hlinkClick r:id="rId10"/>
                </xdr:cNvPr>
                <xdr:cNvSpPr/>
              </xdr:nvSpPr>
              <xdr:spPr>
                <a:xfrm>
                  <a:off x="10676699" y="604004"/>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grpSp>
          <xdr:sp>
            <xdr:nvSpPr>
              <xdr:cNvPr id="333" name="Shape 333"/>
              <xdr:cNvSpPr/>
            </xdr:nvSpPr>
            <xdr:spPr>
              <a:xfrm rot="-5400000">
                <a:off x="7162801" y="409575"/>
                <a:ext cx="771525"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grpSp>
            <xdr:nvGrpSpPr>
              <xdr:cNvPr id="334" name="Shape 334"/>
              <xdr:cNvGrpSpPr/>
            </xdr:nvGrpSpPr>
            <xdr:grpSpPr>
              <a:xfrm>
                <a:off x="7683538" y="123825"/>
                <a:ext cx="3729582" cy="229709"/>
                <a:chOff x="7683538" y="123825"/>
                <a:chExt cx="3729582" cy="229709"/>
              </a:xfrm>
            </xdr:grpSpPr>
            <xdr:sp>
              <xdr:nvSpPr>
                <xdr:cNvPr id="335" name="Shape 335">
                  <a:hlinkClick r:id="rId11"/>
                </xdr:cNvPr>
                <xdr:cNvSpPr/>
              </xdr:nvSpPr>
              <xdr:spPr>
                <a:xfrm>
                  <a:off x="7683538"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336" name="Shape 336">
                  <a:hlinkClick r:id="rId12"/>
                </xdr:cNvPr>
                <xdr:cNvSpPr/>
              </xdr:nvSpPr>
              <xdr:spPr>
                <a:xfrm>
                  <a:off x="9185294"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337" name="Shape 337">
                  <a:hlinkClick r:id="rId13"/>
                </xdr:cNvPr>
                <xdr:cNvSpPr/>
              </xdr:nvSpPr>
              <xdr:spPr>
                <a:xfrm>
                  <a:off x="8443941"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338" name="Shape 338">
                  <a:hlinkClick r:id="rId14"/>
                </xdr:cNvPr>
                <xdr:cNvSpPr/>
              </xdr:nvSpPr>
              <xdr:spPr>
                <a:xfrm>
                  <a:off x="9936172"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339" name="Shape 339">
                  <a:hlinkClick r:id="rId15"/>
                </xdr:cNvPr>
                <xdr:cNvSpPr/>
              </xdr:nvSpPr>
              <xdr:spPr>
                <a:xfrm>
                  <a:off x="10676699"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grpSp>
          <xdr:sp>
            <xdr:nvSpPr>
              <xdr:cNvPr id="340" name="Shape 340">
                <a:hlinkClick r:id="rId16"/>
              </xdr:cNvPr>
              <xdr:cNvSpPr/>
            </xdr:nvSpPr>
            <xdr:spPr>
              <a:xfrm>
                <a:off x="7658097" y="857251"/>
                <a:ext cx="3781428"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grpSp>
    </xdr:grpSp>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314325</xdr:colOff>
      <xdr:row>0</xdr:row>
      <xdr:rowOff>95250</xdr:rowOff>
    </xdr:from>
    <xdr:ext cx="3857625" cy="914400"/>
    <xdr:grpSp>
      <xdr:nvGrpSpPr>
        <xdr:cNvPr id="2" name="Shape 2"/>
        <xdr:cNvGrpSpPr/>
      </xdr:nvGrpSpPr>
      <xdr:grpSpPr>
        <a:xfrm>
          <a:off x="3417188" y="3322800"/>
          <a:ext cx="3857625" cy="914400"/>
          <a:chOff x="3417188" y="3322800"/>
          <a:chExt cx="3857625" cy="914400"/>
        </a:xfrm>
      </xdr:grpSpPr>
      <xdr:grpSp>
        <xdr:nvGrpSpPr>
          <xdr:cNvPr id="341" name="Shape 341"/>
          <xdr:cNvGrpSpPr/>
        </xdr:nvGrpSpPr>
        <xdr:grpSpPr>
          <a:xfrm>
            <a:off x="3417188" y="3322800"/>
            <a:ext cx="3857625" cy="914400"/>
            <a:chOff x="7448552" y="123824"/>
            <a:chExt cx="3990973" cy="885826"/>
          </a:xfrm>
        </xdr:grpSpPr>
        <xdr:sp>
          <xdr:nvSpPr>
            <xdr:cNvPr id="7" name="Shape 7"/>
            <xdr:cNvSpPr/>
          </xdr:nvSpPr>
          <xdr:spPr>
            <a:xfrm>
              <a:off x="7448552" y="123824"/>
              <a:ext cx="3990950" cy="8858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342" name="Shape 342"/>
            <xdr:cNvGrpSpPr/>
          </xdr:nvGrpSpPr>
          <xdr:grpSpPr>
            <a:xfrm>
              <a:off x="7683538" y="352277"/>
              <a:ext cx="3734734" cy="252836"/>
              <a:chOff x="7683538" y="352277"/>
              <a:chExt cx="3734734" cy="252836"/>
            </a:xfrm>
          </xdr:grpSpPr>
          <xdr:sp>
            <xdr:nvSpPr>
              <xdr:cNvPr id="343" name="Shape 343">
                <a:hlinkClick r:id="rId1"/>
              </xdr:cNvPr>
              <xdr:cNvSpPr/>
            </xdr:nvSpPr>
            <xdr:spPr>
              <a:xfrm>
                <a:off x="10676699" y="366849"/>
                <a:ext cx="741573" cy="228600"/>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Charts</a:t>
                </a:r>
                <a:endParaRPr sz="1400"/>
              </a:p>
            </xdr:txBody>
          </xdr:sp>
          <xdr:sp>
            <xdr:nvSpPr>
              <xdr:cNvPr id="344" name="Shape 344">
                <a:hlinkClick r:id="rId2"/>
              </xdr:cNvPr>
              <xdr:cNvSpPr/>
            </xdr:nvSpPr>
            <xdr:spPr>
              <a:xfrm>
                <a:off x="8443941" y="362984"/>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Personnel</a:t>
                </a:r>
                <a:endParaRPr sz="1400"/>
              </a:p>
            </xdr:txBody>
          </xdr:sp>
          <xdr:sp>
            <xdr:nvSpPr>
              <xdr:cNvPr id="345" name="Shape 345">
                <a:hlinkClick r:id="rId3"/>
              </xdr:cNvPr>
              <xdr:cNvSpPr/>
            </xdr:nvSpPr>
            <xdr:spPr>
              <a:xfrm>
                <a:off x="9936172" y="352277"/>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5-Year</a:t>
                </a:r>
                <a:endParaRPr sz="1400"/>
              </a:p>
            </xdr:txBody>
          </xdr:sp>
          <xdr:sp>
            <xdr:nvSpPr>
              <xdr:cNvPr id="346" name="Shape 346">
                <a:hlinkClick r:id="rId4"/>
              </xdr:cNvPr>
              <xdr:cNvSpPr/>
            </xdr:nvSpPr>
            <xdr:spPr>
              <a:xfrm>
                <a:off x="7683538" y="371030"/>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Sales Units</a:t>
                </a:r>
                <a:endParaRPr sz="1400"/>
              </a:p>
            </xdr:txBody>
          </xdr:sp>
          <xdr:sp>
            <xdr:nvSpPr>
              <xdr:cNvPr id="347" name="Shape 347">
                <a:hlinkClick r:id="rId5"/>
              </xdr:cNvPr>
              <xdr:cNvSpPr/>
            </xdr:nvSpPr>
            <xdr:spPr>
              <a:xfrm>
                <a:off x="9185294" y="375404"/>
                <a:ext cx="736421" cy="229709"/>
              </a:xfrm>
              <a:prstGeom prst="rect">
                <a:avLst/>
              </a:prstGeom>
              <a:solidFill>
                <a:srgbClr val="3F3F3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chemeClr val="lt1"/>
                    </a:solidFill>
                    <a:latin typeface="Calibri"/>
                    <a:ea typeface="Calibri"/>
                    <a:cs typeface="Calibri"/>
                    <a:sym typeface="Calibri"/>
                  </a:rPr>
                  <a:t>Capital</a:t>
                </a:r>
                <a:endParaRPr sz="1400"/>
              </a:p>
            </xdr:txBody>
          </xdr:sp>
        </xdr:grpSp>
        <xdr:grpSp>
          <xdr:nvGrpSpPr>
            <xdr:cNvPr id="348" name="Shape 348"/>
            <xdr:cNvGrpSpPr/>
          </xdr:nvGrpSpPr>
          <xdr:grpSpPr>
            <a:xfrm>
              <a:off x="7448552" y="123825"/>
              <a:ext cx="3990973" cy="885825"/>
              <a:chOff x="7448552" y="123825"/>
              <a:chExt cx="3990973" cy="885825"/>
            </a:xfrm>
          </xdr:grpSpPr>
          <xdr:grpSp>
            <xdr:nvGrpSpPr>
              <xdr:cNvPr id="349" name="Shape 349"/>
              <xdr:cNvGrpSpPr/>
            </xdr:nvGrpSpPr>
            <xdr:grpSpPr>
              <a:xfrm>
                <a:off x="7686734" y="604004"/>
                <a:ext cx="3726386" cy="229709"/>
                <a:chOff x="7686734" y="604004"/>
                <a:chExt cx="3726386" cy="229709"/>
              </a:xfrm>
            </xdr:grpSpPr>
            <xdr:sp>
              <xdr:nvSpPr>
                <xdr:cNvPr id="350" name="Shape 350">
                  <a:hlinkClick r:id="rId6"/>
                </xdr:cNvPr>
                <xdr:cNvSpPr/>
              </xdr:nvSpPr>
              <xdr:spPr>
                <a:xfrm>
                  <a:off x="7686734" y="604004"/>
                  <a:ext cx="733225"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Income</a:t>
                  </a:r>
                  <a:endParaRPr sz="1400"/>
                </a:p>
              </xdr:txBody>
            </xdr:sp>
            <xdr:sp>
              <xdr:nvSpPr>
                <xdr:cNvPr id="351" name="Shape 351">
                  <a:hlinkClick r:id="rId7"/>
                </xdr:cNvPr>
                <xdr:cNvSpPr/>
              </xdr:nvSpPr>
              <xdr:spPr>
                <a:xfrm>
                  <a:off x="8443941" y="604004"/>
                  <a:ext cx="734822"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Cash Flow</a:t>
                  </a:r>
                  <a:endParaRPr sz="1400"/>
                </a:p>
              </xdr:txBody>
            </xdr:sp>
            <xdr:sp>
              <xdr:nvSpPr>
                <xdr:cNvPr id="352" name="Shape 352">
                  <a:hlinkClick r:id="rId8"/>
                </xdr:cNvPr>
                <xdr:cNvSpPr/>
              </xdr:nvSpPr>
              <xdr:spPr>
                <a:xfrm>
                  <a:off x="9183695" y="604004"/>
                  <a:ext cx="738020"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Balance</a:t>
                  </a:r>
                  <a:endParaRPr sz="1400"/>
                </a:p>
              </xdr:txBody>
            </xdr:sp>
            <xdr:sp>
              <xdr:nvSpPr>
                <xdr:cNvPr id="353" name="Shape 353">
                  <a:hlinkClick r:id="rId9"/>
                </xdr:cNvPr>
                <xdr:cNvSpPr/>
              </xdr:nvSpPr>
              <xdr:spPr>
                <a:xfrm>
                  <a:off x="9936172" y="604004"/>
                  <a:ext cx="736421" cy="229709"/>
                </a:xfrm>
                <a:prstGeom prst="rect">
                  <a:avLst/>
                </a:prstGeom>
                <a:solidFill>
                  <a:srgbClr val="FFFFFF"/>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Ratios</a:t>
                  </a:r>
                  <a:endParaRPr sz="1400"/>
                </a:p>
              </xdr:txBody>
            </xdr:sp>
            <xdr:sp>
              <xdr:nvSpPr>
                <xdr:cNvPr id="354" name="Shape 354">
                  <a:hlinkClick r:id="rId10"/>
                </xdr:cNvPr>
                <xdr:cNvSpPr/>
              </xdr:nvSpPr>
              <xdr:spPr>
                <a:xfrm>
                  <a:off x="10676699" y="604004"/>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Loans</a:t>
                  </a:r>
                  <a:endParaRPr sz="1400"/>
                </a:p>
              </xdr:txBody>
            </xdr:sp>
          </xdr:grpSp>
          <xdr:sp>
            <xdr:nvSpPr>
              <xdr:cNvPr id="355" name="Shape 355"/>
              <xdr:cNvSpPr/>
            </xdr:nvSpPr>
            <xdr:spPr>
              <a:xfrm rot="-5400000">
                <a:off x="7162801" y="409575"/>
                <a:ext cx="771525" cy="200024"/>
              </a:xfrm>
              <a:prstGeom prst="roundRect">
                <a:avLst>
                  <a:gd fmla="val 16667" name="adj"/>
                </a:avLst>
              </a:prstGeom>
              <a:solidFill>
                <a:schemeClr val="dk1"/>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Nav Bar</a:t>
                </a:r>
                <a:endParaRPr sz="1400"/>
              </a:p>
            </xdr:txBody>
          </xdr:sp>
          <xdr:grpSp>
            <xdr:nvGrpSpPr>
              <xdr:cNvPr id="356" name="Shape 356"/>
              <xdr:cNvGrpSpPr/>
            </xdr:nvGrpSpPr>
            <xdr:grpSpPr>
              <a:xfrm>
                <a:off x="7683538" y="123825"/>
                <a:ext cx="3729582" cy="229709"/>
                <a:chOff x="7683538" y="123825"/>
                <a:chExt cx="3729582" cy="229709"/>
              </a:xfrm>
            </xdr:grpSpPr>
            <xdr:sp>
              <xdr:nvSpPr>
                <xdr:cNvPr id="357" name="Shape 357">
                  <a:hlinkClick r:id="rId11"/>
                </xdr:cNvPr>
                <xdr:cNvSpPr/>
              </xdr:nvSpPr>
              <xdr:spPr>
                <a:xfrm>
                  <a:off x="7683538"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Background</a:t>
                  </a:r>
                  <a:endParaRPr sz="1400"/>
                </a:p>
              </xdr:txBody>
            </xdr:sp>
            <xdr:sp>
              <xdr:nvSpPr>
                <xdr:cNvPr id="358" name="Shape 358">
                  <a:hlinkClick r:id="rId12"/>
                </xdr:cNvPr>
                <xdr:cNvSpPr/>
              </xdr:nvSpPr>
              <xdr:spPr>
                <a:xfrm>
                  <a:off x="9185294"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Monthly</a:t>
                  </a:r>
                  <a:endParaRPr sz="1400"/>
                </a:p>
              </xdr:txBody>
            </xdr:sp>
            <xdr:sp>
              <xdr:nvSpPr>
                <xdr:cNvPr id="359" name="Shape 359">
                  <a:hlinkClick r:id="rId13"/>
                </xdr:cNvPr>
                <xdr:cNvSpPr/>
              </xdr:nvSpPr>
              <xdr:spPr>
                <a:xfrm>
                  <a:off x="8443941"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Start-up</a:t>
                  </a:r>
                  <a:endParaRPr sz="1400"/>
                </a:p>
              </xdr:txBody>
            </xdr:sp>
            <xdr:sp>
              <xdr:nvSpPr>
                <xdr:cNvPr id="360" name="Shape 360">
                  <a:hlinkClick r:id="rId14"/>
                </xdr:cNvPr>
                <xdr:cNvSpPr/>
              </xdr:nvSpPr>
              <xdr:spPr>
                <a:xfrm>
                  <a:off x="9936172"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Exp Summary</a:t>
                  </a:r>
                  <a:endParaRPr sz="1400"/>
                </a:p>
              </xdr:txBody>
            </xdr:sp>
            <xdr:sp>
              <xdr:nvSpPr>
                <xdr:cNvPr id="361" name="Shape 361">
                  <a:hlinkClick r:id="rId15"/>
                </xdr:cNvPr>
                <xdr:cNvSpPr/>
              </xdr:nvSpPr>
              <xdr:spPr>
                <a:xfrm>
                  <a:off x="10676699" y="123825"/>
                  <a:ext cx="736421" cy="229709"/>
                </a:xfrm>
                <a:prstGeom prst="rect">
                  <a:avLst/>
                </a:prstGeom>
                <a:solidFill>
                  <a:schemeClr val="lt1"/>
                </a:solidFill>
                <a:ln cap="flat" cmpd="sng" w="9525">
                  <a:solidFill>
                    <a:srgbClr val="7F7F7F"/>
                  </a:solidFill>
                  <a:prstDash val="solid"/>
                  <a:round/>
                  <a:headEnd len="sm" w="sm" type="none"/>
                  <a:tailEnd len="sm" w="sm" type="none"/>
                </a:ln>
              </xdr:spPr>
              <xdr:txBody>
                <a:bodyPr anchorCtr="0" anchor="ctr" bIns="0" lIns="0" spcFirstLastPara="1" rIns="0" wrap="square" tIns="0">
                  <a:noAutofit/>
                </a:bodyPr>
                <a:lstStyle/>
                <a:p>
                  <a:pPr indent="0" lvl="0" marL="0" rtl="0" algn="ctr">
                    <a:spcBef>
                      <a:spcPts val="0"/>
                    </a:spcBef>
                    <a:spcAft>
                      <a:spcPts val="0"/>
                    </a:spcAft>
                    <a:buNone/>
                  </a:pPr>
                  <a:r>
                    <a:rPr b="1" lang="en-US" sz="900">
                      <a:solidFill>
                        <a:srgbClr val="000000"/>
                      </a:solidFill>
                      <a:latin typeface="Calibri"/>
                      <a:ea typeface="Calibri"/>
                      <a:cs typeface="Calibri"/>
                      <a:sym typeface="Calibri"/>
                    </a:rPr>
                    <a:t>Pricing</a:t>
                  </a:r>
                  <a:endParaRPr sz="1400"/>
                </a:p>
              </xdr:txBody>
            </xdr:sp>
          </xdr:grpSp>
          <xdr:sp>
            <xdr:nvSpPr>
              <xdr:cNvPr id="362" name="Shape 362">
                <a:hlinkClick r:id="rId16"/>
              </xdr:cNvPr>
              <xdr:cNvSpPr/>
            </xdr:nvSpPr>
            <xdr:spPr>
              <a:xfrm>
                <a:off x="7658097" y="857251"/>
                <a:ext cx="3781428" cy="152399"/>
              </a:xfrm>
              <a:prstGeom prst="roundRect">
                <a:avLst>
                  <a:gd fmla="val 16667" name="adj"/>
                </a:avLst>
              </a:prstGeom>
              <a:solidFill>
                <a:schemeClr val="accent2"/>
              </a:solidFill>
              <a:ln>
                <a:noFill/>
              </a:ln>
            </xdr:spPr>
            <xdr:txBody>
              <a:bodyPr anchorCtr="0" anchor="ctr" bIns="0" lIns="0" spcFirstLastPara="1" rIns="0" wrap="square" tIns="0">
                <a:noAutofit/>
              </a:bodyPr>
              <a:lstStyle/>
              <a:p>
                <a:pPr indent="0" lvl="0" marL="0" rtl="0" algn="ctr">
                  <a:spcBef>
                    <a:spcPts val="0"/>
                  </a:spcBef>
                  <a:spcAft>
                    <a:spcPts val="0"/>
                  </a:spcAft>
                  <a:buNone/>
                </a:pPr>
                <a:r>
                  <a:rPr lang="en-US" sz="1050">
                    <a:solidFill>
                      <a:schemeClr val="lt1"/>
                    </a:solidFill>
                    <a:latin typeface="Calibri"/>
                    <a:ea typeface="Calibri"/>
                    <a:cs typeface="Calibri"/>
                    <a:sym typeface="Calibri"/>
                  </a:rPr>
                  <a:t>GuidedBusinessPlan.com</a:t>
                </a:r>
                <a:endParaRPr sz="1400"/>
              </a:p>
            </xdr:txBody>
          </xdr:sp>
        </xdr:grpSp>
      </xdr:grpSp>
    </xdr:grpSp>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3</xdr:row>
      <xdr:rowOff>171450</xdr:rowOff>
    </xdr:from>
    <xdr:ext cx="7848600" cy="3171825"/>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57150</xdr:colOff>
      <xdr:row>20</xdr:row>
      <xdr:rowOff>76200</xdr:rowOff>
    </xdr:from>
    <xdr:ext cx="4162425" cy="2428875"/>
    <xdr:graphicFrame>
      <xdr:nvGraphicFramePr>
        <xdr:cNvPr id="3" name="Chart 3"/>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4429125</xdr:colOff>
      <xdr:row>20</xdr:row>
      <xdr:rowOff>47625</xdr:rowOff>
    </xdr:from>
    <xdr:ext cx="3581400" cy="2524125"/>
    <xdr:graphicFrame>
      <xdr:nvGraphicFramePr>
        <xdr:cNvPr id="4" name="Chart 4"/>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114300</xdr:colOff>
      <xdr:row>2</xdr:row>
      <xdr:rowOff>28575</xdr:rowOff>
    </xdr:from>
    <xdr:ext cx="2762250" cy="609600"/>
    <xdr:sp>
      <xdr:nvSpPr>
        <xdr:cNvPr id="363" name="Shape 363"/>
        <xdr:cNvSpPr/>
      </xdr:nvSpPr>
      <xdr:spPr>
        <a:xfrm>
          <a:off x="3969638" y="3475470"/>
          <a:ext cx="27527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4000" cap="none">
              <a:solidFill>
                <a:srgbClr val="FFFFFF"/>
              </a:solidFill>
            </a:rPr>
            <a:t>Step 1</a:t>
          </a:r>
          <a:endParaRPr sz="1400"/>
        </a:p>
      </xdr:txBody>
    </xdr:sp>
    <xdr:clientData fLocksWithSheet="0"/>
  </xdr:oneCellAnchor>
  <xdr:oneCellAnchor>
    <xdr:from>
      <xdr:col>9</xdr:col>
      <xdr:colOff>95250</xdr:colOff>
      <xdr:row>25</xdr:row>
      <xdr:rowOff>161925</xdr:rowOff>
    </xdr:from>
    <xdr:ext cx="2762250" cy="609600"/>
    <xdr:sp>
      <xdr:nvSpPr>
        <xdr:cNvPr id="364" name="Shape 364"/>
        <xdr:cNvSpPr/>
      </xdr:nvSpPr>
      <xdr:spPr>
        <a:xfrm>
          <a:off x="3969638" y="3475470"/>
          <a:ext cx="2752725" cy="6090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0" lang="en-US" sz="4000" cap="none">
              <a:solidFill>
                <a:srgbClr val="FFFFFF"/>
              </a:solidFill>
            </a:rPr>
            <a:t>Step 2</a:t>
          </a:r>
          <a:endParaRPr sz="1400"/>
        </a:p>
      </xdr:txBody>
    </xdr:sp>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342900</xdr:colOff>
      <xdr:row>0</xdr:row>
      <xdr:rowOff>142875</xdr:rowOff>
    </xdr:from>
    <xdr:ext cx="1819275" cy="1352550"/>
    <xdr:sp>
      <xdr:nvSpPr>
        <xdr:cNvPr id="365" name="Shape 365"/>
        <xdr:cNvSpPr txBox="1"/>
      </xdr:nvSpPr>
      <xdr:spPr>
        <a:xfrm>
          <a:off x="4441125" y="3108488"/>
          <a:ext cx="1809750" cy="13430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4800">
              <a:solidFill>
                <a:schemeClr val="dk1"/>
              </a:solidFill>
              <a:latin typeface="Calibri"/>
              <a:ea typeface="Calibri"/>
              <a:cs typeface="Calibri"/>
              <a:sym typeface="Calibri"/>
            </a:rPr>
            <a:t>OLD</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365F91"/>
      </a:accent1>
      <a:accent2>
        <a:srgbClr val="C00000"/>
      </a:accent2>
      <a:accent3>
        <a:srgbClr val="7F7F7F"/>
      </a:accent3>
      <a:accent4>
        <a:srgbClr val="000000"/>
      </a:accent4>
      <a:accent5>
        <a:srgbClr val="3F3F3F"/>
      </a:accent5>
      <a:accent6>
        <a:srgbClr val="95B3D7"/>
      </a:accent6>
      <a:hlink>
        <a:srgbClr val="9D2B16"/>
      </a:hlink>
      <a:folHlink>
        <a:srgbClr val="9D2B1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8.75"/>
    <col customWidth="1" min="2" max="26" width="7.75"/>
  </cols>
  <sheetData>
    <row r="1">
      <c r="A1" s="4" t="s">
        <v>1</v>
      </c>
    </row>
    <row r="2">
      <c r="A2" s="6" t="s">
        <v>2</v>
      </c>
    </row>
    <row r="3">
      <c r="A3" s="16"/>
    </row>
    <row r="4">
      <c r="A4" s="22"/>
    </row>
    <row r="5">
      <c r="A5" s="24"/>
    </row>
    <row r="6">
      <c r="A6" s="22"/>
    </row>
    <row r="7">
      <c r="A7" s="22"/>
      <c r="C7" s="26" t="s">
        <v>8</v>
      </c>
    </row>
    <row r="8">
      <c r="A8" s="28" t="s">
        <v>9</v>
      </c>
    </row>
    <row r="9">
      <c r="A9" s="22"/>
      <c r="C9" s="31" t="s">
        <v>11</v>
      </c>
    </row>
    <row r="10">
      <c r="A10" s="33" t="s">
        <v>12</v>
      </c>
      <c r="B10" s="34"/>
      <c r="C10" s="36" t="s">
        <v>15</v>
      </c>
    </row>
    <row r="11">
      <c r="A11" s="22"/>
      <c r="C11" s="25" t="s">
        <v>16</v>
      </c>
    </row>
    <row r="12">
      <c r="A12" s="22" t="s">
        <v>17</v>
      </c>
      <c r="C12" s="36" t="s">
        <v>19</v>
      </c>
    </row>
    <row r="13">
      <c r="A13" s="22"/>
      <c r="C13" s="36"/>
      <c r="D13" s="36"/>
      <c r="E13" s="36"/>
      <c r="F13" s="36"/>
      <c r="G13" s="36"/>
      <c r="H13" s="36"/>
      <c r="I13" s="36"/>
    </row>
    <row r="14">
      <c r="A14" s="22"/>
      <c r="C14" s="25" t="s">
        <v>21</v>
      </c>
    </row>
    <row r="15">
      <c r="A15" s="22" t="s">
        <v>22</v>
      </c>
      <c r="C15" s="34" t="s">
        <v>23</v>
      </c>
    </row>
    <row r="16">
      <c r="A16" s="22"/>
    </row>
    <row r="17">
      <c r="A17" s="22"/>
      <c r="C17" s="25" t="s">
        <v>24</v>
      </c>
    </row>
    <row r="18">
      <c r="A18" s="22" t="s">
        <v>25</v>
      </c>
      <c r="C18" s="42" t="s">
        <v>26</v>
      </c>
    </row>
    <row r="19">
      <c r="A19" s="22" t="s">
        <v>27</v>
      </c>
    </row>
    <row r="20">
      <c r="A20" s="22"/>
    </row>
    <row r="21" ht="174.0" customHeight="1">
      <c r="A21" s="48" t="s">
        <v>28</v>
      </c>
    </row>
    <row r="22" ht="15.75" customHeight="1">
      <c r="A22" s="50" t="s">
        <v>33</v>
      </c>
    </row>
    <row r="23" ht="15.75" customHeight="1">
      <c r="A23" s="52" t="s">
        <v>34</v>
      </c>
    </row>
    <row r="24" ht="15.75" customHeight="1">
      <c r="A24" s="16"/>
    </row>
    <row r="25" ht="15.75" customHeight="1">
      <c r="A25" s="16"/>
    </row>
    <row r="26" ht="15.75" customHeight="1">
      <c r="A26" s="16"/>
    </row>
    <row r="27" ht="15.75" customHeight="1">
      <c r="A27" s="16"/>
    </row>
    <row r="28" ht="15.75" customHeight="1">
      <c r="A28" s="16"/>
    </row>
    <row r="29" ht="15.75" customHeight="1">
      <c r="A29" s="16"/>
    </row>
    <row r="30" ht="15.75" customHeight="1">
      <c r="A30" s="16"/>
    </row>
    <row r="31" ht="15.75" customHeight="1">
      <c r="A31" s="16"/>
    </row>
    <row r="32" ht="15.75" customHeight="1">
      <c r="A32" s="16"/>
    </row>
    <row r="33" ht="15.75" customHeight="1">
      <c r="A33" s="16"/>
    </row>
    <row r="34" ht="15.75" customHeight="1">
      <c r="A34" s="16"/>
    </row>
    <row r="35" ht="15.75" customHeight="1">
      <c r="A35" s="16"/>
    </row>
    <row r="36" ht="15.75" customHeight="1">
      <c r="A36" s="16"/>
    </row>
    <row r="37" ht="15.75" customHeight="1">
      <c r="A37" s="16"/>
    </row>
    <row r="38" ht="15.75" customHeight="1">
      <c r="A38" s="16"/>
    </row>
    <row r="39" ht="15.75" customHeight="1">
      <c r="A39" s="16"/>
    </row>
    <row r="40" ht="15.75" customHeight="1">
      <c r="A40" s="16"/>
    </row>
    <row r="41" ht="15.75" customHeight="1">
      <c r="A41" s="16"/>
    </row>
    <row r="42" ht="15.75" customHeight="1">
      <c r="A42" s="16"/>
    </row>
    <row r="43" ht="15.75" customHeight="1">
      <c r="A43" s="16"/>
    </row>
    <row r="44" ht="15.75" customHeight="1">
      <c r="A44" s="16"/>
    </row>
    <row r="45" ht="15.75" customHeight="1">
      <c r="A45" s="16"/>
    </row>
    <row r="46" ht="15.75" customHeight="1">
      <c r="A46" s="16"/>
    </row>
    <row r="47" ht="15.75" customHeight="1">
      <c r="A47" s="16"/>
    </row>
    <row r="48" ht="15.75" customHeight="1">
      <c r="A48" s="16"/>
    </row>
    <row r="49" ht="15.75" customHeight="1">
      <c r="A49" s="16"/>
    </row>
    <row r="50" ht="15.75" customHeight="1">
      <c r="A50" s="16"/>
    </row>
    <row r="51" ht="15.75" customHeight="1">
      <c r="A51" s="16"/>
    </row>
    <row r="52" ht="15.75" customHeight="1">
      <c r="A52" s="16"/>
    </row>
    <row r="53" ht="15.75" customHeight="1">
      <c r="A53" s="16"/>
    </row>
    <row r="54" ht="15.75" customHeight="1">
      <c r="A54" s="16"/>
    </row>
    <row r="55" ht="15.75" customHeight="1">
      <c r="A55" s="16"/>
    </row>
    <row r="56" ht="15.75" customHeight="1">
      <c r="A56" s="16"/>
    </row>
    <row r="57" ht="15.75" customHeight="1">
      <c r="A57" s="16"/>
    </row>
    <row r="58" ht="15.75" customHeight="1">
      <c r="A58" s="16"/>
    </row>
    <row r="59" ht="15.75" customHeight="1">
      <c r="A59" s="16"/>
    </row>
    <row r="60" ht="15.75" customHeight="1">
      <c r="A60" s="16"/>
    </row>
    <row r="61" ht="15.75" customHeight="1">
      <c r="A61" s="16"/>
    </row>
    <row r="62" ht="15.75" customHeight="1">
      <c r="A62" s="16"/>
    </row>
    <row r="63" ht="15.75" customHeight="1">
      <c r="A63" s="16"/>
    </row>
    <row r="64" ht="15.75" customHeight="1">
      <c r="A64" s="16"/>
    </row>
    <row r="65" ht="15.75" customHeight="1">
      <c r="A65" s="16"/>
    </row>
    <row r="66" ht="15.75" customHeight="1">
      <c r="A66" s="16"/>
    </row>
    <row r="67" ht="15.75" customHeight="1">
      <c r="A67" s="16"/>
    </row>
    <row r="68" ht="15.75" customHeight="1">
      <c r="A68" s="16"/>
    </row>
    <row r="69" ht="15.75" customHeight="1">
      <c r="A69" s="16"/>
    </row>
    <row r="70" ht="15.75" customHeight="1">
      <c r="A70" s="16"/>
    </row>
    <row r="71" ht="15.75" customHeight="1">
      <c r="A71" s="16"/>
    </row>
    <row r="72" ht="15.75" customHeight="1">
      <c r="A72" s="16"/>
    </row>
    <row r="73" ht="15.75" customHeight="1">
      <c r="A73" s="16"/>
    </row>
    <row r="74" ht="15.75" customHeight="1">
      <c r="A74" s="16"/>
    </row>
    <row r="75" ht="15.75" customHeight="1">
      <c r="A75" s="16"/>
    </row>
    <row r="76" ht="15.75" customHeight="1">
      <c r="A76" s="16"/>
    </row>
    <row r="77" ht="15.75" customHeight="1">
      <c r="A77" s="16"/>
    </row>
    <row r="78" ht="15.75" customHeight="1">
      <c r="A78" s="16"/>
    </row>
    <row r="79" ht="15.75" customHeight="1">
      <c r="A79" s="16"/>
    </row>
    <row r="80" ht="15.75" customHeight="1">
      <c r="A80" s="16"/>
    </row>
    <row r="81" ht="15.75" customHeight="1">
      <c r="A81" s="16"/>
    </row>
    <row r="82" ht="15.75" customHeight="1">
      <c r="A82" s="16"/>
    </row>
    <row r="83" ht="15.75" customHeight="1">
      <c r="A83" s="16"/>
    </row>
    <row r="84" ht="15.75" customHeight="1">
      <c r="A84" s="16"/>
    </row>
    <row r="85" ht="15.75" customHeight="1">
      <c r="A85" s="16"/>
    </row>
    <row r="86" ht="15.75" customHeight="1">
      <c r="A86" s="16"/>
    </row>
    <row r="87" ht="15.75" customHeight="1">
      <c r="A87" s="16"/>
    </row>
    <row r="88" ht="15.75" customHeight="1">
      <c r="A88" s="16"/>
    </row>
    <row r="89" ht="15.75" customHeight="1">
      <c r="A89" s="16"/>
    </row>
    <row r="90" ht="15.75" customHeight="1">
      <c r="A90" s="16"/>
    </row>
    <row r="91" ht="15.75" customHeight="1">
      <c r="A91" s="16"/>
    </row>
    <row r="92" ht="15.75" customHeight="1">
      <c r="A92" s="16"/>
    </row>
    <row r="93" ht="15.75" customHeight="1">
      <c r="A93" s="16"/>
    </row>
    <row r="94" ht="15.75" customHeight="1">
      <c r="A94" s="16"/>
    </row>
    <row r="95" ht="15.75" customHeight="1">
      <c r="A95" s="16"/>
    </row>
    <row r="96" ht="15.75" customHeight="1">
      <c r="A96" s="16"/>
    </row>
    <row r="97" ht="15.75" customHeight="1">
      <c r="A97" s="16"/>
    </row>
    <row r="98" ht="15.75" customHeight="1">
      <c r="A98" s="16"/>
    </row>
    <row r="99" ht="15.75" customHeight="1">
      <c r="A99" s="16"/>
    </row>
    <row r="100" ht="15.75" customHeight="1">
      <c r="A100" s="16"/>
    </row>
    <row r="101" ht="15.75" customHeight="1">
      <c r="A101" s="16"/>
    </row>
    <row r="102" ht="15.75" customHeight="1">
      <c r="A102" s="16"/>
    </row>
    <row r="103" ht="15.75" customHeight="1">
      <c r="A103" s="16"/>
    </row>
    <row r="104" ht="15.75" customHeight="1">
      <c r="A104" s="16"/>
    </row>
    <row r="105" ht="15.75" customHeight="1">
      <c r="A105" s="16"/>
    </row>
    <row r="106" ht="15.75" customHeight="1">
      <c r="A106" s="16"/>
    </row>
    <row r="107" ht="15.75" customHeight="1">
      <c r="A107" s="16"/>
    </row>
    <row r="108" ht="15.75" customHeight="1">
      <c r="A108" s="16"/>
    </row>
    <row r="109" ht="15.75" customHeight="1">
      <c r="A109" s="16"/>
    </row>
    <row r="110" ht="15.75" customHeight="1">
      <c r="A110" s="16"/>
    </row>
    <row r="111" ht="15.75" customHeight="1">
      <c r="A111" s="16"/>
    </row>
    <row r="112" ht="15.75" customHeight="1">
      <c r="A112" s="16"/>
    </row>
    <row r="113" ht="15.75" customHeight="1">
      <c r="A113" s="16"/>
    </row>
    <row r="114" ht="15.75" customHeight="1">
      <c r="A114" s="16"/>
    </row>
    <row r="115" ht="15.75" customHeight="1">
      <c r="A115" s="16"/>
    </row>
    <row r="116" ht="15.75" customHeight="1">
      <c r="A116" s="16"/>
    </row>
    <row r="117" ht="15.75" customHeight="1">
      <c r="A117" s="16"/>
    </row>
    <row r="118" ht="15.75" customHeight="1">
      <c r="A118" s="16"/>
    </row>
    <row r="119" ht="15.75" customHeight="1">
      <c r="A119" s="16"/>
    </row>
    <row r="120" ht="15.75" customHeight="1">
      <c r="A120" s="16"/>
    </row>
    <row r="121" ht="15.75" customHeight="1">
      <c r="A121" s="16"/>
    </row>
    <row r="122" ht="15.75" customHeight="1">
      <c r="A122" s="16"/>
    </row>
    <row r="123" ht="15.75" customHeight="1">
      <c r="A123" s="16"/>
    </row>
    <row r="124" ht="15.75" customHeight="1">
      <c r="A124" s="16"/>
    </row>
    <row r="125" ht="15.75" customHeight="1">
      <c r="A125" s="16"/>
    </row>
    <row r="126" ht="15.75" customHeight="1">
      <c r="A126" s="16"/>
    </row>
    <row r="127" ht="15.75" customHeight="1">
      <c r="A127" s="16"/>
    </row>
    <row r="128" ht="15.75" customHeight="1">
      <c r="A128" s="16"/>
    </row>
    <row r="129" ht="15.75" customHeight="1">
      <c r="A129" s="16"/>
    </row>
    <row r="130" ht="15.75" customHeight="1">
      <c r="A130" s="16"/>
    </row>
    <row r="131" ht="15.75" customHeight="1">
      <c r="A131" s="16"/>
    </row>
    <row r="132" ht="15.75" customHeight="1">
      <c r="A132" s="16"/>
    </row>
    <row r="133" ht="15.75" customHeight="1">
      <c r="A133" s="16"/>
    </row>
    <row r="134" ht="15.75" customHeight="1">
      <c r="A134" s="16"/>
    </row>
    <row r="135" ht="15.75" customHeight="1">
      <c r="A135" s="16"/>
    </row>
    <row r="136" ht="15.75" customHeight="1">
      <c r="A136" s="16"/>
    </row>
    <row r="137" ht="15.75" customHeight="1">
      <c r="A137" s="16"/>
    </row>
    <row r="138" ht="15.75" customHeight="1">
      <c r="A138" s="16"/>
    </row>
    <row r="139" ht="15.75" customHeight="1">
      <c r="A139" s="16"/>
    </row>
    <row r="140" ht="15.75" customHeight="1">
      <c r="A140" s="16"/>
    </row>
    <row r="141" ht="15.75" customHeight="1">
      <c r="A141" s="16"/>
    </row>
    <row r="142" ht="15.75" customHeight="1">
      <c r="A142" s="16"/>
    </row>
    <row r="143" ht="15.75" customHeight="1">
      <c r="A143" s="16"/>
    </row>
    <row r="144" ht="15.75" customHeight="1">
      <c r="A144" s="16"/>
    </row>
    <row r="145" ht="15.75" customHeight="1">
      <c r="A145" s="16"/>
    </row>
    <row r="146" ht="15.75" customHeight="1">
      <c r="A146" s="16"/>
    </row>
    <row r="147" ht="15.75" customHeight="1">
      <c r="A147" s="16"/>
    </row>
    <row r="148" ht="15.75" customHeight="1">
      <c r="A148" s="16"/>
    </row>
    <row r="149" ht="15.75" customHeight="1">
      <c r="A149" s="16"/>
    </row>
    <row r="150" ht="15.75" customHeight="1">
      <c r="A150" s="16"/>
    </row>
    <row r="151" ht="15.75" customHeight="1">
      <c r="A151" s="16"/>
    </row>
    <row r="152" ht="15.75" customHeight="1">
      <c r="A152" s="16"/>
    </row>
    <row r="153" ht="15.75" customHeight="1">
      <c r="A153" s="16"/>
    </row>
    <row r="154" ht="15.75" customHeight="1">
      <c r="A154" s="16"/>
    </row>
    <row r="155" ht="15.75" customHeight="1">
      <c r="A155" s="16"/>
    </row>
    <row r="156" ht="15.75" customHeight="1">
      <c r="A156" s="16"/>
    </row>
    <row r="157" ht="15.75" customHeight="1">
      <c r="A157" s="16"/>
    </row>
    <row r="158" ht="15.75" customHeight="1">
      <c r="A158" s="16"/>
    </row>
    <row r="159" ht="15.75" customHeight="1">
      <c r="A159" s="16"/>
    </row>
    <row r="160" ht="15.75" customHeight="1">
      <c r="A160" s="16"/>
    </row>
    <row r="161" ht="15.75" customHeight="1">
      <c r="A161" s="16"/>
    </row>
    <row r="162" ht="15.75" customHeight="1">
      <c r="A162" s="16"/>
    </row>
    <row r="163" ht="15.75" customHeight="1">
      <c r="A163" s="16"/>
    </row>
    <row r="164" ht="15.75" customHeight="1">
      <c r="A164" s="16"/>
    </row>
    <row r="165" ht="15.75" customHeight="1">
      <c r="A165" s="16"/>
    </row>
    <row r="166" ht="15.75" customHeight="1">
      <c r="A166" s="16"/>
    </row>
    <row r="167" ht="15.75" customHeight="1">
      <c r="A167" s="16"/>
    </row>
    <row r="168" ht="15.75" customHeight="1">
      <c r="A168" s="16"/>
    </row>
    <row r="169" ht="15.75" customHeight="1">
      <c r="A169" s="16"/>
    </row>
    <row r="170" ht="15.75" customHeight="1">
      <c r="A170" s="16"/>
    </row>
    <row r="171" ht="15.75" customHeight="1">
      <c r="A171" s="16"/>
    </row>
    <row r="172" ht="15.75" customHeight="1">
      <c r="A172" s="16"/>
    </row>
    <row r="173" ht="15.75" customHeight="1">
      <c r="A173" s="16"/>
    </row>
    <row r="174" ht="15.75" customHeight="1">
      <c r="A174" s="16"/>
    </row>
    <row r="175" ht="15.75" customHeight="1">
      <c r="A175" s="16"/>
    </row>
    <row r="176" ht="15.75" customHeight="1">
      <c r="A176" s="16"/>
    </row>
    <row r="177" ht="15.75" customHeight="1">
      <c r="A177" s="16"/>
    </row>
    <row r="178" ht="15.75" customHeight="1">
      <c r="A178" s="16"/>
    </row>
    <row r="179" ht="15.75" customHeight="1">
      <c r="A179" s="16"/>
    </row>
    <row r="180" ht="15.75" customHeight="1">
      <c r="A180" s="16"/>
    </row>
    <row r="181" ht="15.75" customHeight="1">
      <c r="A181" s="16"/>
    </row>
    <row r="182" ht="15.75" customHeight="1">
      <c r="A182" s="16"/>
    </row>
    <row r="183" ht="15.75" customHeight="1">
      <c r="A183" s="16"/>
    </row>
    <row r="184" ht="15.75" customHeight="1">
      <c r="A184" s="16"/>
    </row>
    <row r="185" ht="15.75" customHeight="1">
      <c r="A185" s="16"/>
    </row>
    <row r="186" ht="15.75" customHeight="1">
      <c r="A186" s="16"/>
    </row>
    <row r="187" ht="15.75" customHeight="1">
      <c r="A187" s="16"/>
    </row>
    <row r="188" ht="15.75" customHeight="1">
      <c r="A188" s="16"/>
    </row>
    <row r="189" ht="15.75" customHeight="1">
      <c r="A189" s="16"/>
    </row>
    <row r="190" ht="15.75" customHeight="1">
      <c r="A190" s="16"/>
    </row>
    <row r="191" ht="15.75" customHeight="1">
      <c r="A191" s="16"/>
    </row>
    <row r="192" ht="15.75" customHeight="1">
      <c r="A192" s="16"/>
    </row>
    <row r="193" ht="15.75" customHeight="1">
      <c r="A193" s="16"/>
    </row>
    <row r="194" ht="15.75" customHeight="1">
      <c r="A194" s="16"/>
    </row>
    <row r="195" ht="15.75" customHeight="1">
      <c r="A195" s="16"/>
    </row>
    <row r="196" ht="15.75" customHeight="1">
      <c r="A196" s="16"/>
    </row>
    <row r="197" ht="15.75" customHeight="1">
      <c r="A197" s="16"/>
    </row>
    <row r="198" ht="15.75" customHeight="1">
      <c r="A198" s="16"/>
    </row>
    <row r="199" ht="15.75" customHeight="1">
      <c r="A199" s="16"/>
    </row>
    <row r="200" ht="15.75" customHeight="1">
      <c r="A200" s="16"/>
    </row>
    <row r="201" ht="15.75" customHeight="1">
      <c r="A201" s="16"/>
    </row>
    <row r="202" ht="15.75" customHeight="1">
      <c r="A202" s="16"/>
    </row>
    <row r="203" ht="15.75" customHeight="1">
      <c r="A203" s="16"/>
    </row>
    <row r="204" ht="15.75" customHeight="1">
      <c r="A204" s="16"/>
    </row>
    <row r="205" ht="15.75" customHeight="1">
      <c r="A205" s="16"/>
    </row>
    <row r="206" ht="15.75" customHeight="1">
      <c r="A206" s="16"/>
    </row>
    <row r="207" ht="15.75" customHeight="1">
      <c r="A207" s="16"/>
    </row>
    <row r="208" ht="15.75" customHeight="1">
      <c r="A208" s="16"/>
    </row>
    <row r="209" ht="15.75" customHeight="1">
      <c r="A209" s="16"/>
    </row>
    <row r="210" ht="15.75" customHeight="1">
      <c r="A210" s="16"/>
    </row>
    <row r="211" ht="15.75" customHeight="1">
      <c r="A211" s="16"/>
    </row>
    <row r="212" ht="15.75" customHeight="1">
      <c r="A212" s="16"/>
    </row>
    <row r="213" ht="15.75" customHeight="1">
      <c r="A213" s="16"/>
    </row>
    <row r="214" ht="15.75" customHeight="1">
      <c r="A214" s="16"/>
    </row>
    <row r="215" ht="15.75" customHeight="1">
      <c r="A215" s="16"/>
    </row>
    <row r="216" ht="15.75" customHeight="1">
      <c r="A216" s="16"/>
    </row>
    <row r="217" ht="15.75" customHeight="1">
      <c r="A217" s="16"/>
    </row>
    <row r="218" ht="15.75" customHeight="1">
      <c r="A218" s="16"/>
    </row>
    <row r="219" ht="15.75" customHeight="1">
      <c r="A219" s="16"/>
    </row>
    <row r="220" ht="15.75" customHeight="1">
      <c r="A220" s="16"/>
    </row>
    <row r="221" ht="15.75" customHeight="1">
      <c r="A221" s="16"/>
    </row>
    <row r="222" ht="15.75" customHeight="1">
      <c r="A222" s="16"/>
    </row>
    <row r="223" ht="15.75" customHeight="1">
      <c r="A223" s="16"/>
    </row>
    <row r="224" ht="15.75" customHeight="1">
      <c r="A224" s="16"/>
    </row>
    <row r="225" ht="15.75" customHeight="1">
      <c r="A225" s="16"/>
    </row>
    <row r="226" ht="15.75" customHeight="1">
      <c r="A226" s="16"/>
    </row>
    <row r="227" ht="15.75" customHeight="1">
      <c r="A227" s="16"/>
    </row>
    <row r="228" ht="15.75" customHeight="1">
      <c r="A228" s="16"/>
    </row>
    <row r="229" ht="15.75" customHeight="1">
      <c r="A229" s="16"/>
    </row>
    <row r="230" ht="15.75" customHeight="1">
      <c r="A230" s="16"/>
    </row>
    <row r="231" ht="15.75" customHeight="1">
      <c r="A231" s="16"/>
    </row>
    <row r="232" ht="15.75" customHeight="1">
      <c r="A232" s="16"/>
    </row>
    <row r="233" ht="15.75" customHeight="1">
      <c r="A233" s="16"/>
    </row>
    <row r="234" ht="15.75" customHeight="1">
      <c r="A234" s="16"/>
    </row>
    <row r="235" ht="15.75" customHeight="1">
      <c r="A235" s="16"/>
    </row>
    <row r="236" ht="15.75" customHeight="1">
      <c r="A236" s="16"/>
    </row>
    <row r="237" ht="15.75" customHeight="1">
      <c r="A237" s="16"/>
    </row>
    <row r="238" ht="15.75" customHeight="1">
      <c r="A238" s="16"/>
    </row>
    <row r="239" ht="15.75" customHeight="1">
      <c r="A239" s="16"/>
    </row>
    <row r="240" ht="15.75" customHeight="1">
      <c r="A240" s="16"/>
    </row>
    <row r="241" ht="15.75" customHeight="1">
      <c r="A241" s="16"/>
    </row>
    <row r="242" ht="15.75" customHeight="1">
      <c r="A242" s="16"/>
    </row>
    <row r="243" ht="15.75" customHeight="1">
      <c r="A243" s="16"/>
    </row>
    <row r="244" ht="15.75" customHeight="1">
      <c r="A244" s="16"/>
    </row>
    <row r="245" ht="15.75" customHeight="1">
      <c r="A245" s="16"/>
    </row>
    <row r="246" ht="15.75" customHeight="1">
      <c r="A246" s="16"/>
    </row>
    <row r="247" ht="15.75" customHeight="1">
      <c r="A247" s="16"/>
    </row>
    <row r="248" ht="15.75" customHeight="1">
      <c r="A248" s="16"/>
    </row>
    <row r="249" ht="15.75" customHeight="1">
      <c r="A249" s="16"/>
    </row>
    <row r="250" ht="15.75" customHeight="1">
      <c r="A250" s="16"/>
    </row>
    <row r="251" ht="15.75" customHeight="1">
      <c r="A251" s="16"/>
    </row>
    <row r="252" ht="15.75" customHeight="1">
      <c r="A252" s="16"/>
    </row>
    <row r="253" ht="15.75" customHeight="1">
      <c r="A253" s="16"/>
    </row>
    <row r="254" ht="15.75" customHeight="1">
      <c r="A254" s="16"/>
    </row>
    <row r="255" ht="15.75" customHeight="1">
      <c r="A255" s="16"/>
    </row>
    <row r="256" ht="15.75" customHeight="1">
      <c r="A256" s="16"/>
    </row>
    <row r="257" ht="15.75" customHeight="1">
      <c r="A257" s="16"/>
    </row>
    <row r="258" ht="15.75" customHeight="1">
      <c r="A258" s="16"/>
    </row>
    <row r="259" ht="15.75" customHeight="1">
      <c r="A259" s="16"/>
    </row>
    <row r="260" ht="15.75" customHeight="1">
      <c r="A260" s="16"/>
    </row>
    <row r="261" ht="15.75" customHeight="1">
      <c r="A261" s="16"/>
    </row>
    <row r="262" ht="15.75" customHeight="1">
      <c r="A262" s="16"/>
    </row>
    <row r="263" ht="15.75" customHeight="1">
      <c r="A263" s="16"/>
    </row>
    <row r="264" ht="15.75" customHeight="1">
      <c r="A264" s="16"/>
    </row>
    <row r="265" ht="15.75" customHeight="1">
      <c r="A265" s="16"/>
    </row>
    <row r="266" ht="15.75" customHeight="1">
      <c r="A266" s="16"/>
    </row>
    <row r="267" ht="15.75" customHeight="1">
      <c r="A267" s="16"/>
    </row>
    <row r="268" ht="15.75" customHeight="1">
      <c r="A268" s="16"/>
    </row>
    <row r="269" ht="15.75" customHeight="1">
      <c r="A269" s="16"/>
    </row>
    <row r="270" ht="15.75" customHeight="1">
      <c r="A270" s="16"/>
    </row>
    <row r="271" ht="15.75" customHeight="1">
      <c r="A271" s="16"/>
    </row>
    <row r="272" ht="15.75" customHeight="1">
      <c r="A272" s="16"/>
    </row>
    <row r="273" ht="15.75" customHeight="1">
      <c r="A273" s="16"/>
    </row>
    <row r="274" ht="15.75" customHeight="1">
      <c r="A274" s="16"/>
    </row>
    <row r="275" ht="15.75" customHeight="1">
      <c r="A275" s="16"/>
    </row>
    <row r="276" ht="15.75" customHeight="1">
      <c r="A276" s="16"/>
    </row>
    <row r="277" ht="15.75" customHeight="1">
      <c r="A277" s="16"/>
    </row>
    <row r="278" ht="15.75" customHeight="1">
      <c r="A278" s="16"/>
    </row>
    <row r="279" ht="15.75" customHeight="1">
      <c r="A279" s="16"/>
    </row>
    <row r="280" ht="15.75" customHeight="1">
      <c r="A280" s="16"/>
    </row>
    <row r="281" ht="15.75" customHeight="1">
      <c r="A281" s="16"/>
    </row>
    <row r="282" ht="15.75" customHeight="1">
      <c r="A282" s="16"/>
    </row>
    <row r="283" ht="15.75" customHeight="1">
      <c r="A283" s="16"/>
    </row>
    <row r="284" ht="15.75" customHeight="1">
      <c r="A284" s="16"/>
    </row>
    <row r="285" ht="15.75" customHeight="1">
      <c r="A285" s="16"/>
    </row>
    <row r="286" ht="15.75" customHeight="1">
      <c r="A286" s="16"/>
    </row>
    <row r="287" ht="15.75" customHeight="1">
      <c r="A287" s="16"/>
    </row>
    <row r="288" ht="15.75" customHeight="1">
      <c r="A288" s="16"/>
    </row>
    <row r="289" ht="15.75" customHeight="1">
      <c r="A289" s="16"/>
    </row>
    <row r="290" ht="15.75" customHeight="1">
      <c r="A290" s="16"/>
    </row>
    <row r="291" ht="15.75" customHeight="1">
      <c r="A291" s="16"/>
    </row>
    <row r="292" ht="15.75" customHeight="1">
      <c r="A292" s="16"/>
    </row>
    <row r="293" ht="15.75" customHeight="1">
      <c r="A293" s="16"/>
    </row>
    <row r="294" ht="15.75" customHeight="1">
      <c r="A294" s="16"/>
    </row>
    <row r="295" ht="15.75" customHeight="1">
      <c r="A295" s="16"/>
    </row>
    <row r="296" ht="15.75" customHeight="1">
      <c r="A296" s="16"/>
    </row>
    <row r="297" ht="15.75" customHeight="1">
      <c r="A297" s="16"/>
    </row>
    <row r="298" ht="15.75" customHeight="1">
      <c r="A298" s="16"/>
    </row>
    <row r="299" ht="15.75" customHeight="1">
      <c r="A299" s="16"/>
    </row>
    <row r="300" ht="15.75" customHeight="1">
      <c r="A300" s="16"/>
    </row>
    <row r="301" ht="15.75" customHeight="1">
      <c r="A301" s="16"/>
    </row>
    <row r="302" ht="15.75" customHeight="1">
      <c r="A302" s="16"/>
    </row>
    <row r="303" ht="15.75" customHeight="1">
      <c r="A303" s="16"/>
    </row>
    <row r="304" ht="15.75" customHeight="1">
      <c r="A304" s="16"/>
    </row>
    <row r="305" ht="15.75" customHeight="1">
      <c r="A305" s="16"/>
    </row>
    <row r="306" ht="15.75" customHeight="1">
      <c r="A306" s="16"/>
    </row>
    <row r="307" ht="15.75" customHeight="1">
      <c r="A307" s="16"/>
    </row>
    <row r="308" ht="15.75" customHeight="1">
      <c r="A308" s="16"/>
    </row>
    <row r="309" ht="15.75" customHeight="1">
      <c r="A309" s="16"/>
    </row>
    <row r="310" ht="15.75" customHeight="1">
      <c r="A310" s="16"/>
    </row>
    <row r="311" ht="15.75" customHeight="1">
      <c r="A311" s="16"/>
    </row>
    <row r="312" ht="15.75" customHeight="1">
      <c r="A312" s="16"/>
    </row>
    <row r="313" ht="15.75" customHeight="1">
      <c r="A313" s="16"/>
    </row>
    <row r="314" ht="15.75" customHeight="1">
      <c r="A314" s="16"/>
    </row>
    <row r="315" ht="15.75" customHeight="1">
      <c r="A315" s="16"/>
    </row>
    <row r="316" ht="15.75" customHeight="1">
      <c r="A316" s="16"/>
    </row>
    <row r="317" ht="15.75" customHeight="1">
      <c r="A317" s="16"/>
    </row>
    <row r="318" ht="15.75" customHeight="1">
      <c r="A318" s="16"/>
    </row>
    <row r="319" ht="15.75" customHeight="1">
      <c r="A319" s="16"/>
    </row>
    <row r="320" ht="15.75" customHeight="1">
      <c r="A320" s="16"/>
    </row>
    <row r="321" ht="15.75" customHeight="1">
      <c r="A321" s="16"/>
    </row>
    <row r="322" ht="15.75" customHeight="1">
      <c r="A322" s="16"/>
    </row>
    <row r="323" ht="15.75" customHeight="1">
      <c r="A323" s="16"/>
    </row>
    <row r="324" ht="15.75" customHeight="1">
      <c r="A324" s="16"/>
    </row>
    <row r="325" ht="15.75" customHeight="1">
      <c r="A325" s="16"/>
    </row>
    <row r="326" ht="15.75" customHeight="1">
      <c r="A326" s="16"/>
    </row>
    <row r="327" ht="15.75" customHeight="1">
      <c r="A327" s="16"/>
    </row>
    <row r="328" ht="15.75" customHeight="1">
      <c r="A328" s="16"/>
    </row>
    <row r="329" ht="15.75" customHeight="1">
      <c r="A329" s="16"/>
    </row>
    <row r="330" ht="15.75" customHeight="1">
      <c r="A330" s="16"/>
    </row>
    <row r="331" ht="15.75" customHeight="1">
      <c r="A331" s="16"/>
    </row>
    <row r="332" ht="15.75" customHeight="1">
      <c r="A332" s="16"/>
    </row>
    <row r="333" ht="15.75" customHeight="1">
      <c r="A333" s="16"/>
    </row>
    <row r="334" ht="15.75" customHeight="1">
      <c r="A334" s="16"/>
    </row>
    <row r="335" ht="15.75" customHeight="1">
      <c r="A335" s="16"/>
    </row>
    <row r="336" ht="15.75" customHeight="1">
      <c r="A336" s="16"/>
    </row>
    <row r="337" ht="15.75" customHeight="1">
      <c r="A337" s="16"/>
    </row>
    <row r="338" ht="15.75" customHeight="1">
      <c r="A338" s="16"/>
    </row>
    <row r="339" ht="15.75" customHeight="1">
      <c r="A339" s="16"/>
    </row>
    <row r="340" ht="15.75" customHeight="1">
      <c r="A340" s="16"/>
    </row>
    <row r="341" ht="15.75" customHeight="1">
      <c r="A341" s="16"/>
    </row>
    <row r="342" ht="15.75" customHeight="1">
      <c r="A342" s="16"/>
    </row>
    <row r="343" ht="15.75" customHeight="1">
      <c r="A343" s="16"/>
    </row>
    <row r="344" ht="15.75" customHeight="1">
      <c r="A344" s="16"/>
    </row>
    <row r="345" ht="15.75" customHeight="1">
      <c r="A345" s="16"/>
    </row>
    <row r="346" ht="15.75" customHeight="1">
      <c r="A346" s="16"/>
    </row>
    <row r="347" ht="15.75" customHeight="1">
      <c r="A347" s="16"/>
    </row>
    <row r="348" ht="15.75" customHeight="1">
      <c r="A348" s="16"/>
    </row>
    <row r="349" ht="15.75" customHeight="1">
      <c r="A349" s="16"/>
    </row>
    <row r="350" ht="15.75" customHeight="1">
      <c r="A350" s="16"/>
    </row>
    <row r="351" ht="15.75" customHeight="1">
      <c r="A351" s="16"/>
    </row>
    <row r="352" ht="15.75" customHeight="1">
      <c r="A352" s="16"/>
    </row>
    <row r="353" ht="15.75" customHeight="1">
      <c r="A353" s="16"/>
    </row>
    <row r="354" ht="15.75" customHeight="1">
      <c r="A354" s="16"/>
    </row>
    <row r="355" ht="15.75" customHeight="1">
      <c r="A355" s="16"/>
    </row>
    <row r="356" ht="15.75" customHeight="1">
      <c r="A356" s="16"/>
    </row>
    <row r="357" ht="15.75" customHeight="1">
      <c r="A357" s="16"/>
    </row>
    <row r="358" ht="15.75" customHeight="1">
      <c r="A358" s="16"/>
    </row>
    <row r="359" ht="15.75" customHeight="1">
      <c r="A359" s="16"/>
    </row>
    <row r="360" ht="15.75" customHeight="1">
      <c r="A360" s="16"/>
    </row>
    <row r="361" ht="15.75" customHeight="1">
      <c r="A361" s="16"/>
    </row>
    <row r="362" ht="15.75" customHeight="1">
      <c r="A362" s="16"/>
    </row>
    <row r="363" ht="15.75" customHeight="1">
      <c r="A363" s="16"/>
    </row>
    <row r="364" ht="15.75" customHeight="1">
      <c r="A364" s="16"/>
    </row>
    <row r="365" ht="15.75" customHeight="1">
      <c r="A365" s="16"/>
    </row>
    <row r="366" ht="15.75" customHeight="1">
      <c r="A366" s="16"/>
    </row>
    <row r="367" ht="15.75" customHeight="1">
      <c r="A367" s="16"/>
    </row>
    <row r="368" ht="15.75" customHeight="1">
      <c r="A368" s="16"/>
    </row>
    <row r="369" ht="15.75" customHeight="1">
      <c r="A369" s="16"/>
    </row>
    <row r="370" ht="15.75" customHeight="1">
      <c r="A370" s="16"/>
    </row>
    <row r="371" ht="15.75" customHeight="1">
      <c r="A371" s="16"/>
    </row>
    <row r="372" ht="15.75" customHeight="1">
      <c r="A372" s="16"/>
    </row>
    <row r="373" ht="15.75" customHeight="1">
      <c r="A373" s="16"/>
    </row>
    <row r="374" ht="15.75" customHeight="1">
      <c r="A374" s="16"/>
    </row>
    <row r="375" ht="15.75" customHeight="1">
      <c r="A375" s="16"/>
    </row>
    <row r="376" ht="15.75" customHeight="1">
      <c r="A376" s="16"/>
    </row>
    <row r="377" ht="15.75" customHeight="1">
      <c r="A377" s="16"/>
    </row>
    <row r="378" ht="15.75" customHeight="1">
      <c r="A378" s="16"/>
    </row>
    <row r="379" ht="15.75" customHeight="1">
      <c r="A379" s="16"/>
    </row>
    <row r="380" ht="15.75" customHeight="1">
      <c r="A380" s="16"/>
    </row>
    <row r="381" ht="15.75" customHeight="1">
      <c r="A381" s="16"/>
    </row>
    <row r="382" ht="15.75" customHeight="1">
      <c r="A382" s="16"/>
    </row>
    <row r="383" ht="15.75" customHeight="1">
      <c r="A383" s="16"/>
    </row>
    <row r="384" ht="15.75" customHeight="1">
      <c r="A384" s="16"/>
    </row>
    <row r="385" ht="15.75" customHeight="1">
      <c r="A385" s="16"/>
    </row>
    <row r="386" ht="15.75" customHeight="1">
      <c r="A386" s="16"/>
    </row>
    <row r="387" ht="15.75" customHeight="1">
      <c r="A387" s="16"/>
    </row>
    <row r="388" ht="15.75" customHeight="1">
      <c r="A388" s="16"/>
    </row>
    <row r="389" ht="15.75" customHeight="1">
      <c r="A389" s="16"/>
    </row>
    <row r="390" ht="15.75" customHeight="1">
      <c r="A390" s="16"/>
    </row>
    <row r="391" ht="15.75" customHeight="1">
      <c r="A391" s="16"/>
    </row>
    <row r="392" ht="15.75" customHeight="1">
      <c r="A392" s="16"/>
    </row>
    <row r="393" ht="15.75" customHeight="1">
      <c r="A393" s="16"/>
    </row>
    <row r="394" ht="15.75" customHeight="1">
      <c r="A394" s="16"/>
    </row>
    <row r="395" ht="15.75" customHeight="1">
      <c r="A395" s="16"/>
    </row>
    <row r="396" ht="15.75" customHeight="1">
      <c r="A396" s="16"/>
    </row>
    <row r="397" ht="15.75" customHeight="1">
      <c r="A397" s="16"/>
    </row>
    <row r="398" ht="15.75" customHeight="1">
      <c r="A398" s="16"/>
    </row>
    <row r="399" ht="15.75" customHeight="1">
      <c r="A399" s="16"/>
    </row>
    <row r="400" ht="15.75" customHeight="1">
      <c r="A400" s="16"/>
    </row>
    <row r="401" ht="15.75" customHeight="1">
      <c r="A401" s="16"/>
    </row>
    <row r="402" ht="15.75" customHeight="1">
      <c r="A402" s="16"/>
    </row>
    <row r="403" ht="15.75" customHeight="1">
      <c r="A403" s="16"/>
    </row>
    <row r="404" ht="15.75" customHeight="1">
      <c r="A404" s="16"/>
    </row>
    <row r="405" ht="15.75" customHeight="1">
      <c r="A405" s="16"/>
    </row>
    <row r="406" ht="15.75" customHeight="1">
      <c r="A406" s="16"/>
    </row>
    <row r="407" ht="15.75" customHeight="1">
      <c r="A407" s="16"/>
    </row>
    <row r="408" ht="15.75" customHeight="1">
      <c r="A408" s="16"/>
    </row>
    <row r="409" ht="15.75" customHeight="1">
      <c r="A409" s="16"/>
    </row>
    <row r="410" ht="15.75" customHeight="1">
      <c r="A410" s="16"/>
    </row>
    <row r="411" ht="15.75" customHeight="1">
      <c r="A411" s="16"/>
    </row>
    <row r="412" ht="15.75" customHeight="1">
      <c r="A412" s="16"/>
    </row>
    <row r="413" ht="15.75" customHeight="1">
      <c r="A413" s="16"/>
    </row>
    <row r="414" ht="15.75" customHeight="1">
      <c r="A414" s="16"/>
    </row>
    <row r="415" ht="15.75" customHeight="1">
      <c r="A415" s="16"/>
    </row>
    <row r="416" ht="15.75" customHeight="1">
      <c r="A416" s="16"/>
    </row>
    <row r="417" ht="15.75" customHeight="1">
      <c r="A417" s="16"/>
    </row>
    <row r="418" ht="15.75" customHeight="1">
      <c r="A418" s="16"/>
    </row>
    <row r="419" ht="15.75" customHeight="1">
      <c r="A419" s="16"/>
    </row>
    <row r="420" ht="15.75" customHeight="1">
      <c r="A420" s="16"/>
    </row>
    <row r="421" ht="15.75" customHeight="1">
      <c r="A421" s="16"/>
    </row>
    <row r="422" ht="15.75" customHeight="1">
      <c r="A422" s="16"/>
    </row>
    <row r="423" ht="15.75" customHeight="1">
      <c r="A423" s="16"/>
    </row>
    <row r="424" ht="15.75" customHeight="1">
      <c r="A424" s="16"/>
    </row>
    <row r="425" ht="15.75" customHeight="1">
      <c r="A425" s="16"/>
    </row>
    <row r="426" ht="15.75" customHeight="1">
      <c r="A426" s="16"/>
    </row>
    <row r="427" ht="15.75" customHeight="1">
      <c r="A427" s="16"/>
    </row>
    <row r="428" ht="15.75" customHeight="1">
      <c r="A428" s="16"/>
    </row>
    <row r="429" ht="15.75" customHeight="1">
      <c r="A429" s="16"/>
    </row>
    <row r="430" ht="15.75" customHeight="1">
      <c r="A430" s="16"/>
    </row>
    <row r="431" ht="15.75" customHeight="1">
      <c r="A431" s="16"/>
    </row>
    <row r="432" ht="15.75" customHeight="1">
      <c r="A432" s="16"/>
    </row>
    <row r="433" ht="15.75" customHeight="1">
      <c r="A433" s="16"/>
    </row>
    <row r="434" ht="15.75" customHeight="1">
      <c r="A434" s="16"/>
    </row>
    <row r="435" ht="15.75" customHeight="1">
      <c r="A435" s="16"/>
    </row>
    <row r="436" ht="15.75" customHeight="1">
      <c r="A436" s="16"/>
    </row>
    <row r="437" ht="15.75" customHeight="1">
      <c r="A437" s="16"/>
    </row>
    <row r="438" ht="15.75" customHeight="1">
      <c r="A438" s="16"/>
    </row>
    <row r="439" ht="15.75" customHeight="1">
      <c r="A439" s="16"/>
    </row>
    <row r="440" ht="15.75" customHeight="1">
      <c r="A440" s="16"/>
    </row>
    <row r="441" ht="15.75" customHeight="1">
      <c r="A441" s="16"/>
    </row>
    <row r="442" ht="15.75" customHeight="1">
      <c r="A442" s="16"/>
    </row>
    <row r="443" ht="15.75" customHeight="1">
      <c r="A443" s="16"/>
    </row>
    <row r="444" ht="15.75" customHeight="1">
      <c r="A444" s="16"/>
    </row>
    <row r="445" ht="15.75" customHeight="1">
      <c r="A445" s="16"/>
    </row>
    <row r="446" ht="15.75" customHeight="1">
      <c r="A446" s="16"/>
    </row>
    <row r="447" ht="15.75" customHeight="1">
      <c r="A447" s="16"/>
    </row>
    <row r="448" ht="15.75" customHeight="1">
      <c r="A448" s="16"/>
    </row>
    <row r="449" ht="15.75" customHeight="1">
      <c r="A449" s="16"/>
    </row>
    <row r="450" ht="15.75" customHeight="1">
      <c r="A450" s="16"/>
    </row>
    <row r="451" ht="15.75" customHeight="1">
      <c r="A451" s="16"/>
    </row>
    <row r="452" ht="15.75" customHeight="1">
      <c r="A452" s="16"/>
    </row>
    <row r="453" ht="15.75" customHeight="1">
      <c r="A453" s="16"/>
    </row>
    <row r="454" ht="15.75" customHeight="1">
      <c r="A454" s="16"/>
    </row>
    <row r="455" ht="15.75" customHeight="1">
      <c r="A455" s="16"/>
    </row>
    <row r="456" ht="15.75" customHeight="1">
      <c r="A456" s="16"/>
    </row>
    <row r="457" ht="15.75" customHeight="1">
      <c r="A457" s="16"/>
    </row>
    <row r="458" ht="15.75" customHeight="1">
      <c r="A458" s="16"/>
    </row>
    <row r="459" ht="15.75" customHeight="1">
      <c r="A459" s="16"/>
    </row>
    <row r="460" ht="15.75" customHeight="1">
      <c r="A460" s="16"/>
    </row>
    <row r="461" ht="15.75" customHeight="1">
      <c r="A461" s="16"/>
    </row>
    <row r="462" ht="15.75" customHeight="1">
      <c r="A462" s="16"/>
    </row>
    <row r="463" ht="15.75" customHeight="1">
      <c r="A463" s="16"/>
    </row>
    <row r="464" ht="15.75" customHeight="1">
      <c r="A464" s="16"/>
    </row>
    <row r="465" ht="15.75" customHeight="1">
      <c r="A465" s="16"/>
    </row>
    <row r="466" ht="15.75" customHeight="1">
      <c r="A466" s="16"/>
    </row>
    <row r="467" ht="15.75" customHeight="1">
      <c r="A467" s="16"/>
    </row>
    <row r="468" ht="15.75" customHeight="1">
      <c r="A468" s="16"/>
    </row>
    <row r="469" ht="15.75" customHeight="1">
      <c r="A469" s="16"/>
    </row>
    <row r="470" ht="15.75" customHeight="1">
      <c r="A470" s="16"/>
    </row>
    <row r="471" ht="15.75" customHeight="1">
      <c r="A471" s="16"/>
    </row>
    <row r="472" ht="15.75" customHeight="1">
      <c r="A472" s="16"/>
    </row>
    <row r="473" ht="15.75" customHeight="1">
      <c r="A473" s="16"/>
    </row>
    <row r="474" ht="15.75" customHeight="1">
      <c r="A474" s="16"/>
    </row>
    <row r="475" ht="15.75" customHeight="1">
      <c r="A475" s="16"/>
    </row>
    <row r="476" ht="15.75" customHeight="1">
      <c r="A476" s="16"/>
    </row>
    <row r="477" ht="15.75" customHeight="1">
      <c r="A477" s="16"/>
    </row>
    <row r="478" ht="15.75" customHeight="1">
      <c r="A478" s="16"/>
    </row>
    <row r="479" ht="15.75" customHeight="1">
      <c r="A479" s="16"/>
    </row>
    <row r="480" ht="15.75" customHeight="1">
      <c r="A480" s="16"/>
    </row>
    <row r="481" ht="15.75" customHeight="1">
      <c r="A481" s="16"/>
    </row>
    <row r="482" ht="15.75" customHeight="1">
      <c r="A482" s="16"/>
    </row>
    <row r="483" ht="15.75" customHeight="1">
      <c r="A483" s="16"/>
    </row>
    <row r="484" ht="15.75" customHeight="1">
      <c r="A484" s="16"/>
    </row>
    <row r="485" ht="15.75" customHeight="1">
      <c r="A485" s="16"/>
    </row>
    <row r="486" ht="15.75" customHeight="1">
      <c r="A486" s="16"/>
    </row>
    <row r="487" ht="15.75" customHeight="1">
      <c r="A487" s="16"/>
    </row>
    <row r="488" ht="15.75" customHeight="1">
      <c r="A488" s="16"/>
    </row>
    <row r="489" ht="15.75" customHeight="1">
      <c r="A489" s="16"/>
    </row>
    <row r="490" ht="15.75" customHeight="1">
      <c r="A490" s="16"/>
    </row>
    <row r="491" ht="15.75" customHeight="1">
      <c r="A491" s="16"/>
    </row>
    <row r="492" ht="15.75" customHeight="1">
      <c r="A492" s="16"/>
    </row>
    <row r="493" ht="15.75" customHeight="1">
      <c r="A493" s="16"/>
    </row>
    <row r="494" ht="15.75" customHeight="1">
      <c r="A494" s="16"/>
    </row>
    <row r="495" ht="15.75" customHeight="1">
      <c r="A495" s="16"/>
    </row>
    <row r="496" ht="15.75" customHeight="1">
      <c r="A496" s="16"/>
    </row>
    <row r="497" ht="15.75" customHeight="1">
      <c r="A497" s="16"/>
    </row>
    <row r="498" ht="15.75" customHeight="1">
      <c r="A498" s="16"/>
    </row>
    <row r="499" ht="15.75" customHeight="1">
      <c r="A499" s="16"/>
    </row>
    <row r="500" ht="15.75" customHeight="1">
      <c r="A500" s="16"/>
    </row>
    <row r="501" ht="15.75" customHeight="1">
      <c r="A501" s="16"/>
    </row>
    <row r="502" ht="15.75" customHeight="1">
      <c r="A502" s="16"/>
    </row>
    <row r="503" ht="15.75" customHeight="1">
      <c r="A503" s="16"/>
    </row>
    <row r="504" ht="15.75" customHeight="1">
      <c r="A504" s="16"/>
    </row>
    <row r="505" ht="15.75" customHeight="1">
      <c r="A505" s="16"/>
    </row>
    <row r="506" ht="15.75" customHeight="1">
      <c r="A506" s="16"/>
    </row>
    <row r="507" ht="15.75" customHeight="1">
      <c r="A507" s="16"/>
    </row>
    <row r="508" ht="15.75" customHeight="1">
      <c r="A508" s="16"/>
    </row>
    <row r="509" ht="15.75" customHeight="1">
      <c r="A509" s="16"/>
    </row>
    <row r="510" ht="15.75" customHeight="1">
      <c r="A510" s="16"/>
    </row>
    <row r="511" ht="15.75" customHeight="1">
      <c r="A511" s="16"/>
    </row>
    <row r="512" ht="15.75" customHeight="1">
      <c r="A512" s="16"/>
    </row>
    <row r="513" ht="15.75" customHeight="1">
      <c r="A513" s="16"/>
    </row>
    <row r="514" ht="15.75" customHeight="1">
      <c r="A514" s="16"/>
    </row>
    <row r="515" ht="15.75" customHeight="1">
      <c r="A515" s="16"/>
    </row>
    <row r="516" ht="15.75" customHeight="1">
      <c r="A516" s="16"/>
    </row>
    <row r="517" ht="15.75" customHeight="1">
      <c r="A517" s="16"/>
    </row>
    <row r="518" ht="15.75" customHeight="1">
      <c r="A518" s="16"/>
    </row>
    <row r="519" ht="15.75" customHeight="1">
      <c r="A519" s="16"/>
    </row>
    <row r="520" ht="15.75" customHeight="1">
      <c r="A520" s="16"/>
    </row>
    <row r="521" ht="15.75" customHeight="1">
      <c r="A521" s="16"/>
    </row>
    <row r="522" ht="15.75" customHeight="1">
      <c r="A522" s="16"/>
    </row>
    <row r="523" ht="15.75" customHeight="1">
      <c r="A523" s="16"/>
    </row>
    <row r="524" ht="15.75" customHeight="1">
      <c r="A524" s="16"/>
    </row>
    <row r="525" ht="15.75" customHeight="1">
      <c r="A525" s="16"/>
    </row>
    <row r="526" ht="15.75" customHeight="1">
      <c r="A526" s="16"/>
    </row>
    <row r="527" ht="15.75" customHeight="1">
      <c r="A527" s="16"/>
    </row>
    <row r="528" ht="15.75" customHeight="1">
      <c r="A528" s="16"/>
    </row>
    <row r="529" ht="15.75" customHeight="1">
      <c r="A529" s="16"/>
    </row>
    <row r="530" ht="15.75" customHeight="1">
      <c r="A530" s="16"/>
    </row>
    <row r="531" ht="15.75" customHeight="1">
      <c r="A531" s="16"/>
    </row>
    <row r="532" ht="15.75" customHeight="1">
      <c r="A532" s="16"/>
    </row>
    <row r="533" ht="15.75" customHeight="1">
      <c r="A533" s="16"/>
    </row>
    <row r="534" ht="15.75" customHeight="1">
      <c r="A534" s="16"/>
    </row>
    <row r="535" ht="15.75" customHeight="1">
      <c r="A535" s="16"/>
    </row>
    <row r="536" ht="15.75" customHeight="1">
      <c r="A536" s="16"/>
    </row>
    <row r="537" ht="15.75" customHeight="1">
      <c r="A537" s="16"/>
    </row>
    <row r="538" ht="15.75" customHeight="1">
      <c r="A538" s="16"/>
    </row>
    <row r="539" ht="15.75" customHeight="1">
      <c r="A539" s="16"/>
    </row>
    <row r="540" ht="15.75" customHeight="1">
      <c r="A540" s="16"/>
    </row>
    <row r="541" ht="15.75" customHeight="1">
      <c r="A541" s="16"/>
    </row>
    <row r="542" ht="15.75" customHeight="1">
      <c r="A542" s="16"/>
    </row>
    <row r="543" ht="15.75" customHeight="1">
      <c r="A543" s="16"/>
    </row>
    <row r="544" ht="15.75" customHeight="1">
      <c r="A544" s="16"/>
    </row>
    <row r="545" ht="15.75" customHeight="1">
      <c r="A545" s="16"/>
    </row>
    <row r="546" ht="15.75" customHeight="1">
      <c r="A546" s="16"/>
    </row>
    <row r="547" ht="15.75" customHeight="1">
      <c r="A547" s="16"/>
    </row>
    <row r="548" ht="15.75" customHeight="1">
      <c r="A548" s="16"/>
    </row>
    <row r="549" ht="15.75" customHeight="1">
      <c r="A549" s="16"/>
    </row>
    <row r="550" ht="15.75" customHeight="1">
      <c r="A550" s="16"/>
    </row>
    <row r="551" ht="15.75" customHeight="1">
      <c r="A551" s="16"/>
    </row>
    <row r="552" ht="15.75" customHeight="1">
      <c r="A552" s="16"/>
    </row>
    <row r="553" ht="15.75" customHeight="1">
      <c r="A553" s="16"/>
    </row>
    <row r="554" ht="15.75" customHeight="1">
      <c r="A554" s="16"/>
    </row>
    <row r="555" ht="15.75" customHeight="1">
      <c r="A555" s="16"/>
    </row>
    <row r="556" ht="15.75" customHeight="1">
      <c r="A556" s="16"/>
    </row>
    <row r="557" ht="15.75" customHeight="1">
      <c r="A557" s="16"/>
    </row>
    <row r="558" ht="15.75" customHeight="1">
      <c r="A558" s="16"/>
    </row>
    <row r="559" ht="15.75" customHeight="1">
      <c r="A559" s="16"/>
    </row>
    <row r="560" ht="15.75" customHeight="1">
      <c r="A560" s="16"/>
    </row>
    <row r="561" ht="15.75" customHeight="1">
      <c r="A561" s="16"/>
    </row>
    <row r="562" ht="15.75" customHeight="1">
      <c r="A562" s="16"/>
    </row>
    <row r="563" ht="15.75" customHeight="1">
      <c r="A563" s="16"/>
    </row>
    <row r="564" ht="15.75" customHeight="1">
      <c r="A564" s="16"/>
    </row>
    <row r="565" ht="15.75" customHeight="1">
      <c r="A565" s="16"/>
    </row>
    <row r="566" ht="15.75" customHeight="1">
      <c r="A566" s="16"/>
    </row>
    <row r="567" ht="15.75" customHeight="1">
      <c r="A567" s="16"/>
    </row>
    <row r="568" ht="15.75" customHeight="1">
      <c r="A568" s="16"/>
    </row>
    <row r="569" ht="15.75" customHeight="1">
      <c r="A569" s="16"/>
    </row>
    <row r="570" ht="15.75" customHeight="1">
      <c r="A570" s="16"/>
    </row>
    <row r="571" ht="15.75" customHeight="1">
      <c r="A571" s="16"/>
    </row>
    <row r="572" ht="15.75" customHeight="1">
      <c r="A572" s="16"/>
    </row>
    <row r="573" ht="15.75" customHeight="1">
      <c r="A573" s="16"/>
    </row>
    <row r="574" ht="15.75" customHeight="1">
      <c r="A574" s="16"/>
    </row>
    <row r="575" ht="15.75" customHeight="1">
      <c r="A575" s="16"/>
    </row>
    <row r="576" ht="15.75" customHeight="1">
      <c r="A576" s="16"/>
    </row>
    <row r="577" ht="15.75" customHeight="1">
      <c r="A577" s="16"/>
    </row>
    <row r="578" ht="15.75" customHeight="1">
      <c r="A578" s="16"/>
    </row>
    <row r="579" ht="15.75" customHeight="1">
      <c r="A579" s="16"/>
    </row>
    <row r="580" ht="15.75" customHeight="1">
      <c r="A580" s="16"/>
    </row>
    <row r="581" ht="15.75" customHeight="1">
      <c r="A581" s="16"/>
    </row>
    <row r="582" ht="15.75" customHeight="1">
      <c r="A582" s="16"/>
    </row>
    <row r="583" ht="15.75" customHeight="1">
      <c r="A583" s="16"/>
    </row>
    <row r="584" ht="15.75" customHeight="1">
      <c r="A584" s="16"/>
    </row>
    <row r="585" ht="15.75" customHeight="1">
      <c r="A585" s="16"/>
    </row>
    <row r="586" ht="15.75" customHeight="1">
      <c r="A586" s="16"/>
    </row>
    <row r="587" ht="15.75" customHeight="1">
      <c r="A587" s="16"/>
    </row>
    <row r="588" ht="15.75" customHeight="1">
      <c r="A588" s="16"/>
    </row>
    <row r="589" ht="15.75" customHeight="1">
      <c r="A589" s="16"/>
    </row>
    <row r="590" ht="15.75" customHeight="1">
      <c r="A590" s="16"/>
    </row>
    <row r="591" ht="15.75" customHeight="1">
      <c r="A591" s="16"/>
    </row>
    <row r="592" ht="15.75" customHeight="1">
      <c r="A592" s="16"/>
    </row>
    <row r="593" ht="15.75" customHeight="1">
      <c r="A593" s="16"/>
    </row>
    <row r="594" ht="15.75" customHeight="1">
      <c r="A594" s="16"/>
    </row>
    <row r="595" ht="15.75" customHeight="1">
      <c r="A595" s="16"/>
    </row>
    <row r="596" ht="15.75" customHeight="1">
      <c r="A596" s="16"/>
    </row>
    <row r="597" ht="15.75" customHeight="1">
      <c r="A597" s="16"/>
    </row>
    <row r="598" ht="15.75" customHeight="1">
      <c r="A598" s="16"/>
    </row>
    <row r="599" ht="15.75" customHeight="1">
      <c r="A599" s="16"/>
    </row>
    <row r="600" ht="15.75" customHeight="1">
      <c r="A600" s="16"/>
    </row>
    <row r="601" ht="15.75" customHeight="1">
      <c r="A601" s="16"/>
    </row>
    <row r="602" ht="15.75" customHeight="1">
      <c r="A602" s="16"/>
    </row>
    <row r="603" ht="15.75" customHeight="1">
      <c r="A603" s="16"/>
    </row>
    <row r="604" ht="15.75" customHeight="1">
      <c r="A604" s="16"/>
    </row>
    <row r="605" ht="15.75" customHeight="1">
      <c r="A605" s="16"/>
    </row>
    <row r="606" ht="15.75" customHeight="1">
      <c r="A606" s="16"/>
    </row>
    <row r="607" ht="15.75" customHeight="1">
      <c r="A607" s="16"/>
    </row>
    <row r="608" ht="15.75" customHeight="1">
      <c r="A608" s="16"/>
    </row>
    <row r="609" ht="15.75" customHeight="1">
      <c r="A609" s="16"/>
    </row>
    <row r="610" ht="15.75" customHeight="1">
      <c r="A610" s="16"/>
    </row>
    <row r="611" ht="15.75" customHeight="1">
      <c r="A611" s="16"/>
    </row>
    <row r="612" ht="15.75" customHeight="1">
      <c r="A612" s="16"/>
    </row>
    <row r="613" ht="15.75" customHeight="1">
      <c r="A613" s="16"/>
    </row>
    <row r="614" ht="15.75" customHeight="1">
      <c r="A614" s="16"/>
    </row>
    <row r="615" ht="15.75" customHeight="1">
      <c r="A615" s="16"/>
    </row>
    <row r="616" ht="15.75" customHeight="1">
      <c r="A616" s="16"/>
    </row>
    <row r="617" ht="15.75" customHeight="1">
      <c r="A617" s="16"/>
    </row>
    <row r="618" ht="15.75" customHeight="1">
      <c r="A618" s="16"/>
    </row>
    <row r="619" ht="15.75" customHeight="1">
      <c r="A619" s="16"/>
    </row>
    <row r="620" ht="15.75" customHeight="1">
      <c r="A620" s="16"/>
    </row>
    <row r="621" ht="15.75" customHeight="1">
      <c r="A621" s="16"/>
    </row>
    <row r="622" ht="15.75" customHeight="1">
      <c r="A622" s="16"/>
    </row>
    <row r="623" ht="15.75" customHeight="1">
      <c r="A623" s="16"/>
    </row>
    <row r="624" ht="15.75" customHeight="1">
      <c r="A624" s="16"/>
    </row>
    <row r="625" ht="15.75" customHeight="1">
      <c r="A625" s="16"/>
    </row>
    <row r="626" ht="15.75" customHeight="1">
      <c r="A626" s="16"/>
    </row>
    <row r="627" ht="15.75" customHeight="1">
      <c r="A627" s="16"/>
    </row>
    <row r="628" ht="15.75" customHeight="1">
      <c r="A628" s="16"/>
    </row>
    <row r="629" ht="15.75" customHeight="1">
      <c r="A629" s="16"/>
    </row>
    <row r="630" ht="15.75" customHeight="1">
      <c r="A630" s="16"/>
    </row>
    <row r="631" ht="15.75" customHeight="1">
      <c r="A631" s="16"/>
    </row>
    <row r="632" ht="15.75" customHeight="1">
      <c r="A632" s="16"/>
    </row>
    <row r="633" ht="15.75" customHeight="1">
      <c r="A633" s="16"/>
    </row>
    <row r="634" ht="15.75" customHeight="1">
      <c r="A634" s="16"/>
    </row>
    <row r="635" ht="15.75" customHeight="1">
      <c r="A635" s="16"/>
    </row>
    <row r="636" ht="15.75" customHeight="1">
      <c r="A636" s="16"/>
    </row>
    <row r="637" ht="15.75" customHeight="1">
      <c r="A637" s="16"/>
    </row>
    <row r="638" ht="15.75" customHeight="1">
      <c r="A638" s="16"/>
    </row>
    <row r="639" ht="15.75" customHeight="1">
      <c r="A639" s="16"/>
    </row>
    <row r="640" ht="15.75" customHeight="1">
      <c r="A640" s="16"/>
    </row>
    <row r="641" ht="15.75" customHeight="1">
      <c r="A641" s="16"/>
    </row>
    <row r="642" ht="15.75" customHeight="1">
      <c r="A642" s="16"/>
    </row>
    <row r="643" ht="15.75" customHeight="1">
      <c r="A643" s="16"/>
    </row>
    <row r="644" ht="15.75" customHeight="1">
      <c r="A644" s="16"/>
    </row>
    <row r="645" ht="15.75" customHeight="1">
      <c r="A645" s="16"/>
    </row>
    <row r="646" ht="15.75" customHeight="1">
      <c r="A646" s="16"/>
    </row>
    <row r="647" ht="15.75" customHeight="1">
      <c r="A647" s="16"/>
    </row>
    <row r="648" ht="15.75" customHeight="1">
      <c r="A648" s="16"/>
    </row>
    <row r="649" ht="15.75" customHeight="1">
      <c r="A649" s="16"/>
    </row>
    <row r="650" ht="15.75" customHeight="1">
      <c r="A650" s="16"/>
    </row>
    <row r="651" ht="15.75" customHeight="1">
      <c r="A651" s="16"/>
    </row>
    <row r="652" ht="15.75" customHeight="1">
      <c r="A652" s="16"/>
    </row>
    <row r="653" ht="15.75" customHeight="1">
      <c r="A653" s="16"/>
    </row>
    <row r="654" ht="15.75" customHeight="1">
      <c r="A654" s="16"/>
    </row>
    <row r="655" ht="15.75" customHeight="1">
      <c r="A655" s="16"/>
    </row>
    <row r="656" ht="15.75" customHeight="1">
      <c r="A656" s="16"/>
    </row>
    <row r="657" ht="15.75" customHeight="1">
      <c r="A657" s="16"/>
    </row>
    <row r="658" ht="15.75" customHeight="1">
      <c r="A658" s="16"/>
    </row>
    <row r="659" ht="15.75" customHeight="1">
      <c r="A659" s="16"/>
    </row>
    <row r="660" ht="15.75" customHeight="1">
      <c r="A660" s="16"/>
    </row>
    <row r="661" ht="15.75" customHeight="1">
      <c r="A661" s="16"/>
    </row>
    <row r="662" ht="15.75" customHeight="1">
      <c r="A662" s="16"/>
    </row>
    <row r="663" ht="15.75" customHeight="1">
      <c r="A663" s="16"/>
    </row>
    <row r="664" ht="15.75" customHeight="1">
      <c r="A664" s="16"/>
    </row>
    <row r="665" ht="15.75" customHeight="1">
      <c r="A665" s="16"/>
    </row>
    <row r="666" ht="15.75" customHeight="1">
      <c r="A666" s="16"/>
    </row>
    <row r="667" ht="15.75" customHeight="1">
      <c r="A667" s="16"/>
    </row>
    <row r="668" ht="15.75" customHeight="1">
      <c r="A668" s="16"/>
    </row>
    <row r="669" ht="15.75" customHeight="1">
      <c r="A669" s="16"/>
    </row>
    <row r="670" ht="15.75" customHeight="1">
      <c r="A670" s="16"/>
    </row>
    <row r="671" ht="15.75" customHeight="1">
      <c r="A671" s="16"/>
    </row>
    <row r="672" ht="15.75" customHeight="1">
      <c r="A672" s="16"/>
    </row>
    <row r="673" ht="15.75" customHeight="1">
      <c r="A673" s="16"/>
    </row>
    <row r="674" ht="15.75" customHeight="1">
      <c r="A674" s="16"/>
    </row>
    <row r="675" ht="15.75" customHeight="1">
      <c r="A675" s="16"/>
    </row>
    <row r="676" ht="15.75" customHeight="1">
      <c r="A676" s="16"/>
    </row>
    <row r="677" ht="15.75" customHeight="1">
      <c r="A677" s="16"/>
    </row>
    <row r="678" ht="15.75" customHeight="1">
      <c r="A678" s="16"/>
    </row>
    <row r="679" ht="15.75" customHeight="1">
      <c r="A679" s="16"/>
    </row>
    <row r="680" ht="15.75" customHeight="1">
      <c r="A680" s="16"/>
    </row>
    <row r="681" ht="15.75" customHeight="1">
      <c r="A681" s="16"/>
    </row>
    <row r="682" ht="15.75" customHeight="1">
      <c r="A682" s="16"/>
    </row>
    <row r="683" ht="15.75" customHeight="1">
      <c r="A683" s="16"/>
    </row>
    <row r="684" ht="15.75" customHeight="1">
      <c r="A684" s="16"/>
    </row>
    <row r="685" ht="15.75" customHeight="1">
      <c r="A685" s="16"/>
    </row>
    <row r="686" ht="15.75" customHeight="1">
      <c r="A686" s="16"/>
    </row>
    <row r="687" ht="15.75" customHeight="1">
      <c r="A687" s="16"/>
    </row>
    <row r="688" ht="15.75" customHeight="1">
      <c r="A688" s="16"/>
    </row>
    <row r="689" ht="15.75" customHeight="1">
      <c r="A689" s="16"/>
    </row>
    <row r="690" ht="15.75" customHeight="1">
      <c r="A690" s="16"/>
    </row>
    <row r="691" ht="15.75" customHeight="1">
      <c r="A691" s="16"/>
    </row>
    <row r="692" ht="15.75" customHeight="1">
      <c r="A692" s="16"/>
    </row>
    <row r="693" ht="15.75" customHeight="1">
      <c r="A693" s="16"/>
    </row>
    <row r="694" ht="15.75" customHeight="1">
      <c r="A694" s="16"/>
    </row>
    <row r="695" ht="15.75" customHeight="1">
      <c r="A695" s="16"/>
    </row>
    <row r="696" ht="15.75" customHeight="1">
      <c r="A696" s="16"/>
    </row>
    <row r="697" ht="15.75" customHeight="1">
      <c r="A697" s="16"/>
    </row>
    <row r="698" ht="15.75" customHeight="1">
      <c r="A698" s="16"/>
    </row>
    <row r="699" ht="15.75" customHeight="1">
      <c r="A699" s="16"/>
    </row>
    <row r="700" ht="15.75" customHeight="1">
      <c r="A700" s="16"/>
    </row>
    <row r="701" ht="15.75" customHeight="1">
      <c r="A701" s="16"/>
    </row>
    <row r="702" ht="15.75" customHeight="1">
      <c r="A702" s="16"/>
    </row>
    <row r="703" ht="15.75" customHeight="1">
      <c r="A703" s="16"/>
    </row>
    <row r="704" ht="15.75" customHeight="1">
      <c r="A704" s="16"/>
    </row>
    <row r="705" ht="15.75" customHeight="1">
      <c r="A705" s="16"/>
    </row>
    <row r="706" ht="15.75" customHeight="1">
      <c r="A706" s="16"/>
    </row>
    <row r="707" ht="15.75" customHeight="1">
      <c r="A707" s="16"/>
    </row>
    <row r="708" ht="15.75" customHeight="1">
      <c r="A708" s="16"/>
    </row>
    <row r="709" ht="15.75" customHeight="1">
      <c r="A709" s="16"/>
    </row>
    <row r="710" ht="15.75" customHeight="1">
      <c r="A710" s="16"/>
    </row>
    <row r="711" ht="15.75" customHeight="1">
      <c r="A711" s="16"/>
    </row>
    <row r="712" ht="15.75" customHeight="1">
      <c r="A712" s="16"/>
    </row>
    <row r="713" ht="15.75" customHeight="1">
      <c r="A713" s="16"/>
    </row>
    <row r="714" ht="15.75" customHeight="1">
      <c r="A714" s="16"/>
    </row>
    <row r="715" ht="15.75" customHeight="1">
      <c r="A715" s="16"/>
    </row>
    <row r="716" ht="15.75" customHeight="1">
      <c r="A716" s="16"/>
    </row>
    <row r="717" ht="15.75" customHeight="1">
      <c r="A717" s="16"/>
    </row>
    <row r="718" ht="15.75" customHeight="1">
      <c r="A718" s="16"/>
    </row>
    <row r="719" ht="15.75" customHeight="1">
      <c r="A719" s="16"/>
    </row>
    <row r="720" ht="15.75" customHeight="1">
      <c r="A720" s="16"/>
    </row>
    <row r="721" ht="15.75" customHeight="1">
      <c r="A721" s="16"/>
    </row>
    <row r="722" ht="15.75" customHeight="1">
      <c r="A722" s="16"/>
    </row>
    <row r="723" ht="15.75" customHeight="1">
      <c r="A723" s="16"/>
    </row>
    <row r="724" ht="15.75" customHeight="1">
      <c r="A724" s="16"/>
    </row>
    <row r="725" ht="15.75" customHeight="1">
      <c r="A725" s="16"/>
    </row>
    <row r="726" ht="15.75" customHeight="1">
      <c r="A726" s="16"/>
    </row>
    <row r="727" ht="15.75" customHeight="1">
      <c r="A727" s="16"/>
    </row>
    <row r="728" ht="15.75" customHeight="1">
      <c r="A728" s="16"/>
    </row>
    <row r="729" ht="15.75" customHeight="1">
      <c r="A729" s="16"/>
    </row>
    <row r="730" ht="15.75" customHeight="1">
      <c r="A730" s="16"/>
    </row>
    <row r="731" ht="15.75" customHeight="1">
      <c r="A731" s="16"/>
    </row>
    <row r="732" ht="15.75" customHeight="1">
      <c r="A732" s="16"/>
    </row>
    <row r="733" ht="15.75" customHeight="1">
      <c r="A733" s="16"/>
    </row>
    <row r="734" ht="15.75" customHeight="1">
      <c r="A734" s="16"/>
    </row>
    <row r="735" ht="15.75" customHeight="1">
      <c r="A735" s="16"/>
    </row>
    <row r="736" ht="15.75" customHeight="1">
      <c r="A736" s="16"/>
    </row>
    <row r="737" ht="15.75" customHeight="1">
      <c r="A737" s="16"/>
    </row>
    <row r="738" ht="15.75" customHeight="1">
      <c r="A738" s="16"/>
    </row>
    <row r="739" ht="15.75" customHeight="1">
      <c r="A739" s="16"/>
    </row>
    <row r="740" ht="15.75" customHeight="1">
      <c r="A740" s="16"/>
    </row>
    <row r="741" ht="15.75" customHeight="1">
      <c r="A741" s="16"/>
    </row>
    <row r="742" ht="15.75" customHeight="1">
      <c r="A742" s="16"/>
    </row>
    <row r="743" ht="15.75" customHeight="1">
      <c r="A743" s="16"/>
    </row>
    <row r="744" ht="15.75" customHeight="1">
      <c r="A744" s="16"/>
    </row>
    <row r="745" ht="15.75" customHeight="1">
      <c r="A745" s="16"/>
    </row>
    <row r="746" ht="15.75" customHeight="1">
      <c r="A746" s="16"/>
    </row>
    <row r="747" ht="15.75" customHeight="1">
      <c r="A747" s="16"/>
    </row>
    <row r="748" ht="15.75" customHeight="1">
      <c r="A748" s="16"/>
    </row>
    <row r="749" ht="15.75" customHeight="1">
      <c r="A749" s="16"/>
    </row>
    <row r="750" ht="15.75" customHeight="1">
      <c r="A750" s="16"/>
    </row>
    <row r="751" ht="15.75" customHeight="1">
      <c r="A751" s="16"/>
    </row>
    <row r="752" ht="15.75" customHeight="1">
      <c r="A752" s="16"/>
    </row>
    <row r="753" ht="15.75" customHeight="1">
      <c r="A753" s="16"/>
    </row>
    <row r="754" ht="15.75" customHeight="1">
      <c r="A754" s="16"/>
    </row>
    <row r="755" ht="15.75" customHeight="1">
      <c r="A755" s="16"/>
    </row>
    <row r="756" ht="15.75" customHeight="1">
      <c r="A756" s="16"/>
    </row>
    <row r="757" ht="15.75" customHeight="1">
      <c r="A757" s="16"/>
    </row>
    <row r="758" ht="15.75" customHeight="1">
      <c r="A758" s="16"/>
    </row>
    <row r="759" ht="15.75" customHeight="1">
      <c r="A759" s="16"/>
    </row>
    <row r="760" ht="15.75" customHeight="1">
      <c r="A760" s="16"/>
    </row>
    <row r="761" ht="15.75" customHeight="1">
      <c r="A761" s="16"/>
    </row>
    <row r="762" ht="15.75" customHeight="1">
      <c r="A762" s="16"/>
    </row>
    <row r="763" ht="15.75" customHeight="1">
      <c r="A763" s="16"/>
    </row>
    <row r="764" ht="15.75" customHeight="1">
      <c r="A764" s="16"/>
    </row>
    <row r="765" ht="15.75" customHeight="1">
      <c r="A765" s="16"/>
    </row>
    <row r="766" ht="15.75" customHeight="1">
      <c r="A766" s="16"/>
    </row>
    <row r="767" ht="15.75" customHeight="1">
      <c r="A767" s="16"/>
    </row>
    <row r="768" ht="15.75" customHeight="1">
      <c r="A768" s="16"/>
    </row>
    <row r="769" ht="15.75" customHeight="1">
      <c r="A769" s="16"/>
    </row>
    <row r="770" ht="15.75" customHeight="1">
      <c r="A770" s="16"/>
    </row>
    <row r="771" ht="15.75" customHeight="1">
      <c r="A771" s="16"/>
    </row>
    <row r="772" ht="15.75" customHeight="1">
      <c r="A772" s="16"/>
    </row>
    <row r="773" ht="15.75" customHeight="1">
      <c r="A773" s="16"/>
    </row>
    <row r="774" ht="15.75" customHeight="1">
      <c r="A774" s="16"/>
    </row>
    <row r="775" ht="15.75" customHeight="1">
      <c r="A775" s="16"/>
    </row>
    <row r="776" ht="15.75" customHeight="1">
      <c r="A776" s="16"/>
    </row>
    <row r="777" ht="15.75" customHeight="1">
      <c r="A777" s="16"/>
    </row>
    <row r="778" ht="15.75" customHeight="1">
      <c r="A778" s="16"/>
    </row>
    <row r="779" ht="15.75" customHeight="1">
      <c r="A779" s="16"/>
    </row>
    <row r="780" ht="15.75" customHeight="1">
      <c r="A780" s="16"/>
    </row>
    <row r="781" ht="15.75" customHeight="1">
      <c r="A781" s="16"/>
    </row>
    <row r="782" ht="15.75" customHeight="1">
      <c r="A782" s="16"/>
    </row>
    <row r="783" ht="15.75" customHeight="1">
      <c r="A783" s="16"/>
    </row>
    <row r="784" ht="15.75" customHeight="1">
      <c r="A784" s="16"/>
    </row>
    <row r="785" ht="15.75" customHeight="1">
      <c r="A785" s="16"/>
    </row>
    <row r="786" ht="15.75" customHeight="1">
      <c r="A786" s="16"/>
    </row>
    <row r="787" ht="15.75" customHeight="1">
      <c r="A787" s="16"/>
    </row>
    <row r="788" ht="15.75" customHeight="1">
      <c r="A788" s="16"/>
    </row>
    <row r="789" ht="15.75" customHeight="1">
      <c r="A789" s="16"/>
    </row>
    <row r="790" ht="15.75" customHeight="1">
      <c r="A790" s="16"/>
    </row>
    <row r="791" ht="15.75" customHeight="1">
      <c r="A791" s="16"/>
    </row>
    <row r="792" ht="15.75" customHeight="1">
      <c r="A792" s="16"/>
    </row>
    <row r="793" ht="15.75" customHeight="1">
      <c r="A793" s="16"/>
    </row>
    <row r="794" ht="15.75" customHeight="1">
      <c r="A794" s="16"/>
    </row>
    <row r="795" ht="15.75" customHeight="1">
      <c r="A795" s="16"/>
    </row>
    <row r="796" ht="15.75" customHeight="1">
      <c r="A796" s="16"/>
    </row>
    <row r="797" ht="15.75" customHeight="1">
      <c r="A797" s="16"/>
    </row>
    <row r="798" ht="15.75" customHeight="1">
      <c r="A798" s="16"/>
    </row>
    <row r="799" ht="15.75" customHeight="1">
      <c r="A799" s="16"/>
    </row>
    <row r="800" ht="15.75" customHeight="1">
      <c r="A800" s="16"/>
    </row>
    <row r="801" ht="15.75" customHeight="1">
      <c r="A801" s="16"/>
    </row>
    <row r="802" ht="15.75" customHeight="1">
      <c r="A802" s="16"/>
    </row>
    <row r="803" ht="15.75" customHeight="1">
      <c r="A803" s="16"/>
    </row>
    <row r="804" ht="15.75" customHeight="1">
      <c r="A804" s="16"/>
    </row>
    <row r="805" ht="15.75" customHeight="1">
      <c r="A805" s="16"/>
    </row>
    <row r="806" ht="15.75" customHeight="1">
      <c r="A806" s="16"/>
    </row>
    <row r="807" ht="15.75" customHeight="1">
      <c r="A807" s="16"/>
    </row>
    <row r="808" ht="15.75" customHeight="1">
      <c r="A808" s="16"/>
    </row>
    <row r="809" ht="15.75" customHeight="1">
      <c r="A809" s="16"/>
    </row>
    <row r="810" ht="15.75" customHeight="1">
      <c r="A810" s="16"/>
    </row>
    <row r="811" ht="15.75" customHeight="1">
      <c r="A811" s="16"/>
    </row>
    <row r="812" ht="15.75" customHeight="1">
      <c r="A812" s="16"/>
    </row>
    <row r="813" ht="15.75" customHeight="1">
      <c r="A813" s="16"/>
    </row>
    <row r="814" ht="15.75" customHeight="1">
      <c r="A814" s="16"/>
    </row>
    <row r="815" ht="15.75" customHeight="1">
      <c r="A815" s="16"/>
    </row>
    <row r="816" ht="15.75" customHeight="1">
      <c r="A816" s="16"/>
    </row>
    <row r="817" ht="15.75" customHeight="1">
      <c r="A817" s="16"/>
    </row>
    <row r="818" ht="15.75" customHeight="1">
      <c r="A818" s="16"/>
    </row>
    <row r="819" ht="15.75" customHeight="1">
      <c r="A819" s="16"/>
    </row>
    <row r="820" ht="15.75" customHeight="1">
      <c r="A820" s="16"/>
    </row>
    <row r="821" ht="15.75" customHeight="1">
      <c r="A821" s="16"/>
    </row>
    <row r="822" ht="15.75" customHeight="1">
      <c r="A822" s="16"/>
    </row>
    <row r="823" ht="15.75" customHeight="1">
      <c r="A823" s="16"/>
    </row>
    <row r="824" ht="15.75" customHeight="1">
      <c r="A824" s="16"/>
    </row>
    <row r="825" ht="15.75" customHeight="1">
      <c r="A825" s="16"/>
    </row>
    <row r="826" ht="15.75" customHeight="1">
      <c r="A826" s="16"/>
    </row>
    <row r="827" ht="15.75" customHeight="1">
      <c r="A827" s="16"/>
    </row>
    <row r="828" ht="15.75" customHeight="1">
      <c r="A828" s="16"/>
    </row>
    <row r="829" ht="15.75" customHeight="1">
      <c r="A829" s="16"/>
    </row>
    <row r="830" ht="15.75" customHeight="1">
      <c r="A830" s="16"/>
    </row>
    <row r="831" ht="15.75" customHeight="1">
      <c r="A831" s="16"/>
    </row>
    <row r="832" ht="15.75" customHeight="1">
      <c r="A832" s="16"/>
    </row>
    <row r="833" ht="15.75" customHeight="1">
      <c r="A833" s="16"/>
    </row>
    <row r="834" ht="15.75" customHeight="1">
      <c r="A834" s="16"/>
    </row>
    <row r="835" ht="15.75" customHeight="1">
      <c r="A835" s="16"/>
    </row>
    <row r="836" ht="15.75" customHeight="1">
      <c r="A836" s="16"/>
    </row>
    <row r="837" ht="15.75" customHeight="1">
      <c r="A837" s="16"/>
    </row>
    <row r="838" ht="15.75" customHeight="1">
      <c r="A838" s="16"/>
    </row>
    <row r="839" ht="15.75" customHeight="1">
      <c r="A839" s="16"/>
    </row>
    <row r="840" ht="15.75" customHeight="1">
      <c r="A840" s="16"/>
    </row>
    <row r="841" ht="15.75" customHeight="1">
      <c r="A841" s="16"/>
    </row>
    <row r="842" ht="15.75" customHeight="1">
      <c r="A842" s="16"/>
    </row>
    <row r="843" ht="15.75" customHeight="1">
      <c r="A843" s="16"/>
    </row>
    <row r="844" ht="15.75" customHeight="1">
      <c r="A844" s="16"/>
    </row>
    <row r="845" ht="15.75" customHeight="1">
      <c r="A845" s="16"/>
    </row>
    <row r="846" ht="15.75" customHeight="1">
      <c r="A846" s="16"/>
    </row>
    <row r="847" ht="15.75" customHeight="1">
      <c r="A847" s="16"/>
    </row>
    <row r="848" ht="15.75" customHeight="1">
      <c r="A848" s="16"/>
    </row>
    <row r="849" ht="15.75" customHeight="1">
      <c r="A849" s="16"/>
    </row>
    <row r="850" ht="15.75" customHeight="1">
      <c r="A850" s="16"/>
    </row>
    <row r="851" ht="15.75" customHeight="1">
      <c r="A851" s="16"/>
    </row>
    <row r="852" ht="15.75" customHeight="1">
      <c r="A852" s="16"/>
    </row>
    <row r="853" ht="15.75" customHeight="1">
      <c r="A853" s="16"/>
    </row>
    <row r="854" ht="15.75" customHeight="1">
      <c r="A854" s="16"/>
    </row>
    <row r="855" ht="15.75" customHeight="1">
      <c r="A855" s="16"/>
    </row>
    <row r="856" ht="15.75" customHeight="1">
      <c r="A856" s="16"/>
    </row>
    <row r="857" ht="15.75" customHeight="1">
      <c r="A857" s="16"/>
    </row>
    <row r="858" ht="15.75" customHeight="1">
      <c r="A858" s="16"/>
    </row>
    <row r="859" ht="15.75" customHeight="1">
      <c r="A859" s="16"/>
    </row>
    <row r="860" ht="15.75" customHeight="1">
      <c r="A860" s="16"/>
    </row>
    <row r="861" ht="15.75" customHeight="1">
      <c r="A861" s="16"/>
    </row>
    <row r="862" ht="15.75" customHeight="1">
      <c r="A862" s="16"/>
    </row>
    <row r="863" ht="15.75" customHeight="1">
      <c r="A863" s="16"/>
    </row>
    <row r="864" ht="15.75" customHeight="1">
      <c r="A864" s="16"/>
    </row>
    <row r="865" ht="15.75" customHeight="1">
      <c r="A865" s="16"/>
    </row>
    <row r="866" ht="15.75" customHeight="1">
      <c r="A866" s="16"/>
    </row>
    <row r="867" ht="15.75" customHeight="1">
      <c r="A867" s="16"/>
    </row>
    <row r="868" ht="15.75" customHeight="1">
      <c r="A868" s="16"/>
    </row>
    <row r="869" ht="15.75" customHeight="1">
      <c r="A869" s="16"/>
    </row>
    <row r="870" ht="15.75" customHeight="1">
      <c r="A870" s="16"/>
    </row>
    <row r="871" ht="15.75" customHeight="1">
      <c r="A871" s="16"/>
    </row>
    <row r="872" ht="15.75" customHeight="1">
      <c r="A872" s="16"/>
    </row>
    <row r="873" ht="15.75" customHeight="1">
      <c r="A873" s="16"/>
    </row>
    <row r="874" ht="15.75" customHeight="1">
      <c r="A874" s="16"/>
    </row>
    <row r="875" ht="15.75" customHeight="1">
      <c r="A875" s="16"/>
    </row>
    <row r="876" ht="15.75" customHeight="1">
      <c r="A876" s="16"/>
    </row>
    <row r="877" ht="15.75" customHeight="1">
      <c r="A877" s="16"/>
    </row>
    <row r="878" ht="15.75" customHeight="1">
      <c r="A878" s="16"/>
    </row>
    <row r="879" ht="15.75" customHeight="1">
      <c r="A879" s="16"/>
    </row>
    <row r="880" ht="15.75" customHeight="1">
      <c r="A880" s="16"/>
    </row>
    <row r="881" ht="15.75" customHeight="1">
      <c r="A881" s="16"/>
    </row>
    <row r="882" ht="15.75" customHeight="1">
      <c r="A882" s="16"/>
    </row>
    <row r="883" ht="15.75" customHeight="1">
      <c r="A883" s="16"/>
    </row>
    <row r="884" ht="15.75" customHeight="1">
      <c r="A884" s="16"/>
    </row>
    <row r="885" ht="15.75" customHeight="1">
      <c r="A885" s="16"/>
    </row>
    <row r="886" ht="15.75" customHeight="1">
      <c r="A886" s="16"/>
    </row>
    <row r="887" ht="15.75" customHeight="1">
      <c r="A887" s="16"/>
    </row>
    <row r="888" ht="15.75" customHeight="1">
      <c r="A888" s="16"/>
    </row>
    <row r="889" ht="15.75" customHeight="1">
      <c r="A889" s="16"/>
    </row>
    <row r="890" ht="15.75" customHeight="1">
      <c r="A890" s="16"/>
    </row>
    <row r="891" ht="15.75" customHeight="1">
      <c r="A891" s="16"/>
    </row>
    <row r="892" ht="15.75" customHeight="1">
      <c r="A892" s="16"/>
    </row>
    <row r="893" ht="15.75" customHeight="1">
      <c r="A893" s="16"/>
    </row>
    <row r="894" ht="15.75" customHeight="1">
      <c r="A894" s="16"/>
    </row>
    <row r="895" ht="15.75" customHeight="1">
      <c r="A895" s="16"/>
    </row>
    <row r="896" ht="15.75" customHeight="1">
      <c r="A896" s="16"/>
    </row>
    <row r="897" ht="15.75" customHeight="1">
      <c r="A897" s="16"/>
    </row>
    <row r="898" ht="15.75" customHeight="1">
      <c r="A898" s="16"/>
    </row>
    <row r="899" ht="15.75" customHeight="1">
      <c r="A899" s="16"/>
    </row>
    <row r="900" ht="15.75" customHeight="1">
      <c r="A900" s="16"/>
    </row>
    <row r="901" ht="15.75" customHeight="1">
      <c r="A901" s="16"/>
    </row>
    <row r="902" ht="15.75" customHeight="1">
      <c r="A902" s="16"/>
    </row>
    <row r="903" ht="15.75" customHeight="1">
      <c r="A903" s="16"/>
    </row>
    <row r="904" ht="15.75" customHeight="1">
      <c r="A904" s="16"/>
    </row>
    <row r="905" ht="15.75" customHeight="1">
      <c r="A905" s="16"/>
    </row>
    <row r="906" ht="15.75" customHeight="1">
      <c r="A906" s="16"/>
    </row>
    <row r="907" ht="15.75" customHeight="1">
      <c r="A907" s="16"/>
    </row>
    <row r="908" ht="15.75" customHeight="1">
      <c r="A908" s="16"/>
    </row>
    <row r="909" ht="15.75" customHeight="1">
      <c r="A909" s="16"/>
    </row>
    <row r="910" ht="15.75" customHeight="1">
      <c r="A910" s="16"/>
    </row>
    <row r="911" ht="15.75" customHeight="1">
      <c r="A911" s="16"/>
    </row>
    <row r="912" ht="15.75" customHeight="1">
      <c r="A912" s="16"/>
    </row>
    <row r="913" ht="15.75" customHeight="1">
      <c r="A913" s="16"/>
    </row>
    <row r="914" ht="15.75" customHeight="1">
      <c r="A914" s="16"/>
    </row>
    <row r="915" ht="15.75" customHeight="1">
      <c r="A915" s="16"/>
    </row>
    <row r="916" ht="15.75" customHeight="1">
      <c r="A916" s="16"/>
    </row>
    <row r="917" ht="15.75" customHeight="1">
      <c r="A917" s="16"/>
    </row>
    <row r="918" ht="15.75" customHeight="1">
      <c r="A918" s="16"/>
    </row>
    <row r="919" ht="15.75" customHeight="1">
      <c r="A919" s="16"/>
    </row>
    <row r="920" ht="15.75" customHeight="1">
      <c r="A920" s="16"/>
    </row>
    <row r="921" ht="15.75" customHeight="1">
      <c r="A921" s="16"/>
    </row>
    <row r="922" ht="15.75" customHeight="1">
      <c r="A922" s="16"/>
    </row>
    <row r="923" ht="15.75" customHeight="1">
      <c r="A923" s="16"/>
    </row>
    <row r="924" ht="15.75" customHeight="1">
      <c r="A924" s="16"/>
    </row>
    <row r="925" ht="15.75" customHeight="1">
      <c r="A925" s="16"/>
    </row>
    <row r="926" ht="15.75" customHeight="1">
      <c r="A926" s="16"/>
    </row>
    <row r="927" ht="15.75" customHeight="1">
      <c r="A927" s="16"/>
    </row>
    <row r="928" ht="15.75" customHeight="1">
      <c r="A928" s="16"/>
    </row>
    <row r="929" ht="15.75" customHeight="1">
      <c r="A929" s="16"/>
    </row>
    <row r="930" ht="15.75" customHeight="1">
      <c r="A930" s="16"/>
    </row>
    <row r="931" ht="15.75" customHeight="1">
      <c r="A931" s="16"/>
    </row>
    <row r="932" ht="15.75" customHeight="1">
      <c r="A932" s="16"/>
    </row>
    <row r="933" ht="15.75" customHeight="1">
      <c r="A933" s="16"/>
    </row>
    <row r="934" ht="15.75" customHeight="1">
      <c r="A934" s="16"/>
    </row>
    <row r="935" ht="15.75" customHeight="1">
      <c r="A935" s="16"/>
    </row>
    <row r="936" ht="15.75" customHeight="1">
      <c r="A936" s="16"/>
    </row>
    <row r="937" ht="15.75" customHeight="1">
      <c r="A937" s="16"/>
    </row>
    <row r="938" ht="15.75" customHeight="1">
      <c r="A938" s="16"/>
    </row>
    <row r="939" ht="15.75" customHeight="1">
      <c r="A939" s="16"/>
    </row>
    <row r="940" ht="15.75" customHeight="1">
      <c r="A940" s="16"/>
    </row>
    <row r="941" ht="15.75" customHeight="1">
      <c r="A941" s="16"/>
    </row>
    <row r="942" ht="15.75" customHeight="1">
      <c r="A942" s="16"/>
    </row>
    <row r="943" ht="15.75" customHeight="1">
      <c r="A943" s="16"/>
    </row>
    <row r="944" ht="15.75" customHeight="1">
      <c r="A944" s="16"/>
    </row>
    <row r="945" ht="15.75" customHeight="1">
      <c r="A945" s="16"/>
    </row>
    <row r="946" ht="15.75" customHeight="1">
      <c r="A946" s="16"/>
    </row>
    <row r="947" ht="15.75" customHeight="1">
      <c r="A947" s="16"/>
    </row>
    <row r="948" ht="15.75" customHeight="1">
      <c r="A948" s="16"/>
    </row>
    <row r="949" ht="15.75" customHeight="1">
      <c r="A949" s="16"/>
    </row>
    <row r="950" ht="15.75" customHeight="1">
      <c r="A950" s="16"/>
    </row>
    <row r="951" ht="15.75" customHeight="1">
      <c r="A951" s="16"/>
    </row>
    <row r="952" ht="15.75" customHeight="1">
      <c r="A952" s="16"/>
    </row>
    <row r="953" ht="15.75" customHeight="1">
      <c r="A953" s="16"/>
    </row>
    <row r="954" ht="15.75" customHeight="1">
      <c r="A954" s="16"/>
    </row>
    <row r="955" ht="15.75" customHeight="1">
      <c r="A955" s="16"/>
    </row>
    <row r="956" ht="15.75" customHeight="1">
      <c r="A956" s="16"/>
    </row>
    <row r="957" ht="15.75" customHeight="1">
      <c r="A957" s="16"/>
    </row>
    <row r="958" ht="15.75" customHeight="1">
      <c r="A958" s="16"/>
    </row>
    <row r="959" ht="15.75" customHeight="1">
      <c r="A959" s="16"/>
    </row>
    <row r="960" ht="15.75" customHeight="1">
      <c r="A960" s="16"/>
    </row>
    <row r="961" ht="15.75" customHeight="1">
      <c r="A961" s="16"/>
    </row>
    <row r="962" ht="15.75" customHeight="1">
      <c r="A962" s="16"/>
    </row>
    <row r="963" ht="15.75" customHeight="1">
      <c r="A963" s="16"/>
    </row>
    <row r="964" ht="15.75" customHeight="1">
      <c r="A964" s="16"/>
    </row>
    <row r="965" ht="15.75" customHeight="1">
      <c r="A965" s="16"/>
    </row>
    <row r="966" ht="15.75" customHeight="1">
      <c r="A966" s="16"/>
    </row>
    <row r="967" ht="15.75" customHeight="1">
      <c r="A967" s="16"/>
    </row>
    <row r="968" ht="15.75" customHeight="1">
      <c r="A968" s="16"/>
    </row>
    <row r="969" ht="15.75" customHeight="1">
      <c r="A969" s="16"/>
    </row>
    <row r="970" ht="15.75" customHeight="1">
      <c r="A970" s="16"/>
    </row>
    <row r="971" ht="15.75" customHeight="1">
      <c r="A971" s="16"/>
    </row>
    <row r="972" ht="15.75" customHeight="1">
      <c r="A972" s="16"/>
    </row>
    <row r="973" ht="15.75" customHeight="1">
      <c r="A973" s="16"/>
    </row>
    <row r="974" ht="15.75" customHeight="1">
      <c r="A974" s="16"/>
    </row>
    <row r="975" ht="15.75" customHeight="1">
      <c r="A975" s="16"/>
    </row>
    <row r="976" ht="15.75" customHeight="1">
      <c r="A976" s="16"/>
    </row>
    <row r="977" ht="15.75" customHeight="1">
      <c r="A977" s="16"/>
    </row>
    <row r="978" ht="15.75" customHeight="1">
      <c r="A978" s="16"/>
    </row>
    <row r="979" ht="15.75" customHeight="1">
      <c r="A979" s="16"/>
    </row>
    <row r="980" ht="15.75" customHeight="1">
      <c r="A980" s="16"/>
    </row>
    <row r="981" ht="15.75" customHeight="1">
      <c r="A981" s="16"/>
    </row>
    <row r="982" ht="15.75" customHeight="1">
      <c r="A982" s="16"/>
    </row>
    <row r="983" ht="15.75" customHeight="1">
      <c r="A983" s="16"/>
    </row>
    <row r="984" ht="15.75" customHeight="1">
      <c r="A984" s="16"/>
    </row>
    <row r="985" ht="15.75" customHeight="1">
      <c r="A985" s="16"/>
    </row>
    <row r="986" ht="15.75" customHeight="1">
      <c r="A986" s="16"/>
    </row>
    <row r="987" ht="15.75" customHeight="1">
      <c r="A987" s="16"/>
    </row>
    <row r="988" ht="15.75" customHeight="1">
      <c r="A988" s="16"/>
    </row>
    <row r="989" ht="15.75" customHeight="1">
      <c r="A989" s="16"/>
    </row>
    <row r="990" ht="15.75" customHeight="1">
      <c r="A990" s="16"/>
    </row>
    <row r="991" ht="15.75" customHeight="1">
      <c r="A991" s="16"/>
    </row>
    <row r="992" ht="15.75" customHeight="1">
      <c r="A992" s="16"/>
    </row>
    <row r="993" ht="15.75" customHeight="1">
      <c r="A993" s="16"/>
    </row>
    <row r="994" ht="15.75" customHeight="1">
      <c r="A994" s="16"/>
    </row>
    <row r="995" ht="15.75" customHeight="1">
      <c r="A995" s="16"/>
    </row>
    <row r="996" ht="15.75" customHeight="1">
      <c r="A996" s="16"/>
    </row>
    <row r="997" ht="15.75" customHeight="1">
      <c r="A997" s="16"/>
    </row>
    <row r="998" ht="15.75" customHeight="1">
      <c r="A998" s="16"/>
    </row>
    <row r="999" ht="15.75" customHeight="1">
      <c r="A999" s="16"/>
    </row>
    <row r="1000" ht="15.75" customHeight="1">
      <c r="A1000" s="16"/>
    </row>
  </sheetData>
  <mergeCells count="3">
    <mergeCell ref="C10:I10"/>
    <mergeCell ref="C12:I12"/>
    <mergeCell ref="C7:I8"/>
  </mergeCells>
  <printOptions/>
  <pageMargins bottom="0.75" footer="0.0" header="0.0" left="0.7" right="0.7" top="0.75"/>
  <pageSetup scale="95" orientation="landscape"/>
  <headerFooter>
    <oddFooter>&amp;CGUIDED Financial Projections™ | Read Me Instructions developed by Guided Business Plan. All Rights Reserved. GuidedBusinessPlan.com</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fitToPage="1"/>
  </sheetPr>
  <sheetViews>
    <sheetView showGridLines="0" workbookViewId="0"/>
  </sheetViews>
  <sheetFormatPr customHeight="1" defaultColWidth="12.63" defaultRowHeight="15.0"/>
  <cols>
    <col customWidth="1" min="1" max="1" width="2.75"/>
    <col customWidth="1" min="2" max="2" width="26.63"/>
    <col customWidth="1" min="3" max="3" width="12.63"/>
    <col customWidth="1" min="4" max="4" width="10.75"/>
    <col customWidth="1" min="5" max="5" width="10.38"/>
    <col customWidth="1" min="6" max="6" width="10.88"/>
    <col customWidth="1" min="7" max="7" width="8.88"/>
    <col customWidth="1" min="8" max="8" width="13.25"/>
    <col customWidth="1" min="9" max="9" width="9.13"/>
    <col customWidth="1" min="10" max="26" width="7.75"/>
  </cols>
  <sheetData>
    <row r="1" ht="27.75" customHeight="1">
      <c r="A1" s="1" t="s">
        <v>0</v>
      </c>
      <c r="B1" s="1"/>
      <c r="C1" s="1"/>
      <c r="D1" s="1"/>
      <c r="E1" s="1"/>
      <c r="F1" s="1"/>
      <c r="G1" s="1"/>
      <c r="H1" s="2"/>
    </row>
    <row r="2">
      <c r="B2" s="5" t="str">
        <f>IF(ISBLANK(Company_Name),"Financial Projections Questionnaire","Financial Projections Worksheet for "&amp;Company_Name)</f>
        <v>Financial Projections Worksheet for OTW Paints</v>
      </c>
      <c r="H2" s="7"/>
    </row>
    <row r="3">
      <c r="B3" s="9"/>
      <c r="C3" s="11"/>
      <c r="D3" s="11"/>
      <c r="E3" s="11"/>
      <c r="F3" s="11"/>
      <c r="G3" s="11"/>
      <c r="H3" s="13"/>
    </row>
    <row r="4">
      <c r="B4" s="15" t="s">
        <v>3</v>
      </c>
      <c r="C4" s="12"/>
      <c r="D4" s="12"/>
      <c r="H4" s="7"/>
    </row>
    <row r="5">
      <c r="H5" s="7"/>
    </row>
    <row r="6">
      <c r="B6" s="17" t="s">
        <v>4</v>
      </c>
      <c r="C6" s="19"/>
      <c r="D6" s="19"/>
      <c r="E6" s="19"/>
      <c r="F6" s="19"/>
      <c r="G6" s="19"/>
      <c r="H6" s="21"/>
    </row>
    <row r="7">
      <c r="B7" s="23" t="s">
        <v>6</v>
      </c>
      <c r="C7" s="12"/>
      <c r="D7" s="25" t="s">
        <v>7</v>
      </c>
      <c r="E7" s="12"/>
      <c r="F7" s="12"/>
      <c r="G7" s="12"/>
      <c r="H7" s="27"/>
    </row>
    <row r="8">
      <c r="B8" s="29" t="s">
        <v>10</v>
      </c>
      <c r="C8" s="12"/>
      <c r="D8" s="35">
        <v>42370.0</v>
      </c>
      <c r="E8" s="38"/>
      <c r="F8" s="12"/>
      <c r="G8" s="12"/>
      <c r="H8" s="27"/>
    </row>
    <row r="9">
      <c r="B9" s="40"/>
      <c r="C9" s="41"/>
      <c r="D9" s="43"/>
      <c r="E9" s="43"/>
      <c r="F9" s="43"/>
      <c r="G9" s="43"/>
      <c r="H9" s="45"/>
    </row>
    <row r="10">
      <c r="B10" s="17" t="s">
        <v>30</v>
      </c>
      <c r="C10" s="47"/>
      <c r="D10" s="19"/>
      <c r="E10" s="19"/>
      <c r="F10" s="19"/>
      <c r="G10" s="19"/>
      <c r="H10" s="21"/>
    </row>
    <row r="11">
      <c r="B11" s="49" t="s">
        <v>32</v>
      </c>
      <c r="C11" s="12"/>
      <c r="D11" s="12"/>
      <c r="E11" s="12"/>
      <c r="F11" s="12"/>
      <c r="G11" s="12"/>
      <c r="H11" s="27"/>
    </row>
    <row r="12">
      <c r="B12" s="23" t="s">
        <v>35</v>
      </c>
      <c r="C12" s="12"/>
      <c r="D12" s="12"/>
      <c r="E12" s="12"/>
      <c r="F12" s="12"/>
      <c r="G12" s="12"/>
      <c r="H12" s="27"/>
    </row>
    <row r="13" ht="9.0" customHeight="1">
      <c r="B13" s="53"/>
      <c r="C13" s="12"/>
      <c r="D13" s="12"/>
      <c r="E13" s="12"/>
      <c r="F13" s="12"/>
      <c r="G13" s="12"/>
      <c r="H13" s="27"/>
    </row>
    <row r="14">
      <c r="B14" s="23" t="s">
        <v>37</v>
      </c>
      <c r="C14" s="55" t="s">
        <v>38</v>
      </c>
      <c r="D14" s="55" t="s">
        <v>40</v>
      </c>
      <c r="E14" s="55" t="s">
        <v>41</v>
      </c>
      <c r="F14" s="57" t="s">
        <v>42</v>
      </c>
      <c r="G14" s="57" t="s">
        <v>44</v>
      </c>
      <c r="H14" s="59" t="s">
        <v>45</v>
      </c>
    </row>
    <row r="15">
      <c r="A15" s="61">
        <v>1.0</v>
      </c>
      <c r="B15" s="29" t="s">
        <v>46</v>
      </c>
      <c r="C15" s="58" t="s">
        <v>47</v>
      </c>
      <c r="D15" s="63">
        <v>70.0</v>
      </c>
      <c r="E15" s="63">
        <v>22.5</v>
      </c>
      <c r="F15" s="65">
        <f t="shared" ref="F15:F22" si="1">IF(ISBLANK(D15),"",D15-E15)</f>
        <v>47.5</v>
      </c>
      <c r="G15" s="66"/>
      <c r="H15" s="68">
        <v>100.0</v>
      </c>
      <c r="I15" s="69"/>
    </row>
    <row r="16">
      <c r="A16" s="61">
        <v>2.0</v>
      </c>
      <c r="B16" s="29" t="s">
        <v>58</v>
      </c>
      <c r="C16" s="58" t="s">
        <v>59</v>
      </c>
      <c r="D16" s="63">
        <v>15.0</v>
      </c>
      <c r="E16" s="63">
        <v>3.0</v>
      </c>
      <c r="F16" s="65">
        <f t="shared" si="1"/>
        <v>12</v>
      </c>
      <c r="G16" s="66"/>
      <c r="H16" s="68">
        <v>100.0</v>
      </c>
      <c r="I16" s="69"/>
    </row>
    <row r="17">
      <c r="A17" s="61">
        <v>3.0</v>
      </c>
      <c r="B17" s="29"/>
      <c r="C17" s="58"/>
      <c r="D17" s="63">
        <v>0.0</v>
      </c>
      <c r="E17" s="63">
        <v>0.0</v>
      </c>
      <c r="F17" s="65">
        <f t="shared" si="1"/>
        <v>0</v>
      </c>
      <c r="G17" s="66"/>
      <c r="H17" s="68"/>
      <c r="I17" s="69"/>
      <c r="J17" s="69"/>
    </row>
    <row r="18">
      <c r="A18" s="61">
        <v>4.0</v>
      </c>
      <c r="B18" s="29"/>
      <c r="C18" s="58"/>
      <c r="D18" s="63">
        <v>0.0</v>
      </c>
      <c r="E18" s="63">
        <v>0.0</v>
      </c>
      <c r="F18" s="65">
        <f t="shared" si="1"/>
        <v>0</v>
      </c>
      <c r="G18" s="66"/>
      <c r="H18" s="68"/>
      <c r="I18" s="69"/>
    </row>
    <row r="19">
      <c r="A19" s="61">
        <v>5.0</v>
      </c>
      <c r="B19" s="29"/>
      <c r="C19" s="58"/>
      <c r="D19" s="63">
        <v>0.0</v>
      </c>
      <c r="E19" s="63">
        <v>0.0</v>
      </c>
      <c r="F19" s="65">
        <f t="shared" si="1"/>
        <v>0</v>
      </c>
      <c r="G19" s="66"/>
      <c r="H19" s="68"/>
      <c r="I19" s="69"/>
    </row>
    <row r="20">
      <c r="A20" s="61">
        <v>6.0</v>
      </c>
      <c r="B20" s="29"/>
      <c r="C20" s="58"/>
      <c r="D20" s="63">
        <v>0.0</v>
      </c>
      <c r="E20" s="63">
        <v>0.0</v>
      </c>
      <c r="F20" s="65">
        <f t="shared" si="1"/>
        <v>0</v>
      </c>
      <c r="G20" s="66"/>
      <c r="H20" s="68"/>
      <c r="I20" s="12"/>
    </row>
    <row r="21" ht="15.75" customHeight="1">
      <c r="A21" s="61">
        <v>7.0</v>
      </c>
      <c r="B21" s="29"/>
      <c r="C21" s="58"/>
      <c r="D21" s="63">
        <v>0.0</v>
      </c>
      <c r="E21" s="63">
        <v>0.0</v>
      </c>
      <c r="F21" s="65">
        <f t="shared" si="1"/>
        <v>0</v>
      </c>
      <c r="G21" s="66"/>
      <c r="H21" s="68"/>
      <c r="I21" s="69"/>
    </row>
    <row r="22" ht="15.75" customHeight="1">
      <c r="A22" s="61">
        <v>8.0</v>
      </c>
      <c r="B22" s="29"/>
      <c r="C22" s="58"/>
      <c r="D22" s="63">
        <v>0.0</v>
      </c>
      <c r="E22" s="63">
        <v>0.0</v>
      </c>
      <c r="F22" s="65">
        <f t="shared" si="1"/>
        <v>0</v>
      </c>
      <c r="G22" s="66"/>
      <c r="H22" s="68"/>
      <c r="I22" s="12"/>
    </row>
    <row r="23" ht="9.0" customHeight="1">
      <c r="B23" s="53"/>
      <c r="C23" s="12"/>
      <c r="D23" s="12"/>
      <c r="E23" s="16"/>
      <c r="F23" s="16"/>
      <c r="G23" s="16"/>
      <c r="H23" s="27"/>
    </row>
    <row r="24" ht="9.0" customHeight="1">
      <c r="B24" s="53"/>
      <c r="C24" s="12"/>
      <c r="D24" s="12"/>
      <c r="E24" s="16"/>
      <c r="F24" s="16"/>
      <c r="G24" s="16"/>
      <c r="H24" s="27"/>
    </row>
    <row r="25" ht="16.5" customHeight="1">
      <c r="B25" s="70" t="s">
        <v>97</v>
      </c>
      <c r="C25" s="19"/>
      <c r="D25" s="19"/>
      <c r="E25" s="39"/>
      <c r="F25" s="39"/>
      <c r="G25" s="39"/>
      <c r="H25" s="21"/>
    </row>
    <row r="26" ht="16.5" customHeight="1">
      <c r="B26" s="53" t="s">
        <v>102</v>
      </c>
      <c r="C26" s="12"/>
      <c r="D26" s="12"/>
      <c r="E26" s="16"/>
      <c r="F26" s="16"/>
      <c r="G26" s="16"/>
      <c r="H26" s="27"/>
    </row>
    <row r="27" ht="8.25" customHeight="1">
      <c r="B27" s="23"/>
      <c r="C27" s="12"/>
      <c r="D27" s="12"/>
      <c r="E27" s="16"/>
      <c r="F27" s="16"/>
      <c r="G27" s="16"/>
      <c r="H27" s="27"/>
    </row>
    <row r="28" ht="16.5" customHeight="1">
      <c r="B28" s="53"/>
      <c r="C28" s="55" t="s">
        <v>107</v>
      </c>
      <c r="D28" s="57" t="s">
        <v>109</v>
      </c>
      <c r="E28" s="57" t="s">
        <v>110</v>
      </c>
      <c r="F28" s="55" t="s">
        <v>111</v>
      </c>
      <c r="G28" s="25"/>
      <c r="H28" s="71"/>
    </row>
    <row r="29" ht="15.75" customHeight="1">
      <c r="A29" s="16"/>
      <c r="B29" s="72" t="s">
        <v>115</v>
      </c>
      <c r="C29" s="73">
        <v>0.75</v>
      </c>
      <c r="D29" s="73">
        <v>1.1</v>
      </c>
      <c r="E29" s="73">
        <v>1.5</v>
      </c>
      <c r="F29" s="73">
        <v>2.25</v>
      </c>
      <c r="G29" s="74"/>
      <c r="H29" s="75"/>
      <c r="I29" s="16"/>
      <c r="J29" s="16"/>
      <c r="K29" s="16"/>
      <c r="L29" s="16"/>
      <c r="M29" s="16"/>
      <c r="N29" s="16"/>
      <c r="O29" s="16"/>
      <c r="P29" s="16"/>
      <c r="Q29" s="16"/>
      <c r="R29" s="16"/>
      <c r="S29" s="16"/>
      <c r="T29" s="16"/>
      <c r="U29" s="16"/>
      <c r="V29" s="16"/>
      <c r="W29" s="16"/>
      <c r="X29" s="16"/>
      <c r="Y29" s="16"/>
      <c r="Z29" s="16"/>
    </row>
    <row r="30" ht="15.75" customHeight="1">
      <c r="B30" s="72" t="s">
        <v>127</v>
      </c>
      <c r="C30" s="73">
        <v>0.03</v>
      </c>
      <c r="D30" s="73">
        <v>0.03</v>
      </c>
      <c r="E30" s="73">
        <v>0.05</v>
      </c>
      <c r="F30" s="73">
        <v>0.05</v>
      </c>
      <c r="G30" s="74"/>
      <c r="H30" s="76"/>
    </row>
    <row r="31" ht="15.75" customHeight="1">
      <c r="B31" s="72" t="s">
        <v>131</v>
      </c>
      <c r="C31" s="73">
        <v>0.05</v>
      </c>
      <c r="D31" s="73">
        <v>0.05</v>
      </c>
      <c r="E31" s="73">
        <v>0.05</v>
      </c>
      <c r="F31" s="73">
        <v>0.05</v>
      </c>
      <c r="G31" s="74"/>
      <c r="H31" s="76"/>
    </row>
    <row r="32" ht="15.75" customHeight="1">
      <c r="B32" s="77"/>
      <c r="C32" s="78"/>
      <c r="D32" s="78"/>
      <c r="E32" s="43"/>
      <c r="F32" s="43"/>
      <c r="G32" s="43"/>
      <c r="H32" s="45"/>
    </row>
    <row r="33" ht="15.75" customHeight="1">
      <c r="B33" s="17" t="s">
        <v>139</v>
      </c>
      <c r="C33" s="79"/>
      <c r="D33" s="79"/>
      <c r="E33" s="19"/>
      <c r="F33" s="19"/>
      <c r="G33" s="19"/>
      <c r="H33" s="21"/>
    </row>
    <row r="34" ht="15.75" customHeight="1">
      <c r="B34" s="81" t="s">
        <v>143</v>
      </c>
      <c r="C34" s="83"/>
      <c r="D34" s="83"/>
      <c r="E34" s="12"/>
      <c r="F34" s="12"/>
      <c r="G34" s="12"/>
      <c r="H34" s="27"/>
    </row>
    <row r="35" ht="15.75" customHeight="1">
      <c r="B35" s="49" t="s">
        <v>145</v>
      </c>
      <c r="D35" s="12"/>
      <c r="E35" s="12"/>
      <c r="F35" s="12"/>
      <c r="G35" s="12"/>
      <c r="H35" s="27"/>
    </row>
    <row r="36" ht="15.75" customHeight="1">
      <c r="B36" s="86" t="s">
        <v>146</v>
      </c>
      <c r="C36" s="12"/>
      <c r="D36" s="12"/>
      <c r="E36" s="12"/>
      <c r="F36" s="12"/>
      <c r="G36" s="12"/>
      <c r="H36" s="27"/>
    </row>
    <row r="37" ht="15.75" customHeight="1">
      <c r="B37" s="86" t="s">
        <v>147</v>
      </c>
      <c r="C37" s="89">
        <v>1.0</v>
      </c>
      <c r="D37" s="12"/>
      <c r="E37" s="12"/>
      <c r="F37" s="12"/>
      <c r="G37" s="12"/>
      <c r="H37" s="27"/>
    </row>
    <row r="38" ht="15.75" customHeight="1">
      <c r="B38" s="86" t="s">
        <v>148</v>
      </c>
      <c r="C38" s="89">
        <v>0.0</v>
      </c>
      <c r="D38" s="12"/>
      <c r="E38" s="12"/>
      <c r="F38" s="12"/>
      <c r="G38" s="12"/>
      <c r="H38" s="27"/>
    </row>
    <row r="39" ht="15.75" customHeight="1">
      <c r="B39" s="86" t="s">
        <v>149</v>
      </c>
      <c r="C39" s="89">
        <v>0.0</v>
      </c>
      <c r="D39" s="12"/>
      <c r="E39" s="12"/>
      <c r="F39" s="12"/>
      <c r="G39" s="12"/>
      <c r="H39" s="27"/>
    </row>
    <row r="40" ht="15.75" customHeight="1">
      <c r="B40" s="91" t="s">
        <v>150</v>
      </c>
      <c r="C40" s="92">
        <f>SUM(C37:C39)</f>
        <v>1</v>
      </c>
      <c r="D40" s="93" t="str">
        <f>IF(C40=100%,"","This percentage must equal 100%")</f>
        <v/>
      </c>
      <c r="E40" s="12"/>
      <c r="F40" s="12"/>
      <c r="G40" s="12"/>
      <c r="H40" s="27"/>
    </row>
    <row r="41" ht="15.75" customHeight="1">
      <c r="B41" s="81" t="s">
        <v>151</v>
      </c>
      <c r="C41" s="12"/>
      <c r="D41" s="12"/>
      <c r="E41" s="12"/>
      <c r="F41" s="12"/>
      <c r="G41" s="12"/>
      <c r="H41" s="27"/>
    </row>
    <row r="42" ht="15.75" customHeight="1">
      <c r="B42" s="49" t="s">
        <v>152</v>
      </c>
      <c r="C42" s="12"/>
      <c r="E42" s="12"/>
      <c r="F42" s="12"/>
      <c r="G42" s="12"/>
      <c r="H42" s="27"/>
    </row>
    <row r="43" ht="15.75" customHeight="1">
      <c r="B43" s="86" t="s">
        <v>153</v>
      </c>
      <c r="C43" s="12"/>
      <c r="D43" s="12"/>
      <c r="E43" s="12"/>
      <c r="F43" s="12"/>
      <c r="G43" s="12"/>
      <c r="H43" s="27"/>
    </row>
    <row r="44" ht="15.75" customHeight="1">
      <c r="B44" s="86" t="s">
        <v>147</v>
      </c>
      <c r="C44" s="89">
        <v>1.0</v>
      </c>
      <c r="D44" s="12"/>
      <c r="E44" s="12"/>
      <c r="F44" s="12"/>
      <c r="G44" s="12"/>
      <c r="H44" s="27"/>
    </row>
    <row r="45" ht="15.75" customHeight="1">
      <c r="B45" s="86" t="s">
        <v>148</v>
      </c>
      <c r="C45" s="89">
        <v>0.0</v>
      </c>
      <c r="D45" s="12"/>
      <c r="E45" s="12"/>
      <c r="F45" s="12"/>
      <c r="G45" s="12"/>
      <c r="H45" s="27"/>
    </row>
    <row r="46" ht="15.75" customHeight="1">
      <c r="B46" s="86" t="s">
        <v>149</v>
      </c>
      <c r="C46" s="89">
        <v>0.0</v>
      </c>
      <c r="D46" s="12"/>
      <c r="E46" s="12"/>
      <c r="F46" s="12"/>
      <c r="G46" s="12"/>
      <c r="H46" s="27"/>
    </row>
    <row r="47" ht="15.75" customHeight="1">
      <c r="B47" s="94" t="s">
        <v>154</v>
      </c>
      <c r="C47" s="95">
        <f>SUM(C44:C46)</f>
        <v>1</v>
      </c>
      <c r="D47" s="93" t="str">
        <f>IF(C47=100%,"","This percentage must equal 100%")</f>
        <v/>
      </c>
      <c r="E47" s="43"/>
      <c r="F47" s="43"/>
      <c r="G47" s="43"/>
      <c r="H47" s="45"/>
    </row>
    <row r="48" ht="15.75" customHeight="1">
      <c r="B48" s="17" t="s">
        <v>155</v>
      </c>
      <c r="C48" s="96"/>
      <c r="D48" s="47"/>
      <c r="E48" s="19"/>
      <c r="F48" s="19"/>
      <c r="G48" s="19"/>
      <c r="H48" s="21"/>
    </row>
    <row r="49" ht="15.75" customHeight="1">
      <c r="B49" s="53" t="s">
        <v>156</v>
      </c>
      <c r="C49" s="12"/>
      <c r="D49" s="97">
        <v>10000.0</v>
      </c>
      <c r="E49" s="12"/>
      <c r="F49" s="12"/>
      <c r="G49" s="12"/>
      <c r="H49" s="27"/>
    </row>
    <row r="50" ht="15.75" customHeight="1">
      <c r="B50" s="53" t="s">
        <v>157</v>
      </c>
      <c r="C50" s="12"/>
      <c r="D50" s="97">
        <v>0.0</v>
      </c>
      <c r="E50" s="12"/>
      <c r="F50" s="12"/>
      <c r="G50" s="12"/>
      <c r="H50" s="27"/>
    </row>
    <row r="51" ht="15.75" customHeight="1">
      <c r="B51" s="53" t="s">
        <v>158</v>
      </c>
      <c r="C51" s="12"/>
      <c r="D51" s="97">
        <v>20000.0</v>
      </c>
      <c r="E51" s="12"/>
      <c r="F51" s="12"/>
      <c r="G51" s="12"/>
      <c r="H51" s="27"/>
    </row>
    <row r="52" ht="15.75" customHeight="1">
      <c r="B52" s="40" t="s">
        <v>159</v>
      </c>
      <c r="C52" s="43"/>
      <c r="D52" s="97">
        <v>40000.0</v>
      </c>
      <c r="E52" s="43"/>
      <c r="F52" s="43"/>
      <c r="G52" s="43"/>
      <c r="H52" s="45"/>
    </row>
    <row r="53" ht="15.75" customHeight="1">
      <c r="B53" s="17" t="s">
        <v>160</v>
      </c>
      <c r="C53" s="19"/>
      <c r="D53" s="19"/>
      <c r="E53" s="19"/>
      <c r="F53" s="19"/>
      <c r="G53" s="19"/>
      <c r="H53" s="21"/>
    </row>
    <row r="54" ht="15.75" customHeight="1">
      <c r="B54" s="53" t="s">
        <v>161</v>
      </c>
      <c r="C54" s="12"/>
      <c r="D54" s="12"/>
      <c r="E54" s="98">
        <v>0.0</v>
      </c>
      <c r="F54" s="99">
        <f>ROUNDDOWN(Projected_Start_Date+(365*Amortiz_Years)-1,0)</f>
        <v>42369</v>
      </c>
      <c r="G54" s="99"/>
      <c r="H54" s="27"/>
    </row>
    <row r="55" ht="15.75" customHeight="1">
      <c r="B55" s="40" t="s">
        <v>162</v>
      </c>
      <c r="C55" s="43"/>
      <c r="D55" s="43"/>
      <c r="E55" s="100">
        <f>IFERROR(IF(ISBLANK(Amortiz_Years),0,START_PreOperatingCosts/(12*Amortiz_Years)),0)</f>
        <v>0</v>
      </c>
      <c r="F55" s="43"/>
      <c r="G55" s="43"/>
      <c r="H55" s="45"/>
    </row>
    <row r="56" ht="15.75" customHeight="1">
      <c r="B56" s="101" t="s">
        <v>163</v>
      </c>
      <c r="C56" s="19"/>
      <c r="D56" s="19"/>
      <c r="E56" s="19"/>
      <c r="F56" s="19"/>
      <c r="G56" s="19"/>
      <c r="H56" s="21"/>
    </row>
    <row r="57" ht="15.75" customHeight="1">
      <c r="B57" s="53" t="s">
        <v>164</v>
      </c>
      <c r="C57" s="12"/>
      <c r="D57" s="12"/>
      <c r="E57" s="12"/>
      <c r="F57" s="102"/>
      <c r="G57" s="103"/>
      <c r="H57" s="27"/>
    </row>
    <row r="58" ht="15.75" customHeight="1">
      <c r="B58" s="53" t="s">
        <v>165</v>
      </c>
      <c r="C58" s="12"/>
      <c r="D58" s="12"/>
      <c r="E58" s="12"/>
      <c r="F58" s="102"/>
      <c r="G58" s="103"/>
      <c r="H58" s="27"/>
    </row>
    <row r="59" ht="15.75" customHeight="1">
      <c r="A59" s="104"/>
      <c r="B59" s="105" t="s">
        <v>166</v>
      </c>
      <c r="C59" s="104"/>
      <c r="D59" s="104"/>
      <c r="E59" s="104"/>
      <c r="F59" s="104"/>
      <c r="G59" s="104"/>
      <c r="H59" s="106"/>
      <c r="I59" s="104"/>
      <c r="J59" s="104"/>
      <c r="K59" s="104"/>
      <c r="L59" s="104"/>
      <c r="M59" s="104"/>
      <c r="N59" s="104"/>
      <c r="O59" s="104"/>
      <c r="P59" s="104"/>
      <c r="Q59" s="104"/>
      <c r="R59" s="104"/>
      <c r="S59" s="104"/>
      <c r="T59" s="104"/>
      <c r="U59" s="104"/>
      <c r="V59" s="104"/>
      <c r="W59" s="104"/>
      <c r="X59" s="104"/>
      <c r="Y59" s="104"/>
      <c r="Z59" s="104"/>
    </row>
    <row r="60" ht="15.75" customHeight="1">
      <c r="A60" s="104"/>
      <c r="B60" s="107" t="s">
        <v>167</v>
      </c>
      <c r="C60" s="108">
        <v>0.0</v>
      </c>
      <c r="D60" s="104"/>
      <c r="E60" s="104"/>
      <c r="F60" s="104"/>
      <c r="G60" s="104"/>
      <c r="H60" s="106"/>
      <c r="I60" s="104"/>
      <c r="J60" s="104"/>
      <c r="K60" s="104"/>
      <c r="L60" s="104"/>
      <c r="M60" s="104"/>
      <c r="N60" s="104"/>
      <c r="O60" s="104"/>
      <c r="P60" s="104"/>
      <c r="Q60" s="104"/>
      <c r="R60" s="104"/>
      <c r="S60" s="104"/>
      <c r="T60" s="104"/>
      <c r="U60" s="104"/>
      <c r="V60" s="104"/>
      <c r="W60" s="104"/>
      <c r="X60" s="104"/>
      <c r="Y60" s="104"/>
      <c r="Z60" s="104"/>
    </row>
    <row r="61" ht="15.75" customHeight="1">
      <c r="A61" s="104"/>
      <c r="B61" s="107" t="s">
        <v>168</v>
      </c>
      <c r="C61" s="108">
        <v>0.0</v>
      </c>
      <c r="D61" s="104"/>
      <c r="E61" s="104"/>
      <c r="F61" s="104"/>
      <c r="G61" s="104"/>
      <c r="H61" s="106"/>
      <c r="I61" s="104"/>
      <c r="J61" s="104"/>
      <c r="K61" s="104"/>
      <c r="L61" s="104"/>
      <c r="M61" s="104"/>
      <c r="N61" s="104"/>
      <c r="O61" s="104"/>
      <c r="P61" s="104"/>
      <c r="Q61" s="104"/>
      <c r="R61" s="104"/>
      <c r="S61" s="104"/>
      <c r="T61" s="104"/>
      <c r="U61" s="104"/>
      <c r="V61" s="104"/>
      <c r="W61" s="104"/>
      <c r="X61" s="104"/>
      <c r="Y61" s="104"/>
      <c r="Z61" s="104"/>
    </row>
    <row r="62" ht="15.75" customHeight="1">
      <c r="A62" s="104"/>
      <c r="B62" s="107" t="s">
        <v>169</v>
      </c>
      <c r="C62" s="108">
        <v>0.0</v>
      </c>
      <c r="D62" s="104"/>
      <c r="E62" s="104"/>
      <c r="F62" s="104"/>
      <c r="G62" s="104"/>
      <c r="H62" s="106"/>
      <c r="I62" s="104"/>
      <c r="J62" s="104"/>
      <c r="K62" s="104"/>
      <c r="L62" s="104"/>
      <c r="M62" s="104"/>
      <c r="N62" s="104"/>
      <c r="O62" s="104"/>
      <c r="P62" s="104"/>
      <c r="Q62" s="104"/>
      <c r="R62" s="104"/>
      <c r="S62" s="104"/>
      <c r="T62" s="104"/>
      <c r="U62" s="104"/>
      <c r="V62" s="104"/>
      <c r="W62" s="104"/>
      <c r="X62" s="104"/>
      <c r="Y62" s="104"/>
      <c r="Z62" s="104"/>
    </row>
    <row r="63" ht="15.75" customHeight="1">
      <c r="A63" s="104"/>
      <c r="B63" s="107" t="s">
        <v>170</v>
      </c>
      <c r="C63" s="108">
        <v>0.0</v>
      </c>
      <c r="D63" s="108"/>
      <c r="E63" s="104"/>
      <c r="F63" s="104"/>
      <c r="G63" s="104"/>
      <c r="H63" s="106"/>
      <c r="I63" s="104"/>
      <c r="J63" s="104"/>
      <c r="K63" s="104"/>
      <c r="L63" s="104"/>
      <c r="M63" s="104"/>
      <c r="N63" s="104"/>
      <c r="O63" s="104"/>
      <c r="P63" s="104"/>
      <c r="Q63" s="104"/>
      <c r="R63" s="104"/>
      <c r="S63" s="104"/>
      <c r="T63" s="104"/>
      <c r="U63" s="104"/>
      <c r="V63" s="104"/>
      <c r="W63" s="104"/>
      <c r="X63" s="104"/>
      <c r="Y63" s="104"/>
      <c r="Z63" s="104"/>
    </row>
    <row r="64" ht="15.75" customHeight="1">
      <c r="A64" s="104"/>
      <c r="B64" s="107" t="s">
        <v>171</v>
      </c>
      <c r="C64" s="108"/>
      <c r="D64" s="104"/>
      <c r="E64" s="104"/>
      <c r="F64" s="104"/>
      <c r="G64" s="104"/>
      <c r="H64" s="106"/>
      <c r="I64" s="104"/>
      <c r="J64" s="104"/>
      <c r="K64" s="104"/>
      <c r="L64" s="104"/>
      <c r="M64" s="104"/>
      <c r="N64" s="104"/>
      <c r="O64" s="104"/>
      <c r="P64" s="104"/>
      <c r="Q64" s="104"/>
      <c r="R64" s="104"/>
      <c r="S64" s="104"/>
      <c r="T64" s="104"/>
      <c r="U64" s="104"/>
      <c r="V64" s="104"/>
      <c r="W64" s="104"/>
      <c r="X64" s="104"/>
      <c r="Y64" s="104"/>
      <c r="Z64" s="104"/>
    </row>
    <row r="65" ht="15.75" customHeight="1">
      <c r="A65" s="104"/>
      <c r="B65" s="109" t="s">
        <v>172</v>
      </c>
      <c r="C65" s="110"/>
      <c r="D65" s="111"/>
      <c r="E65" s="111"/>
      <c r="F65" s="111"/>
      <c r="G65" s="111"/>
      <c r="H65" s="112"/>
      <c r="I65" s="104"/>
      <c r="J65" s="104"/>
      <c r="K65" s="104"/>
      <c r="L65" s="104"/>
      <c r="M65" s="104"/>
      <c r="N65" s="104"/>
      <c r="O65" s="104"/>
      <c r="P65" s="104"/>
      <c r="Q65" s="104"/>
      <c r="R65" s="104"/>
      <c r="S65" s="104"/>
      <c r="T65" s="104"/>
      <c r="U65" s="104"/>
      <c r="V65" s="104"/>
      <c r="W65" s="104"/>
      <c r="X65" s="104"/>
      <c r="Y65" s="104"/>
      <c r="Z65" s="104"/>
    </row>
    <row r="66" ht="15.75" customHeight="1">
      <c r="H66" s="7"/>
    </row>
    <row r="67" ht="15.75" customHeight="1">
      <c r="H67" s="7"/>
    </row>
    <row r="68" ht="15.75" customHeight="1">
      <c r="H68" s="7"/>
    </row>
    <row r="69" ht="15.75" customHeight="1">
      <c r="H69" s="7"/>
    </row>
    <row r="70" ht="15.75" customHeight="1">
      <c r="H70" s="7"/>
    </row>
    <row r="71" ht="15.75" customHeight="1">
      <c r="H71" s="7"/>
    </row>
    <row r="72" ht="15.75" customHeight="1">
      <c r="H72" s="7"/>
    </row>
    <row r="73" ht="15.75" customHeight="1">
      <c r="H73" s="7"/>
    </row>
    <row r="74" ht="15.75" customHeight="1">
      <c r="H74" s="7"/>
    </row>
    <row r="75" ht="15.75" customHeight="1">
      <c r="H75" s="7"/>
    </row>
    <row r="76" ht="15.75" customHeight="1">
      <c r="H76" s="7"/>
    </row>
    <row r="77" ht="15.75" customHeight="1">
      <c r="H77" s="7"/>
    </row>
    <row r="78" ht="15.75" customHeight="1">
      <c r="H78" s="7"/>
    </row>
    <row r="79" ht="15.75" customHeight="1">
      <c r="H79" s="7"/>
    </row>
    <row r="80" ht="15.75" customHeight="1">
      <c r="H80" s="7"/>
    </row>
    <row r="81" ht="15.75" customHeight="1">
      <c r="H81" s="7"/>
    </row>
    <row r="82" ht="15.75" customHeight="1">
      <c r="H82" s="7"/>
    </row>
    <row r="83" ht="15.75" customHeight="1">
      <c r="H83" s="7"/>
    </row>
    <row r="84" ht="15.75" customHeight="1">
      <c r="H84" s="7"/>
    </row>
    <row r="85" ht="15.75" customHeight="1">
      <c r="H85" s="7"/>
    </row>
    <row r="86" ht="15.75" customHeight="1">
      <c r="H86" s="7"/>
    </row>
    <row r="87" ht="15.75" customHeight="1">
      <c r="H87" s="7"/>
    </row>
    <row r="88" ht="15.75" customHeight="1">
      <c r="H88" s="7"/>
    </row>
    <row r="89" ht="15.75" customHeight="1">
      <c r="H89" s="7"/>
    </row>
    <row r="90" ht="15.75" customHeight="1">
      <c r="H90" s="7"/>
    </row>
    <row r="91" ht="15.75" customHeight="1">
      <c r="H91" s="7"/>
    </row>
    <row r="92" ht="15.75" customHeight="1">
      <c r="H92" s="7"/>
    </row>
    <row r="93" ht="15.75" customHeight="1">
      <c r="H93" s="7"/>
    </row>
    <row r="94" ht="15.75" customHeight="1">
      <c r="H94" s="7"/>
    </row>
    <row r="95" ht="15.75" customHeight="1">
      <c r="H95" s="7"/>
    </row>
    <row r="96" ht="15.75" customHeight="1">
      <c r="H96" s="7"/>
    </row>
    <row r="97" ht="15.75" customHeight="1">
      <c r="H97" s="7"/>
    </row>
    <row r="98" ht="15.75" customHeight="1">
      <c r="H98" s="7"/>
    </row>
    <row r="99" ht="15.75" customHeight="1">
      <c r="H99" s="7"/>
    </row>
    <row r="100" ht="15.75" customHeight="1">
      <c r="H100" s="7"/>
    </row>
    <row r="101" ht="15.75" customHeight="1">
      <c r="H101" s="7"/>
    </row>
    <row r="102" ht="15.75" customHeight="1">
      <c r="H102" s="7"/>
    </row>
    <row r="103" ht="15.75" customHeight="1">
      <c r="H103" s="7"/>
    </row>
    <row r="104" ht="15.75" customHeight="1">
      <c r="H104" s="7"/>
    </row>
    <row r="105" ht="15.75" customHeight="1">
      <c r="H105" s="7"/>
    </row>
    <row r="106" ht="15.75" customHeight="1">
      <c r="H106" s="7"/>
    </row>
    <row r="107" ht="15.75" customHeight="1">
      <c r="H107" s="7"/>
    </row>
    <row r="108" ht="15.75" customHeight="1">
      <c r="H108" s="7"/>
    </row>
    <row r="109" ht="15.75" customHeight="1">
      <c r="H109" s="7"/>
    </row>
    <row r="110" ht="15.75" customHeight="1">
      <c r="H110" s="7"/>
    </row>
    <row r="111" ht="15.75" customHeight="1">
      <c r="H111" s="7"/>
    </row>
    <row r="112" ht="15.75" customHeight="1">
      <c r="H112" s="7"/>
    </row>
    <row r="113" ht="15.75" customHeight="1">
      <c r="H113" s="7"/>
    </row>
    <row r="114" ht="15.75" customHeight="1">
      <c r="H114" s="7"/>
    </row>
    <row r="115" ht="15.75" customHeight="1">
      <c r="H115" s="7"/>
    </row>
    <row r="116" ht="15.75" customHeight="1">
      <c r="H116" s="7"/>
    </row>
    <row r="117" ht="15.75" customHeight="1">
      <c r="H117" s="7"/>
    </row>
    <row r="118" ht="15.75" customHeight="1">
      <c r="H118" s="7"/>
    </row>
    <row r="119" ht="15.75" customHeight="1">
      <c r="H119" s="7"/>
    </row>
    <row r="120" ht="15.75" customHeight="1">
      <c r="H120" s="7"/>
    </row>
    <row r="121" ht="15.75" customHeight="1">
      <c r="H121" s="7"/>
    </row>
    <row r="122" ht="15.75" customHeight="1">
      <c r="H122" s="7"/>
    </row>
    <row r="123" ht="15.75" customHeight="1">
      <c r="H123" s="7"/>
    </row>
    <row r="124" ht="15.75" customHeight="1">
      <c r="H124" s="7"/>
    </row>
    <row r="125" ht="15.75" customHeight="1">
      <c r="H125" s="7"/>
    </row>
    <row r="126" ht="15.75" customHeight="1">
      <c r="H126" s="7"/>
    </row>
    <row r="127" ht="15.75" customHeight="1">
      <c r="H127" s="7"/>
    </row>
    <row r="128" ht="15.75" customHeight="1">
      <c r="H128" s="7"/>
    </row>
    <row r="129" ht="15.75" customHeight="1">
      <c r="H129" s="7"/>
    </row>
    <row r="130" ht="15.75" customHeight="1">
      <c r="H130" s="7"/>
    </row>
    <row r="131" ht="15.75" customHeight="1">
      <c r="H131" s="7"/>
    </row>
    <row r="132" ht="15.75" customHeight="1">
      <c r="H132" s="7"/>
    </row>
    <row r="133" ht="15.75" customHeight="1">
      <c r="H133" s="7"/>
    </row>
    <row r="134" ht="15.75" customHeight="1">
      <c r="H134" s="7"/>
    </row>
    <row r="135" ht="15.75" customHeight="1">
      <c r="H135" s="7"/>
    </row>
    <row r="136" ht="15.75" customHeight="1">
      <c r="H136" s="7"/>
    </row>
    <row r="137" ht="15.75" customHeight="1">
      <c r="H137" s="7"/>
    </row>
    <row r="138" ht="15.75" customHeight="1">
      <c r="H138" s="7"/>
    </row>
    <row r="139" ht="15.75" customHeight="1">
      <c r="H139" s="7"/>
    </row>
    <row r="140" ht="15.75" customHeight="1">
      <c r="H140" s="7"/>
    </row>
    <row r="141" ht="15.75" customHeight="1">
      <c r="H141" s="7"/>
    </row>
    <row r="142" ht="15.75" customHeight="1">
      <c r="H142" s="7"/>
    </row>
    <row r="143" ht="15.75" customHeight="1">
      <c r="H143" s="7"/>
    </row>
    <row r="144" ht="15.75" customHeight="1">
      <c r="H144" s="7"/>
    </row>
    <row r="145" ht="15.75" customHeight="1">
      <c r="H145" s="7"/>
    </row>
    <row r="146" ht="15.75" customHeight="1">
      <c r="H146" s="7"/>
    </row>
    <row r="147" ht="15.75" customHeight="1">
      <c r="H147" s="7"/>
    </row>
    <row r="148" ht="15.75" customHeight="1">
      <c r="H148" s="7"/>
    </row>
    <row r="149" ht="15.75" customHeight="1">
      <c r="H149" s="7"/>
    </row>
    <row r="150" ht="15.75" customHeight="1">
      <c r="H150" s="7"/>
    </row>
    <row r="151" ht="15.75" customHeight="1">
      <c r="H151" s="7"/>
    </row>
    <row r="152" ht="15.75" customHeight="1">
      <c r="H152" s="7"/>
    </row>
    <row r="153" ht="15.75" customHeight="1">
      <c r="H153" s="7"/>
    </row>
    <row r="154" ht="15.75" customHeight="1">
      <c r="H154" s="7"/>
    </row>
    <row r="155" ht="15.75" customHeight="1">
      <c r="H155" s="7"/>
    </row>
    <row r="156" ht="15.75" customHeight="1">
      <c r="H156" s="7"/>
    </row>
    <row r="157" ht="15.75" customHeight="1">
      <c r="H157" s="7"/>
    </row>
    <row r="158" ht="15.75" customHeight="1">
      <c r="H158" s="7"/>
    </row>
    <row r="159" ht="15.75" customHeight="1">
      <c r="H159" s="7"/>
    </row>
    <row r="160" ht="15.75" customHeight="1">
      <c r="H160" s="7"/>
    </row>
    <row r="161" ht="15.75" customHeight="1">
      <c r="H161" s="7"/>
    </row>
    <row r="162" ht="15.75" customHeight="1">
      <c r="H162" s="7"/>
    </row>
    <row r="163" ht="15.75" customHeight="1">
      <c r="H163" s="7"/>
    </row>
    <row r="164" ht="15.75" customHeight="1">
      <c r="H164" s="7"/>
    </row>
    <row r="165" ht="15.75" customHeight="1">
      <c r="H165" s="7"/>
    </row>
    <row r="166" ht="15.75" customHeight="1">
      <c r="H166" s="7"/>
    </row>
    <row r="167" ht="15.75" customHeight="1">
      <c r="H167" s="7"/>
    </row>
    <row r="168" ht="15.75" customHeight="1">
      <c r="H168" s="7"/>
    </row>
    <row r="169" ht="15.75" customHeight="1">
      <c r="H169" s="7"/>
    </row>
    <row r="170" ht="15.75" customHeight="1">
      <c r="H170" s="7"/>
    </row>
    <row r="171" ht="15.75" customHeight="1">
      <c r="H171" s="7"/>
    </row>
    <row r="172" ht="15.75" customHeight="1">
      <c r="H172" s="7"/>
    </row>
    <row r="173" ht="15.75" customHeight="1">
      <c r="H173" s="7"/>
    </row>
    <row r="174" ht="15.75" customHeight="1">
      <c r="H174" s="7"/>
    </row>
    <row r="175" ht="15.75" customHeight="1">
      <c r="H175" s="7"/>
    </row>
    <row r="176" ht="15.75" customHeight="1">
      <c r="H176" s="7"/>
    </row>
    <row r="177" ht="15.75" customHeight="1">
      <c r="H177" s="7"/>
    </row>
    <row r="178" ht="15.75" customHeight="1">
      <c r="H178" s="7"/>
    </row>
    <row r="179" ht="15.75" customHeight="1">
      <c r="H179" s="7"/>
    </row>
    <row r="180" ht="15.75" customHeight="1">
      <c r="H180" s="7"/>
    </row>
    <row r="181" ht="15.75" customHeight="1">
      <c r="H181" s="7"/>
    </row>
    <row r="182" ht="15.75" customHeight="1">
      <c r="H182" s="7"/>
    </row>
    <row r="183" ht="15.75" customHeight="1">
      <c r="H183" s="7"/>
    </row>
    <row r="184" ht="15.75" customHeight="1">
      <c r="H184" s="7"/>
    </row>
    <row r="185" ht="15.75" customHeight="1">
      <c r="H185" s="7"/>
    </row>
    <row r="186" ht="15.75" customHeight="1">
      <c r="H186" s="7"/>
    </row>
    <row r="187" ht="15.75" customHeight="1">
      <c r="H187" s="7"/>
    </row>
    <row r="188" ht="15.75" customHeight="1">
      <c r="H188" s="7"/>
    </row>
    <row r="189" ht="15.75" customHeight="1">
      <c r="H189" s="7"/>
    </row>
    <row r="190" ht="15.75" customHeight="1">
      <c r="H190" s="7"/>
    </row>
    <row r="191" ht="15.75" customHeight="1">
      <c r="H191" s="7"/>
    </row>
    <row r="192" ht="15.75" customHeight="1">
      <c r="H192" s="7"/>
    </row>
    <row r="193" ht="15.75" customHeight="1">
      <c r="H193" s="7"/>
    </row>
    <row r="194" ht="15.75" customHeight="1">
      <c r="H194" s="7"/>
    </row>
    <row r="195" ht="15.75" customHeight="1">
      <c r="H195" s="7"/>
    </row>
    <row r="196" ht="15.75" customHeight="1">
      <c r="H196" s="7"/>
    </row>
    <row r="197" ht="15.75" customHeight="1">
      <c r="H197" s="7"/>
    </row>
    <row r="198" ht="15.75" customHeight="1">
      <c r="H198" s="7"/>
    </row>
    <row r="199" ht="15.75" customHeight="1">
      <c r="H199" s="7"/>
    </row>
    <row r="200" ht="15.75" customHeight="1">
      <c r="H200" s="7"/>
    </row>
    <row r="201" ht="15.75" customHeight="1">
      <c r="H201" s="7"/>
    </row>
    <row r="202" ht="15.75" customHeight="1">
      <c r="H202" s="7"/>
    </row>
    <row r="203" ht="15.75" customHeight="1">
      <c r="H203" s="7"/>
    </row>
    <row r="204" ht="15.75" customHeight="1">
      <c r="H204" s="7"/>
    </row>
    <row r="205" ht="15.75" customHeight="1">
      <c r="H205" s="7"/>
    </row>
    <row r="206" ht="15.75" customHeight="1">
      <c r="H206" s="7"/>
    </row>
    <row r="207" ht="15.75" customHeight="1">
      <c r="H207" s="7"/>
    </row>
    <row r="208" ht="15.75" customHeight="1">
      <c r="H208" s="7"/>
    </row>
    <row r="209" ht="15.75" customHeight="1">
      <c r="H209" s="7"/>
    </row>
    <row r="210" ht="15.75" customHeight="1">
      <c r="H210" s="7"/>
    </row>
    <row r="211" ht="15.75" customHeight="1">
      <c r="H211" s="7"/>
    </row>
    <row r="212" ht="15.75" customHeight="1">
      <c r="H212" s="7"/>
    </row>
    <row r="213" ht="15.75" customHeight="1">
      <c r="H213" s="7"/>
    </row>
    <row r="214" ht="15.75" customHeight="1">
      <c r="H214" s="7"/>
    </row>
    <row r="215" ht="15.75" customHeight="1">
      <c r="H215" s="7"/>
    </row>
    <row r="216" ht="15.75" customHeight="1">
      <c r="H216" s="7"/>
    </row>
    <row r="217" ht="15.75" customHeight="1">
      <c r="H217" s="7"/>
    </row>
    <row r="218" ht="15.75" customHeight="1">
      <c r="H218" s="7"/>
    </row>
    <row r="219" ht="15.75" customHeight="1">
      <c r="H219" s="7"/>
    </row>
    <row r="220" ht="15.75" customHeight="1">
      <c r="H220" s="7"/>
    </row>
    <row r="221" ht="15.75" customHeight="1">
      <c r="H221" s="7"/>
    </row>
    <row r="222" ht="15.75" customHeight="1">
      <c r="H222" s="7"/>
    </row>
    <row r="223" ht="15.75" customHeight="1">
      <c r="H223" s="7"/>
    </row>
    <row r="224" ht="15.75" customHeight="1">
      <c r="H224" s="7"/>
    </row>
    <row r="225" ht="15.75" customHeight="1">
      <c r="H225" s="7"/>
    </row>
    <row r="226" ht="15.75" customHeight="1">
      <c r="H226" s="7"/>
    </row>
    <row r="227" ht="15.75" customHeight="1">
      <c r="H227" s="7"/>
    </row>
    <row r="228" ht="15.75" customHeight="1">
      <c r="H228" s="7"/>
    </row>
    <row r="229" ht="15.75" customHeight="1">
      <c r="H229" s="7"/>
    </row>
    <row r="230" ht="15.75" customHeight="1">
      <c r="H230" s="7"/>
    </row>
    <row r="231" ht="15.75" customHeight="1">
      <c r="H231" s="7"/>
    </row>
    <row r="232" ht="15.75" customHeight="1">
      <c r="H232" s="7"/>
    </row>
    <row r="233" ht="15.75" customHeight="1">
      <c r="H233" s="7"/>
    </row>
    <row r="234" ht="15.75" customHeight="1">
      <c r="H234" s="7"/>
    </row>
    <row r="235" ht="15.75" customHeight="1">
      <c r="H235" s="7"/>
    </row>
    <row r="236" ht="15.75" customHeight="1">
      <c r="H236" s="7"/>
    </row>
    <row r="237" ht="15.75" customHeight="1">
      <c r="H237" s="7"/>
    </row>
    <row r="238" ht="15.75" customHeight="1">
      <c r="H238" s="7"/>
    </row>
    <row r="239" ht="15.75" customHeight="1">
      <c r="H239" s="7"/>
    </row>
    <row r="240" ht="15.75" customHeight="1">
      <c r="H240" s="7"/>
    </row>
    <row r="241" ht="15.75" customHeight="1">
      <c r="H241" s="7"/>
    </row>
    <row r="242" ht="15.75" customHeight="1">
      <c r="H242" s="7"/>
    </row>
    <row r="243" ht="15.75" customHeight="1">
      <c r="H243" s="7"/>
    </row>
    <row r="244" ht="15.75" customHeight="1">
      <c r="H244" s="7"/>
    </row>
    <row r="245" ht="15.75" customHeight="1">
      <c r="H245" s="7"/>
    </row>
    <row r="246" ht="15.75" customHeight="1">
      <c r="H246" s="7"/>
    </row>
    <row r="247" ht="15.75" customHeight="1">
      <c r="H247" s="7"/>
    </row>
    <row r="248" ht="15.75" customHeight="1">
      <c r="H248" s="7"/>
    </row>
    <row r="249" ht="15.75" customHeight="1">
      <c r="H249" s="7"/>
    </row>
    <row r="250" ht="15.75" customHeight="1">
      <c r="H250" s="7"/>
    </row>
    <row r="251" ht="15.75" customHeight="1">
      <c r="H251" s="7"/>
    </row>
    <row r="252" ht="15.75" customHeight="1">
      <c r="H252" s="7"/>
    </row>
    <row r="253" ht="15.75" customHeight="1">
      <c r="H253" s="7"/>
    </row>
    <row r="254" ht="15.75" customHeight="1">
      <c r="H254" s="7"/>
    </row>
    <row r="255" ht="15.75" customHeight="1">
      <c r="H255" s="7"/>
    </row>
    <row r="256" ht="15.75" customHeight="1">
      <c r="H256" s="7"/>
    </row>
    <row r="257" ht="15.75" customHeight="1">
      <c r="H257" s="7"/>
    </row>
    <row r="258" ht="15.75" customHeight="1">
      <c r="H258" s="7"/>
    </row>
    <row r="259" ht="15.75" customHeight="1">
      <c r="H259" s="7"/>
    </row>
    <row r="260" ht="15.75" customHeight="1">
      <c r="H260" s="7"/>
    </row>
    <row r="261" ht="15.75" customHeight="1">
      <c r="H261" s="7"/>
    </row>
    <row r="262" ht="15.75" customHeight="1">
      <c r="H262" s="7"/>
    </row>
    <row r="263" ht="15.75" customHeight="1">
      <c r="H263" s="7"/>
    </row>
    <row r="264" ht="15.75" customHeight="1">
      <c r="H264" s="7"/>
    </row>
    <row r="265" ht="15.75" customHeight="1">
      <c r="H265" s="7"/>
    </row>
    <row r="266" ht="15.75" customHeight="1">
      <c r="H266" s="7"/>
    </row>
    <row r="267" ht="15.75" customHeight="1">
      <c r="H267" s="7"/>
    </row>
    <row r="268" ht="15.75" customHeight="1">
      <c r="H268" s="7"/>
    </row>
    <row r="269" ht="15.75" customHeight="1">
      <c r="H269" s="7"/>
    </row>
    <row r="270" ht="15.75" customHeight="1">
      <c r="H270" s="7"/>
    </row>
    <row r="271" ht="15.75" customHeight="1">
      <c r="H271" s="7"/>
    </row>
    <row r="272" ht="15.75" customHeight="1">
      <c r="H272" s="7"/>
    </row>
    <row r="273" ht="15.75" customHeight="1">
      <c r="H273" s="7"/>
    </row>
    <row r="274" ht="15.75" customHeight="1">
      <c r="H274" s="7"/>
    </row>
    <row r="275" ht="15.75" customHeight="1">
      <c r="H275" s="7"/>
    </row>
    <row r="276" ht="15.75" customHeight="1">
      <c r="H276" s="7"/>
    </row>
    <row r="277" ht="15.75" customHeight="1">
      <c r="H277" s="7"/>
    </row>
    <row r="278" ht="15.75" customHeight="1">
      <c r="H278" s="7"/>
    </row>
    <row r="279" ht="15.75" customHeight="1">
      <c r="H279" s="7"/>
    </row>
    <row r="280" ht="15.75" customHeight="1">
      <c r="H280" s="7"/>
    </row>
    <row r="281" ht="15.75" customHeight="1">
      <c r="H281" s="7"/>
    </row>
    <row r="282" ht="15.75" customHeight="1">
      <c r="H282" s="7"/>
    </row>
    <row r="283" ht="15.75" customHeight="1">
      <c r="H283" s="7"/>
    </row>
    <row r="284" ht="15.75" customHeight="1">
      <c r="H284" s="7"/>
    </row>
    <row r="285" ht="15.75" customHeight="1">
      <c r="H285" s="7"/>
    </row>
    <row r="286" ht="15.75" customHeight="1">
      <c r="H286" s="7"/>
    </row>
    <row r="287" ht="15.75" customHeight="1">
      <c r="H287" s="7"/>
    </row>
    <row r="288" ht="15.75" customHeight="1">
      <c r="H288" s="7"/>
    </row>
    <row r="289" ht="15.75" customHeight="1">
      <c r="H289" s="7"/>
    </row>
    <row r="290" ht="15.75" customHeight="1">
      <c r="H290" s="7"/>
    </row>
    <row r="291" ht="15.75" customHeight="1">
      <c r="H291" s="7"/>
    </row>
    <row r="292" ht="15.75" customHeight="1">
      <c r="H292" s="7"/>
    </row>
    <row r="293" ht="15.75" customHeight="1">
      <c r="H293" s="7"/>
    </row>
    <row r="294" ht="15.75" customHeight="1">
      <c r="H294" s="7"/>
    </row>
    <row r="295" ht="15.75" customHeight="1">
      <c r="H295" s="7"/>
    </row>
    <row r="296" ht="15.75" customHeight="1">
      <c r="H296" s="7"/>
    </row>
    <row r="297" ht="15.75" customHeight="1">
      <c r="H297" s="7"/>
    </row>
    <row r="298" ht="15.75" customHeight="1">
      <c r="H298" s="7"/>
    </row>
    <row r="299" ht="15.75" customHeight="1">
      <c r="H299" s="7"/>
    </row>
    <row r="300" ht="15.75" customHeight="1">
      <c r="H300" s="7"/>
    </row>
    <row r="301" ht="15.75" customHeight="1">
      <c r="H301" s="7"/>
    </row>
    <row r="302" ht="15.75" customHeight="1">
      <c r="H302" s="7"/>
    </row>
    <row r="303" ht="15.75" customHeight="1">
      <c r="H303" s="7"/>
    </row>
    <row r="304" ht="15.75" customHeight="1">
      <c r="H304" s="7"/>
    </row>
    <row r="305" ht="15.75" customHeight="1">
      <c r="H305" s="7"/>
    </row>
    <row r="306" ht="15.75" customHeight="1">
      <c r="H306" s="7"/>
    </row>
    <row r="307" ht="15.75" customHeight="1">
      <c r="H307" s="7"/>
    </row>
    <row r="308" ht="15.75" customHeight="1">
      <c r="H308" s="7"/>
    </row>
    <row r="309" ht="15.75" customHeight="1">
      <c r="H309" s="7"/>
    </row>
    <row r="310" ht="15.75" customHeight="1">
      <c r="H310" s="7"/>
    </row>
    <row r="311" ht="15.75" customHeight="1">
      <c r="H311" s="7"/>
    </row>
    <row r="312" ht="15.75" customHeight="1">
      <c r="H312" s="7"/>
    </row>
    <row r="313" ht="15.75" customHeight="1">
      <c r="H313" s="7"/>
    </row>
    <row r="314" ht="15.75" customHeight="1">
      <c r="H314" s="7"/>
    </row>
    <row r="315" ht="15.75" customHeight="1">
      <c r="H315" s="7"/>
    </row>
    <row r="316" ht="15.75" customHeight="1">
      <c r="H316" s="7"/>
    </row>
    <row r="317" ht="15.75" customHeight="1">
      <c r="H317" s="7"/>
    </row>
    <row r="318" ht="15.75" customHeight="1">
      <c r="H318" s="7"/>
    </row>
    <row r="319" ht="15.75" customHeight="1">
      <c r="H319" s="7"/>
    </row>
    <row r="320" ht="15.75" customHeight="1">
      <c r="H320" s="7"/>
    </row>
    <row r="321" ht="15.75" customHeight="1">
      <c r="H321" s="7"/>
    </row>
    <row r="322" ht="15.75" customHeight="1">
      <c r="H322" s="7"/>
    </row>
    <row r="323" ht="15.75" customHeight="1">
      <c r="H323" s="7"/>
    </row>
    <row r="324" ht="15.75" customHeight="1">
      <c r="H324" s="7"/>
    </row>
    <row r="325" ht="15.75" customHeight="1">
      <c r="H325" s="7"/>
    </row>
    <row r="326" ht="15.75" customHeight="1">
      <c r="H326" s="7"/>
    </row>
    <row r="327" ht="15.75" customHeight="1">
      <c r="H327" s="7"/>
    </row>
    <row r="328" ht="15.75" customHeight="1">
      <c r="H328" s="7"/>
    </row>
    <row r="329" ht="15.75" customHeight="1">
      <c r="H329" s="7"/>
    </row>
    <row r="330" ht="15.75" customHeight="1">
      <c r="H330" s="7"/>
    </row>
    <row r="331" ht="15.75" customHeight="1">
      <c r="H331" s="7"/>
    </row>
    <row r="332" ht="15.75" customHeight="1">
      <c r="H332" s="7"/>
    </row>
    <row r="333" ht="15.75" customHeight="1">
      <c r="H333" s="7"/>
    </row>
    <row r="334" ht="15.75" customHeight="1">
      <c r="H334" s="7"/>
    </row>
    <row r="335" ht="15.75" customHeight="1">
      <c r="H335" s="7"/>
    </row>
    <row r="336" ht="15.75" customHeight="1">
      <c r="H336" s="7"/>
    </row>
    <row r="337" ht="15.75" customHeight="1">
      <c r="H337" s="7"/>
    </row>
    <row r="338" ht="15.75" customHeight="1">
      <c r="H338" s="7"/>
    </row>
    <row r="339" ht="15.75" customHeight="1">
      <c r="H339" s="7"/>
    </row>
    <row r="340" ht="15.75" customHeight="1">
      <c r="H340" s="7"/>
    </row>
    <row r="341" ht="15.75" customHeight="1">
      <c r="H341" s="7"/>
    </row>
    <row r="342" ht="15.75" customHeight="1">
      <c r="H342" s="7"/>
    </row>
    <row r="343" ht="15.75" customHeight="1">
      <c r="H343" s="7"/>
    </row>
    <row r="344" ht="15.75" customHeight="1">
      <c r="H344" s="7"/>
    </row>
    <row r="345" ht="15.75" customHeight="1">
      <c r="H345" s="7"/>
    </row>
    <row r="346" ht="15.75" customHeight="1">
      <c r="H346" s="7"/>
    </row>
    <row r="347" ht="15.75" customHeight="1">
      <c r="H347" s="7"/>
    </row>
    <row r="348" ht="15.75" customHeight="1">
      <c r="H348" s="7"/>
    </row>
    <row r="349" ht="15.75" customHeight="1">
      <c r="H349" s="7"/>
    </row>
    <row r="350" ht="15.75" customHeight="1">
      <c r="H350" s="7"/>
    </row>
    <row r="351" ht="15.75" customHeight="1">
      <c r="H351" s="7"/>
    </row>
    <row r="352" ht="15.75" customHeight="1">
      <c r="H352" s="7"/>
    </row>
    <row r="353" ht="15.75" customHeight="1">
      <c r="H353" s="7"/>
    </row>
    <row r="354" ht="15.75" customHeight="1">
      <c r="H354" s="7"/>
    </row>
    <row r="355" ht="15.75" customHeight="1">
      <c r="H355" s="7"/>
    </row>
    <row r="356" ht="15.75" customHeight="1">
      <c r="H356" s="7"/>
    </row>
    <row r="357" ht="15.75" customHeight="1">
      <c r="H357" s="7"/>
    </row>
    <row r="358" ht="15.75" customHeight="1">
      <c r="H358" s="7"/>
    </row>
    <row r="359" ht="15.75" customHeight="1">
      <c r="H359" s="7"/>
    </row>
    <row r="360" ht="15.75" customHeight="1">
      <c r="H360" s="7"/>
    </row>
    <row r="361" ht="15.75" customHeight="1">
      <c r="H361" s="7"/>
    </row>
    <row r="362" ht="15.75" customHeight="1">
      <c r="H362" s="7"/>
    </row>
    <row r="363" ht="15.75" customHeight="1">
      <c r="H363" s="7"/>
    </row>
    <row r="364" ht="15.75" customHeight="1">
      <c r="H364" s="7"/>
    </row>
    <row r="365" ht="15.75" customHeight="1">
      <c r="H365" s="7"/>
    </row>
    <row r="366" ht="15.75" customHeight="1">
      <c r="H366" s="7"/>
    </row>
    <row r="367" ht="15.75" customHeight="1">
      <c r="H367" s="7"/>
    </row>
    <row r="368" ht="15.75" customHeight="1">
      <c r="H368" s="7"/>
    </row>
    <row r="369" ht="15.75" customHeight="1">
      <c r="H369" s="7"/>
    </row>
    <row r="370" ht="15.75" customHeight="1">
      <c r="H370" s="7"/>
    </row>
    <row r="371" ht="15.75" customHeight="1">
      <c r="H371" s="7"/>
    </row>
    <row r="372" ht="15.75" customHeight="1">
      <c r="H372" s="7"/>
    </row>
    <row r="373" ht="15.75" customHeight="1">
      <c r="H373" s="7"/>
    </row>
    <row r="374" ht="15.75" customHeight="1">
      <c r="H374" s="7"/>
    </row>
    <row r="375" ht="15.75" customHeight="1">
      <c r="H375" s="7"/>
    </row>
    <row r="376" ht="15.75" customHeight="1">
      <c r="H376" s="7"/>
    </row>
    <row r="377" ht="15.75" customHeight="1">
      <c r="H377" s="7"/>
    </row>
    <row r="378" ht="15.75" customHeight="1">
      <c r="H378" s="7"/>
    </row>
    <row r="379" ht="15.75" customHeight="1">
      <c r="H379" s="7"/>
    </row>
    <row r="380" ht="15.75" customHeight="1">
      <c r="H380" s="7"/>
    </row>
    <row r="381" ht="15.75" customHeight="1">
      <c r="H381" s="7"/>
    </row>
    <row r="382" ht="15.75" customHeight="1">
      <c r="H382" s="7"/>
    </row>
    <row r="383" ht="15.75" customHeight="1">
      <c r="H383" s="7"/>
    </row>
    <row r="384" ht="15.75" customHeight="1">
      <c r="H384" s="7"/>
    </row>
    <row r="385" ht="15.75" customHeight="1">
      <c r="H385" s="7"/>
    </row>
    <row r="386" ht="15.75" customHeight="1">
      <c r="H386" s="7"/>
    </row>
    <row r="387" ht="15.75" customHeight="1">
      <c r="H387" s="7"/>
    </row>
    <row r="388" ht="15.75" customHeight="1">
      <c r="H388" s="7"/>
    </row>
    <row r="389" ht="15.75" customHeight="1">
      <c r="H389" s="7"/>
    </row>
    <row r="390" ht="15.75" customHeight="1">
      <c r="H390" s="7"/>
    </row>
    <row r="391" ht="15.75" customHeight="1">
      <c r="H391" s="7"/>
    </row>
    <row r="392" ht="15.75" customHeight="1">
      <c r="H392" s="7"/>
    </row>
    <row r="393" ht="15.75" customHeight="1">
      <c r="H393" s="7"/>
    </row>
    <row r="394" ht="15.75" customHeight="1">
      <c r="H394" s="7"/>
    </row>
    <row r="395" ht="15.75" customHeight="1">
      <c r="H395" s="7"/>
    </row>
    <row r="396" ht="15.75" customHeight="1">
      <c r="H396" s="7"/>
    </row>
    <row r="397" ht="15.75" customHeight="1">
      <c r="H397" s="7"/>
    </row>
    <row r="398" ht="15.75" customHeight="1">
      <c r="H398" s="7"/>
    </row>
    <row r="399" ht="15.75" customHeight="1">
      <c r="H399" s="7"/>
    </row>
    <row r="400" ht="15.75" customHeight="1">
      <c r="H400" s="7"/>
    </row>
    <row r="401" ht="15.75" customHeight="1">
      <c r="H401" s="7"/>
    </row>
    <row r="402" ht="15.75" customHeight="1">
      <c r="H402" s="7"/>
    </row>
    <row r="403" ht="15.75" customHeight="1">
      <c r="H403" s="7"/>
    </row>
    <row r="404" ht="15.75" customHeight="1">
      <c r="H404" s="7"/>
    </row>
    <row r="405" ht="15.75" customHeight="1">
      <c r="H405" s="7"/>
    </row>
    <row r="406" ht="15.75" customHeight="1">
      <c r="H406" s="7"/>
    </row>
    <row r="407" ht="15.75" customHeight="1">
      <c r="H407" s="7"/>
    </row>
    <row r="408" ht="15.75" customHeight="1">
      <c r="H408" s="7"/>
    </row>
    <row r="409" ht="15.75" customHeight="1">
      <c r="H409" s="7"/>
    </row>
    <row r="410" ht="15.75" customHeight="1">
      <c r="H410" s="7"/>
    </row>
    <row r="411" ht="15.75" customHeight="1">
      <c r="H411" s="7"/>
    </row>
    <row r="412" ht="15.75" customHeight="1">
      <c r="H412" s="7"/>
    </row>
    <row r="413" ht="15.75" customHeight="1">
      <c r="H413" s="7"/>
    </row>
    <row r="414" ht="15.75" customHeight="1">
      <c r="H414" s="7"/>
    </row>
    <row r="415" ht="15.75" customHeight="1">
      <c r="H415" s="7"/>
    </row>
    <row r="416" ht="15.75" customHeight="1">
      <c r="H416" s="7"/>
    </row>
    <row r="417" ht="15.75" customHeight="1">
      <c r="H417" s="7"/>
    </row>
    <row r="418" ht="15.75" customHeight="1">
      <c r="H418" s="7"/>
    </row>
    <row r="419" ht="15.75" customHeight="1">
      <c r="H419" s="7"/>
    </row>
    <row r="420" ht="15.75" customHeight="1">
      <c r="H420" s="7"/>
    </row>
    <row r="421" ht="15.75" customHeight="1">
      <c r="H421" s="7"/>
    </row>
    <row r="422" ht="15.75" customHeight="1">
      <c r="H422" s="7"/>
    </row>
    <row r="423" ht="15.75" customHeight="1">
      <c r="H423" s="7"/>
    </row>
    <row r="424" ht="15.75" customHeight="1">
      <c r="H424" s="7"/>
    </row>
    <row r="425" ht="15.75" customHeight="1">
      <c r="H425" s="7"/>
    </row>
    <row r="426" ht="15.75" customHeight="1">
      <c r="H426" s="7"/>
    </row>
    <row r="427" ht="15.75" customHeight="1">
      <c r="H427" s="7"/>
    </row>
    <row r="428" ht="15.75" customHeight="1">
      <c r="H428" s="7"/>
    </row>
    <row r="429" ht="15.75" customHeight="1">
      <c r="H429" s="7"/>
    </row>
    <row r="430" ht="15.75" customHeight="1">
      <c r="H430" s="7"/>
    </row>
    <row r="431" ht="15.75" customHeight="1">
      <c r="H431" s="7"/>
    </row>
    <row r="432" ht="15.75" customHeight="1">
      <c r="H432" s="7"/>
    </row>
    <row r="433" ht="15.75" customHeight="1">
      <c r="H433" s="7"/>
    </row>
    <row r="434" ht="15.75" customHeight="1">
      <c r="H434" s="7"/>
    </row>
    <row r="435" ht="15.75" customHeight="1">
      <c r="H435" s="7"/>
    </row>
    <row r="436" ht="15.75" customHeight="1">
      <c r="H436" s="7"/>
    </row>
    <row r="437" ht="15.75" customHeight="1">
      <c r="H437" s="7"/>
    </row>
    <row r="438" ht="15.75" customHeight="1">
      <c r="H438" s="7"/>
    </row>
    <row r="439" ht="15.75" customHeight="1">
      <c r="H439" s="7"/>
    </row>
    <row r="440" ht="15.75" customHeight="1">
      <c r="H440" s="7"/>
    </row>
    <row r="441" ht="15.75" customHeight="1">
      <c r="H441" s="7"/>
    </row>
    <row r="442" ht="15.75" customHeight="1">
      <c r="H442" s="7"/>
    </row>
    <row r="443" ht="15.75" customHeight="1">
      <c r="H443" s="7"/>
    </row>
    <row r="444" ht="15.75" customHeight="1">
      <c r="H444" s="7"/>
    </row>
    <row r="445" ht="15.75" customHeight="1">
      <c r="H445" s="7"/>
    </row>
    <row r="446" ht="15.75" customHeight="1">
      <c r="H446" s="7"/>
    </row>
    <row r="447" ht="15.75" customHeight="1">
      <c r="H447" s="7"/>
    </row>
    <row r="448" ht="15.75" customHeight="1">
      <c r="H448" s="7"/>
    </row>
    <row r="449" ht="15.75" customHeight="1">
      <c r="H449" s="7"/>
    </row>
    <row r="450" ht="15.75" customHeight="1">
      <c r="H450" s="7"/>
    </row>
    <row r="451" ht="15.75" customHeight="1">
      <c r="H451" s="7"/>
    </row>
    <row r="452" ht="15.75" customHeight="1">
      <c r="H452" s="7"/>
    </row>
    <row r="453" ht="15.75" customHeight="1">
      <c r="H453" s="7"/>
    </row>
    <row r="454" ht="15.75" customHeight="1">
      <c r="H454" s="7"/>
    </row>
    <row r="455" ht="15.75" customHeight="1">
      <c r="H455" s="7"/>
    </row>
    <row r="456" ht="15.75" customHeight="1">
      <c r="H456" s="7"/>
    </row>
    <row r="457" ht="15.75" customHeight="1">
      <c r="H457" s="7"/>
    </row>
    <row r="458" ht="15.75" customHeight="1">
      <c r="H458" s="7"/>
    </row>
    <row r="459" ht="15.75" customHeight="1">
      <c r="H459" s="7"/>
    </row>
    <row r="460" ht="15.75" customHeight="1">
      <c r="H460" s="7"/>
    </row>
    <row r="461" ht="15.75" customHeight="1">
      <c r="H461" s="7"/>
    </row>
    <row r="462" ht="15.75" customHeight="1">
      <c r="H462" s="7"/>
    </row>
    <row r="463" ht="15.75" customHeight="1">
      <c r="H463" s="7"/>
    </row>
    <row r="464" ht="15.75" customHeight="1">
      <c r="H464" s="7"/>
    </row>
    <row r="465" ht="15.75" customHeight="1">
      <c r="H465" s="7"/>
    </row>
    <row r="466" ht="15.75" customHeight="1">
      <c r="H466" s="7"/>
    </row>
    <row r="467" ht="15.75" customHeight="1">
      <c r="H467" s="7"/>
    </row>
    <row r="468" ht="15.75" customHeight="1">
      <c r="H468" s="7"/>
    </row>
    <row r="469" ht="15.75" customHeight="1">
      <c r="H469" s="7"/>
    </row>
    <row r="470" ht="15.75" customHeight="1">
      <c r="H470" s="7"/>
    </row>
    <row r="471" ht="15.75" customHeight="1">
      <c r="H471" s="7"/>
    </row>
    <row r="472" ht="15.75" customHeight="1">
      <c r="H472" s="7"/>
    </row>
    <row r="473" ht="15.75" customHeight="1">
      <c r="H473" s="7"/>
    </row>
    <row r="474" ht="15.75" customHeight="1">
      <c r="H474" s="7"/>
    </row>
    <row r="475" ht="15.75" customHeight="1">
      <c r="H475" s="7"/>
    </row>
    <row r="476" ht="15.75" customHeight="1">
      <c r="H476" s="7"/>
    </row>
    <row r="477" ht="15.75" customHeight="1">
      <c r="H477" s="7"/>
    </row>
    <row r="478" ht="15.75" customHeight="1">
      <c r="H478" s="7"/>
    </row>
    <row r="479" ht="15.75" customHeight="1">
      <c r="H479" s="7"/>
    </row>
    <row r="480" ht="15.75" customHeight="1">
      <c r="H480" s="7"/>
    </row>
    <row r="481" ht="15.75" customHeight="1">
      <c r="H481" s="7"/>
    </row>
    <row r="482" ht="15.75" customHeight="1">
      <c r="H482" s="7"/>
    </row>
    <row r="483" ht="15.75" customHeight="1">
      <c r="H483" s="7"/>
    </row>
    <row r="484" ht="15.75" customHeight="1">
      <c r="H484" s="7"/>
    </row>
    <row r="485" ht="15.75" customHeight="1">
      <c r="H485" s="7"/>
    </row>
    <row r="486" ht="15.75" customHeight="1">
      <c r="H486" s="7"/>
    </row>
    <row r="487" ht="15.75" customHeight="1">
      <c r="H487" s="7"/>
    </row>
    <row r="488" ht="15.75" customHeight="1">
      <c r="H488" s="7"/>
    </row>
    <row r="489" ht="15.75" customHeight="1">
      <c r="H489" s="7"/>
    </row>
    <row r="490" ht="15.75" customHeight="1">
      <c r="H490" s="7"/>
    </row>
    <row r="491" ht="15.75" customHeight="1">
      <c r="H491" s="7"/>
    </row>
    <row r="492" ht="15.75" customHeight="1">
      <c r="H492" s="7"/>
    </row>
    <row r="493" ht="15.75" customHeight="1">
      <c r="H493" s="7"/>
    </row>
    <row r="494" ht="15.75" customHeight="1">
      <c r="H494" s="7"/>
    </row>
    <row r="495" ht="15.75" customHeight="1">
      <c r="H495" s="7"/>
    </row>
    <row r="496" ht="15.75" customHeight="1">
      <c r="H496" s="7"/>
    </row>
    <row r="497" ht="15.75" customHeight="1">
      <c r="H497" s="7"/>
    </row>
    <row r="498" ht="15.75" customHeight="1">
      <c r="H498" s="7"/>
    </row>
    <row r="499" ht="15.75" customHeight="1">
      <c r="H499" s="7"/>
    </row>
    <row r="500" ht="15.75" customHeight="1">
      <c r="H500" s="7"/>
    </row>
    <row r="501" ht="15.75" customHeight="1">
      <c r="H501" s="7"/>
    </row>
    <row r="502" ht="15.75" customHeight="1">
      <c r="H502" s="7"/>
    </row>
    <row r="503" ht="15.75" customHeight="1">
      <c r="H503" s="7"/>
    </row>
    <row r="504" ht="15.75" customHeight="1">
      <c r="H504" s="7"/>
    </row>
    <row r="505" ht="15.75" customHeight="1">
      <c r="H505" s="7"/>
    </row>
    <row r="506" ht="15.75" customHeight="1">
      <c r="H506" s="7"/>
    </row>
    <row r="507" ht="15.75" customHeight="1">
      <c r="H507" s="7"/>
    </row>
    <row r="508" ht="15.75" customHeight="1">
      <c r="H508" s="7"/>
    </row>
    <row r="509" ht="15.75" customHeight="1">
      <c r="H509" s="7"/>
    </row>
    <row r="510" ht="15.75" customHeight="1">
      <c r="H510" s="7"/>
    </row>
    <row r="511" ht="15.75" customHeight="1">
      <c r="H511" s="7"/>
    </row>
    <row r="512" ht="15.75" customHeight="1">
      <c r="H512" s="7"/>
    </row>
    <row r="513" ht="15.75" customHeight="1">
      <c r="H513" s="7"/>
    </row>
    <row r="514" ht="15.75" customHeight="1">
      <c r="H514" s="7"/>
    </row>
    <row r="515" ht="15.75" customHeight="1">
      <c r="H515" s="7"/>
    </row>
    <row r="516" ht="15.75" customHeight="1">
      <c r="H516" s="7"/>
    </row>
    <row r="517" ht="15.75" customHeight="1">
      <c r="H517" s="7"/>
    </row>
    <row r="518" ht="15.75" customHeight="1">
      <c r="H518" s="7"/>
    </row>
    <row r="519" ht="15.75" customHeight="1">
      <c r="H519" s="7"/>
    </row>
    <row r="520" ht="15.75" customHeight="1">
      <c r="H520" s="7"/>
    </row>
    <row r="521" ht="15.75" customHeight="1">
      <c r="H521" s="7"/>
    </row>
    <row r="522" ht="15.75" customHeight="1">
      <c r="H522" s="7"/>
    </row>
    <row r="523" ht="15.75" customHeight="1">
      <c r="H523" s="7"/>
    </row>
    <row r="524" ht="15.75" customHeight="1">
      <c r="H524" s="7"/>
    </row>
    <row r="525" ht="15.75" customHeight="1">
      <c r="H525" s="7"/>
    </row>
    <row r="526" ht="15.75" customHeight="1">
      <c r="H526" s="7"/>
    </row>
    <row r="527" ht="15.75" customHeight="1">
      <c r="H527" s="7"/>
    </row>
    <row r="528" ht="15.75" customHeight="1">
      <c r="H528" s="7"/>
    </row>
    <row r="529" ht="15.75" customHeight="1">
      <c r="H529" s="7"/>
    </row>
    <row r="530" ht="15.75" customHeight="1">
      <c r="H530" s="7"/>
    </row>
    <row r="531" ht="15.75" customHeight="1">
      <c r="H531" s="7"/>
    </row>
    <row r="532" ht="15.75" customHeight="1">
      <c r="H532" s="7"/>
    </row>
    <row r="533" ht="15.75" customHeight="1">
      <c r="H533" s="7"/>
    </row>
    <row r="534" ht="15.75" customHeight="1">
      <c r="H534" s="7"/>
    </row>
    <row r="535" ht="15.75" customHeight="1">
      <c r="H535" s="7"/>
    </row>
    <row r="536" ht="15.75" customHeight="1">
      <c r="H536" s="7"/>
    </row>
    <row r="537" ht="15.75" customHeight="1">
      <c r="H537" s="7"/>
    </row>
    <row r="538" ht="15.75" customHeight="1">
      <c r="H538" s="7"/>
    </row>
    <row r="539" ht="15.75" customHeight="1">
      <c r="H539" s="7"/>
    </row>
    <row r="540" ht="15.75" customHeight="1">
      <c r="H540" s="7"/>
    </row>
    <row r="541" ht="15.75" customHeight="1">
      <c r="H541" s="7"/>
    </row>
    <row r="542" ht="15.75" customHeight="1">
      <c r="H542" s="7"/>
    </row>
    <row r="543" ht="15.75" customHeight="1">
      <c r="H543" s="7"/>
    </row>
    <row r="544" ht="15.75" customHeight="1">
      <c r="H544" s="7"/>
    </row>
    <row r="545" ht="15.75" customHeight="1">
      <c r="H545" s="7"/>
    </row>
    <row r="546" ht="15.75" customHeight="1">
      <c r="H546" s="7"/>
    </row>
    <row r="547" ht="15.75" customHeight="1">
      <c r="H547" s="7"/>
    </row>
    <row r="548" ht="15.75" customHeight="1">
      <c r="H548" s="7"/>
    </row>
    <row r="549" ht="15.75" customHeight="1">
      <c r="H549" s="7"/>
    </row>
    <row r="550" ht="15.75" customHeight="1">
      <c r="H550" s="7"/>
    </row>
    <row r="551" ht="15.75" customHeight="1">
      <c r="H551" s="7"/>
    </row>
    <row r="552" ht="15.75" customHeight="1">
      <c r="H552" s="7"/>
    </row>
    <row r="553" ht="15.75" customHeight="1">
      <c r="H553" s="7"/>
    </row>
    <row r="554" ht="15.75" customHeight="1">
      <c r="H554" s="7"/>
    </row>
    <row r="555" ht="15.75" customHeight="1">
      <c r="H555" s="7"/>
    </row>
    <row r="556" ht="15.75" customHeight="1">
      <c r="H556" s="7"/>
    </row>
    <row r="557" ht="15.75" customHeight="1">
      <c r="H557" s="7"/>
    </row>
    <row r="558" ht="15.75" customHeight="1">
      <c r="H558" s="7"/>
    </row>
    <row r="559" ht="15.75" customHeight="1">
      <c r="H559" s="7"/>
    </row>
    <row r="560" ht="15.75" customHeight="1">
      <c r="H560" s="7"/>
    </row>
    <row r="561" ht="15.75" customHeight="1">
      <c r="H561" s="7"/>
    </row>
    <row r="562" ht="15.75" customHeight="1">
      <c r="H562" s="7"/>
    </row>
    <row r="563" ht="15.75" customHeight="1">
      <c r="H563" s="7"/>
    </row>
    <row r="564" ht="15.75" customHeight="1">
      <c r="H564" s="7"/>
    </row>
    <row r="565" ht="15.75" customHeight="1">
      <c r="H565" s="7"/>
    </row>
    <row r="566" ht="15.75" customHeight="1">
      <c r="H566" s="7"/>
    </row>
    <row r="567" ht="15.75" customHeight="1">
      <c r="H567" s="7"/>
    </row>
    <row r="568" ht="15.75" customHeight="1">
      <c r="H568" s="7"/>
    </row>
    <row r="569" ht="15.75" customHeight="1">
      <c r="H569" s="7"/>
    </row>
    <row r="570" ht="15.75" customHeight="1">
      <c r="H570" s="7"/>
    </row>
    <row r="571" ht="15.75" customHeight="1">
      <c r="H571" s="7"/>
    </row>
    <row r="572" ht="15.75" customHeight="1">
      <c r="H572" s="7"/>
    </row>
    <row r="573" ht="15.75" customHeight="1">
      <c r="H573" s="7"/>
    </row>
    <row r="574" ht="15.75" customHeight="1">
      <c r="H574" s="7"/>
    </row>
    <row r="575" ht="15.75" customHeight="1">
      <c r="H575" s="7"/>
    </row>
    <row r="576" ht="15.75" customHeight="1">
      <c r="H576" s="7"/>
    </row>
    <row r="577" ht="15.75" customHeight="1">
      <c r="H577" s="7"/>
    </row>
    <row r="578" ht="15.75" customHeight="1">
      <c r="H578" s="7"/>
    </row>
    <row r="579" ht="15.75" customHeight="1">
      <c r="H579" s="7"/>
    </row>
    <row r="580" ht="15.75" customHeight="1">
      <c r="H580" s="7"/>
    </row>
    <row r="581" ht="15.75" customHeight="1">
      <c r="H581" s="7"/>
    </row>
    <row r="582" ht="15.75" customHeight="1">
      <c r="H582" s="7"/>
    </row>
    <row r="583" ht="15.75" customHeight="1">
      <c r="H583" s="7"/>
    </row>
    <row r="584" ht="15.75" customHeight="1">
      <c r="H584" s="7"/>
    </row>
    <row r="585" ht="15.75" customHeight="1">
      <c r="H585" s="7"/>
    </row>
    <row r="586" ht="15.75" customHeight="1">
      <c r="H586" s="7"/>
    </row>
    <row r="587" ht="15.75" customHeight="1">
      <c r="H587" s="7"/>
    </row>
    <row r="588" ht="15.75" customHeight="1">
      <c r="H588" s="7"/>
    </row>
    <row r="589" ht="15.75" customHeight="1">
      <c r="H589" s="7"/>
    </row>
    <row r="590" ht="15.75" customHeight="1">
      <c r="H590" s="7"/>
    </row>
    <row r="591" ht="15.75" customHeight="1">
      <c r="H591" s="7"/>
    </row>
    <row r="592" ht="15.75" customHeight="1">
      <c r="H592" s="7"/>
    </row>
    <row r="593" ht="15.75" customHeight="1">
      <c r="H593" s="7"/>
    </row>
    <row r="594" ht="15.75" customHeight="1">
      <c r="H594" s="7"/>
    </row>
    <row r="595" ht="15.75" customHeight="1">
      <c r="H595" s="7"/>
    </row>
    <row r="596" ht="15.75" customHeight="1">
      <c r="H596" s="7"/>
    </row>
    <row r="597" ht="15.75" customHeight="1">
      <c r="H597" s="7"/>
    </row>
    <row r="598" ht="15.75" customHeight="1">
      <c r="H598" s="7"/>
    </row>
    <row r="599" ht="15.75" customHeight="1">
      <c r="H599" s="7"/>
    </row>
    <row r="600" ht="15.75" customHeight="1">
      <c r="H600" s="7"/>
    </row>
    <row r="601" ht="15.75" customHeight="1">
      <c r="H601" s="7"/>
    </row>
    <row r="602" ht="15.75" customHeight="1">
      <c r="H602" s="7"/>
    </row>
    <row r="603" ht="15.75" customHeight="1">
      <c r="H603" s="7"/>
    </row>
    <row r="604" ht="15.75" customHeight="1">
      <c r="H604" s="7"/>
    </row>
    <row r="605" ht="15.75" customHeight="1">
      <c r="H605" s="7"/>
    </row>
    <row r="606" ht="15.75" customHeight="1">
      <c r="H606" s="7"/>
    </row>
    <row r="607" ht="15.75" customHeight="1">
      <c r="H607" s="7"/>
    </row>
    <row r="608" ht="15.75" customHeight="1">
      <c r="H608" s="7"/>
    </row>
    <row r="609" ht="15.75" customHeight="1">
      <c r="H609" s="7"/>
    </row>
    <row r="610" ht="15.75" customHeight="1">
      <c r="H610" s="7"/>
    </row>
    <row r="611" ht="15.75" customHeight="1">
      <c r="H611" s="7"/>
    </row>
    <row r="612" ht="15.75" customHeight="1">
      <c r="H612" s="7"/>
    </row>
    <row r="613" ht="15.75" customHeight="1">
      <c r="H613" s="7"/>
    </row>
    <row r="614" ht="15.75" customHeight="1">
      <c r="H614" s="7"/>
    </row>
    <row r="615" ht="15.75" customHeight="1">
      <c r="H615" s="7"/>
    </row>
    <row r="616" ht="15.75" customHeight="1">
      <c r="H616" s="7"/>
    </row>
    <row r="617" ht="15.75" customHeight="1">
      <c r="H617" s="7"/>
    </row>
    <row r="618" ht="15.75" customHeight="1">
      <c r="H618" s="7"/>
    </row>
    <row r="619" ht="15.75" customHeight="1">
      <c r="H619" s="7"/>
    </row>
    <row r="620" ht="15.75" customHeight="1">
      <c r="H620" s="7"/>
    </row>
    <row r="621" ht="15.75" customHeight="1">
      <c r="H621" s="7"/>
    </row>
    <row r="622" ht="15.75" customHeight="1">
      <c r="H622" s="7"/>
    </row>
    <row r="623" ht="15.75" customHeight="1">
      <c r="H623" s="7"/>
    </row>
    <row r="624" ht="15.75" customHeight="1">
      <c r="H624" s="7"/>
    </row>
    <row r="625" ht="15.75" customHeight="1">
      <c r="H625" s="7"/>
    </row>
    <row r="626" ht="15.75" customHeight="1">
      <c r="H626" s="7"/>
    </row>
    <row r="627" ht="15.75" customHeight="1">
      <c r="H627" s="7"/>
    </row>
    <row r="628" ht="15.75" customHeight="1">
      <c r="H628" s="7"/>
    </row>
    <row r="629" ht="15.75" customHeight="1">
      <c r="H629" s="7"/>
    </row>
    <row r="630" ht="15.75" customHeight="1">
      <c r="H630" s="7"/>
    </row>
    <row r="631" ht="15.75" customHeight="1">
      <c r="H631" s="7"/>
    </row>
    <row r="632" ht="15.75" customHeight="1">
      <c r="H632" s="7"/>
    </row>
    <row r="633" ht="15.75" customHeight="1">
      <c r="H633" s="7"/>
    </row>
    <row r="634" ht="15.75" customHeight="1">
      <c r="H634" s="7"/>
    </row>
    <row r="635" ht="15.75" customHeight="1">
      <c r="H635" s="7"/>
    </row>
    <row r="636" ht="15.75" customHeight="1">
      <c r="H636" s="7"/>
    </row>
    <row r="637" ht="15.75" customHeight="1">
      <c r="H637" s="7"/>
    </row>
    <row r="638" ht="15.75" customHeight="1">
      <c r="H638" s="7"/>
    </row>
    <row r="639" ht="15.75" customHeight="1">
      <c r="H639" s="7"/>
    </row>
    <row r="640" ht="15.75" customHeight="1">
      <c r="H640" s="7"/>
    </row>
    <row r="641" ht="15.75" customHeight="1">
      <c r="H641" s="7"/>
    </row>
    <row r="642" ht="15.75" customHeight="1">
      <c r="H642" s="7"/>
    </row>
    <row r="643" ht="15.75" customHeight="1">
      <c r="H643" s="7"/>
    </row>
    <row r="644" ht="15.75" customHeight="1">
      <c r="H644" s="7"/>
    </row>
    <row r="645" ht="15.75" customHeight="1">
      <c r="H645" s="7"/>
    </row>
    <row r="646" ht="15.75" customHeight="1">
      <c r="H646" s="7"/>
    </row>
    <row r="647" ht="15.75" customHeight="1">
      <c r="H647" s="7"/>
    </row>
    <row r="648" ht="15.75" customHeight="1">
      <c r="H648" s="7"/>
    </row>
    <row r="649" ht="15.75" customHeight="1">
      <c r="H649" s="7"/>
    </row>
    <row r="650" ht="15.75" customHeight="1">
      <c r="H650" s="7"/>
    </row>
    <row r="651" ht="15.75" customHeight="1">
      <c r="H651" s="7"/>
    </row>
    <row r="652" ht="15.75" customHeight="1">
      <c r="H652" s="7"/>
    </row>
    <row r="653" ht="15.75" customHeight="1">
      <c r="H653" s="7"/>
    </row>
    <row r="654" ht="15.75" customHeight="1">
      <c r="H654" s="7"/>
    </row>
    <row r="655" ht="15.75" customHeight="1">
      <c r="H655" s="7"/>
    </row>
    <row r="656" ht="15.75" customHeight="1">
      <c r="H656" s="7"/>
    </row>
    <row r="657" ht="15.75" customHeight="1">
      <c r="H657" s="7"/>
    </row>
    <row r="658" ht="15.75" customHeight="1">
      <c r="H658" s="7"/>
    </row>
    <row r="659" ht="15.75" customHeight="1">
      <c r="H659" s="7"/>
    </row>
    <row r="660" ht="15.75" customHeight="1">
      <c r="H660" s="7"/>
    </row>
    <row r="661" ht="15.75" customHeight="1">
      <c r="H661" s="7"/>
    </row>
    <row r="662" ht="15.75" customHeight="1">
      <c r="H662" s="7"/>
    </row>
    <row r="663" ht="15.75" customHeight="1">
      <c r="H663" s="7"/>
    </row>
    <row r="664" ht="15.75" customHeight="1">
      <c r="H664" s="7"/>
    </row>
    <row r="665" ht="15.75" customHeight="1">
      <c r="H665" s="7"/>
    </row>
    <row r="666" ht="15.75" customHeight="1">
      <c r="H666" s="7"/>
    </row>
    <row r="667" ht="15.75" customHeight="1">
      <c r="H667" s="7"/>
    </row>
    <row r="668" ht="15.75" customHeight="1">
      <c r="H668" s="7"/>
    </row>
    <row r="669" ht="15.75" customHeight="1">
      <c r="H669" s="7"/>
    </row>
    <row r="670" ht="15.75" customHeight="1">
      <c r="H670" s="7"/>
    </row>
    <row r="671" ht="15.75" customHeight="1">
      <c r="H671" s="7"/>
    </row>
    <row r="672" ht="15.75" customHeight="1">
      <c r="H672" s="7"/>
    </row>
    <row r="673" ht="15.75" customHeight="1">
      <c r="H673" s="7"/>
    </row>
    <row r="674" ht="15.75" customHeight="1">
      <c r="H674" s="7"/>
    </row>
    <row r="675" ht="15.75" customHeight="1">
      <c r="H675" s="7"/>
    </row>
    <row r="676" ht="15.75" customHeight="1">
      <c r="H676" s="7"/>
    </row>
    <row r="677" ht="15.75" customHeight="1">
      <c r="H677" s="7"/>
    </row>
    <row r="678" ht="15.75" customHeight="1">
      <c r="H678" s="7"/>
    </row>
    <row r="679" ht="15.75" customHeight="1">
      <c r="H679" s="7"/>
    </row>
    <row r="680" ht="15.75" customHeight="1">
      <c r="H680" s="7"/>
    </row>
    <row r="681" ht="15.75" customHeight="1">
      <c r="H681" s="7"/>
    </row>
    <row r="682" ht="15.75" customHeight="1">
      <c r="H682" s="7"/>
    </row>
    <row r="683" ht="15.75" customHeight="1">
      <c r="H683" s="7"/>
    </row>
    <row r="684" ht="15.75" customHeight="1">
      <c r="H684" s="7"/>
    </row>
    <row r="685" ht="15.75" customHeight="1">
      <c r="H685" s="7"/>
    </row>
    <row r="686" ht="15.75" customHeight="1">
      <c r="H686" s="7"/>
    </row>
    <row r="687" ht="15.75" customHeight="1">
      <c r="H687" s="7"/>
    </row>
    <row r="688" ht="15.75" customHeight="1">
      <c r="H688" s="7"/>
    </row>
    <row r="689" ht="15.75" customHeight="1">
      <c r="H689" s="7"/>
    </row>
    <row r="690" ht="15.75" customHeight="1">
      <c r="H690" s="7"/>
    </row>
    <row r="691" ht="15.75" customHeight="1">
      <c r="H691" s="7"/>
    </row>
    <row r="692" ht="15.75" customHeight="1">
      <c r="H692" s="7"/>
    </row>
    <row r="693" ht="15.75" customHeight="1">
      <c r="H693" s="7"/>
    </row>
    <row r="694" ht="15.75" customHeight="1">
      <c r="H694" s="7"/>
    </row>
    <row r="695" ht="15.75" customHeight="1">
      <c r="H695" s="7"/>
    </row>
    <row r="696" ht="15.75" customHeight="1">
      <c r="H696" s="7"/>
    </row>
    <row r="697" ht="15.75" customHeight="1">
      <c r="H697" s="7"/>
    </row>
    <row r="698" ht="15.75" customHeight="1">
      <c r="H698" s="7"/>
    </row>
    <row r="699" ht="15.75" customHeight="1">
      <c r="H699" s="7"/>
    </row>
    <row r="700" ht="15.75" customHeight="1">
      <c r="H700" s="7"/>
    </row>
    <row r="701" ht="15.75" customHeight="1">
      <c r="H701" s="7"/>
    </row>
    <row r="702" ht="15.75" customHeight="1">
      <c r="H702" s="7"/>
    </row>
    <row r="703" ht="15.75" customHeight="1">
      <c r="H703" s="7"/>
    </row>
    <row r="704" ht="15.75" customHeight="1">
      <c r="H704" s="7"/>
    </row>
    <row r="705" ht="15.75" customHeight="1">
      <c r="H705" s="7"/>
    </row>
    <row r="706" ht="15.75" customHeight="1">
      <c r="H706" s="7"/>
    </row>
    <row r="707" ht="15.75" customHeight="1">
      <c r="H707" s="7"/>
    </row>
    <row r="708" ht="15.75" customHeight="1">
      <c r="H708" s="7"/>
    </row>
    <row r="709" ht="15.75" customHeight="1">
      <c r="H709" s="7"/>
    </row>
    <row r="710" ht="15.75" customHeight="1">
      <c r="H710" s="7"/>
    </row>
    <row r="711" ht="15.75" customHeight="1">
      <c r="H711" s="7"/>
    </row>
    <row r="712" ht="15.75" customHeight="1">
      <c r="H712" s="7"/>
    </row>
    <row r="713" ht="15.75" customHeight="1">
      <c r="H713" s="7"/>
    </row>
    <row r="714" ht="15.75" customHeight="1">
      <c r="H714" s="7"/>
    </row>
    <row r="715" ht="15.75" customHeight="1">
      <c r="H715" s="7"/>
    </row>
    <row r="716" ht="15.75" customHeight="1">
      <c r="H716" s="7"/>
    </row>
    <row r="717" ht="15.75" customHeight="1">
      <c r="H717" s="7"/>
    </row>
    <row r="718" ht="15.75" customHeight="1">
      <c r="H718" s="7"/>
    </row>
    <row r="719" ht="15.75" customHeight="1">
      <c r="H719" s="7"/>
    </row>
    <row r="720" ht="15.75" customHeight="1">
      <c r="H720" s="7"/>
    </row>
    <row r="721" ht="15.75" customHeight="1">
      <c r="H721" s="7"/>
    </row>
    <row r="722" ht="15.75" customHeight="1">
      <c r="H722" s="7"/>
    </row>
    <row r="723" ht="15.75" customHeight="1">
      <c r="H723" s="7"/>
    </row>
    <row r="724" ht="15.75" customHeight="1">
      <c r="H724" s="7"/>
    </row>
    <row r="725" ht="15.75" customHeight="1">
      <c r="H725" s="7"/>
    </row>
    <row r="726" ht="15.75" customHeight="1">
      <c r="H726" s="7"/>
    </row>
    <row r="727" ht="15.75" customHeight="1">
      <c r="H727" s="7"/>
    </row>
    <row r="728" ht="15.75" customHeight="1">
      <c r="H728" s="7"/>
    </row>
    <row r="729" ht="15.75" customHeight="1">
      <c r="H729" s="7"/>
    </row>
    <row r="730" ht="15.75" customHeight="1">
      <c r="H730" s="7"/>
    </row>
    <row r="731" ht="15.75" customHeight="1">
      <c r="H731" s="7"/>
    </row>
    <row r="732" ht="15.75" customHeight="1">
      <c r="H732" s="7"/>
    </row>
    <row r="733" ht="15.75" customHeight="1">
      <c r="H733" s="7"/>
    </row>
    <row r="734" ht="15.75" customHeight="1">
      <c r="H734" s="7"/>
    </row>
    <row r="735" ht="15.75" customHeight="1">
      <c r="H735" s="7"/>
    </row>
    <row r="736" ht="15.75" customHeight="1">
      <c r="H736" s="7"/>
    </row>
    <row r="737" ht="15.75" customHeight="1">
      <c r="H737" s="7"/>
    </row>
    <row r="738" ht="15.75" customHeight="1">
      <c r="H738" s="7"/>
    </row>
    <row r="739" ht="15.75" customHeight="1">
      <c r="H739" s="7"/>
    </row>
    <row r="740" ht="15.75" customHeight="1">
      <c r="H740" s="7"/>
    </row>
    <row r="741" ht="15.75" customHeight="1">
      <c r="H741" s="7"/>
    </row>
    <row r="742" ht="15.75" customHeight="1">
      <c r="H742" s="7"/>
    </row>
    <row r="743" ht="15.75" customHeight="1">
      <c r="H743" s="7"/>
    </row>
    <row r="744" ht="15.75" customHeight="1">
      <c r="H744" s="7"/>
    </row>
    <row r="745" ht="15.75" customHeight="1">
      <c r="H745" s="7"/>
    </row>
    <row r="746" ht="15.75" customHeight="1">
      <c r="H746" s="7"/>
    </row>
    <row r="747" ht="15.75" customHeight="1">
      <c r="H747" s="7"/>
    </row>
    <row r="748" ht="15.75" customHeight="1">
      <c r="H748" s="7"/>
    </row>
    <row r="749" ht="15.75" customHeight="1">
      <c r="H749" s="7"/>
    </row>
    <row r="750" ht="15.75" customHeight="1">
      <c r="H750" s="7"/>
    </row>
    <row r="751" ht="15.75" customHeight="1">
      <c r="H751" s="7"/>
    </row>
    <row r="752" ht="15.75" customHeight="1">
      <c r="H752" s="7"/>
    </row>
    <row r="753" ht="15.75" customHeight="1">
      <c r="H753" s="7"/>
    </row>
    <row r="754" ht="15.75" customHeight="1">
      <c r="H754" s="7"/>
    </row>
    <row r="755" ht="15.75" customHeight="1">
      <c r="H755" s="7"/>
    </row>
    <row r="756" ht="15.75" customHeight="1">
      <c r="H756" s="7"/>
    </row>
    <row r="757" ht="15.75" customHeight="1">
      <c r="H757" s="7"/>
    </row>
    <row r="758" ht="15.75" customHeight="1">
      <c r="H758" s="7"/>
    </row>
    <row r="759" ht="15.75" customHeight="1">
      <c r="H759" s="7"/>
    </row>
    <row r="760" ht="15.75" customHeight="1">
      <c r="H760" s="7"/>
    </row>
    <row r="761" ht="15.75" customHeight="1">
      <c r="H761" s="7"/>
    </row>
    <row r="762" ht="15.75" customHeight="1">
      <c r="H762" s="7"/>
    </row>
    <row r="763" ht="15.75" customHeight="1">
      <c r="H763" s="7"/>
    </row>
    <row r="764" ht="15.75" customHeight="1">
      <c r="H764" s="7"/>
    </row>
    <row r="765" ht="15.75" customHeight="1">
      <c r="H765" s="7"/>
    </row>
    <row r="766" ht="15.75" customHeight="1">
      <c r="H766" s="7"/>
    </row>
    <row r="767" ht="15.75" customHeight="1">
      <c r="H767" s="7"/>
    </row>
    <row r="768" ht="15.75" customHeight="1">
      <c r="H768" s="7"/>
    </row>
    <row r="769" ht="15.75" customHeight="1">
      <c r="H769" s="7"/>
    </row>
    <row r="770" ht="15.75" customHeight="1">
      <c r="H770" s="7"/>
    </row>
    <row r="771" ht="15.75" customHeight="1">
      <c r="H771" s="7"/>
    </row>
    <row r="772" ht="15.75" customHeight="1">
      <c r="H772" s="7"/>
    </row>
    <row r="773" ht="15.75" customHeight="1">
      <c r="H773" s="7"/>
    </row>
    <row r="774" ht="15.75" customHeight="1">
      <c r="H774" s="7"/>
    </row>
    <row r="775" ht="15.75" customHeight="1">
      <c r="H775" s="7"/>
    </row>
    <row r="776" ht="15.75" customHeight="1">
      <c r="H776" s="7"/>
    </row>
    <row r="777" ht="15.75" customHeight="1">
      <c r="H777" s="7"/>
    </row>
    <row r="778" ht="15.75" customHeight="1">
      <c r="H778" s="7"/>
    </row>
    <row r="779" ht="15.75" customHeight="1">
      <c r="H779" s="7"/>
    </row>
    <row r="780" ht="15.75" customHeight="1">
      <c r="H780" s="7"/>
    </row>
    <row r="781" ht="15.75" customHeight="1">
      <c r="H781" s="7"/>
    </row>
    <row r="782" ht="15.75" customHeight="1">
      <c r="H782" s="7"/>
    </row>
    <row r="783" ht="15.75" customHeight="1">
      <c r="H783" s="7"/>
    </row>
    <row r="784" ht="15.75" customHeight="1">
      <c r="H784" s="7"/>
    </row>
    <row r="785" ht="15.75" customHeight="1">
      <c r="H785" s="7"/>
    </row>
    <row r="786" ht="15.75" customHeight="1">
      <c r="H786" s="7"/>
    </row>
    <row r="787" ht="15.75" customHeight="1">
      <c r="H787" s="7"/>
    </row>
    <row r="788" ht="15.75" customHeight="1">
      <c r="H788" s="7"/>
    </row>
    <row r="789" ht="15.75" customHeight="1">
      <c r="H789" s="7"/>
    </row>
    <row r="790" ht="15.75" customHeight="1">
      <c r="H790" s="7"/>
    </row>
    <row r="791" ht="15.75" customHeight="1">
      <c r="H791" s="7"/>
    </row>
    <row r="792" ht="15.75" customHeight="1">
      <c r="H792" s="7"/>
    </row>
    <row r="793" ht="15.75" customHeight="1">
      <c r="H793" s="7"/>
    </row>
    <row r="794" ht="15.75" customHeight="1">
      <c r="H794" s="7"/>
    </row>
    <row r="795" ht="15.75" customHeight="1">
      <c r="H795" s="7"/>
    </row>
    <row r="796" ht="15.75" customHeight="1">
      <c r="H796" s="7"/>
    </row>
    <row r="797" ht="15.75" customHeight="1">
      <c r="H797" s="7"/>
    </row>
    <row r="798" ht="15.75" customHeight="1">
      <c r="H798" s="7"/>
    </row>
    <row r="799" ht="15.75" customHeight="1">
      <c r="H799" s="7"/>
    </row>
    <row r="800" ht="15.75" customHeight="1">
      <c r="H800" s="7"/>
    </row>
    <row r="801" ht="15.75" customHeight="1">
      <c r="H801" s="7"/>
    </row>
    <row r="802" ht="15.75" customHeight="1">
      <c r="H802" s="7"/>
    </row>
    <row r="803" ht="15.75" customHeight="1">
      <c r="H803" s="7"/>
    </row>
    <row r="804" ht="15.75" customHeight="1">
      <c r="H804" s="7"/>
    </row>
    <row r="805" ht="15.75" customHeight="1">
      <c r="H805" s="7"/>
    </row>
    <row r="806" ht="15.75" customHeight="1">
      <c r="H806" s="7"/>
    </row>
    <row r="807" ht="15.75" customHeight="1">
      <c r="H807" s="7"/>
    </row>
    <row r="808" ht="15.75" customHeight="1">
      <c r="H808" s="7"/>
    </row>
    <row r="809" ht="15.75" customHeight="1">
      <c r="H809" s="7"/>
    </row>
    <row r="810" ht="15.75" customHeight="1">
      <c r="H810" s="7"/>
    </row>
    <row r="811" ht="15.75" customHeight="1">
      <c r="H811" s="7"/>
    </row>
    <row r="812" ht="15.75" customHeight="1">
      <c r="H812" s="7"/>
    </row>
    <row r="813" ht="15.75" customHeight="1">
      <c r="H813" s="7"/>
    </row>
    <row r="814" ht="15.75" customHeight="1">
      <c r="H814" s="7"/>
    </row>
    <row r="815" ht="15.75" customHeight="1">
      <c r="H815" s="7"/>
    </row>
    <row r="816" ht="15.75" customHeight="1">
      <c r="H816" s="7"/>
    </row>
    <row r="817" ht="15.75" customHeight="1">
      <c r="H817" s="7"/>
    </row>
    <row r="818" ht="15.75" customHeight="1">
      <c r="H818" s="7"/>
    </row>
    <row r="819" ht="15.75" customHeight="1">
      <c r="H819" s="7"/>
    </row>
    <row r="820" ht="15.75" customHeight="1">
      <c r="H820" s="7"/>
    </row>
    <row r="821" ht="15.75" customHeight="1">
      <c r="H821" s="7"/>
    </row>
    <row r="822" ht="15.75" customHeight="1">
      <c r="H822" s="7"/>
    </row>
    <row r="823" ht="15.75" customHeight="1">
      <c r="H823" s="7"/>
    </row>
    <row r="824" ht="15.75" customHeight="1">
      <c r="H824" s="7"/>
    </row>
    <row r="825" ht="15.75" customHeight="1">
      <c r="H825" s="7"/>
    </row>
    <row r="826" ht="15.75" customHeight="1">
      <c r="H826" s="7"/>
    </row>
    <row r="827" ht="15.75" customHeight="1">
      <c r="H827" s="7"/>
    </row>
    <row r="828" ht="15.75" customHeight="1">
      <c r="H828" s="7"/>
    </row>
    <row r="829" ht="15.75" customHeight="1">
      <c r="H829" s="7"/>
    </row>
    <row r="830" ht="15.75" customHeight="1">
      <c r="H830" s="7"/>
    </row>
    <row r="831" ht="15.75" customHeight="1">
      <c r="H831" s="7"/>
    </row>
    <row r="832" ht="15.75" customHeight="1">
      <c r="H832" s="7"/>
    </row>
    <row r="833" ht="15.75" customHeight="1">
      <c r="H833" s="7"/>
    </row>
    <row r="834" ht="15.75" customHeight="1">
      <c r="H834" s="7"/>
    </row>
    <row r="835" ht="15.75" customHeight="1">
      <c r="H835" s="7"/>
    </row>
    <row r="836" ht="15.75" customHeight="1">
      <c r="H836" s="7"/>
    </row>
    <row r="837" ht="15.75" customHeight="1">
      <c r="H837" s="7"/>
    </row>
    <row r="838" ht="15.75" customHeight="1">
      <c r="H838" s="7"/>
    </row>
    <row r="839" ht="15.75" customHeight="1">
      <c r="H839" s="7"/>
    </row>
    <row r="840" ht="15.75" customHeight="1">
      <c r="H840" s="7"/>
    </row>
    <row r="841" ht="15.75" customHeight="1">
      <c r="H841" s="7"/>
    </row>
    <row r="842" ht="15.75" customHeight="1">
      <c r="H842" s="7"/>
    </row>
    <row r="843" ht="15.75" customHeight="1">
      <c r="H843" s="7"/>
    </row>
    <row r="844" ht="15.75" customHeight="1">
      <c r="H844" s="7"/>
    </row>
    <row r="845" ht="15.75" customHeight="1">
      <c r="H845" s="7"/>
    </row>
    <row r="846" ht="15.75" customHeight="1">
      <c r="H846" s="7"/>
    </row>
    <row r="847" ht="15.75" customHeight="1">
      <c r="H847" s="7"/>
    </row>
    <row r="848" ht="15.75" customHeight="1">
      <c r="H848" s="7"/>
    </row>
    <row r="849" ht="15.75" customHeight="1">
      <c r="H849" s="7"/>
    </row>
    <row r="850" ht="15.75" customHeight="1">
      <c r="H850" s="7"/>
    </row>
    <row r="851" ht="15.75" customHeight="1">
      <c r="H851" s="7"/>
    </row>
    <row r="852" ht="15.75" customHeight="1">
      <c r="H852" s="7"/>
    </row>
    <row r="853" ht="15.75" customHeight="1">
      <c r="H853" s="7"/>
    </row>
    <row r="854" ht="15.75" customHeight="1">
      <c r="H854" s="7"/>
    </row>
    <row r="855" ht="15.75" customHeight="1">
      <c r="H855" s="7"/>
    </row>
    <row r="856" ht="15.75" customHeight="1">
      <c r="H856" s="7"/>
    </row>
    <row r="857" ht="15.75" customHeight="1">
      <c r="H857" s="7"/>
    </row>
    <row r="858" ht="15.75" customHeight="1">
      <c r="H858" s="7"/>
    </row>
    <row r="859" ht="15.75" customHeight="1">
      <c r="H859" s="7"/>
    </row>
    <row r="860" ht="15.75" customHeight="1">
      <c r="H860" s="7"/>
    </row>
    <row r="861" ht="15.75" customHeight="1">
      <c r="H861" s="7"/>
    </row>
    <row r="862" ht="15.75" customHeight="1">
      <c r="H862" s="7"/>
    </row>
    <row r="863" ht="15.75" customHeight="1">
      <c r="H863" s="7"/>
    </row>
    <row r="864" ht="15.75" customHeight="1">
      <c r="H864" s="7"/>
    </row>
    <row r="865" ht="15.75" customHeight="1">
      <c r="H865" s="7"/>
    </row>
    <row r="866" ht="15.75" customHeight="1">
      <c r="H866" s="7"/>
    </row>
    <row r="867" ht="15.75" customHeight="1">
      <c r="H867" s="7"/>
    </row>
    <row r="868" ht="15.75" customHeight="1">
      <c r="H868" s="7"/>
    </row>
    <row r="869" ht="15.75" customHeight="1">
      <c r="H869" s="7"/>
    </row>
    <row r="870" ht="15.75" customHeight="1">
      <c r="H870" s="7"/>
    </row>
    <row r="871" ht="15.75" customHeight="1">
      <c r="H871" s="7"/>
    </row>
    <row r="872" ht="15.75" customHeight="1">
      <c r="H872" s="7"/>
    </row>
    <row r="873" ht="15.75" customHeight="1">
      <c r="H873" s="7"/>
    </row>
    <row r="874" ht="15.75" customHeight="1">
      <c r="H874" s="7"/>
    </row>
    <row r="875" ht="15.75" customHeight="1">
      <c r="H875" s="7"/>
    </row>
    <row r="876" ht="15.75" customHeight="1">
      <c r="H876" s="7"/>
    </row>
    <row r="877" ht="15.75" customHeight="1">
      <c r="H877" s="7"/>
    </row>
    <row r="878" ht="15.75" customHeight="1">
      <c r="H878" s="7"/>
    </row>
    <row r="879" ht="15.75" customHeight="1">
      <c r="H879" s="7"/>
    </row>
    <row r="880" ht="15.75" customHeight="1">
      <c r="H880" s="7"/>
    </row>
    <row r="881" ht="15.75" customHeight="1">
      <c r="H881" s="7"/>
    </row>
    <row r="882" ht="15.75" customHeight="1">
      <c r="H882" s="7"/>
    </row>
    <row r="883" ht="15.75" customHeight="1">
      <c r="H883" s="7"/>
    </row>
    <row r="884" ht="15.75" customHeight="1">
      <c r="H884" s="7"/>
    </row>
    <row r="885" ht="15.75" customHeight="1">
      <c r="H885" s="7"/>
    </row>
    <row r="886" ht="15.75" customHeight="1">
      <c r="H886" s="7"/>
    </row>
    <row r="887" ht="15.75" customHeight="1">
      <c r="H887" s="7"/>
    </row>
    <row r="888" ht="15.75" customHeight="1">
      <c r="H888" s="7"/>
    </row>
    <row r="889" ht="15.75" customHeight="1">
      <c r="H889" s="7"/>
    </row>
    <row r="890" ht="15.75" customHeight="1">
      <c r="H890" s="7"/>
    </row>
    <row r="891" ht="15.75" customHeight="1">
      <c r="H891" s="7"/>
    </row>
    <row r="892" ht="15.75" customHeight="1">
      <c r="H892" s="7"/>
    </row>
    <row r="893" ht="15.75" customHeight="1">
      <c r="H893" s="7"/>
    </row>
    <row r="894" ht="15.75" customHeight="1">
      <c r="H894" s="7"/>
    </row>
    <row r="895" ht="15.75" customHeight="1">
      <c r="H895" s="7"/>
    </row>
    <row r="896" ht="15.75" customHeight="1">
      <c r="H896" s="7"/>
    </row>
    <row r="897" ht="15.75" customHeight="1">
      <c r="H897" s="7"/>
    </row>
    <row r="898" ht="15.75" customHeight="1">
      <c r="H898" s="7"/>
    </row>
    <row r="899" ht="15.75" customHeight="1">
      <c r="H899" s="7"/>
    </row>
    <row r="900" ht="15.75" customHeight="1">
      <c r="H900" s="7"/>
    </row>
    <row r="901" ht="15.75" customHeight="1">
      <c r="H901" s="7"/>
    </row>
    <row r="902" ht="15.75" customHeight="1">
      <c r="H902" s="7"/>
    </row>
    <row r="903" ht="15.75" customHeight="1">
      <c r="H903" s="7"/>
    </row>
    <row r="904" ht="15.75" customHeight="1">
      <c r="H904" s="7"/>
    </row>
    <row r="905" ht="15.75" customHeight="1">
      <c r="H905" s="7"/>
    </row>
    <row r="906" ht="15.75" customHeight="1">
      <c r="H906" s="7"/>
    </row>
    <row r="907" ht="15.75" customHeight="1">
      <c r="H907" s="7"/>
    </row>
    <row r="908" ht="15.75" customHeight="1">
      <c r="H908" s="7"/>
    </row>
    <row r="909" ht="15.75" customHeight="1">
      <c r="H909" s="7"/>
    </row>
    <row r="910" ht="15.75" customHeight="1">
      <c r="H910" s="7"/>
    </row>
    <row r="911" ht="15.75" customHeight="1">
      <c r="H911" s="7"/>
    </row>
    <row r="912" ht="15.75" customHeight="1">
      <c r="H912" s="7"/>
    </row>
    <row r="913" ht="15.75" customHeight="1">
      <c r="H913" s="7"/>
    </row>
    <row r="914" ht="15.75" customHeight="1">
      <c r="H914" s="7"/>
    </row>
    <row r="915" ht="15.75" customHeight="1">
      <c r="H915" s="7"/>
    </row>
    <row r="916" ht="15.75" customHeight="1">
      <c r="H916" s="7"/>
    </row>
    <row r="917" ht="15.75" customHeight="1">
      <c r="H917" s="7"/>
    </row>
    <row r="918" ht="15.75" customHeight="1">
      <c r="H918" s="7"/>
    </row>
    <row r="919" ht="15.75" customHeight="1">
      <c r="H919" s="7"/>
    </row>
    <row r="920" ht="15.75" customHeight="1">
      <c r="H920" s="7"/>
    </row>
    <row r="921" ht="15.75" customHeight="1">
      <c r="H921" s="7"/>
    </row>
    <row r="922" ht="15.75" customHeight="1">
      <c r="H922" s="7"/>
    </row>
    <row r="923" ht="15.75" customHeight="1">
      <c r="H923" s="7"/>
    </row>
    <row r="924" ht="15.75" customHeight="1">
      <c r="H924" s="7"/>
    </row>
    <row r="925" ht="15.75" customHeight="1">
      <c r="H925" s="7"/>
    </row>
    <row r="926" ht="15.75" customHeight="1">
      <c r="H926" s="7"/>
    </row>
    <row r="927" ht="15.75" customHeight="1">
      <c r="H927" s="7"/>
    </row>
    <row r="928" ht="15.75" customHeight="1">
      <c r="H928" s="7"/>
    </row>
    <row r="929" ht="15.75" customHeight="1">
      <c r="H929" s="7"/>
    </row>
    <row r="930" ht="15.75" customHeight="1">
      <c r="H930" s="7"/>
    </row>
    <row r="931" ht="15.75" customHeight="1">
      <c r="H931" s="7"/>
    </row>
    <row r="932" ht="15.75" customHeight="1">
      <c r="H932" s="7"/>
    </row>
    <row r="933" ht="15.75" customHeight="1">
      <c r="H933" s="7"/>
    </row>
    <row r="934" ht="15.75" customHeight="1">
      <c r="H934" s="7"/>
    </row>
    <row r="935" ht="15.75" customHeight="1">
      <c r="H935" s="7"/>
    </row>
    <row r="936" ht="15.75" customHeight="1">
      <c r="H936" s="7"/>
    </row>
    <row r="937" ht="15.75" customHeight="1">
      <c r="H937" s="7"/>
    </row>
    <row r="938" ht="15.75" customHeight="1">
      <c r="H938" s="7"/>
    </row>
    <row r="939" ht="15.75" customHeight="1">
      <c r="H939" s="7"/>
    </row>
    <row r="940" ht="15.75" customHeight="1">
      <c r="H940" s="7"/>
    </row>
    <row r="941" ht="15.75" customHeight="1">
      <c r="H941" s="7"/>
    </row>
    <row r="942" ht="15.75" customHeight="1">
      <c r="H942" s="7"/>
    </row>
    <row r="943" ht="15.75" customHeight="1">
      <c r="H943" s="7"/>
    </row>
    <row r="944" ht="15.75" customHeight="1">
      <c r="H944" s="7"/>
    </row>
    <row r="945" ht="15.75" customHeight="1">
      <c r="H945" s="7"/>
    </row>
    <row r="946" ht="15.75" customHeight="1">
      <c r="H946" s="7"/>
    </row>
    <row r="947" ht="15.75" customHeight="1">
      <c r="H947" s="7"/>
    </row>
    <row r="948" ht="15.75" customHeight="1">
      <c r="H948" s="7"/>
    </row>
    <row r="949" ht="15.75" customHeight="1">
      <c r="H949" s="7"/>
    </row>
    <row r="950" ht="15.75" customHeight="1">
      <c r="H950" s="7"/>
    </row>
    <row r="951" ht="15.75" customHeight="1">
      <c r="H951" s="7"/>
    </row>
    <row r="952" ht="15.75" customHeight="1">
      <c r="H952" s="7"/>
    </row>
    <row r="953" ht="15.75" customHeight="1">
      <c r="H953" s="7"/>
    </row>
    <row r="954" ht="15.75" customHeight="1">
      <c r="H954" s="7"/>
    </row>
    <row r="955" ht="15.75" customHeight="1">
      <c r="H955" s="7"/>
    </row>
    <row r="956" ht="15.75" customHeight="1">
      <c r="H956" s="7"/>
    </row>
    <row r="957" ht="15.75" customHeight="1">
      <c r="H957" s="7"/>
    </row>
    <row r="958" ht="15.75" customHeight="1">
      <c r="H958" s="7"/>
    </row>
    <row r="959" ht="15.75" customHeight="1">
      <c r="H959" s="7"/>
    </row>
    <row r="960" ht="15.75" customHeight="1">
      <c r="H960" s="7"/>
    </row>
    <row r="961" ht="15.75" customHeight="1">
      <c r="H961" s="7"/>
    </row>
    <row r="962" ht="15.75" customHeight="1">
      <c r="H962" s="7"/>
    </row>
    <row r="963" ht="15.75" customHeight="1">
      <c r="H963" s="7"/>
    </row>
    <row r="964" ht="15.75" customHeight="1">
      <c r="H964" s="7"/>
    </row>
    <row r="965" ht="15.75" customHeight="1">
      <c r="H965" s="7"/>
    </row>
    <row r="966" ht="15.75" customHeight="1">
      <c r="H966" s="7"/>
    </row>
    <row r="967" ht="15.75" customHeight="1">
      <c r="H967" s="7"/>
    </row>
    <row r="968" ht="15.75" customHeight="1">
      <c r="H968" s="7"/>
    </row>
    <row r="969" ht="15.75" customHeight="1">
      <c r="H969" s="7"/>
    </row>
    <row r="970" ht="15.75" customHeight="1">
      <c r="H970" s="7"/>
    </row>
    <row r="971" ht="15.75" customHeight="1">
      <c r="H971" s="7"/>
    </row>
    <row r="972" ht="15.75" customHeight="1">
      <c r="H972" s="7"/>
    </row>
    <row r="973" ht="15.75" customHeight="1">
      <c r="H973" s="7"/>
    </row>
    <row r="974" ht="15.75" customHeight="1">
      <c r="H974" s="7"/>
    </row>
    <row r="975" ht="15.75" customHeight="1">
      <c r="H975" s="7"/>
    </row>
    <row r="976" ht="15.75" customHeight="1">
      <c r="H976" s="7"/>
    </row>
    <row r="977" ht="15.75" customHeight="1">
      <c r="H977" s="7"/>
    </row>
    <row r="978" ht="15.75" customHeight="1">
      <c r="H978" s="7"/>
    </row>
    <row r="979" ht="15.75" customHeight="1">
      <c r="H979" s="7"/>
    </row>
    <row r="980" ht="15.75" customHeight="1">
      <c r="H980" s="7"/>
    </row>
    <row r="981" ht="15.75" customHeight="1">
      <c r="H981" s="7"/>
    </row>
    <row r="982" ht="15.75" customHeight="1">
      <c r="H982" s="7"/>
    </row>
    <row r="983" ht="15.75" customHeight="1">
      <c r="H983" s="7"/>
    </row>
    <row r="984" ht="15.75" customHeight="1">
      <c r="H984" s="7"/>
    </row>
    <row r="985" ht="15.75" customHeight="1">
      <c r="H985" s="7"/>
    </row>
    <row r="986" ht="15.75" customHeight="1">
      <c r="H986" s="7"/>
    </row>
    <row r="987" ht="15.75" customHeight="1">
      <c r="H987" s="7"/>
    </row>
    <row r="988" ht="15.75" customHeight="1">
      <c r="H988" s="7"/>
    </row>
    <row r="989" ht="15.75" customHeight="1">
      <c r="H989" s="7"/>
    </row>
    <row r="990" ht="15.75" customHeight="1">
      <c r="H990" s="7"/>
    </row>
    <row r="991" ht="15.75" customHeight="1">
      <c r="H991" s="7"/>
    </row>
    <row r="992" ht="15.75" customHeight="1">
      <c r="H992" s="7"/>
    </row>
    <row r="993" ht="15.75" customHeight="1">
      <c r="H993" s="7"/>
    </row>
    <row r="994" ht="15.75" customHeight="1">
      <c r="H994" s="7"/>
    </row>
    <row r="995" ht="15.75" customHeight="1">
      <c r="H995" s="7"/>
    </row>
    <row r="996" ht="15.75" customHeight="1">
      <c r="H996" s="7"/>
    </row>
    <row r="997" ht="15.75" customHeight="1">
      <c r="H997" s="7"/>
    </row>
    <row r="998" ht="15.75" customHeight="1">
      <c r="H998" s="7"/>
    </row>
    <row r="999" ht="15.75" customHeight="1">
      <c r="H999" s="7"/>
    </row>
    <row r="1000" ht="15.75" customHeight="1">
      <c r="H1000" s="7"/>
    </row>
  </sheetData>
  <mergeCells count="2">
    <mergeCell ref="F57:G57"/>
    <mergeCell ref="F58:G58"/>
  </mergeCells>
  <conditionalFormatting sqref="C40 C47">
    <cfRule type="expression" dxfId="0" priority="1">
      <formula>OR($C$40=0,$C$40=100%)</formula>
    </cfRule>
  </conditionalFormatting>
  <conditionalFormatting sqref="C47">
    <cfRule type="expression" dxfId="0" priority="2">
      <formula>OR($C$47=0%,$C$47=100%)</formula>
    </cfRule>
  </conditionalFormatting>
  <conditionalFormatting sqref="C47">
    <cfRule type="expression" dxfId="0" priority="3">
      <formula>OR($C$40=0%,$C$40=100%)</formula>
    </cfRule>
  </conditionalFormatting>
  <dataValidations>
    <dataValidation type="list" allowBlank="1" showErrorMessage="1" sqref="G15:G22">
      <formula1>"Yes,No,no,yes"</formula1>
    </dataValidation>
    <dataValidation type="decimal" operator="greaterThanOrEqual" allowBlank="1" showInputMessage="1" prompt="Are you entering a number? - Please check to make sure you are entering a whole number." sqref="D49:D52">
      <formula1>0.0</formula1>
    </dataValidation>
    <dataValidation type="decimal" operator="greaterThan" allowBlank="1" showErrorMessage="1" sqref="E54">
      <formula1>0.0</formula1>
    </dataValidation>
    <dataValidation type="date" operator="greaterThan" allowBlank="1" showInputMessage="1" showErrorMessage="1" prompt="First day of the month - Please enter the first day of the month in which you will begin selling." sqref="D8">
      <formula1>TODAY()-60</formula1>
    </dataValidation>
    <dataValidation type="decimal" operator="equal" allowBlank="1" showInputMessage="1" prompt="Wait a minute... - The percentages do not equal 100%" sqref="C40">
      <formula1>1.0</formula1>
    </dataValidation>
    <dataValidation type="decimal" allowBlank="1" showInputMessage="1" prompt="This number should be a decimal. - Please make sure you are entering the number correctly to show a percentage." sqref="F57:F58">
      <formula1>0.0</formula1>
      <formula2>1.0</formula2>
    </dataValidation>
  </dataValidations>
  <printOptions/>
  <pageMargins bottom="0.75" footer="0.0" header="0.0" left="0.7" right="0.7" top="0.75"/>
  <pageSetup orientation="portrait"/>
  <headerFooter>
    <oddFooter>&amp;CCopyright Guided Business Plan.com |888.523.5244</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fitToPage="1"/>
  </sheetPr>
  <sheetViews>
    <sheetView showGridLines="0" workbookViewId="0">
      <pane ySplit="6.0" topLeftCell="A7" activePane="bottomLeft" state="frozen"/>
      <selection activeCell="B8" sqref="B8" pane="bottomLeft"/>
    </sheetView>
  </sheetViews>
  <sheetFormatPr customHeight="1" defaultColWidth="12.63" defaultRowHeight="15.0"/>
  <cols>
    <col customWidth="1" min="1" max="1" width="39.63"/>
    <col customWidth="1" min="2" max="2" width="3.75"/>
    <col customWidth="1" hidden="1" min="3" max="3" width="10.88"/>
    <col customWidth="1" min="4" max="4" width="13.75"/>
    <col customWidth="1" min="5" max="5" width="5.63"/>
    <col customWidth="1" min="6" max="6" width="33.13"/>
    <col customWidth="1" min="7" max="26" width="7.75"/>
  </cols>
  <sheetData>
    <row r="1" ht="27.75" customHeight="1">
      <c r="A1" s="1" t="s">
        <v>0</v>
      </c>
      <c r="B1" s="2"/>
      <c r="C1" s="1"/>
      <c r="D1" s="1"/>
      <c r="E1" s="1"/>
      <c r="F1" s="3"/>
    </row>
    <row r="2" ht="17.25" customHeight="1">
      <c r="A2" s="8" t="str">
        <f>IF(ISBLANK(Company_Name),"Start-up Projections or Base Estimates","Start-up Projections or Base Estimates for "&amp;Company_Name)</f>
        <v>Start-up Projections or Base Estimates for OTW Paints</v>
      </c>
      <c r="B2" s="10"/>
      <c r="C2" s="10"/>
      <c r="D2" s="10"/>
      <c r="E2" s="10"/>
      <c r="F2" s="10"/>
      <c r="I2" s="12"/>
    </row>
    <row r="3">
      <c r="A3" s="14"/>
      <c r="B3" s="13"/>
      <c r="C3" s="11"/>
      <c r="D3" s="11"/>
      <c r="E3" s="11"/>
      <c r="F3" s="18" t="str">
        <f>"Financial Projections Start Date:  "&amp;IF(ISBLANK(Projected_Start_Date),"",TEXT(Projected_Start_Date,"mm/dd/yy"))</f>
        <v>Financial Projections Start Date:  01/01/16</v>
      </c>
    </row>
    <row r="4" ht="18.75" customHeight="1">
      <c r="A4" s="20" t="s">
        <v>5</v>
      </c>
      <c r="B4" s="30"/>
      <c r="C4" s="30"/>
      <c r="D4" s="30"/>
      <c r="E4" s="30"/>
      <c r="F4" s="30"/>
    </row>
    <row r="5" ht="18.75" customHeight="1">
      <c r="A5" s="32"/>
      <c r="B5" s="32"/>
      <c r="C5" s="32"/>
      <c r="D5" s="32"/>
      <c r="E5" s="32"/>
      <c r="F5" s="32"/>
    </row>
    <row r="6" ht="18.75" customHeight="1">
      <c r="A6" s="17" t="s">
        <v>13</v>
      </c>
      <c r="B6" s="37" t="s">
        <v>14</v>
      </c>
      <c r="C6" s="39" t="s">
        <v>18</v>
      </c>
      <c r="D6" s="44" t="s">
        <v>20</v>
      </c>
      <c r="E6" s="46" t="s">
        <v>29</v>
      </c>
      <c r="F6" s="51" t="s">
        <v>31</v>
      </c>
    </row>
    <row r="7">
      <c r="A7" s="54" t="s">
        <v>36</v>
      </c>
      <c r="B7" s="56" t="s">
        <v>39</v>
      </c>
      <c r="C7" s="58" t="s">
        <v>43</v>
      </c>
      <c r="D7" s="60"/>
      <c r="E7" s="62"/>
      <c r="F7" s="64" t="s">
        <v>48</v>
      </c>
    </row>
    <row r="8">
      <c r="A8" s="54" t="s">
        <v>49</v>
      </c>
      <c r="B8" s="56" t="s">
        <v>39</v>
      </c>
      <c r="C8" s="58" t="s">
        <v>50</v>
      </c>
      <c r="D8" s="60"/>
      <c r="E8" s="62"/>
      <c r="F8" s="64" t="s">
        <v>48</v>
      </c>
    </row>
    <row r="9">
      <c r="A9" s="54" t="s">
        <v>51</v>
      </c>
      <c r="B9" s="56" t="s">
        <v>39</v>
      </c>
      <c r="C9" s="58" t="s">
        <v>52</v>
      </c>
      <c r="D9" s="60"/>
      <c r="E9" s="67"/>
      <c r="F9" s="64" t="s">
        <v>53</v>
      </c>
    </row>
    <row r="10">
      <c r="A10" s="54" t="s">
        <v>54</v>
      </c>
      <c r="B10" s="56" t="s">
        <v>39</v>
      </c>
      <c r="C10" s="58" t="s">
        <v>55</v>
      </c>
      <c r="D10" s="60">
        <v>3000.0</v>
      </c>
      <c r="E10" s="67"/>
      <c r="F10" s="64" t="s">
        <v>56</v>
      </c>
    </row>
    <row r="11">
      <c r="A11" s="54" t="s">
        <v>57</v>
      </c>
      <c r="B11" s="56" t="s">
        <v>39</v>
      </c>
      <c r="C11" s="58" t="s">
        <v>60</v>
      </c>
      <c r="D11" s="60"/>
      <c r="E11" s="67"/>
      <c r="F11" s="64" t="s">
        <v>61</v>
      </c>
    </row>
    <row r="12">
      <c r="A12" s="54" t="s">
        <v>62</v>
      </c>
      <c r="B12" s="56" t="s">
        <v>39</v>
      </c>
      <c r="C12" s="58" t="s">
        <v>63</v>
      </c>
      <c r="D12" s="60"/>
      <c r="E12" s="67"/>
      <c r="F12" s="64" t="s">
        <v>64</v>
      </c>
    </row>
    <row r="13">
      <c r="A13" s="54" t="s">
        <v>65</v>
      </c>
      <c r="B13" s="56" t="s">
        <v>39</v>
      </c>
      <c r="C13" s="58" t="s">
        <v>66</v>
      </c>
      <c r="D13" s="60"/>
      <c r="E13" s="67"/>
      <c r="F13" s="64" t="s">
        <v>67</v>
      </c>
    </row>
    <row r="14">
      <c r="A14" s="54" t="s">
        <v>68</v>
      </c>
      <c r="B14" s="56" t="s">
        <v>39</v>
      </c>
      <c r="C14" s="58" t="s">
        <v>69</v>
      </c>
      <c r="D14" s="60"/>
      <c r="E14" s="67"/>
      <c r="F14" s="64" t="s">
        <v>70</v>
      </c>
    </row>
    <row r="15">
      <c r="A15" s="54" t="s">
        <v>71</v>
      </c>
      <c r="B15" s="56" t="s">
        <v>39</v>
      </c>
      <c r="C15" s="58" t="s">
        <v>72</v>
      </c>
      <c r="D15" s="60"/>
      <c r="E15" s="67"/>
      <c r="F15" s="64"/>
    </row>
    <row r="16">
      <c r="A16" s="54" t="s">
        <v>73</v>
      </c>
      <c r="B16" s="56" t="s">
        <v>39</v>
      </c>
      <c r="C16" s="58" t="s">
        <v>74</v>
      </c>
      <c r="D16" s="60"/>
      <c r="E16" s="67"/>
      <c r="F16" s="64" t="s">
        <v>75</v>
      </c>
    </row>
    <row r="17">
      <c r="A17" s="54" t="s">
        <v>76</v>
      </c>
      <c r="B17" s="56" t="s">
        <v>77</v>
      </c>
      <c r="C17" s="58"/>
      <c r="D17" s="60">
        <v>0.0</v>
      </c>
      <c r="E17" s="67"/>
      <c r="F17" s="64" t="s">
        <v>78</v>
      </c>
    </row>
    <row r="18">
      <c r="A18" s="54" t="s">
        <v>79</v>
      </c>
      <c r="B18" s="56" t="s">
        <v>77</v>
      </c>
      <c r="C18" s="58" t="s">
        <v>80</v>
      </c>
      <c r="D18" s="60"/>
      <c r="E18" s="67"/>
      <c r="F18" s="64"/>
    </row>
    <row r="19">
      <c r="A19" s="54" t="s">
        <v>81</v>
      </c>
      <c r="B19" s="56" t="s">
        <v>77</v>
      </c>
      <c r="C19" s="58" t="s">
        <v>82</v>
      </c>
      <c r="D19" s="60">
        <v>5000.0</v>
      </c>
      <c r="E19" s="67"/>
      <c r="F19" s="64" t="s">
        <v>83</v>
      </c>
    </row>
    <row r="20">
      <c r="A20" s="54" t="s">
        <v>84</v>
      </c>
      <c r="B20" s="56" t="s">
        <v>77</v>
      </c>
      <c r="C20" s="58" t="s">
        <v>85</v>
      </c>
      <c r="D20" s="60">
        <v>150.0</v>
      </c>
      <c r="E20" s="67"/>
      <c r="F20" s="64" t="s">
        <v>86</v>
      </c>
    </row>
    <row r="21" ht="15.75" customHeight="1">
      <c r="A21" s="54" t="s">
        <v>87</v>
      </c>
      <c r="B21" s="56" t="s">
        <v>39</v>
      </c>
      <c r="C21" s="58" t="s">
        <v>88</v>
      </c>
      <c r="D21" s="60"/>
      <c r="E21" s="67"/>
      <c r="F21" s="64" t="s">
        <v>89</v>
      </c>
    </row>
    <row r="22" ht="15.75" customHeight="1">
      <c r="A22" s="54" t="s">
        <v>90</v>
      </c>
      <c r="B22" s="56" t="s">
        <v>91</v>
      </c>
      <c r="C22" s="58" t="s">
        <v>92</v>
      </c>
      <c r="D22" s="60">
        <v>150.0</v>
      </c>
      <c r="E22" s="67"/>
      <c r="F22" s="64" t="s">
        <v>93</v>
      </c>
    </row>
    <row r="23" ht="15.75" customHeight="1">
      <c r="A23" s="54" t="s">
        <v>94</v>
      </c>
      <c r="B23" s="56"/>
      <c r="C23" s="58" t="s">
        <v>95</v>
      </c>
      <c r="D23" s="60">
        <v>1500.0</v>
      </c>
      <c r="E23" s="67"/>
      <c r="F23" s="64" t="s">
        <v>96</v>
      </c>
    </row>
    <row r="24" ht="15.75" customHeight="1">
      <c r="A24" s="54" t="s">
        <v>98</v>
      </c>
      <c r="B24" s="56"/>
      <c r="C24" s="58" t="s">
        <v>99</v>
      </c>
      <c r="D24" s="60">
        <v>10.0</v>
      </c>
      <c r="E24" s="67"/>
      <c r="F24" s="64" t="s">
        <v>100</v>
      </c>
    </row>
    <row r="25" ht="15.75" customHeight="1">
      <c r="A25" s="54" t="s">
        <v>101</v>
      </c>
      <c r="B25" s="56"/>
      <c r="C25" s="58" t="s">
        <v>103</v>
      </c>
      <c r="D25" s="60">
        <v>250.0</v>
      </c>
      <c r="E25" s="67"/>
      <c r="F25" s="64" t="s">
        <v>104</v>
      </c>
    </row>
    <row r="26" ht="15.75" customHeight="1">
      <c r="A26" s="54" t="s">
        <v>105</v>
      </c>
      <c r="B26" s="56"/>
      <c r="C26" s="58" t="s">
        <v>106</v>
      </c>
      <c r="D26" s="60"/>
      <c r="E26" s="67"/>
      <c r="F26" s="64" t="s">
        <v>108</v>
      </c>
    </row>
    <row r="27" ht="15.75" customHeight="1">
      <c r="A27" s="54" t="s">
        <v>112</v>
      </c>
      <c r="B27" s="56"/>
      <c r="C27" s="58" t="s">
        <v>113</v>
      </c>
      <c r="D27" s="60"/>
      <c r="E27" s="67"/>
      <c r="F27" s="64" t="s">
        <v>114</v>
      </c>
    </row>
    <row r="28" ht="15.75" customHeight="1">
      <c r="A28" s="54" t="s">
        <v>116</v>
      </c>
      <c r="B28" s="56"/>
      <c r="C28" s="58" t="s">
        <v>117</v>
      </c>
      <c r="D28" s="60">
        <v>1500.0</v>
      </c>
      <c r="E28" s="67"/>
      <c r="F28" s="64" t="s">
        <v>118</v>
      </c>
    </row>
    <row r="29" ht="15.75" customHeight="1">
      <c r="A29" s="54" t="s">
        <v>119</v>
      </c>
      <c r="B29" s="56"/>
      <c r="C29" s="58" t="s">
        <v>120</v>
      </c>
      <c r="D29" s="60">
        <v>0.0</v>
      </c>
      <c r="E29" s="67"/>
      <c r="F29" s="64" t="s">
        <v>121</v>
      </c>
    </row>
    <row r="30" ht="15.75" customHeight="1">
      <c r="A30" s="54" t="s">
        <v>122</v>
      </c>
      <c r="B30" s="56"/>
      <c r="C30" s="58" t="s">
        <v>123</v>
      </c>
      <c r="D30" s="60">
        <v>4500.0</v>
      </c>
      <c r="E30" s="67"/>
      <c r="F30" s="64" t="s">
        <v>124</v>
      </c>
    </row>
    <row r="31" ht="15.75" customHeight="1">
      <c r="A31" s="54" t="s">
        <v>125</v>
      </c>
      <c r="B31" s="56"/>
      <c r="C31" s="58" t="s">
        <v>126</v>
      </c>
      <c r="D31" s="60">
        <v>0.0</v>
      </c>
      <c r="E31" s="67"/>
      <c r="F31" s="64" t="s">
        <v>128</v>
      </c>
    </row>
    <row r="32" ht="15.75" customHeight="1">
      <c r="A32" s="54" t="s">
        <v>129</v>
      </c>
      <c r="B32" s="56"/>
      <c r="C32" s="58" t="s">
        <v>130</v>
      </c>
      <c r="D32" s="60">
        <v>1000.0</v>
      </c>
      <c r="E32" s="67"/>
      <c r="F32" s="64" t="s">
        <v>132</v>
      </c>
    </row>
    <row r="33" ht="15.75" customHeight="1">
      <c r="A33" s="54" t="s">
        <v>133</v>
      </c>
      <c r="B33" s="56"/>
      <c r="C33" s="58" t="s">
        <v>134</v>
      </c>
      <c r="D33" s="60">
        <v>0.0</v>
      </c>
      <c r="E33" s="67"/>
      <c r="F33" s="64" t="s">
        <v>135</v>
      </c>
    </row>
    <row r="34" ht="15.75" customHeight="1">
      <c r="A34" s="54" t="s">
        <v>136</v>
      </c>
      <c r="B34" s="56"/>
      <c r="C34" s="58" t="s">
        <v>137</v>
      </c>
      <c r="D34" s="60"/>
      <c r="E34" s="67"/>
      <c r="F34" s="64"/>
    </row>
    <row r="35" ht="15.75" customHeight="1">
      <c r="A35" s="54" t="s">
        <v>138</v>
      </c>
      <c r="B35" s="56"/>
      <c r="C35" s="58" t="s">
        <v>140</v>
      </c>
      <c r="D35" s="60"/>
      <c r="E35" s="67"/>
      <c r="F35" s="64" t="s">
        <v>141</v>
      </c>
    </row>
    <row r="36" ht="15.75" customHeight="1">
      <c r="A36" s="80" t="s">
        <v>142</v>
      </c>
      <c r="B36" s="82"/>
      <c r="C36" s="84" t="s">
        <v>144</v>
      </c>
      <c r="D36" s="85">
        <v>4000.0</v>
      </c>
      <c r="E36" s="87"/>
      <c r="F36" s="88"/>
    </row>
    <row r="37" ht="15.75" customHeight="1">
      <c r="A37" s="16"/>
      <c r="B37" s="7"/>
      <c r="F37" s="90"/>
    </row>
    <row r="38" ht="15.75" customHeight="1">
      <c r="A38" s="16"/>
      <c r="B38" s="7"/>
      <c r="F38" s="90"/>
    </row>
    <row r="39" ht="15.75" customHeight="1">
      <c r="A39" s="16"/>
      <c r="B39" s="7"/>
      <c r="F39" s="90"/>
    </row>
    <row r="40" ht="15.75" customHeight="1">
      <c r="A40" s="16"/>
      <c r="B40" s="7"/>
      <c r="F40" s="90"/>
    </row>
    <row r="41" ht="15.75" customHeight="1">
      <c r="A41" s="16"/>
      <c r="B41" s="7"/>
      <c r="F41" s="90"/>
    </row>
    <row r="42" ht="15.75" customHeight="1">
      <c r="A42" s="16"/>
      <c r="B42" s="7"/>
      <c r="F42" s="90"/>
    </row>
    <row r="43" ht="15.75" customHeight="1">
      <c r="A43" s="16"/>
      <c r="B43" s="7"/>
      <c r="F43" s="90"/>
    </row>
    <row r="44" ht="15.75" customHeight="1">
      <c r="A44" s="16"/>
      <c r="B44" s="7"/>
      <c r="F44" s="90"/>
    </row>
    <row r="45" ht="15.75" customHeight="1">
      <c r="A45" s="16"/>
      <c r="B45" s="7"/>
      <c r="F45" s="90"/>
    </row>
    <row r="46" ht="15.75" customHeight="1">
      <c r="A46" s="16"/>
      <c r="B46" s="7"/>
      <c r="F46" s="90"/>
    </row>
    <row r="47" ht="15.75" customHeight="1">
      <c r="A47" s="16"/>
      <c r="B47" s="7"/>
      <c r="F47" s="90"/>
    </row>
    <row r="48" ht="15.75" customHeight="1">
      <c r="A48" s="16"/>
      <c r="B48" s="7"/>
      <c r="F48" s="90"/>
    </row>
    <row r="49" ht="15.75" customHeight="1">
      <c r="A49" s="16"/>
      <c r="B49" s="7"/>
      <c r="F49" s="90"/>
    </row>
    <row r="50" ht="15.75" customHeight="1">
      <c r="A50" s="16"/>
      <c r="B50" s="7"/>
      <c r="F50" s="90"/>
    </row>
    <row r="51" ht="15.75" customHeight="1">
      <c r="A51" s="16"/>
      <c r="B51" s="7"/>
      <c r="F51" s="90"/>
    </row>
    <row r="52" ht="15.75" customHeight="1">
      <c r="A52" s="16"/>
      <c r="B52" s="7"/>
      <c r="F52" s="90"/>
    </row>
    <row r="53" ht="15.75" customHeight="1">
      <c r="A53" s="16"/>
      <c r="B53" s="7"/>
      <c r="F53" s="90"/>
    </row>
    <row r="54" ht="15.75" customHeight="1">
      <c r="A54" s="16"/>
      <c r="B54" s="7"/>
      <c r="F54" s="90"/>
    </row>
    <row r="55" ht="15.75" customHeight="1">
      <c r="A55" s="16"/>
      <c r="B55" s="7"/>
      <c r="F55" s="90"/>
    </row>
    <row r="56" ht="15.75" customHeight="1">
      <c r="A56" s="16"/>
      <c r="B56" s="7"/>
      <c r="F56" s="90"/>
    </row>
    <row r="57" ht="15.75" customHeight="1">
      <c r="A57" s="16"/>
      <c r="B57" s="7"/>
      <c r="F57" s="90"/>
    </row>
    <row r="58" ht="15.75" customHeight="1">
      <c r="A58" s="16"/>
      <c r="B58" s="7"/>
      <c r="F58" s="90"/>
    </row>
    <row r="59" ht="15.75" customHeight="1">
      <c r="A59" s="16"/>
      <c r="B59" s="7"/>
      <c r="F59" s="90"/>
    </row>
    <row r="60" ht="15.75" customHeight="1">
      <c r="A60" s="16"/>
      <c r="B60" s="7"/>
      <c r="F60" s="90"/>
    </row>
    <row r="61" ht="15.75" customHeight="1">
      <c r="A61" s="16"/>
      <c r="B61" s="7"/>
      <c r="F61" s="90"/>
    </row>
    <row r="62" ht="15.75" customHeight="1">
      <c r="A62" s="16"/>
      <c r="B62" s="7"/>
      <c r="F62" s="90"/>
    </row>
    <row r="63" ht="15.75" customHeight="1">
      <c r="A63" s="16"/>
      <c r="B63" s="7"/>
      <c r="F63" s="90"/>
    </row>
    <row r="64" ht="15.75" customHeight="1">
      <c r="A64" s="16"/>
      <c r="B64" s="7"/>
      <c r="F64" s="90"/>
    </row>
    <row r="65" ht="15.75" customHeight="1">
      <c r="A65" s="16"/>
      <c r="B65" s="7"/>
      <c r="F65" s="90"/>
    </row>
    <row r="66" ht="15.75" customHeight="1">
      <c r="A66" s="16"/>
      <c r="B66" s="7"/>
      <c r="F66" s="90"/>
    </row>
    <row r="67" ht="15.75" customHeight="1">
      <c r="A67" s="16"/>
      <c r="B67" s="7"/>
      <c r="F67" s="90"/>
    </row>
    <row r="68" ht="15.75" customHeight="1">
      <c r="A68" s="16"/>
      <c r="B68" s="7"/>
      <c r="F68" s="90"/>
    </row>
    <row r="69" ht="15.75" customHeight="1">
      <c r="A69" s="16"/>
      <c r="B69" s="7"/>
      <c r="F69" s="90"/>
    </row>
    <row r="70" ht="15.75" customHeight="1">
      <c r="A70" s="16"/>
      <c r="B70" s="7"/>
      <c r="F70" s="90"/>
    </row>
    <row r="71" ht="15.75" customHeight="1">
      <c r="A71" s="16"/>
      <c r="B71" s="7"/>
      <c r="F71" s="90"/>
    </row>
    <row r="72" ht="15.75" customHeight="1">
      <c r="A72" s="16"/>
      <c r="B72" s="7"/>
      <c r="F72" s="90"/>
    </row>
    <row r="73" ht="15.75" customHeight="1">
      <c r="A73" s="16"/>
      <c r="B73" s="7"/>
      <c r="F73" s="90"/>
    </row>
    <row r="74" ht="15.75" customHeight="1">
      <c r="A74" s="16"/>
      <c r="B74" s="7"/>
      <c r="F74" s="90"/>
    </row>
    <row r="75" ht="15.75" customHeight="1">
      <c r="A75" s="16"/>
      <c r="B75" s="7"/>
      <c r="F75" s="90"/>
    </row>
    <row r="76" ht="15.75" customHeight="1">
      <c r="A76" s="16"/>
      <c r="B76" s="7"/>
      <c r="F76" s="90"/>
    </row>
    <row r="77" ht="15.75" customHeight="1">
      <c r="A77" s="16"/>
      <c r="B77" s="7"/>
      <c r="F77" s="90"/>
    </row>
    <row r="78" ht="15.75" customHeight="1">
      <c r="A78" s="16"/>
      <c r="B78" s="7"/>
      <c r="F78" s="90"/>
    </row>
    <row r="79" ht="15.75" customHeight="1">
      <c r="A79" s="16"/>
      <c r="B79" s="7"/>
      <c r="F79" s="90"/>
    </row>
    <row r="80" ht="15.75" customHeight="1">
      <c r="A80" s="16"/>
      <c r="B80" s="7"/>
      <c r="F80" s="90"/>
    </row>
    <row r="81" ht="15.75" customHeight="1">
      <c r="A81" s="16"/>
      <c r="B81" s="7"/>
      <c r="F81" s="90"/>
    </row>
    <row r="82" ht="15.75" customHeight="1">
      <c r="A82" s="16"/>
      <c r="B82" s="7"/>
      <c r="F82" s="90"/>
    </row>
    <row r="83" ht="15.75" customHeight="1">
      <c r="A83" s="16"/>
      <c r="B83" s="7"/>
      <c r="F83" s="90"/>
    </row>
    <row r="84" ht="15.75" customHeight="1">
      <c r="A84" s="16"/>
      <c r="B84" s="7"/>
      <c r="F84" s="90"/>
    </row>
    <row r="85" ht="15.75" customHeight="1">
      <c r="A85" s="16"/>
      <c r="B85" s="7"/>
      <c r="F85" s="90"/>
    </row>
    <row r="86" ht="15.75" customHeight="1">
      <c r="A86" s="16"/>
      <c r="B86" s="7"/>
      <c r="F86" s="90"/>
    </row>
    <row r="87" ht="15.75" customHeight="1">
      <c r="A87" s="16"/>
      <c r="B87" s="7"/>
      <c r="F87" s="90"/>
    </row>
    <row r="88" ht="15.75" customHeight="1">
      <c r="A88" s="16"/>
      <c r="B88" s="7"/>
      <c r="F88" s="90"/>
    </row>
    <row r="89" ht="15.75" customHeight="1">
      <c r="A89" s="16"/>
      <c r="B89" s="7"/>
      <c r="F89" s="90"/>
    </row>
    <row r="90" ht="15.75" customHeight="1">
      <c r="A90" s="16"/>
      <c r="B90" s="7"/>
      <c r="F90" s="90"/>
    </row>
    <row r="91" ht="15.75" customHeight="1">
      <c r="A91" s="16"/>
      <c r="B91" s="7"/>
      <c r="F91" s="90"/>
    </row>
    <row r="92" ht="15.75" customHeight="1">
      <c r="A92" s="16"/>
      <c r="B92" s="7"/>
      <c r="F92" s="90"/>
    </row>
    <row r="93" ht="15.75" customHeight="1">
      <c r="A93" s="16"/>
      <c r="B93" s="7"/>
      <c r="F93" s="90"/>
    </row>
    <row r="94" ht="15.75" customHeight="1">
      <c r="A94" s="16"/>
      <c r="B94" s="7"/>
      <c r="F94" s="90"/>
    </row>
    <row r="95" ht="15.75" customHeight="1">
      <c r="A95" s="16"/>
      <c r="B95" s="7"/>
      <c r="F95" s="90"/>
    </row>
    <row r="96" ht="15.75" customHeight="1">
      <c r="A96" s="16"/>
      <c r="B96" s="7"/>
      <c r="F96" s="90"/>
    </row>
    <row r="97" ht="15.75" customHeight="1">
      <c r="A97" s="16"/>
      <c r="B97" s="7"/>
      <c r="F97" s="90"/>
    </row>
    <row r="98" ht="15.75" customHeight="1">
      <c r="A98" s="16"/>
      <c r="B98" s="7"/>
      <c r="F98" s="90"/>
    </row>
    <row r="99" ht="15.75" customHeight="1">
      <c r="A99" s="16"/>
      <c r="B99" s="7"/>
      <c r="F99" s="90"/>
    </row>
    <row r="100" ht="15.75" customHeight="1">
      <c r="A100" s="16"/>
      <c r="B100" s="7"/>
      <c r="F100" s="90"/>
    </row>
    <row r="101" ht="15.75" customHeight="1">
      <c r="A101" s="16"/>
      <c r="B101" s="7"/>
      <c r="F101" s="90"/>
    </row>
    <row r="102" ht="15.75" customHeight="1">
      <c r="A102" s="16"/>
      <c r="B102" s="7"/>
      <c r="F102" s="90"/>
    </row>
    <row r="103" ht="15.75" customHeight="1">
      <c r="A103" s="16"/>
      <c r="B103" s="7"/>
      <c r="F103" s="90"/>
    </row>
    <row r="104" ht="15.75" customHeight="1">
      <c r="A104" s="16"/>
      <c r="B104" s="7"/>
      <c r="F104" s="90"/>
    </row>
    <row r="105" ht="15.75" customHeight="1">
      <c r="A105" s="16"/>
      <c r="B105" s="7"/>
      <c r="F105" s="90"/>
    </row>
    <row r="106" ht="15.75" customHeight="1">
      <c r="A106" s="16"/>
      <c r="B106" s="7"/>
      <c r="F106" s="90"/>
    </row>
    <row r="107" ht="15.75" customHeight="1">
      <c r="A107" s="16"/>
      <c r="B107" s="7"/>
      <c r="F107" s="90"/>
    </row>
    <row r="108" ht="15.75" customHeight="1">
      <c r="A108" s="16"/>
      <c r="B108" s="7"/>
      <c r="F108" s="90"/>
    </row>
    <row r="109" ht="15.75" customHeight="1">
      <c r="A109" s="16"/>
      <c r="B109" s="7"/>
      <c r="F109" s="90"/>
    </row>
    <row r="110" ht="15.75" customHeight="1">
      <c r="A110" s="16"/>
      <c r="B110" s="7"/>
      <c r="F110" s="90"/>
    </row>
    <row r="111" ht="15.75" customHeight="1">
      <c r="A111" s="16"/>
      <c r="B111" s="7"/>
      <c r="F111" s="90"/>
    </row>
    <row r="112" ht="15.75" customHeight="1">
      <c r="A112" s="16"/>
      <c r="B112" s="7"/>
      <c r="F112" s="90"/>
    </row>
    <row r="113" ht="15.75" customHeight="1">
      <c r="A113" s="16"/>
      <c r="B113" s="7"/>
      <c r="F113" s="90"/>
    </row>
    <row r="114" ht="15.75" customHeight="1">
      <c r="A114" s="16"/>
      <c r="B114" s="7"/>
      <c r="F114" s="90"/>
    </row>
    <row r="115" ht="15.75" customHeight="1">
      <c r="A115" s="16"/>
      <c r="B115" s="7"/>
      <c r="F115" s="90"/>
    </row>
    <row r="116" ht="15.75" customHeight="1">
      <c r="A116" s="16"/>
      <c r="B116" s="7"/>
      <c r="F116" s="90"/>
    </row>
    <row r="117" ht="15.75" customHeight="1">
      <c r="A117" s="16"/>
      <c r="B117" s="7"/>
      <c r="F117" s="90"/>
    </row>
    <row r="118" ht="15.75" customHeight="1">
      <c r="A118" s="16"/>
      <c r="B118" s="7"/>
      <c r="F118" s="90"/>
    </row>
    <row r="119" ht="15.75" customHeight="1">
      <c r="A119" s="16"/>
      <c r="B119" s="7"/>
      <c r="F119" s="90"/>
    </row>
    <row r="120" ht="15.75" customHeight="1">
      <c r="A120" s="16"/>
      <c r="B120" s="7"/>
      <c r="F120" s="90"/>
    </row>
    <row r="121" ht="15.75" customHeight="1">
      <c r="A121" s="16"/>
      <c r="B121" s="7"/>
      <c r="F121" s="90"/>
    </row>
    <row r="122" ht="15.75" customHeight="1">
      <c r="A122" s="16"/>
      <c r="B122" s="7"/>
      <c r="F122" s="90"/>
    </row>
    <row r="123" ht="15.75" customHeight="1">
      <c r="A123" s="16"/>
      <c r="B123" s="7"/>
      <c r="F123" s="90"/>
    </row>
    <row r="124" ht="15.75" customHeight="1">
      <c r="A124" s="16"/>
      <c r="B124" s="7"/>
      <c r="F124" s="90"/>
    </row>
    <row r="125" ht="15.75" customHeight="1">
      <c r="A125" s="16"/>
      <c r="B125" s="7"/>
      <c r="F125" s="90"/>
    </row>
    <row r="126" ht="15.75" customHeight="1">
      <c r="A126" s="16"/>
      <c r="B126" s="7"/>
      <c r="F126" s="90"/>
    </row>
    <row r="127" ht="15.75" customHeight="1">
      <c r="A127" s="16"/>
      <c r="B127" s="7"/>
      <c r="F127" s="90"/>
    </row>
    <row r="128" ht="15.75" customHeight="1">
      <c r="A128" s="16"/>
      <c r="B128" s="7"/>
      <c r="F128" s="90"/>
    </row>
    <row r="129" ht="15.75" customHeight="1">
      <c r="A129" s="16"/>
      <c r="B129" s="7"/>
      <c r="F129" s="90"/>
    </row>
    <row r="130" ht="15.75" customHeight="1">
      <c r="A130" s="16"/>
      <c r="B130" s="7"/>
      <c r="F130" s="90"/>
    </row>
    <row r="131" ht="15.75" customHeight="1">
      <c r="A131" s="16"/>
      <c r="B131" s="7"/>
      <c r="F131" s="90"/>
    </row>
    <row r="132" ht="15.75" customHeight="1">
      <c r="A132" s="16"/>
      <c r="B132" s="7"/>
      <c r="F132" s="90"/>
    </row>
    <row r="133" ht="15.75" customHeight="1">
      <c r="A133" s="16"/>
      <c r="B133" s="7"/>
      <c r="F133" s="90"/>
    </row>
    <row r="134" ht="15.75" customHeight="1">
      <c r="A134" s="16"/>
      <c r="B134" s="7"/>
      <c r="F134" s="90"/>
    </row>
    <row r="135" ht="15.75" customHeight="1">
      <c r="A135" s="16"/>
      <c r="B135" s="7"/>
      <c r="F135" s="90"/>
    </row>
    <row r="136" ht="15.75" customHeight="1">
      <c r="A136" s="16"/>
      <c r="B136" s="7"/>
      <c r="F136" s="90"/>
    </row>
    <row r="137" ht="15.75" customHeight="1">
      <c r="A137" s="16"/>
      <c r="B137" s="7"/>
      <c r="F137" s="90"/>
    </row>
    <row r="138" ht="15.75" customHeight="1">
      <c r="A138" s="16"/>
      <c r="B138" s="7"/>
      <c r="F138" s="90"/>
    </row>
    <row r="139" ht="15.75" customHeight="1">
      <c r="A139" s="16"/>
      <c r="B139" s="7"/>
      <c r="F139" s="90"/>
    </row>
    <row r="140" ht="15.75" customHeight="1">
      <c r="A140" s="16"/>
      <c r="B140" s="7"/>
      <c r="F140" s="90"/>
    </row>
    <row r="141" ht="15.75" customHeight="1">
      <c r="A141" s="16"/>
      <c r="B141" s="7"/>
      <c r="F141" s="90"/>
    </row>
    <row r="142" ht="15.75" customHeight="1">
      <c r="A142" s="16"/>
      <c r="B142" s="7"/>
      <c r="F142" s="90"/>
    </row>
    <row r="143" ht="15.75" customHeight="1">
      <c r="A143" s="16"/>
      <c r="B143" s="7"/>
      <c r="F143" s="90"/>
    </row>
    <row r="144" ht="15.75" customHeight="1">
      <c r="A144" s="16"/>
      <c r="B144" s="7"/>
      <c r="F144" s="90"/>
    </row>
    <row r="145" ht="15.75" customHeight="1">
      <c r="A145" s="16"/>
      <c r="B145" s="7"/>
      <c r="F145" s="90"/>
    </row>
    <row r="146" ht="15.75" customHeight="1">
      <c r="A146" s="16"/>
      <c r="B146" s="7"/>
      <c r="F146" s="90"/>
    </row>
    <row r="147" ht="15.75" customHeight="1">
      <c r="A147" s="16"/>
      <c r="B147" s="7"/>
      <c r="F147" s="90"/>
    </row>
    <row r="148" ht="15.75" customHeight="1">
      <c r="A148" s="16"/>
      <c r="B148" s="7"/>
      <c r="F148" s="90"/>
    </row>
    <row r="149" ht="15.75" customHeight="1">
      <c r="A149" s="16"/>
      <c r="B149" s="7"/>
      <c r="F149" s="90"/>
    </row>
    <row r="150" ht="15.75" customHeight="1">
      <c r="A150" s="16"/>
      <c r="B150" s="7"/>
      <c r="F150" s="90"/>
    </row>
    <row r="151" ht="15.75" customHeight="1">
      <c r="A151" s="16"/>
      <c r="B151" s="7"/>
      <c r="F151" s="90"/>
    </row>
    <row r="152" ht="15.75" customHeight="1">
      <c r="A152" s="16"/>
      <c r="B152" s="7"/>
      <c r="F152" s="90"/>
    </row>
    <row r="153" ht="15.75" customHeight="1">
      <c r="A153" s="16"/>
      <c r="B153" s="7"/>
      <c r="F153" s="90"/>
    </row>
    <row r="154" ht="15.75" customHeight="1">
      <c r="A154" s="16"/>
      <c r="B154" s="7"/>
      <c r="F154" s="90"/>
    </row>
    <row r="155" ht="15.75" customHeight="1">
      <c r="A155" s="16"/>
      <c r="B155" s="7"/>
      <c r="F155" s="90"/>
    </row>
    <row r="156" ht="15.75" customHeight="1">
      <c r="A156" s="16"/>
      <c r="B156" s="7"/>
      <c r="F156" s="90"/>
    </row>
    <row r="157" ht="15.75" customHeight="1">
      <c r="A157" s="16"/>
      <c r="B157" s="7"/>
      <c r="F157" s="90"/>
    </row>
    <row r="158" ht="15.75" customHeight="1">
      <c r="A158" s="16"/>
      <c r="B158" s="7"/>
      <c r="F158" s="90"/>
    </row>
    <row r="159" ht="15.75" customHeight="1">
      <c r="A159" s="16"/>
      <c r="B159" s="7"/>
      <c r="F159" s="90"/>
    </row>
    <row r="160" ht="15.75" customHeight="1">
      <c r="A160" s="16"/>
      <c r="B160" s="7"/>
      <c r="F160" s="90"/>
    </row>
    <row r="161" ht="15.75" customHeight="1">
      <c r="A161" s="16"/>
      <c r="B161" s="7"/>
      <c r="F161" s="90"/>
    </row>
    <row r="162" ht="15.75" customHeight="1">
      <c r="A162" s="16"/>
      <c r="B162" s="7"/>
      <c r="F162" s="90"/>
    </row>
    <row r="163" ht="15.75" customHeight="1">
      <c r="A163" s="16"/>
      <c r="B163" s="7"/>
      <c r="F163" s="90"/>
    </row>
    <row r="164" ht="15.75" customHeight="1">
      <c r="A164" s="16"/>
      <c r="B164" s="7"/>
      <c r="F164" s="90"/>
    </row>
    <row r="165" ht="15.75" customHeight="1">
      <c r="A165" s="16"/>
      <c r="B165" s="7"/>
      <c r="F165" s="90"/>
    </row>
    <row r="166" ht="15.75" customHeight="1">
      <c r="A166" s="16"/>
      <c r="B166" s="7"/>
      <c r="F166" s="90"/>
    </row>
    <row r="167" ht="15.75" customHeight="1">
      <c r="A167" s="16"/>
      <c r="B167" s="7"/>
      <c r="F167" s="90"/>
    </row>
    <row r="168" ht="15.75" customHeight="1">
      <c r="A168" s="16"/>
      <c r="B168" s="7"/>
      <c r="F168" s="90"/>
    </row>
    <row r="169" ht="15.75" customHeight="1">
      <c r="A169" s="16"/>
      <c r="B169" s="7"/>
      <c r="F169" s="90"/>
    </row>
    <row r="170" ht="15.75" customHeight="1">
      <c r="A170" s="16"/>
      <c r="B170" s="7"/>
      <c r="F170" s="90"/>
    </row>
    <row r="171" ht="15.75" customHeight="1">
      <c r="A171" s="16"/>
      <c r="B171" s="7"/>
      <c r="F171" s="90"/>
    </row>
    <row r="172" ht="15.75" customHeight="1">
      <c r="A172" s="16"/>
      <c r="B172" s="7"/>
      <c r="F172" s="90"/>
    </row>
    <row r="173" ht="15.75" customHeight="1">
      <c r="A173" s="16"/>
      <c r="B173" s="7"/>
      <c r="F173" s="90"/>
    </row>
    <row r="174" ht="15.75" customHeight="1">
      <c r="A174" s="16"/>
      <c r="B174" s="7"/>
      <c r="F174" s="90"/>
    </row>
    <row r="175" ht="15.75" customHeight="1">
      <c r="A175" s="16"/>
      <c r="B175" s="7"/>
      <c r="F175" s="90"/>
    </row>
    <row r="176" ht="15.75" customHeight="1">
      <c r="A176" s="16"/>
      <c r="B176" s="7"/>
      <c r="F176" s="90"/>
    </row>
    <row r="177" ht="15.75" customHeight="1">
      <c r="A177" s="16"/>
      <c r="B177" s="7"/>
      <c r="F177" s="90"/>
    </row>
    <row r="178" ht="15.75" customHeight="1">
      <c r="A178" s="16"/>
      <c r="B178" s="7"/>
      <c r="F178" s="90"/>
    </row>
    <row r="179" ht="15.75" customHeight="1">
      <c r="A179" s="16"/>
      <c r="B179" s="7"/>
      <c r="F179" s="90"/>
    </row>
    <row r="180" ht="15.75" customHeight="1">
      <c r="A180" s="16"/>
      <c r="B180" s="7"/>
      <c r="F180" s="90"/>
    </row>
    <row r="181" ht="15.75" customHeight="1">
      <c r="A181" s="16"/>
      <c r="B181" s="7"/>
      <c r="F181" s="90"/>
    </row>
    <row r="182" ht="15.75" customHeight="1">
      <c r="A182" s="16"/>
      <c r="B182" s="7"/>
      <c r="F182" s="90"/>
    </row>
    <row r="183" ht="15.75" customHeight="1">
      <c r="A183" s="16"/>
      <c r="B183" s="7"/>
      <c r="F183" s="90"/>
    </row>
    <row r="184" ht="15.75" customHeight="1">
      <c r="A184" s="16"/>
      <c r="B184" s="7"/>
      <c r="F184" s="90"/>
    </row>
    <row r="185" ht="15.75" customHeight="1">
      <c r="A185" s="16"/>
      <c r="B185" s="7"/>
      <c r="F185" s="90"/>
    </row>
    <row r="186" ht="15.75" customHeight="1">
      <c r="A186" s="16"/>
      <c r="B186" s="7"/>
      <c r="F186" s="90"/>
    </row>
    <row r="187" ht="15.75" customHeight="1">
      <c r="A187" s="16"/>
      <c r="B187" s="7"/>
      <c r="F187" s="90"/>
    </row>
    <row r="188" ht="15.75" customHeight="1">
      <c r="A188" s="16"/>
      <c r="B188" s="7"/>
      <c r="F188" s="90"/>
    </row>
    <row r="189" ht="15.75" customHeight="1">
      <c r="A189" s="16"/>
      <c r="B189" s="7"/>
      <c r="F189" s="90"/>
    </row>
    <row r="190" ht="15.75" customHeight="1">
      <c r="A190" s="16"/>
      <c r="B190" s="7"/>
      <c r="F190" s="90"/>
    </row>
    <row r="191" ht="15.75" customHeight="1">
      <c r="A191" s="16"/>
      <c r="B191" s="7"/>
      <c r="F191" s="90"/>
    </row>
    <row r="192" ht="15.75" customHeight="1">
      <c r="A192" s="16"/>
      <c r="B192" s="7"/>
      <c r="F192" s="90"/>
    </row>
    <row r="193" ht="15.75" customHeight="1">
      <c r="A193" s="16"/>
      <c r="B193" s="7"/>
      <c r="F193" s="90"/>
    </row>
    <row r="194" ht="15.75" customHeight="1">
      <c r="A194" s="16"/>
      <c r="B194" s="7"/>
      <c r="F194" s="90"/>
    </row>
    <row r="195" ht="15.75" customHeight="1">
      <c r="A195" s="16"/>
      <c r="B195" s="7"/>
      <c r="F195" s="90"/>
    </row>
    <row r="196" ht="15.75" customHeight="1">
      <c r="A196" s="16"/>
      <c r="B196" s="7"/>
      <c r="F196" s="90"/>
    </row>
    <row r="197" ht="15.75" customHeight="1">
      <c r="A197" s="16"/>
      <c r="B197" s="7"/>
      <c r="F197" s="90"/>
    </row>
    <row r="198" ht="15.75" customHeight="1">
      <c r="A198" s="16"/>
      <c r="B198" s="7"/>
      <c r="F198" s="90"/>
    </row>
    <row r="199" ht="15.75" customHeight="1">
      <c r="A199" s="16"/>
      <c r="B199" s="7"/>
      <c r="F199" s="90"/>
    </row>
    <row r="200" ht="15.75" customHeight="1">
      <c r="A200" s="16"/>
      <c r="B200" s="7"/>
      <c r="F200" s="90"/>
    </row>
    <row r="201" ht="15.75" customHeight="1">
      <c r="A201" s="16"/>
      <c r="B201" s="7"/>
      <c r="F201" s="90"/>
    </row>
    <row r="202" ht="15.75" customHeight="1">
      <c r="A202" s="16"/>
      <c r="B202" s="7"/>
      <c r="F202" s="90"/>
    </row>
    <row r="203" ht="15.75" customHeight="1">
      <c r="A203" s="16"/>
      <c r="B203" s="7"/>
      <c r="F203" s="90"/>
    </row>
    <row r="204" ht="15.75" customHeight="1">
      <c r="A204" s="16"/>
      <c r="B204" s="7"/>
      <c r="F204" s="90"/>
    </row>
    <row r="205" ht="15.75" customHeight="1">
      <c r="A205" s="16"/>
      <c r="B205" s="7"/>
      <c r="F205" s="90"/>
    </row>
    <row r="206" ht="15.75" customHeight="1">
      <c r="A206" s="16"/>
      <c r="B206" s="7"/>
      <c r="F206" s="90"/>
    </row>
    <row r="207" ht="15.75" customHeight="1">
      <c r="A207" s="16"/>
      <c r="B207" s="7"/>
      <c r="F207" s="90"/>
    </row>
    <row r="208" ht="15.75" customHeight="1">
      <c r="A208" s="16"/>
      <c r="B208" s="7"/>
      <c r="F208" s="90"/>
    </row>
    <row r="209" ht="15.75" customHeight="1">
      <c r="A209" s="16"/>
      <c r="B209" s="7"/>
      <c r="F209" s="90"/>
    </row>
    <row r="210" ht="15.75" customHeight="1">
      <c r="A210" s="16"/>
      <c r="B210" s="7"/>
      <c r="F210" s="90"/>
    </row>
    <row r="211" ht="15.75" customHeight="1">
      <c r="A211" s="16"/>
      <c r="B211" s="7"/>
      <c r="F211" s="90"/>
    </row>
    <row r="212" ht="15.75" customHeight="1">
      <c r="A212" s="16"/>
      <c r="B212" s="7"/>
      <c r="F212" s="90"/>
    </row>
    <row r="213" ht="15.75" customHeight="1">
      <c r="A213" s="16"/>
      <c r="B213" s="7"/>
      <c r="F213" s="90"/>
    </row>
    <row r="214" ht="15.75" customHeight="1">
      <c r="A214" s="16"/>
      <c r="B214" s="7"/>
      <c r="F214" s="90"/>
    </row>
    <row r="215" ht="15.75" customHeight="1">
      <c r="A215" s="16"/>
      <c r="B215" s="7"/>
      <c r="F215" s="90"/>
    </row>
    <row r="216" ht="15.75" customHeight="1">
      <c r="A216" s="16"/>
      <c r="B216" s="7"/>
      <c r="F216" s="90"/>
    </row>
    <row r="217" ht="15.75" customHeight="1">
      <c r="A217" s="16"/>
      <c r="B217" s="7"/>
      <c r="F217" s="90"/>
    </row>
    <row r="218" ht="15.75" customHeight="1">
      <c r="A218" s="16"/>
      <c r="B218" s="7"/>
      <c r="F218" s="90"/>
    </row>
    <row r="219" ht="15.75" customHeight="1">
      <c r="A219" s="16"/>
      <c r="B219" s="7"/>
      <c r="F219" s="90"/>
    </row>
    <row r="220" ht="15.75" customHeight="1">
      <c r="A220" s="16"/>
      <c r="B220" s="7"/>
      <c r="F220" s="90"/>
    </row>
    <row r="221" ht="15.75" customHeight="1">
      <c r="A221" s="16"/>
      <c r="B221" s="7"/>
      <c r="F221" s="90"/>
    </row>
    <row r="222" ht="15.75" customHeight="1">
      <c r="A222" s="16"/>
      <c r="B222" s="7"/>
      <c r="F222" s="90"/>
    </row>
    <row r="223" ht="15.75" customHeight="1">
      <c r="A223" s="16"/>
      <c r="B223" s="7"/>
      <c r="F223" s="90"/>
    </row>
    <row r="224" ht="15.75" customHeight="1">
      <c r="A224" s="16"/>
      <c r="B224" s="7"/>
      <c r="F224" s="90"/>
    </row>
    <row r="225" ht="15.75" customHeight="1">
      <c r="A225" s="16"/>
      <c r="B225" s="7"/>
      <c r="F225" s="90"/>
    </row>
    <row r="226" ht="15.75" customHeight="1">
      <c r="A226" s="16"/>
      <c r="B226" s="7"/>
      <c r="F226" s="90"/>
    </row>
    <row r="227" ht="15.75" customHeight="1">
      <c r="A227" s="16"/>
      <c r="B227" s="7"/>
      <c r="F227" s="90"/>
    </row>
    <row r="228" ht="15.75" customHeight="1">
      <c r="A228" s="16"/>
      <c r="B228" s="7"/>
      <c r="F228" s="90"/>
    </row>
    <row r="229" ht="15.75" customHeight="1">
      <c r="A229" s="16"/>
      <c r="B229" s="7"/>
      <c r="F229" s="90"/>
    </row>
    <row r="230" ht="15.75" customHeight="1">
      <c r="A230" s="16"/>
      <c r="B230" s="7"/>
      <c r="F230" s="90"/>
    </row>
    <row r="231" ht="15.75" customHeight="1">
      <c r="A231" s="16"/>
      <c r="B231" s="7"/>
      <c r="F231" s="90"/>
    </row>
    <row r="232" ht="15.75" customHeight="1">
      <c r="A232" s="16"/>
      <c r="B232" s="7"/>
      <c r="F232" s="90"/>
    </row>
    <row r="233" ht="15.75" customHeight="1">
      <c r="A233" s="16"/>
      <c r="B233" s="7"/>
      <c r="F233" s="90"/>
    </row>
    <row r="234" ht="15.75" customHeight="1">
      <c r="A234" s="16"/>
      <c r="B234" s="7"/>
      <c r="F234" s="90"/>
    </row>
    <row r="235" ht="15.75" customHeight="1">
      <c r="A235" s="16"/>
      <c r="B235" s="7"/>
      <c r="F235" s="90"/>
    </row>
    <row r="236" ht="15.75" customHeight="1">
      <c r="A236" s="16"/>
      <c r="B236" s="7"/>
      <c r="F236" s="90"/>
    </row>
    <row r="237" ht="15.75" customHeight="1">
      <c r="A237" s="16"/>
      <c r="B237" s="7"/>
      <c r="F237" s="90"/>
    </row>
    <row r="238" ht="15.75" customHeight="1">
      <c r="A238" s="16"/>
      <c r="B238" s="7"/>
      <c r="F238" s="90"/>
    </row>
    <row r="239" ht="15.75" customHeight="1">
      <c r="A239" s="16"/>
      <c r="B239" s="7"/>
      <c r="F239" s="90"/>
    </row>
    <row r="240" ht="15.75" customHeight="1">
      <c r="A240" s="16"/>
      <c r="B240" s="7"/>
      <c r="F240" s="90"/>
    </row>
    <row r="241" ht="15.75" customHeight="1">
      <c r="A241" s="16"/>
      <c r="B241" s="7"/>
      <c r="F241" s="90"/>
    </row>
    <row r="242" ht="15.75" customHeight="1">
      <c r="A242" s="16"/>
      <c r="B242" s="7"/>
      <c r="F242" s="90"/>
    </row>
    <row r="243" ht="15.75" customHeight="1">
      <c r="A243" s="16"/>
      <c r="B243" s="7"/>
      <c r="F243" s="90"/>
    </row>
    <row r="244" ht="15.75" customHeight="1">
      <c r="A244" s="16"/>
      <c r="B244" s="7"/>
      <c r="F244" s="90"/>
    </row>
    <row r="245" ht="15.75" customHeight="1">
      <c r="A245" s="16"/>
      <c r="B245" s="7"/>
      <c r="F245" s="90"/>
    </row>
    <row r="246" ht="15.75" customHeight="1">
      <c r="A246" s="16"/>
      <c r="B246" s="7"/>
      <c r="F246" s="90"/>
    </row>
    <row r="247" ht="15.75" customHeight="1">
      <c r="A247" s="16"/>
      <c r="B247" s="7"/>
      <c r="F247" s="90"/>
    </row>
    <row r="248" ht="15.75" customHeight="1">
      <c r="A248" s="16"/>
      <c r="B248" s="7"/>
      <c r="F248" s="90"/>
    </row>
    <row r="249" ht="15.75" customHeight="1">
      <c r="A249" s="16"/>
      <c r="B249" s="7"/>
      <c r="F249" s="90"/>
    </row>
    <row r="250" ht="15.75" customHeight="1">
      <c r="A250" s="16"/>
      <c r="B250" s="7"/>
      <c r="F250" s="90"/>
    </row>
    <row r="251" ht="15.75" customHeight="1">
      <c r="A251" s="16"/>
      <c r="B251" s="7"/>
      <c r="F251" s="90"/>
    </row>
    <row r="252" ht="15.75" customHeight="1">
      <c r="A252" s="16"/>
      <c r="B252" s="7"/>
      <c r="F252" s="90"/>
    </row>
    <row r="253" ht="15.75" customHeight="1">
      <c r="A253" s="16"/>
      <c r="B253" s="7"/>
      <c r="F253" s="90"/>
    </row>
    <row r="254" ht="15.75" customHeight="1">
      <c r="A254" s="16"/>
      <c r="B254" s="7"/>
      <c r="F254" s="90"/>
    </row>
    <row r="255" ht="15.75" customHeight="1">
      <c r="A255" s="16"/>
      <c r="B255" s="7"/>
      <c r="F255" s="90"/>
    </row>
    <row r="256" ht="15.75" customHeight="1">
      <c r="A256" s="16"/>
      <c r="B256" s="7"/>
      <c r="F256" s="90"/>
    </row>
    <row r="257" ht="15.75" customHeight="1">
      <c r="A257" s="16"/>
      <c r="B257" s="7"/>
      <c r="F257" s="90"/>
    </row>
    <row r="258" ht="15.75" customHeight="1">
      <c r="A258" s="16"/>
      <c r="B258" s="7"/>
      <c r="F258" s="90"/>
    </row>
    <row r="259" ht="15.75" customHeight="1">
      <c r="A259" s="16"/>
      <c r="B259" s="7"/>
      <c r="F259" s="90"/>
    </row>
    <row r="260" ht="15.75" customHeight="1">
      <c r="A260" s="16"/>
      <c r="B260" s="7"/>
      <c r="F260" s="90"/>
    </row>
    <row r="261" ht="15.75" customHeight="1">
      <c r="A261" s="16"/>
      <c r="B261" s="7"/>
      <c r="F261" s="90"/>
    </row>
    <row r="262" ht="15.75" customHeight="1">
      <c r="A262" s="16"/>
      <c r="B262" s="7"/>
      <c r="F262" s="90"/>
    </row>
    <row r="263" ht="15.75" customHeight="1">
      <c r="A263" s="16"/>
      <c r="B263" s="7"/>
      <c r="F263" s="90"/>
    </row>
    <row r="264" ht="15.75" customHeight="1">
      <c r="A264" s="16"/>
      <c r="B264" s="7"/>
      <c r="F264" s="90"/>
    </row>
    <row r="265" ht="15.75" customHeight="1">
      <c r="A265" s="16"/>
      <c r="B265" s="7"/>
      <c r="F265" s="90"/>
    </row>
    <row r="266" ht="15.75" customHeight="1">
      <c r="A266" s="16"/>
      <c r="B266" s="7"/>
      <c r="F266" s="90"/>
    </row>
    <row r="267" ht="15.75" customHeight="1">
      <c r="A267" s="16"/>
      <c r="B267" s="7"/>
      <c r="F267" s="90"/>
    </row>
    <row r="268" ht="15.75" customHeight="1">
      <c r="A268" s="16"/>
      <c r="B268" s="7"/>
      <c r="F268" s="90"/>
    </row>
    <row r="269" ht="15.75" customHeight="1">
      <c r="A269" s="16"/>
      <c r="B269" s="7"/>
      <c r="F269" s="90"/>
    </row>
    <row r="270" ht="15.75" customHeight="1">
      <c r="A270" s="16"/>
      <c r="B270" s="7"/>
      <c r="F270" s="90"/>
    </row>
    <row r="271" ht="15.75" customHeight="1">
      <c r="A271" s="16"/>
      <c r="B271" s="7"/>
      <c r="F271" s="90"/>
    </row>
    <row r="272" ht="15.75" customHeight="1">
      <c r="A272" s="16"/>
      <c r="B272" s="7"/>
      <c r="F272" s="90"/>
    </row>
    <row r="273" ht="15.75" customHeight="1">
      <c r="A273" s="16"/>
      <c r="B273" s="7"/>
      <c r="F273" s="90"/>
    </row>
    <row r="274" ht="15.75" customHeight="1">
      <c r="A274" s="16"/>
      <c r="B274" s="7"/>
      <c r="F274" s="90"/>
    </row>
    <row r="275" ht="15.75" customHeight="1">
      <c r="A275" s="16"/>
      <c r="B275" s="7"/>
      <c r="F275" s="90"/>
    </row>
    <row r="276" ht="15.75" customHeight="1">
      <c r="A276" s="16"/>
      <c r="B276" s="7"/>
      <c r="F276" s="90"/>
    </row>
    <row r="277" ht="15.75" customHeight="1">
      <c r="A277" s="16"/>
      <c r="B277" s="7"/>
      <c r="F277" s="90"/>
    </row>
    <row r="278" ht="15.75" customHeight="1">
      <c r="A278" s="16"/>
      <c r="B278" s="7"/>
      <c r="F278" s="90"/>
    </row>
    <row r="279" ht="15.75" customHeight="1">
      <c r="A279" s="16"/>
      <c r="B279" s="7"/>
      <c r="F279" s="90"/>
    </row>
    <row r="280" ht="15.75" customHeight="1">
      <c r="A280" s="16"/>
      <c r="B280" s="7"/>
      <c r="F280" s="90"/>
    </row>
    <row r="281" ht="15.75" customHeight="1">
      <c r="A281" s="16"/>
      <c r="B281" s="7"/>
      <c r="F281" s="90"/>
    </row>
    <row r="282" ht="15.75" customHeight="1">
      <c r="A282" s="16"/>
      <c r="B282" s="7"/>
      <c r="F282" s="90"/>
    </row>
    <row r="283" ht="15.75" customHeight="1">
      <c r="A283" s="16"/>
      <c r="B283" s="7"/>
      <c r="F283" s="90"/>
    </row>
    <row r="284" ht="15.75" customHeight="1">
      <c r="A284" s="16"/>
      <c r="B284" s="7"/>
      <c r="F284" s="90"/>
    </row>
    <row r="285" ht="15.75" customHeight="1">
      <c r="A285" s="16"/>
      <c r="B285" s="7"/>
      <c r="F285" s="90"/>
    </row>
    <row r="286" ht="15.75" customHeight="1">
      <c r="A286" s="16"/>
      <c r="B286" s="7"/>
      <c r="F286" s="90"/>
    </row>
    <row r="287" ht="15.75" customHeight="1">
      <c r="A287" s="16"/>
      <c r="B287" s="7"/>
      <c r="F287" s="90"/>
    </row>
    <row r="288" ht="15.75" customHeight="1">
      <c r="A288" s="16"/>
      <c r="B288" s="7"/>
      <c r="F288" s="90"/>
    </row>
    <row r="289" ht="15.75" customHeight="1">
      <c r="A289" s="16"/>
      <c r="B289" s="7"/>
      <c r="F289" s="90"/>
    </row>
    <row r="290" ht="15.75" customHeight="1">
      <c r="A290" s="16"/>
      <c r="B290" s="7"/>
      <c r="F290" s="90"/>
    </row>
    <row r="291" ht="15.75" customHeight="1">
      <c r="A291" s="16"/>
      <c r="B291" s="7"/>
      <c r="F291" s="90"/>
    </row>
    <row r="292" ht="15.75" customHeight="1">
      <c r="A292" s="16"/>
      <c r="B292" s="7"/>
      <c r="F292" s="90"/>
    </row>
    <row r="293" ht="15.75" customHeight="1">
      <c r="A293" s="16"/>
      <c r="B293" s="7"/>
      <c r="F293" s="90"/>
    </row>
    <row r="294" ht="15.75" customHeight="1">
      <c r="A294" s="16"/>
      <c r="B294" s="7"/>
      <c r="F294" s="90"/>
    </row>
    <row r="295" ht="15.75" customHeight="1">
      <c r="A295" s="16"/>
      <c r="B295" s="7"/>
      <c r="F295" s="90"/>
    </row>
    <row r="296" ht="15.75" customHeight="1">
      <c r="A296" s="16"/>
      <c r="B296" s="7"/>
      <c r="F296" s="90"/>
    </row>
    <row r="297" ht="15.75" customHeight="1">
      <c r="A297" s="16"/>
      <c r="B297" s="7"/>
      <c r="F297" s="90"/>
    </row>
    <row r="298" ht="15.75" customHeight="1">
      <c r="A298" s="16"/>
      <c r="B298" s="7"/>
      <c r="F298" s="90"/>
    </row>
    <row r="299" ht="15.75" customHeight="1">
      <c r="A299" s="16"/>
      <c r="B299" s="7"/>
      <c r="F299" s="90"/>
    </row>
    <row r="300" ht="15.75" customHeight="1">
      <c r="A300" s="16"/>
      <c r="B300" s="7"/>
      <c r="F300" s="90"/>
    </row>
    <row r="301" ht="15.75" customHeight="1">
      <c r="A301" s="16"/>
      <c r="B301" s="7"/>
      <c r="F301" s="90"/>
    </row>
    <row r="302" ht="15.75" customHeight="1">
      <c r="A302" s="16"/>
      <c r="B302" s="7"/>
      <c r="F302" s="90"/>
    </row>
    <row r="303" ht="15.75" customHeight="1">
      <c r="A303" s="16"/>
      <c r="B303" s="7"/>
      <c r="F303" s="90"/>
    </row>
    <row r="304" ht="15.75" customHeight="1">
      <c r="A304" s="16"/>
      <c r="B304" s="7"/>
      <c r="F304" s="90"/>
    </row>
    <row r="305" ht="15.75" customHeight="1">
      <c r="A305" s="16"/>
      <c r="B305" s="7"/>
      <c r="F305" s="90"/>
    </row>
    <row r="306" ht="15.75" customHeight="1">
      <c r="A306" s="16"/>
      <c r="B306" s="7"/>
      <c r="F306" s="90"/>
    </row>
    <row r="307" ht="15.75" customHeight="1">
      <c r="A307" s="16"/>
      <c r="B307" s="7"/>
      <c r="F307" s="90"/>
    </row>
    <row r="308" ht="15.75" customHeight="1">
      <c r="A308" s="16"/>
      <c r="B308" s="7"/>
      <c r="F308" s="90"/>
    </row>
    <row r="309" ht="15.75" customHeight="1">
      <c r="A309" s="16"/>
      <c r="B309" s="7"/>
      <c r="F309" s="90"/>
    </row>
    <row r="310" ht="15.75" customHeight="1">
      <c r="A310" s="16"/>
      <c r="B310" s="7"/>
      <c r="F310" s="90"/>
    </row>
    <row r="311" ht="15.75" customHeight="1">
      <c r="A311" s="16"/>
      <c r="B311" s="7"/>
      <c r="F311" s="90"/>
    </row>
    <row r="312" ht="15.75" customHeight="1">
      <c r="A312" s="16"/>
      <c r="B312" s="7"/>
      <c r="F312" s="90"/>
    </row>
    <row r="313" ht="15.75" customHeight="1">
      <c r="A313" s="16"/>
      <c r="B313" s="7"/>
      <c r="F313" s="90"/>
    </row>
    <row r="314" ht="15.75" customHeight="1">
      <c r="A314" s="16"/>
      <c r="B314" s="7"/>
      <c r="F314" s="90"/>
    </row>
    <row r="315" ht="15.75" customHeight="1">
      <c r="A315" s="16"/>
      <c r="B315" s="7"/>
      <c r="F315" s="90"/>
    </row>
    <row r="316" ht="15.75" customHeight="1">
      <c r="A316" s="16"/>
      <c r="B316" s="7"/>
      <c r="F316" s="90"/>
    </row>
    <row r="317" ht="15.75" customHeight="1">
      <c r="A317" s="16"/>
      <c r="B317" s="7"/>
      <c r="F317" s="90"/>
    </row>
    <row r="318" ht="15.75" customHeight="1">
      <c r="A318" s="16"/>
      <c r="B318" s="7"/>
      <c r="F318" s="90"/>
    </row>
    <row r="319" ht="15.75" customHeight="1">
      <c r="A319" s="16"/>
      <c r="B319" s="7"/>
      <c r="F319" s="90"/>
    </row>
    <row r="320" ht="15.75" customHeight="1">
      <c r="A320" s="16"/>
      <c r="B320" s="7"/>
      <c r="F320" s="90"/>
    </row>
    <row r="321" ht="15.75" customHeight="1">
      <c r="A321" s="16"/>
      <c r="B321" s="7"/>
      <c r="F321" s="90"/>
    </row>
    <row r="322" ht="15.75" customHeight="1">
      <c r="A322" s="16"/>
      <c r="B322" s="7"/>
      <c r="F322" s="90"/>
    </row>
    <row r="323" ht="15.75" customHeight="1">
      <c r="A323" s="16"/>
      <c r="B323" s="7"/>
      <c r="F323" s="90"/>
    </row>
    <row r="324" ht="15.75" customHeight="1">
      <c r="A324" s="16"/>
      <c r="B324" s="7"/>
      <c r="F324" s="90"/>
    </row>
    <row r="325" ht="15.75" customHeight="1">
      <c r="A325" s="16"/>
      <c r="B325" s="7"/>
      <c r="F325" s="90"/>
    </row>
    <row r="326" ht="15.75" customHeight="1">
      <c r="A326" s="16"/>
      <c r="B326" s="7"/>
      <c r="F326" s="90"/>
    </row>
    <row r="327" ht="15.75" customHeight="1">
      <c r="A327" s="16"/>
      <c r="B327" s="7"/>
      <c r="F327" s="90"/>
    </row>
    <row r="328" ht="15.75" customHeight="1">
      <c r="A328" s="16"/>
      <c r="B328" s="7"/>
      <c r="F328" s="90"/>
    </row>
    <row r="329" ht="15.75" customHeight="1">
      <c r="A329" s="16"/>
      <c r="B329" s="7"/>
      <c r="F329" s="90"/>
    </row>
    <row r="330" ht="15.75" customHeight="1">
      <c r="A330" s="16"/>
      <c r="B330" s="7"/>
      <c r="F330" s="90"/>
    </row>
    <row r="331" ht="15.75" customHeight="1">
      <c r="A331" s="16"/>
      <c r="B331" s="7"/>
      <c r="F331" s="90"/>
    </row>
    <row r="332" ht="15.75" customHeight="1">
      <c r="A332" s="16"/>
      <c r="B332" s="7"/>
      <c r="F332" s="90"/>
    </row>
    <row r="333" ht="15.75" customHeight="1">
      <c r="A333" s="16"/>
      <c r="B333" s="7"/>
      <c r="F333" s="90"/>
    </row>
    <row r="334" ht="15.75" customHeight="1">
      <c r="A334" s="16"/>
      <c r="B334" s="7"/>
      <c r="F334" s="90"/>
    </row>
    <row r="335" ht="15.75" customHeight="1">
      <c r="A335" s="16"/>
      <c r="B335" s="7"/>
      <c r="F335" s="90"/>
    </row>
    <row r="336" ht="15.75" customHeight="1">
      <c r="A336" s="16"/>
      <c r="B336" s="7"/>
      <c r="F336" s="90"/>
    </row>
    <row r="337" ht="15.75" customHeight="1">
      <c r="A337" s="16"/>
      <c r="B337" s="7"/>
      <c r="F337" s="90"/>
    </row>
    <row r="338" ht="15.75" customHeight="1">
      <c r="A338" s="16"/>
      <c r="B338" s="7"/>
      <c r="F338" s="90"/>
    </row>
    <row r="339" ht="15.75" customHeight="1">
      <c r="A339" s="16"/>
      <c r="B339" s="7"/>
      <c r="F339" s="90"/>
    </row>
    <row r="340" ht="15.75" customHeight="1">
      <c r="A340" s="16"/>
      <c r="B340" s="7"/>
      <c r="F340" s="90"/>
    </row>
    <row r="341" ht="15.75" customHeight="1">
      <c r="A341" s="16"/>
      <c r="B341" s="7"/>
      <c r="F341" s="90"/>
    </row>
    <row r="342" ht="15.75" customHeight="1">
      <c r="A342" s="16"/>
      <c r="B342" s="7"/>
      <c r="F342" s="90"/>
    </row>
    <row r="343" ht="15.75" customHeight="1">
      <c r="A343" s="16"/>
      <c r="B343" s="7"/>
      <c r="F343" s="90"/>
    </row>
    <row r="344" ht="15.75" customHeight="1">
      <c r="A344" s="16"/>
      <c r="B344" s="7"/>
      <c r="F344" s="90"/>
    </row>
    <row r="345" ht="15.75" customHeight="1">
      <c r="A345" s="16"/>
      <c r="B345" s="7"/>
      <c r="F345" s="90"/>
    </row>
    <row r="346" ht="15.75" customHeight="1">
      <c r="A346" s="16"/>
      <c r="B346" s="7"/>
      <c r="F346" s="90"/>
    </row>
    <row r="347" ht="15.75" customHeight="1">
      <c r="A347" s="16"/>
      <c r="B347" s="7"/>
      <c r="F347" s="90"/>
    </row>
    <row r="348" ht="15.75" customHeight="1">
      <c r="A348" s="16"/>
      <c r="B348" s="7"/>
      <c r="F348" s="90"/>
    </row>
    <row r="349" ht="15.75" customHeight="1">
      <c r="A349" s="16"/>
      <c r="B349" s="7"/>
      <c r="F349" s="90"/>
    </row>
    <row r="350" ht="15.75" customHeight="1">
      <c r="A350" s="16"/>
      <c r="B350" s="7"/>
      <c r="F350" s="90"/>
    </row>
    <row r="351" ht="15.75" customHeight="1">
      <c r="A351" s="16"/>
      <c r="B351" s="7"/>
      <c r="F351" s="90"/>
    </row>
    <row r="352" ht="15.75" customHeight="1">
      <c r="A352" s="16"/>
      <c r="B352" s="7"/>
      <c r="F352" s="90"/>
    </row>
    <row r="353" ht="15.75" customHeight="1">
      <c r="A353" s="16"/>
      <c r="B353" s="7"/>
      <c r="F353" s="90"/>
    </row>
    <row r="354" ht="15.75" customHeight="1">
      <c r="A354" s="16"/>
      <c r="B354" s="7"/>
      <c r="F354" s="90"/>
    </row>
    <row r="355" ht="15.75" customHeight="1">
      <c r="A355" s="16"/>
      <c r="B355" s="7"/>
      <c r="F355" s="90"/>
    </row>
    <row r="356" ht="15.75" customHeight="1">
      <c r="A356" s="16"/>
      <c r="B356" s="7"/>
      <c r="F356" s="90"/>
    </row>
    <row r="357" ht="15.75" customHeight="1">
      <c r="A357" s="16"/>
      <c r="B357" s="7"/>
      <c r="F357" s="90"/>
    </row>
    <row r="358" ht="15.75" customHeight="1">
      <c r="A358" s="16"/>
      <c r="B358" s="7"/>
      <c r="F358" s="90"/>
    </row>
    <row r="359" ht="15.75" customHeight="1">
      <c r="A359" s="16"/>
      <c r="B359" s="7"/>
      <c r="F359" s="90"/>
    </row>
    <row r="360" ht="15.75" customHeight="1">
      <c r="A360" s="16"/>
      <c r="B360" s="7"/>
      <c r="F360" s="90"/>
    </row>
    <row r="361" ht="15.75" customHeight="1">
      <c r="A361" s="16"/>
      <c r="B361" s="7"/>
      <c r="F361" s="90"/>
    </row>
    <row r="362" ht="15.75" customHeight="1">
      <c r="A362" s="16"/>
      <c r="B362" s="7"/>
      <c r="F362" s="90"/>
    </row>
    <row r="363" ht="15.75" customHeight="1">
      <c r="A363" s="16"/>
      <c r="B363" s="7"/>
      <c r="F363" s="90"/>
    </row>
    <row r="364" ht="15.75" customHeight="1">
      <c r="A364" s="16"/>
      <c r="B364" s="7"/>
      <c r="F364" s="90"/>
    </row>
    <row r="365" ht="15.75" customHeight="1">
      <c r="A365" s="16"/>
      <c r="B365" s="7"/>
      <c r="F365" s="90"/>
    </row>
    <row r="366" ht="15.75" customHeight="1">
      <c r="A366" s="16"/>
      <c r="B366" s="7"/>
      <c r="F366" s="90"/>
    </row>
    <row r="367" ht="15.75" customHeight="1">
      <c r="A367" s="16"/>
      <c r="B367" s="7"/>
      <c r="F367" s="90"/>
    </row>
    <row r="368" ht="15.75" customHeight="1">
      <c r="A368" s="16"/>
      <c r="B368" s="7"/>
      <c r="F368" s="90"/>
    </row>
    <row r="369" ht="15.75" customHeight="1">
      <c r="A369" s="16"/>
      <c r="B369" s="7"/>
      <c r="F369" s="90"/>
    </row>
    <row r="370" ht="15.75" customHeight="1">
      <c r="A370" s="16"/>
      <c r="B370" s="7"/>
      <c r="F370" s="90"/>
    </row>
    <row r="371" ht="15.75" customHeight="1">
      <c r="A371" s="16"/>
      <c r="B371" s="7"/>
      <c r="F371" s="90"/>
    </row>
    <row r="372" ht="15.75" customHeight="1">
      <c r="A372" s="16"/>
      <c r="B372" s="7"/>
      <c r="F372" s="90"/>
    </row>
    <row r="373" ht="15.75" customHeight="1">
      <c r="A373" s="16"/>
      <c r="B373" s="7"/>
      <c r="F373" s="90"/>
    </row>
    <row r="374" ht="15.75" customHeight="1">
      <c r="A374" s="16"/>
      <c r="B374" s="7"/>
      <c r="F374" s="90"/>
    </row>
    <row r="375" ht="15.75" customHeight="1">
      <c r="A375" s="16"/>
      <c r="B375" s="7"/>
      <c r="F375" s="90"/>
    </row>
    <row r="376" ht="15.75" customHeight="1">
      <c r="A376" s="16"/>
      <c r="B376" s="7"/>
      <c r="F376" s="90"/>
    </row>
    <row r="377" ht="15.75" customHeight="1">
      <c r="A377" s="16"/>
      <c r="B377" s="7"/>
      <c r="F377" s="90"/>
    </row>
    <row r="378" ht="15.75" customHeight="1">
      <c r="A378" s="16"/>
      <c r="B378" s="7"/>
      <c r="F378" s="90"/>
    </row>
    <row r="379" ht="15.75" customHeight="1">
      <c r="A379" s="16"/>
      <c r="B379" s="7"/>
      <c r="F379" s="90"/>
    </row>
    <row r="380" ht="15.75" customHeight="1">
      <c r="A380" s="16"/>
      <c r="B380" s="7"/>
      <c r="F380" s="90"/>
    </row>
    <row r="381" ht="15.75" customHeight="1">
      <c r="A381" s="16"/>
      <c r="B381" s="7"/>
      <c r="F381" s="90"/>
    </row>
    <row r="382" ht="15.75" customHeight="1">
      <c r="A382" s="16"/>
      <c r="B382" s="7"/>
      <c r="F382" s="90"/>
    </row>
    <row r="383" ht="15.75" customHeight="1">
      <c r="A383" s="16"/>
      <c r="B383" s="7"/>
      <c r="F383" s="90"/>
    </row>
    <row r="384" ht="15.75" customHeight="1">
      <c r="A384" s="16"/>
      <c r="B384" s="7"/>
      <c r="F384" s="90"/>
    </row>
    <row r="385" ht="15.75" customHeight="1">
      <c r="A385" s="16"/>
      <c r="B385" s="7"/>
      <c r="F385" s="90"/>
    </row>
    <row r="386" ht="15.75" customHeight="1">
      <c r="A386" s="16"/>
      <c r="B386" s="7"/>
      <c r="F386" s="90"/>
    </row>
    <row r="387" ht="15.75" customHeight="1">
      <c r="A387" s="16"/>
      <c r="B387" s="7"/>
      <c r="F387" s="90"/>
    </row>
    <row r="388" ht="15.75" customHeight="1">
      <c r="A388" s="16"/>
      <c r="B388" s="7"/>
      <c r="F388" s="90"/>
    </row>
    <row r="389" ht="15.75" customHeight="1">
      <c r="A389" s="16"/>
      <c r="B389" s="7"/>
      <c r="F389" s="90"/>
    </row>
    <row r="390" ht="15.75" customHeight="1">
      <c r="A390" s="16"/>
      <c r="B390" s="7"/>
      <c r="F390" s="90"/>
    </row>
    <row r="391" ht="15.75" customHeight="1">
      <c r="A391" s="16"/>
      <c r="B391" s="7"/>
      <c r="F391" s="90"/>
    </row>
    <row r="392" ht="15.75" customHeight="1">
      <c r="A392" s="16"/>
      <c r="B392" s="7"/>
      <c r="F392" s="90"/>
    </row>
    <row r="393" ht="15.75" customHeight="1">
      <c r="A393" s="16"/>
      <c r="B393" s="7"/>
      <c r="F393" s="90"/>
    </row>
    <row r="394" ht="15.75" customHeight="1">
      <c r="A394" s="16"/>
      <c r="B394" s="7"/>
      <c r="F394" s="90"/>
    </row>
    <row r="395" ht="15.75" customHeight="1">
      <c r="A395" s="16"/>
      <c r="B395" s="7"/>
      <c r="F395" s="90"/>
    </row>
    <row r="396" ht="15.75" customHeight="1">
      <c r="A396" s="16"/>
      <c r="B396" s="7"/>
      <c r="F396" s="90"/>
    </row>
    <row r="397" ht="15.75" customHeight="1">
      <c r="A397" s="16"/>
      <c r="B397" s="7"/>
      <c r="F397" s="90"/>
    </row>
    <row r="398" ht="15.75" customHeight="1">
      <c r="A398" s="16"/>
      <c r="B398" s="7"/>
      <c r="F398" s="90"/>
    </row>
    <row r="399" ht="15.75" customHeight="1">
      <c r="A399" s="16"/>
      <c r="B399" s="7"/>
      <c r="F399" s="90"/>
    </row>
    <row r="400" ht="15.75" customHeight="1">
      <c r="A400" s="16"/>
      <c r="B400" s="7"/>
      <c r="F400" s="90"/>
    </row>
    <row r="401" ht="15.75" customHeight="1">
      <c r="A401" s="16"/>
      <c r="B401" s="7"/>
      <c r="F401" s="90"/>
    </row>
    <row r="402" ht="15.75" customHeight="1">
      <c r="A402" s="16"/>
      <c r="B402" s="7"/>
      <c r="F402" s="90"/>
    </row>
    <row r="403" ht="15.75" customHeight="1">
      <c r="A403" s="16"/>
      <c r="B403" s="7"/>
      <c r="F403" s="90"/>
    </row>
    <row r="404" ht="15.75" customHeight="1">
      <c r="A404" s="16"/>
      <c r="B404" s="7"/>
      <c r="F404" s="90"/>
    </row>
    <row r="405" ht="15.75" customHeight="1">
      <c r="A405" s="16"/>
      <c r="B405" s="7"/>
      <c r="F405" s="90"/>
    </row>
    <row r="406" ht="15.75" customHeight="1">
      <c r="A406" s="16"/>
      <c r="B406" s="7"/>
      <c r="F406" s="90"/>
    </row>
    <row r="407" ht="15.75" customHeight="1">
      <c r="A407" s="16"/>
      <c r="B407" s="7"/>
      <c r="F407" s="90"/>
    </row>
    <row r="408" ht="15.75" customHeight="1">
      <c r="A408" s="16"/>
      <c r="B408" s="7"/>
      <c r="F408" s="90"/>
    </row>
    <row r="409" ht="15.75" customHeight="1">
      <c r="A409" s="16"/>
      <c r="B409" s="7"/>
      <c r="F409" s="90"/>
    </row>
    <row r="410" ht="15.75" customHeight="1">
      <c r="A410" s="16"/>
      <c r="B410" s="7"/>
      <c r="F410" s="90"/>
    </row>
    <row r="411" ht="15.75" customHeight="1">
      <c r="A411" s="16"/>
      <c r="B411" s="7"/>
      <c r="F411" s="90"/>
    </row>
    <row r="412" ht="15.75" customHeight="1">
      <c r="A412" s="16"/>
      <c r="B412" s="7"/>
      <c r="F412" s="90"/>
    </row>
    <row r="413" ht="15.75" customHeight="1">
      <c r="A413" s="16"/>
      <c r="B413" s="7"/>
      <c r="F413" s="90"/>
    </row>
    <row r="414" ht="15.75" customHeight="1">
      <c r="A414" s="16"/>
      <c r="B414" s="7"/>
      <c r="F414" s="90"/>
    </row>
    <row r="415" ht="15.75" customHeight="1">
      <c r="A415" s="16"/>
      <c r="B415" s="7"/>
      <c r="F415" s="90"/>
    </row>
    <row r="416" ht="15.75" customHeight="1">
      <c r="A416" s="16"/>
      <c r="B416" s="7"/>
      <c r="F416" s="90"/>
    </row>
    <row r="417" ht="15.75" customHeight="1">
      <c r="A417" s="16"/>
      <c r="B417" s="7"/>
      <c r="F417" s="90"/>
    </row>
    <row r="418" ht="15.75" customHeight="1">
      <c r="A418" s="16"/>
      <c r="B418" s="7"/>
      <c r="F418" s="90"/>
    </row>
    <row r="419" ht="15.75" customHeight="1">
      <c r="A419" s="16"/>
      <c r="B419" s="7"/>
      <c r="F419" s="90"/>
    </row>
    <row r="420" ht="15.75" customHeight="1">
      <c r="A420" s="16"/>
      <c r="B420" s="7"/>
      <c r="F420" s="90"/>
    </row>
    <row r="421" ht="15.75" customHeight="1">
      <c r="A421" s="16"/>
      <c r="B421" s="7"/>
      <c r="F421" s="90"/>
    </row>
    <row r="422" ht="15.75" customHeight="1">
      <c r="A422" s="16"/>
      <c r="B422" s="7"/>
      <c r="F422" s="90"/>
    </row>
    <row r="423" ht="15.75" customHeight="1">
      <c r="A423" s="16"/>
      <c r="B423" s="7"/>
      <c r="F423" s="90"/>
    </row>
    <row r="424" ht="15.75" customHeight="1">
      <c r="A424" s="16"/>
      <c r="B424" s="7"/>
      <c r="F424" s="90"/>
    </row>
    <row r="425" ht="15.75" customHeight="1">
      <c r="A425" s="16"/>
      <c r="B425" s="7"/>
      <c r="F425" s="90"/>
    </row>
    <row r="426" ht="15.75" customHeight="1">
      <c r="A426" s="16"/>
      <c r="B426" s="7"/>
      <c r="F426" s="90"/>
    </row>
    <row r="427" ht="15.75" customHeight="1">
      <c r="A427" s="16"/>
      <c r="B427" s="7"/>
      <c r="F427" s="90"/>
    </row>
    <row r="428" ht="15.75" customHeight="1">
      <c r="A428" s="16"/>
      <c r="B428" s="7"/>
      <c r="F428" s="90"/>
    </row>
    <row r="429" ht="15.75" customHeight="1">
      <c r="A429" s="16"/>
      <c r="B429" s="7"/>
      <c r="F429" s="90"/>
    </row>
    <row r="430" ht="15.75" customHeight="1">
      <c r="A430" s="16"/>
      <c r="B430" s="7"/>
      <c r="F430" s="90"/>
    </row>
    <row r="431" ht="15.75" customHeight="1">
      <c r="A431" s="16"/>
      <c r="B431" s="7"/>
      <c r="F431" s="90"/>
    </row>
    <row r="432" ht="15.75" customHeight="1">
      <c r="A432" s="16"/>
      <c r="B432" s="7"/>
      <c r="F432" s="90"/>
    </row>
    <row r="433" ht="15.75" customHeight="1">
      <c r="A433" s="16"/>
      <c r="B433" s="7"/>
      <c r="F433" s="90"/>
    </row>
    <row r="434" ht="15.75" customHeight="1">
      <c r="A434" s="16"/>
      <c r="B434" s="7"/>
      <c r="F434" s="90"/>
    </row>
    <row r="435" ht="15.75" customHeight="1">
      <c r="A435" s="16"/>
      <c r="B435" s="7"/>
      <c r="F435" s="90"/>
    </row>
    <row r="436" ht="15.75" customHeight="1">
      <c r="A436" s="16"/>
      <c r="B436" s="7"/>
      <c r="F436" s="90"/>
    </row>
    <row r="437" ht="15.75" customHeight="1">
      <c r="A437" s="16"/>
      <c r="B437" s="7"/>
      <c r="F437" s="90"/>
    </row>
    <row r="438" ht="15.75" customHeight="1">
      <c r="A438" s="16"/>
      <c r="B438" s="7"/>
      <c r="F438" s="90"/>
    </row>
    <row r="439" ht="15.75" customHeight="1">
      <c r="A439" s="16"/>
      <c r="B439" s="7"/>
      <c r="F439" s="90"/>
    </row>
    <row r="440" ht="15.75" customHeight="1">
      <c r="A440" s="16"/>
      <c r="B440" s="7"/>
      <c r="F440" s="90"/>
    </row>
    <row r="441" ht="15.75" customHeight="1">
      <c r="A441" s="16"/>
      <c r="B441" s="7"/>
      <c r="F441" s="90"/>
    </row>
    <row r="442" ht="15.75" customHeight="1">
      <c r="A442" s="16"/>
      <c r="B442" s="7"/>
      <c r="F442" s="90"/>
    </row>
    <row r="443" ht="15.75" customHeight="1">
      <c r="A443" s="16"/>
      <c r="B443" s="7"/>
      <c r="F443" s="90"/>
    </row>
    <row r="444" ht="15.75" customHeight="1">
      <c r="A444" s="16"/>
      <c r="B444" s="7"/>
      <c r="F444" s="90"/>
    </row>
    <row r="445" ht="15.75" customHeight="1">
      <c r="A445" s="16"/>
      <c r="B445" s="7"/>
      <c r="F445" s="90"/>
    </row>
    <row r="446" ht="15.75" customHeight="1">
      <c r="A446" s="16"/>
      <c r="B446" s="7"/>
      <c r="F446" s="90"/>
    </row>
    <row r="447" ht="15.75" customHeight="1">
      <c r="A447" s="16"/>
      <c r="B447" s="7"/>
      <c r="F447" s="90"/>
    </row>
    <row r="448" ht="15.75" customHeight="1">
      <c r="A448" s="16"/>
      <c r="B448" s="7"/>
      <c r="F448" s="90"/>
    </row>
    <row r="449" ht="15.75" customHeight="1">
      <c r="A449" s="16"/>
      <c r="B449" s="7"/>
      <c r="F449" s="90"/>
    </row>
    <row r="450" ht="15.75" customHeight="1">
      <c r="A450" s="16"/>
      <c r="B450" s="7"/>
      <c r="F450" s="90"/>
    </row>
    <row r="451" ht="15.75" customHeight="1">
      <c r="A451" s="16"/>
      <c r="B451" s="7"/>
      <c r="F451" s="90"/>
    </row>
    <row r="452" ht="15.75" customHeight="1">
      <c r="A452" s="16"/>
      <c r="B452" s="7"/>
      <c r="F452" s="90"/>
    </row>
    <row r="453" ht="15.75" customHeight="1">
      <c r="A453" s="16"/>
      <c r="B453" s="7"/>
      <c r="F453" s="90"/>
    </row>
    <row r="454" ht="15.75" customHeight="1">
      <c r="A454" s="16"/>
      <c r="B454" s="7"/>
      <c r="F454" s="90"/>
    </row>
    <row r="455" ht="15.75" customHeight="1">
      <c r="A455" s="16"/>
      <c r="B455" s="7"/>
      <c r="F455" s="90"/>
    </row>
    <row r="456" ht="15.75" customHeight="1">
      <c r="A456" s="16"/>
      <c r="B456" s="7"/>
      <c r="F456" s="90"/>
    </row>
    <row r="457" ht="15.75" customHeight="1">
      <c r="A457" s="16"/>
      <c r="B457" s="7"/>
      <c r="F457" s="90"/>
    </row>
    <row r="458" ht="15.75" customHeight="1">
      <c r="A458" s="16"/>
      <c r="B458" s="7"/>
      <c r="F458" s="90"/>
    </row>
    <row r="459" ht="15.75" customHeight="1">
      <c r="A459" s="16"/>
      <c r="B459" s="7"/>
      <c r="F459" s="90"/>
    </row>
    <row r="460" ht="15.75" customHeight="1">
      <c r="A460" s="16"/>
      <c r="B460" s="7"/>
      <c r="F460" s="90"/>
    </row>
    <row r="461" ht="15.75" customHeight="1">
      <c r="A461" s="16"/>
      <c r="B461" s="7"/>
      <c r="F461" s="90"/>
    </row>
    <row r="462" ht="15.75" customHeight="1">
      <c r="A462" s="16"/>
      <c r="B462" s="7"/>
      <c r="F462" s="90"/>
    </row>
    <row r="463" ht="15.75" customHeight="1">
      <c r="A463" s="16"/>
      <c r="B463" s="7"/>
      <c r="F463" s="90"/>
    </row>
    <row r="464" ht="15.75" customHeight="1">
      <c r="A464" s="16"/>
      <c r="B464" s="7"/>
      <c r="F464" s="90"/>
    </row>
    <row r="465" ht="15.75" customHeight="1">
      <c r="A465" s="16"/>
      <c r="B465" s="7"/>
      <c r="F465" s="90"/>
    </row>
    <row r="466" ht="15.75" customHeight="1">
      <c r="A466" s="16"/>
      <c r="B466" s="7"/>
      <c r="F466" s="90"/>
    </row>
    <row r="467" ht="15.75" customHeight="1">
      <c r="A467" s="16"/>
      <c r="B467" s="7"/>
      <c r="F467" s="90"/>
    </row>
    <row r="468" ht="15.75" customHeight="1">
      <c r="A468" s="16"/>
      <c r="B468" s="7"/>
      <c r="F468" s="90"/>
    </row>
    <row r="469" ht="15.75" customHeight="1">
      <c r="A469" s="16"/>
      <c r="B469" s="7"/>
      <c r="F469" s="90"/>
    </row>
    <row r="470" ht="15.75" customHeight="1">
      <c r="A470" s="16"/>
      <c r="B470" s="7"/>
      <c r="F470" s="90"/>
    </row>
    <row r="471" ht="15.75" customHeight="1">
      <c r="A471" s="16"/>
      <c r="B471" s="7"/>
      <c r="F471" s="90"/>
    </row>
    <row r="472" ht="15.75" customHeight="1">
      <c r="A472" s="16"/>
      <c r="B472" s="7"/>
      <c r="F472" s="90"/>
    </row>
    <row r="473" ht="15.75" customHeight="1">
      <c r="A473" s="16"/>
      <c r="B473" s="7"/>
      <c r="F473" s="90"/>
    </row>
    <row r="474" ht="15.75" customHeight="1">
      <c r="A474" s="16"/>
      <c r="B474" s="7"/>
      <c r="F474" s="90"/>
    </row>
    <row r="475" ht="15.75" customHeight="1">
      <c r="A475" s="16"/>
      <c r="B475" s="7"/>
      <c r="F475" s="90"/>
    </row>
    <row r="476" ht="15.75" customHeight="1">
      <c r="A476" s="16"/>
      <c r="B476" s="7"/>
      <c r="F476" s="90"/>
    </row>
    <row r="477" ht="15.75" customHeight="1">
      <c r="A477" s="16"/>
      <c r="B477" s="7"/>
      <c r="F477" s="90"/>
    </row>
    <row r="478" ht="15.75" customHeight="1">
      <c r="A478" s="16"/>
      <c r="B478" s="7"/>
      <c r="F478" s="90"/>
    </row>
    <row r="479" ht="15.75" customHeight="1">
      <c r="A479" s="16"/>
      <c r="B479" s="7"/>
      <c r="F479" s="90"/>
    </row>
    <row r="480" ht="15.75" customHeight="1">
      <c r="A480" s="16"/>
      <c r="B480" s="7"/>
      <c r="F480" s="90"/>
    </row>
    <row r="481" ht="15.75" customHeight="1">
      <c r="A481" s="16"/>
      <c r="B481" s="7"/>
      <c r="F481" s="90"/>
    </row>
    <row r="482" ht="15.75" customHeight="1">
      <c r="A482" s="16"/>
      <c r="B482" s="7"/>
      <c r="F482" s="90"/>
    </row>
    <row r="483" ht="15.75" customHeight="1">
      <c r="A483" s="16"/>
      <c r="B483" s="7"/>
      <c r="F483" s="90"/>
    </row>
    <row r="484" ht="15.75" customHeight="1">
      <c r="A484" s="16"/>
      <c r="B484" s="7"/>
      <c r="F484" s="90"/>
    </row>
    <row r="485" ht="15.75" customHeight="1">
      <c r="A485" s="16"/>
      <c r="B485" s="7"/>
      <c r="F485" s="90"/>
    </row>
    <row r="486" ht="15.75" customHeight="1">
      <c r="A486" s="16"/>
      <c r="B486" s="7"/>
      <c r="F486" s="90"/>
    </row>
    <row r="487" ht="15.75" customHeight="1">
      <c r="A487" s="16"/>
      <c r="B487" s="7"/>
      <c r="F487" s="90"/>
    </row>
    <row r="488" ht="15.75" customHeight="1">
      <c r="A488" s="16"/>
      <c r="B488" s="7"/>
      <c r="F488" s="90"/>
    </row>
    <row r="489" ht="15.75" customHeight="1">
      <c r="A489" s="16"/>
      <c r="B489" s="7"/>
      <c r="F489" s="90"/>
    </row>
    <row r="490" ht="15.75" customHeight="1">
      <c r="A490" s="16"/>
      <c r="B490" s="7"/>
      <c r="F490" s="90"/>
    </row>
    <row r="491" ht="15.75" customHeight="1">
      <c r="A491" s="16"/>
      <c r="B491" s="7"/>
      <c r="F491" s="90"/>
    </row>
    <row r="492" ht="15.75" customHeight="1">
      <c r="A492" s="16"/>
      <c r="B492" s="7"/>
      <c r="F492" s="90"/>
    </row>
    <row r="493" ht="15.75" customHeight="1">
      <c r="A493" s="16"/>
      <c r="B493" s="7"/>
      <c r="F493" s="90"/>
    </row>
    <row r="494" ht="15.75" customHeight="1">
      <c r="A494" s="16"/>
      <c r="B494" s="7"/>
      <c r="F494" s="90"/>
    </row>
    <row r="495" ht="15.75" customHeight="1">
      <c r="A495" s="16"/>
      <c r="B495" s="7"/>
      <c r="F495" s="90"/>
    </row>
    <row r="496" ht="15.75" customHeight="1">
      <c r="A496" s="16"/>
      <c r="B496" s="7"/>
      <c r="F496" s="90"/>
    </row>
    <row r="497" ht="15.75" customHeight="1">
      <c r="A497" s="16"/>
      <c r="B497" s="7"/>
      <c r="F497" s="90"/>
    </row>
    <row r="498" ht="15.75" customHeight="1">
      <c r="A498" s="16"/>
      <c r="B498" s="7"/>
      <c r="F498" s="90"/>
    </row>
    <row r="499" ht="15.75" customHeight="1">
      <c r="A499" s="16"/>
      <c r="B499" s="7"/>
      <c r="F499" s="90"/>
    </row>
    <row r="500" ht="15.75" customHeight="1">
      <c r="A500" s="16"/>
      <c r="B500" s="7"/>
      <c r="F500" s="90"/>
    </row>
    <row r="501" ht="15.75" customHeight="1">
      <c r="A501" s="16"/>
      <c r="B501" s="7"/>
      <c r="F501" s="90"/>
    </row>
    <row r="502" ht="15.75" customHeight="1">
      <c r="A502" s="16"/>
      <c r="B502" s="7"/>
      <c r="F502" s="90"/>
    </row>
    <row r="503" ht="15.75" customHeight="1">
      <c r="A503" s="16"/>
      <c r="B503" s="7"/>
      <c r="F503" s="90"/>
    </row>
    <row r="504" ht="15.75" customHeight="1">
      <c r="A504" s="16"/>
      <c r="B504" s="7"/>
      <c r="F504" s="90"/>
    </row>
    <row r="505" ht="15.75" customHeight="1">
      <c r="A505" s="16"/>
      <c r="B505" s="7"/>
      <c r="F505" s="90"/>
    </row>
    <row r="506" ht="15.75" customHeight="1">
      <c r="A506" s="16"/>
      <c r="B506" s="7"/>
      <c r="F506" s="90"/>
    </row>
    <row r="507" ht="15.75" customHeight="1">
      <c r="A507" s="16"/>
      <c r="B507" s="7"/>
      <c r="F507" s="90"/>
    </row>
    <row r="508" ht="15.75" customHeight="1">
      <c r="A508" s="16"/>
      <c r="B508" s="7"/>
      <c r="F508" s="90"/>
    </row>
    <row r="509" ht="15.75" customHeight="1">
      <c r="A509" s="16"/>
      <c r="B509" s="7"/>
      <c r="F509" s="90"/>
    </row>
    <row r="510" ht="15.75" customHeight="1">
      <c r="A510" s="16"/>
      <c r="B510" s="7"/>
      <c r="F510" s="90"/>
    </row>
    <row r="511" ht="15.75" customHeight="1">
      <c r="A511" s="16"/>
      <c r="B511" s="7"/>
      <c r="F511" s="90"/>
    </row>
    <row r="512" ht="15.75" customHeight="1">
      <c r="A512" s="16"/>
      <c r="B512" s="7"/>
      <c r="F512" s="90"/>
    </row>
    <row r="513" ht="15.75" customHeight="1">
      <c r="A513" s="16"/>
      <c r="B513" s="7"/>
      <c r="F513" s="90"/>
    </row>
    <row r="514" ht="15.75" customHeight="1">
      <c r="A514" s="16"/>
      <c r="B514" s="7"/>
      <c r="F514" s="90"/>
    </row>
    <row r="515" ht="15.75" customHeight="1">
      <c r="A515" s="16"/>
      <c r="B515" s="7"/>
      <c r="F515" s="90"/>
    </row>
    <row r="516" ht="15.75" customHeight="1">
      <c r="A516" s="16"/>
      <c r="B516" s="7"/>
      <c r="F516" s="90"/>
    </row>
    <row r="517" ht="15.75" customHeight="1">
      <c r="A517" s="16"/>
      <c r="B517" s="7"/>
      <c r="F517" s="90"/>
    </row>
    <row r="518" ht="15.75" customHeight="1">
      <c r="A518" s="16"/>
      <c r="B518" s="7"/>
      <c r="F518" s="90"/>
    </row>
    <row r="519" ht="15.75" customHeight="1">
      <c r="A519" s="16"/>
      <c r="B519" s="7"/>
      <c r="F519" s="90"/>
    </row>
    <row r="520" ht="15.75" customHeight="1">
      <c r="A520" s="16"/>
      <c r="B520" s="7"/>
      <c r="F520" s="90"/>
    </row>
    <row r="521" ht="15.75" customHeight="1">
      <c r="A521" s="16"/>
      <c r="B521" s="7"/>
      <c r="F521" s="90"/>
    </row>
    <row r="522" ht="15.75" customHeight="1">
      <c r="A522" s="16"/>
      <c r="B522" s="7"/>
      <c r="F522" s="90"/>
    </row>
    <row r="523" ht="15.75" customHeight="1">
      <c r="A523" s="16"/>
      <c r="B523" s="7"/>
      <c r="F523" s="90"/>
    </row>
    <row r="524" ht="15.75" customHeight="1">
      <c r="A524" s="16"/>
      <c r="B524" s="7"/>
      <c r="F524" s="90"/>
    </row>
    <row r="525" ht="15.75" customHeight="1">
      <c r="A525" s="16"/>
      <c r="B525" s="7"/>
      <c r="F525" s="90"/>
    </row>
    <row r="526" ht="15.75" customHeight="1">
      <c r="A526" s="16"/>
      <c r="B526" s="7"/>
      <c r="F526" s="90"/>
    </row>
    <row r="527" ht="15.75" customHeight="1">
      <c r="A527" s="16"/>
      <c r="B527" s="7"/>
      <c r="F527" s="90"/>
    </row>
    <row r="528" ht="15.75" customHeight="1">
      <c r="A528" s="16"/>
      <c r="B528" s="7"/>
      <c r="F528" s="90"/>
    </row>
    <row r="529" ht="15.75" customHeight="1">
      <c r="A529" s="16"/>
      <c r="B529" s="7"/>
      <c r="F529" s="90"/>
    </row>
    <row r="530" ht="15.75" customHeight="1">
      <c r="A530" s="16"/>
      <c r="B530" s="7"/>
      <c r="F530" s="90"/>
    </row>
    <row r="531" ht="15.75" customHeight="1">
      <c r="A531" s="16"/>
      <c r="B531" s="7"/>
      <c r="F531" s="90"/>
    </row>
    <row r="532" ht="15.75" customHeight="1">
      <c r="A532" s="16"/>
      <c r="B532" s="7"/>
      <c r="F532" s="90"/>
    </row>
    <row r="533" ht="15.75" customHeight="1">
      <c r="A533" s="16"/>
      <c r="B533" s="7"/>
      <c r="F533" s="90"/>
    </row>
    <row r="534" ht="15.75" customHeight="1">
      <c r="A534" s="16"/>
      <c r="B534" s="7"/>
      <c r="F534" s="90"/>
    </row>
    <row r="535" ht="15.75" customHeight="1">
      <c r="A535" s="16"/>
      <c r="B535" s="7"/>
      <c r="F535" s="90"/>
    </row>
    <row r="536" ht="15.75" customHeight="1">
      <c r="A536" s="16"/>
      <c r="B536" s="7"/>
      <c r="F536" s="90"/>
    </row>
    <row r="537" ht="15.75" customHeight="1">
      <c r="A537" s="16"/>
      <c r="B537" s="7"/>
      <c r="F537" s="90"/>
    </row>
    <row r="538" ht="15.75" customHeight="1">
      <c r="A538" s="16"/>
      <c r="B538" s="7"/>
      <c r="F538" s="90"/>
    </row>
    <row r="539" ht="15.75" customHeight="1">
      <c r="A539" s="16"/>
      <c r="B539" s="7"/>
      <c r="F539" s="90"/>
    </row>
    <row r="540" ht="15.75" customHeight="1">
      <c r="A540" s="16"/>
      <c r="B540" s="7"/>
      <c r="F540" s="90"/>
    </row>
    <row r="541" ht="15.75" customHeight="1">
      <c r="A541" s="16"/>
      <c r="B541" s="7"/>
      <c r="F541" s="90"/>
    </row>
    <row r="542" ht="15.75" customHeight="1">
      <c r="A542" s="16"/>
      <c r="B542" s="7"/>
      <c r="F542" s="90"/>
    </row>
    <row r="543" ht="15.75" customHeight="1">
      <c r="A543" s="16"/>
      <c r="B543" s="7"/>
      <c r="F543" s="90"/>
    </row>
    <row r="544" ht="15.75" customHeight="1">
      <c r="A544" s="16"/>
      <c r="B544" s="7"/>
      <c r="F544" s="90"/>
    </row>
    <row r="545" ht="15.75" customHeight="1">
      <c r="A545" s="16"/>
      <c r="B545" s="7"/>
      <c r="F545" s="90"/>
    </row>
    <row r="546" ht="15.75" customHeight="1">
      <c r="A546" s="16"/>
      <c r="B546" s="7"/>
      <c r="F546" s="90"/>
    </row>
    <row r="547" ht="15.75" customHeight="1">
      <c r="A547" s="16"/>
      <c r="B547" s="7"/>
      <c r="F547" s="90"/>
    </row>
    <row r="548" ht="15.75" customHeight="1">
      <c r="A548" s="16"/>
      <c r="B548" s="7"/>
      <c r="F548" s="90"/>
    </row>
    <row r="549" ht="15.75" customHeight="1">
      <c r="A549" s="16"/>
      <c r="B549" s="7"/>
      <c r="F549" s="90"/>
    </row>
    <row r="550" ht="15.75" customHeight="1">
      <c r="A550" s="16"/>
      <c r="B550" s="7"/>
      <c r="F550" s="90"/>
    </row>
    <row r="551" ht="15.75" customHeight="1">
      <c r="A551" s="16"/>
      <c r="B551" s="7"/>
      <c r="F551" s="90"/>
    </row>
    <row r="552" ht="15.75" customHeight="1">
      <c r="A552" s="16"/>
      <c r="B552" s="7"/>
      <c r="F552" s="90"/>
    </row>
    <row r="553" ht="15.75" customHeight="1">
      <c r="A553" s="16"/>
      <c r="B553" s="7"/>
      <c r="F553" s="90"/>
    </row>
    <row r="554" ht="15.75" customHeight="1">
      <c r="A554" s="16"/>
      <c r="B554" s="7"/>
      <c r="F554" s="90"/>
    </row>
    <row r="555" ht="15.75" customHeight="1">
      <c r="A555" s="16"/>
      <c r="B555" s="7"/>
      <c r="F555" s="90"/>
    </row>
    <row r="556" ht="15.75" customHeight="1">
      <c r="A556" s="16"/>
      <c r="B556" s="7"/>
      <c r="F556" s="90"/>
    </row>
    <row r="557" ht="15.75" customHeight="1">
      <c r="A557" s="16"/>
      <c r="B557" s="7"/>
      <c r="F557" s="90"/>
    </row>
    <row r="558" ht="15.75" customHeight="1">
      <c r="A558" s="16"/>
      <c r="B558" s="7"/>
      <c r="F558" s="90"/>
    </row>
    <row r="559" ht="15.75" customHeight="1">
      <c r="A559" s="16"/>
      <c r="B559" s="7"/>
      <c r="F559" s="90"/>
    </row>
    <row r="560" ht="15.75" customHeight="1">
      <c r="A560" s="16"/>
      <c r="B560" s="7"/>
      <c r="F560" s="90"/>
    </row>
    <row r="561" ht="15.75" customHeight="1">
      <c r="A561" s="16"/>
      <c r="B561" s="7"/>
      <c r="F561" s="90"/>
    </row>
    <row r="562" ht="15.75" customHeight="1">
      <c r="A562" s="16"/>
      <c r="B562" s="7"/>
      <c r="F562" s="90"/>
    </row>
    <row r="563" ht="15.75" customHeight="1">
      <c r="A563" s="16"/>
      <c r="B563" s="7"/>
      <c r="F563" s="90"/>
    </row>
    <row r="564" ht="15.75" customHeight="1">
      <c r="A564" s="16"/>
      <c r="B564" s="7"/>
      <c r="F564" s="90"/>
    </row>
    <row r="565" ht="15.75" customHeight="1">
      <c r="A565" s="16"/>
      <c r="B565" s="7"/>
      <c r="F565" s="90"/>
    </row>
    <row r="566" ht="15.75" customHeight="1">
      <c r="A566" s="16"/>
      <c r="B566" s="7"/>
      <c r="F566" s="90"/>
    </row>
    <row r="567" ht="15.75" customHeight="1">
      <c r="A567" s="16"/>
      <c r="B567" s="7"/>
      <c r="F567" s="90"/>
    </row>
    <row r="568" ht="15.75" customHeight="1">
      <c r="A568" s="16"/>
      <c r="B568" s="7"/>
      <c r="F568" s="90"/>
    </row>
    <row r="569" ht="15.75" customHeight="1">
      <c r="A569" s="16"/>
      <c r="B569" s="7"/>
      <c r="F569" s="90"/>
    </row>
    <row r="570" ht="15.75" customHeight="1">
      <c r="A570" s="16"/>
      <c r="B570" s="7"/>
      <c r="F570" s="90"/>
    </row>
    <row r="571" ht="15.75" customHeight="1">
      <c r="A571" s="16"/>
      <c r="B571" s="7"/>
      <c r="F571" s="90"/>
    </row>
    <row r="572" ht="15.75" customHeight="1">
      <c r="A572" s="16"/>
      <c r="B572" s="7"/>
      <c r="F572" s="90"/>
    </row>
    <row r="573" ht="15.75" customHeight="1">
      <c r="A573" s="16"/>
      <c r="B573" s="7"/>
      <c r="F573" s="90"/>
    </row>
    <row r="574" ht="15.75" customHeight="1">
      <c r="A574" s="16"/>
      <c r="B574" s="7"/>
      <c r="F574" s="90"/>
    </row>
    <row r="575" ht="15.75" customHeight="1">
      <c r="A575" s="16"/>
      <c r="B575" s="7"/>
      <c r="F575" s="90"/>
    </row>
    <row r="576" ht="15.75" customHeight="1">
      <c r="A576" s="16"/>
      <c r="B576" s="7"/>
      <c r="F576" s="90"/>
    </row>
    <row r="577" ht="15.75" customHeight="1">
      <c r="A577" s="16"/>
      <c r="B577" s="7"/>
      <c r="F577" s="90"/>
    </row>
    <row r="578" ht="15.75" customHeight="1">
      <c r="A578" s="16"/>
      <c r="B578" s="7"/>
      <c r="F578" s="90"/>
    </row>
    <row r="579" ht="15.75" customHeight="1">
      <c r="A579" s="16"/>
      <c r="B579" s="7"/>
      <c r="F579" s="90"/>
    </row>
    <row r="580" ht="15.75" customHeight="1">
      <c r="A580" s="16"/>
      <c r="B580" s="7"/>
      <c r="F580" s="90"/>
    </row>
    <row r="581" ht="15.75" customHeight="1">
      <c r="A581" s="16"/>
      <c r="B581" s="7"/>
      <c r="F581" s="90"/>
    </row>
    <row r="582" ht="15.75" customHeight="1">
      <c r="A582" s="16"/>
      <c r="B582" s="7"/>
      <c r="F582" s="90"/>
    </row>
    <row r="583" ht="15.75" customHeight="1">
      <c r="A583" s="16"/>
      <c r="B583" s="7"/>
      <c r="F583" s="90"/>
    </row>
    <row r="584" ht="15.75" customHeight="1">
      <c r="A584" s="16"/>
      <c r="B584" s="7"/>
      <c r="F584" s="90"/>
    </row>
    <row r="585" ht="15.75" customHeight="1">
      <c r="A585" s="16"/>
      <c r="B585" s="7"/>
      <c r="F585" s="90"/>
    </row>
    <row r="586" ht="15.75" customHeight="1">
      <c r="A586" s="16"/>
      <c r="B586" s="7"/>
      <c r="F586" s="90"/>
    </row>
    <row r="587" ht="15.75" customHeight="1">
      <c r="A587" s="16"/>
      <c r="B587" s="7"/>
      <c r="F587" s="90"/>
    </row>
    <row r="588" ht="15.75" customHeight="1">
      <c r="A588" s="16"/>
      <c r="B588" s="7"/>
      <c r="F588" s="90"/>
    </row>
    <row r="589" ht="15.75" customHeight="1">
      <c r="A589" s="16"/>
      <c r="B589" s="7"/>
      <c r="F589" s="90"/>
    </row>
    <row r="590" ht="15.75" customHeight="1">
      <c r="A590" s="16"/>
      <c r="B590" s="7"/>
      <c r="F590" s="90"/>
    </row>
    <row r="591" ht="15.75" customHeight="1">
      <c r="A591" s="16"/>
      <c r="B591" s="7"/>
      <c r="F591" s="90"/>
    </row>
    <row r="592" ht="15.75" customHeight="1">
      <c r="A592" s="16"/>
      <c r="B592" s="7"/>
      <c r="F592" s="90"/>
    </row>
    <row r="593" ht="15.75" customHeight="1">
      <c r="A593" s="16"/>
      <c r="B593" s="7"/>
      <c r="F593" s="90"/>
    </row>
    <row r="594" ht="15.75" customHeight="1">
      <c r="A594" s="16"/>
      <c r="B594" s="7"/>
      <c r="F594" s="90"/>
    </row>
    <row r="595" ht="15.75" customHeight="1">
      <c r="A595" s="16"/>
      <c r="B595" s="7"/>
      <c r="F595" s="90"/>
    </row>
    <row r="596" ht="15.75" customHeight="1">
      <c r="A596" s="16"/>
      <c r="B596" s="7"/>
      <c r="F596" s="90"/>
    </row>
    <row r="597" ht="15.75" customHeight="1">
      <c r="A597" s="16"/>
      <c r="B597" s="7"/>
      <c r="F597" s="90"/>
    </row>
    <row r="598" ht="15.75" customHeight="1">
      <c r="A598" s="16"/>
      <c r="B598" s="7"/>
      <c r="F598" s="90"/>
    </row>
    <row r="599" ht="15.75" customHeight="1">
      <c r="A599" s="16"/>
      <c r="B599" s="7"/>
      <c r="F599" s="90"/>
    </row>
    <row r="600" ht="15.75" customHeight="1">
      <c r="A600" s="16"/>
      <c r="B600" s="7"/>
      <c r="F600" s="90"/>
    </row>
    <row r="601" ht="15.75" customHeight="1">
      <c r="A601" s="16"/>
      <c r="B601" s="7"/>
      <c r="F601" s="90"/>
    </row>
    <row r="602" ht="15.75" customHeight="1">
      <c r="A602" s="16"/>
      <c r="B602" s="7"/>
      <c r="F602" s="90"/>
    </row>
    <row r="603" ht="15.75" customHeight="1">
      <c r="A603" s="16"/>
      <c r="B603" s="7"/>
      <c r="F603" s="90"/>
    </row>
    <row r="604" ht="15.75" customHeight="1">
      <c r="A604" s="16"/>
      <c r="B604" s="7"/>
      <c r="F604" s="90"/>
    </row>
    <row r="605" ht="15.75" customHeight="1">
      <c r="A605" s="16"/>
      <c r="B605" s="7"/>
      <c r="F605" s="90"/>
    </row>
    <row r="606" ht="15.75" customHeight="1">
      <c r="A606" s="16"/>
      <c r="B606" s="7"/>
      <c r="F606" s="90"/>
    </row>
    <row r="607" ht="15.75" customHeight="1">
      <c r="A607" s="16"/>
      <c r="B607" s="7"/>
      <c r="F607" s="90"/>
    </row>
    <row r="608" ht="15.75" customHeight="1">
      <c r="A608" s="16"/>
      <c r="B608" s="7"/>
      <c r="F608" s="90"/>
    </row>
    <row r="609" ht="15.75" customHeight="1">
      <c r="A609" s="16"/>
      <c r="B609" s="7"/>
      <c r="F609" s="90"/>
    </row>
    <row r="610" ht="15.75" customHeight="1">
      <c r="A610" s="16"/>
      <c r="B610" s="7"/>
      <c r="F610" s="90"/>
    </row>
    <row r="611" ht="15.75" customHeight="1">
      <c r="A611" s="16"/>
      <c r="B611" s="7"/>
      <c r="F611" s="90"/>
    </row>
    <row r="612" ht="15.75" customHeight="1">
      <c r="A612" s="16"/>
      <c r="B612" s="7"/>
      <c r="F612" s="90"/>
    </row>
    <row r="613" ht="15.75" customHeight="1">
      <c r="A613" s="16"/>
      <c r="B613" s="7"/>
      <c r="F613" s="90"/>
    </row>
    <row r="614" ht="15.75" customHeight="1">
      <c r="A614" s="16"/>
      <c r="B614" s="7"/>
      <c r="F614" s="90"/>
    </row>
    <row r="615" ht="15.75" customHeight="1">
      <c r="A615" s="16"/>
      <c r="B615" s="7"/>
      <c r="F615" s="90"/>
    </row>
    <row r="616" ht="15.75" customHeight="1">
      <c r="A616" s="16"/>
      <c r="B616" s="7"/>
      <c r="F616" s="90"/>
    </row>
    <row r="617" ht="15.75" customHeight="1">
      <c r="A617" s="16"/>
      <c r="B617" s="7"/>
      <c r="F617" s="90"/>
    </row>
    <row r="618" ht="15.75" customHeight="1">
      <c r="A618" s="16"/>
      <c r="B618" s="7"/>
      <c r="F618" s="90"/>
    </row>
    <row r="619" ht="15.75" customHeight="1">
      <c r="A619" s="16"/>
      <c r="B619" s="7"/>
      <c r="F619" s="90"/>
    </row>
    <row r="620" ht="15.75" customHeight="1">
      <c r="A620" s="16"/>
      <c r="B620" s="7"/>
      <c r="F620" s="90"/>
    </row>
    <row r="621" ht="15.75" customHeight="1">
      <c r="A621" s="16"/>
      <c r="B621" s="7"/>
      <c r="F621" s="90"/>
    </row>
    <row r="622" ht="15.75" customHeight="1">
      <c r="A622" s="16"/>
      <c r="B622" s="7"/>
      <c r="F622" s="90"/>
    </row>
    <row r="623" ht="15.75" customHeight="1">
      <c r="A623" s="16"/>
      <c r="B623" s="7"/>
      <c r="F623" s="90"/>
    </row>
    <row r="624" ht="15.75" customHeight="1">
      <c r="A624" s="16"/>
      <c r="B624" s="7"/>
      <c r="F624" s="90"/>
    </row>
    <row r="625" ht="15.75" customHeight="1">
      <c r="A625" s="16"/>
      <c r="B625" s="7"/>
      <c r="F625" s="90"/>
    </row>
    <row r="626" ht="15.75" customHeight="1">
      <c r="A626" s="16"/>
      <c r="B626" s="7"/>
      <c r="F626" s="90"/>
    </row>
    <row r="627" ht="15.75" customHeight="1">
      <c r="A627" s="16"/>
      <c r="B627" s="7"/>
      <c r="F627" s="90"/>
    </row>
    <row r="628" ht="15.75" customHeight="1">
      <c r="A628" s="16"/>
      <c r="B628" s="7"/>
      <c r="F628" s="90"/>
    </row>
    <row r="629" ht="15.75" customHeight="1">
      <c r="A629" s="16"/>
      <c r="B629" s="7"/>
      <c r="F629" s="90"/>
    </row>
    <row r="630" ht="15.75" customHeight="1">
      <c r="A630" s="16"/>
      <c r="B630" s="7"/>
      <c r="F630" s="90"/>
    </row>
    <row r="631" ht="15.75" customHeight="1">
      <c r="A631" s="16"/>
      <c r="B631" s="7"/>
      <c r="F631" s="90"/>
    </row>
    <row r="632" ht="15.75" customHeight="1">
      <c r="A632" s="16"/>
      <c r="B632" s="7"/>
      <c r="F632" s="90"/>
    </row>
    <row r="633" ht="15.75" customHeight="1">
      <c r="A633" s="16"/>
      <c r="B633" s="7"/>
      <c r="F633" s="90"/>
    </row>
    <row r="634" ht="15.75" customHeight="1">
      <c r="A634" s="16"/>
      <c r="B634" s="7"/>
      <c r="F634" s="90"/>
    </row>
    <row r="635" ht="15.75" customHeight="1">
      <c r="A635" s="16"/>
      <c r="B635" s="7"/>
      <c r="F635" s="90"/>
    </row>
    <row r="636" ht="15.75" customHeight="1">
      <c r="A636" s="16"/>
      <c r="B636" s="7"/>
      <c r="F636" s="90"/>
    </row>
    <row r="637" ht="15.75" customHeight="1">
      <c r="A637" s="16"/>
      <c r="B637" s="7"/>
      <c r="F637" s="90"/>
    </row>
    <row r="638" ht="15.75" customHeight="1">
      <c r="A638" s="16"/>
      <c r="B638" s="7"/>
      <c r="F638" s="90"/>
    </row>
    <row r="639" ht="15.75" customHeight="1">
      <c r="A639" s="16"/>
      <c r="B639" s="7"/>
      <c r="F639" s="90"/>
    </row>
    <row r="640" ht="15.75" customHeight="1">
      <c r="A640" s="16"/>
      <c r="B640" s="7"/>
      <c r="F640" s="90"/>
    </row>
    <row r="641" ht="15.75" customHeight="1">
      <c r="A641" s="16"/>
      <c r="B641" s="7"/>
      <c r="F641" s="90"/>
    </row>
    <row r="642" ht="15.75" customHeight="1">
      <c r="A642" s="16"/>
      <c r="B642" s="7"/>
      <c r="F642" s="90"/>
    </row>
    <row r="643" ht="15.75" customHeight="1">
      <c r="A643" s="16"/>
      <c r="B643" s="7"/>
      <c r="F643" s="90"/>
    </row>
    <row r="644" ht="15.75" customHeight="1">
      <c r="A644" s="16"/>
      <c r="B644" s="7"/>
      <c r="F644" s="90"/>
    </row>
    <row r="645" ht="15.75" customHeight="1">
      <c r="A645" s="16"/>
      <c r="B645" s="7"/>
      <c r="F645" s="90"/>
    </row>
    <row r="646" ht="15.75" customHeight="1">
      <c r="A646" s="16"/>
      <c r="B646" s="7"/>
      <c r="F646" s="90"/>
    </row>
    <row r="647" ht="15.75" customHeight="1">
      <c r="A647" s="16"/>
      <c r="B647" s="7"/>
      <c r="F647" s="90"/>
    </row>
    <row r="648" ht="15.75" customHeight="1">
      <c r="A648" s="16"/>
      <c r="B648" s="7"/>
      <c r="F648" s="90"/>
    </row>
    <row r="649" ht="15.75" customHeight="1">
      <c r="A649" s="16"/>
      <c r="B649" s="7"/>
      <c r="F649" s="90"/>
    </row>
    <row r="650" ht="15.75" customHeight="1">
      <c r="A650" s="16"/>
      <c r="B650" s="7"/>
      <c r="F650" s="90"/>
    </row>
    <row r="651" ht="15.75" customHeight="1">
      <c r="A651" s="16"/>
      <c r="B651" s="7"/>
      <c r="F651" s="90"/>
    </row>
    <row r="652" ht="15.75" customHeight="1">
      <c r="A652" s="16"/>
      <c r="B652" s="7"/>
      <c r="F652" s="90"/>
    </row>
    <row r="653" ht="15.75" customHeight="1">
      <c r="A653" s="16"/>
      <c r="B653" s="7"/>
      <c r="F653" s="90"/>
    </row>
    <row r="654" ht="15.75" customHeight="1">
      <c r="A654" s="16"/>
      <c r="B654" s="7"/>
      <c r="F654" s="90"/>
    </row>
    <row r="655" ht="15.75" customHeight="1">
      <c r="A655" s="16"/>
      <c r="B655" s="7"/>
      <c r="F655" s="90"/>
    </row>
    <row r="656" ht="15.75" customHeight="1">
      <c r="A656" s="16"/>
      <c r="B656" s="7"/>
      <c r="F656" s="90"/>
    </row>
    <row r="657" ht="15.75" customHeight="1">
      <c r="A657" s="16"/>
      <c r="B657" s="7"/>
      <c r="F657" s="90"/>
    </row>
    <row r="658" ht="15.75" customHeight="1">
      <c r="A658" s="16"/>
      <c r="B658" s="7"/>
      <c r="F658" s="90"/>
    </row>
    <row r="659" ht="15.75" customHeight="1">
      <c r="A659" s="16"/>
      <c r="B659" s="7"/>
      <c r="F659" s="90"/>
    </row>
    <row r="660" ht="15.75" customHeight="1">
      <c r="A660" s="16"/>
      <c r="B660" s="7"/>
      <c r="F660" s="90"/>
    </row>
    <row r="661" ht="15.75" customHeight="1">
      <c r="A661" s="16"/>
      <c r="B661" s="7"/>
      <c r="F661" s="90"/>
    </row>
    <row r="662" ht="15.75" customHeight="1">
      <c r="A662" s="16"/>
      <c r="B662" s="7"/>
      <c r="F662" s="90"/>
    </row>
    <row r="663" ht="15.75" customHeight="1">
      <c r="A663" s="16"/>
      <c r="B663" s="7"/>
      <c r="F663" s="90"/>
    </row>
    <row r="664" ht="15.75" customHeight="1">
      <c r="A664" s="16"/>
      <c r="B664" s="7"/>
      <c r="F664" s="90"/>
    </row>
    <row r="665" ht="15.75" customHeight="1">
      <c r="A665" s="16"/>
      <c r="B665" s="7"/>
      <c r="F665" s="90"/>
    </row>
    <row r="666" ht="15.75" customHeight="1">
      <c r="A666" s="16"/>
      <c r="B666" s="7"/>
      <c r="F666" s="90"/>
    </row>
    <row r="667" ht="15.75" customHeight="1">
      <c r="A667" s="16"/>
      <c r="B667" s="7"/>
      <c r="F667" s="90"/>
    </row>
    <row r="668" ht="15.75" customHeight="1">
      <c r="A668" s="16"/>
      <c r="B668" s="7"/>
      <c r="F668" s="90"/>
    </row>
    <row r="669" ht="15.75" customHeight="1">
      <c r="A669" s="16"/>
      <c r="B669" s="7"/>
      <c r="F669" s="90"/>
    </row>
    <row r="670" ht="15.75" customHeight="1">
      <c r="A670" s="16"/>
      <c r="B670" s="7"/>
      <c r="F670" s="90"/>
    </row>
    <row r="671" ht="15.75" customHeight="1">
      <c r="A671" s="16"/>
      <c r="B671" s="7"/>
      <c r="F671" s="90"/>
    </row>
    <row r="672" ht="15.75" customHeight="1">
      <c r="A672" s="16"/>
      <c r="B672" s="7"/>
      <c r="F672" s="90"/>
    </row>
    <row r="673" ht="15.75" customHeight="1">
      <c r="A673" s="16"/>
      <c r="B673" s="7"/>
      <c r="F673" s="90"/>
    </row>
    <row r="674" ht="15.75" customHeight="1">
      <c r="A674" s="16"/>
      <c r="B674" s="7"/>
      <c r="F674" s="90"/>
    </row>
    <row r="675" ht="15.75" customHeight="1">
      <c r="A675" s="16"/>
      <c r="B675" s="7"/>
      <c r="F675" s="90"/>
    </row>
    <row r="676" ht="15.75" customHeight="1">
      <c r="A676" s="16"/>
      <c r="B676" s="7"/>
      <c r="F676" s="90"/>
    </row>
    <row r="677" ht="15.75" customHeight="1">
      <c r="A677" s="16"/>
      <c r="B677" s="7"/>
      <c r="F677" s="90"/>
    </row>
    <row r="678" ht="15.75" customHeight="1">
      <c r="A678" s="16"/>
      <c r="B678" s="7"/>
      <c r="F678" s="90"/>
    </row>
    <row r="679" ht="15.75" customHeight="1">
      <c r="A679" s="16"/>
      <c r="B679" s="7"/>
      <c r="F679" s="90"/>
    </row>
    <row r="680" ht="15.75" customHeight="1">
      <c r="A680" s="16"/>
      <c r="B680" s="7"/>
      <c r="F680" s="90"/>
    </row>
    <row r="681" ht="15.75" customHeight="1">
      <c r="A681" s="16"/>
      <c r="B681" s="7"/>
      <c r="F681" s="90"/>
    </row>
    <row r="682" ht="15.75" customHeight="1">
      <c r="A682" s="16"/>
      <c r="B682" s="7"/>
      <c r="F682" s="90"/>
    </row>
    <row r="683" ht="15.75" customHeight="1">
      <c r="A683" s="16"/>
      <c r="B683" s="7"/>
      <c r="F683" s="90"/>
    </row>
    <row r="684" ht="15.75" customHeight="1">
      <c r="A684" s="16"/>
      <c r="B684" s="7"/>
      <c r="F684" s="90"/>
    </row>
    <row r="685" ht="15.75" customHeight="1">
      <c r="A685" s="16"/>
      <c r="B685" s="7"/>
      <c r="F685" s="90"/>
    </row>
    <row r="686" ht="15.75" customHeight="1">
      <c r="A686" s="16"/>
      <c r="B686" s="7"/>
      <c r="F686" s="90"/>
    </row>
    <row r="687" ht="15.75" customHeight="1">
      <c r="A687" s="16"/>
      <c r="B687" s="7"/>
      <c r="F687" s="90"/>
    </row>
    <row r="688" ht="15.75" customHeight="1">
      <c r="A688" s="16"/>
      <c r="B688" s="7"/>
      <c r="F688" s="90"/>
    </row>
    <row r="689" ht="15.75" customHeight="1">
      <c r="A689" s="16"/>
      <c r="B689" s="7"/>
      <c r="F689" s="90"/>
    </row>
    <row r="690" ht="15.75" customHeight="1">
      <c r="A690" s="16"/>
      <c r="B690" s="7"/>
      <c r="F690" s="90"/>
    </row>
    <row r="691" ht="15.75" customHeight="1">
      <c r="A691" s="16"/>
      <c r="B691" s="7"/>
      <c r="F691" s="90"/>
    </row>
    <row r="692" ht="15.75" customHeight="1">
      <c r="A692" s="16"/>
      <c r="B692" s="7"/>
      <c r="F692" s="90"/>
    </row>
    <row r="693" ht="15.75" customHeight="1">
      <c r="A693" s="16"/>
      <c r="B693" s="7"/>
      <c r="F693" s="90"/>
    </row>
    <row r="694" ht="15.75" customHeight="1">
      <c r="A694" s="16"/>
      <c r="B694" s="7"/>
      <c r="F694" s="90"/>
    </row>
    <row r="695" ht="15.75" customHeight="1">
      <c r="A695" s="16"/>
      <c r="B695" s="7"/>
      <c r="F695" s="90"/>
    </row>
    <row r="696" ht="15.75" customHeight="1">
      <c r="A696" s="16"/>
      <c r="B696" s="7"/>
      <c r="F696" s="90"/>
    </row>
    <row r="697" ht="15.75" customHeight="1">
      <c r="A697" s="16"/>
      <c r="B697" s="7"/>
      <c r="F697" s="90"/>
    </row>
    <row r="698" ht="15.75" customHeight="1">
      <c r="A698" s="16"/>
      <c r="B698" s="7"/>
      <c r="F698" s="90"/>
    </row>
    <row r="699" ht="15.75" customHeight="1">
      <c r="A699" s="16"/>
      <c r="B699" s="7"/>
      <c r="F699" s="90"/>
    </row>
    <row r="700" ht="15.75" customHeight="1">
      <c r="A700" s="16"/>
      <c r="B700" s="7"/>
      <c r="F700" s="90"/>
    </row>
    <row r="701" ht="15.75" customHeight="1">
      <c r="A701" s="16"/>
      <c r="B701" s="7"/>
      <c r="F701" s="90"/>
    </row>
    <row r="702" ht="15.75" customHeight="1">
      <c r="A702" s="16"/>
      <c r="B702" s="7"/>
      <c r="F702" s="90"/>
    </row>
    <row r="703" ht="15.75" customHeight="1">
      <c r="A703" s="16"/>
      <c r="B703" s="7"/>
      <c r="F703" s="90"/>
    </row>
    <row r="704" ht="15.75" customHeight="1">
      <c r="A704" s="16"/>
      <c r="B704" s="7"/>
      <c r="F704" s="90"/>
    </row>
    <row r="705" ht="15.75" customHeight="1">
      <c r="A705" s="16"/>
      <c r="B705" s="7"/>
      <c r="F705" s="90"/>
    </row>
    <row r="706" ht="15.75" customHeight="1">
      <c r="A706" s="16"/>
      <c r="B706" s="7"/>
      <c r="F706" s="90"/>
    </row>
    <row r="707" ht="15.75" customHeight="1">
      <c r="A707" s="16"/>
      <c r="B707" s="7"/>
      <c r="F707" s="90"/>
    </row>
    <row r="708" ht="15.75" customHeight="1">
      <c r="A708" s="16"/>
      <c r="B708" s="7"/>
      <c r="F708" s="90"/>
    </row>
    <row r="709" ht="15.75" customHeight="1">
      <c r="A709" s="16"/>
      <c r="B709" s="7"/>
      <c r="F709" s="90"/>
    </row>
    <row r="710" ht="15.75" customHeight="1">
      <c r="A710" s="16"/>
      <c r="B710" s="7"/>
      <c r="F710" s="90"/>
    </row>
    <row r="711" ht="15.75" customHeight="1">
      <c r="A711" s="16"/>
      <c r="B711" s="7"/>
      <c r="F711" s="90"/>
    </row>
    <row r="712" ht="15.75" customHeight="1">
      <c r="A712" s="16"/>
      <c r="B712" s="7"/>
      <c r="F712" s="90"/>
    </row>
    <row r="713" ht="15.75" customHeight="1">
      <c r="A713" s="16"/>
      <c r="B713" s="7"/>
      <c r="F713" s="90"/>
    </row>
    <row r="714" ht="15.75" customHeight="1">
      <c r="A714" s="16"/>
      <c r="B714" s="7"/>
      <c r="F714" s="90"/>
    </row>
    <row r="715" ht="15.75" customHeight="1">
      <c r="A715" s="16"/>
      <c r="B715" s="7"/>
      <c r="F715" s="90"/>
    </row>
    <row r="716" ht="15.75" customHeight="1">
      <c r="A716" s="16"/>
      <c r="B716" s="7"/>
      <c r="F716" s="90"/>
    </row>
    <row r="717" ht="15.75" customHeight="1">
      <c r="A717" s="16"/>
      <c r="B717" s="7"/>
      <c r="F717" s="90"/>
    </row>
    <row r="718" ht="15.75" customHeight="1">
      <c r="A718" s="16"/>
      <c r="B718" s="7"/>
      <c r="F718" s="90"/>
    </row>
    <row r="719" ht="15.75" customHeight="1">
      <c r="A719" s="16"/>
      <c r="B719" s="7"/>
      <c r="F719" s="90"/>
    </row>
    <row r="720" ht="15.75" customHeight="1">
      <c r="A720" s="16"/>
      <c r="B720" s="7"/>
      <c r="F720" s="90"/>
    </row>
    <row r="721" ht="15.75" customHeight="1">
      <c r="A721" s="16"/>
      <c r="B721" s="7"/>
      <c r="F721" s="90"/>
    </row>
    <row r="722" ht="15.75" customHeight="1">
      <c r="A722" s="16"/>
      <c r="B722" s="7"/>
      <c r="F722" s="90"/>
    </row>
    <row r="723" ht="15.75" customHeight="1">
      <c r="A723" s="16"/>
      <c r="B723" s="7"/>
      <c r="F723" s="90"/>
    </row>
    <row r="724" ht="15.75" customHeight="1">
      <c r="A724" s="16"/>
      <c r="B724" s="7"/>
      <c r="F724" s="90"/>
    </row>
    <row r="725" ht="15.75" customHeight="1">
      <c r="A725" s="16"/>
      <c r="B725" s="7"/>
      <c r="F725" s="90"/>
    </row>
    <row r="726" ht="15.75" customHeight="1">
      <c r="A726" s="16"/>
      <c r="B726" s="7"/>
      <c r="F726" s="90"/>
    </row>
    <row r="727" ht="15.75" customHeight="1">
      <c r="A727" s="16"/>
      <c r="B727" s="7"/>
      <c r="F727" s="90"/>
    </row>
    <row r="728" ht="15.75" customHeight="1">
      <c r="A728" s="16"/>
      <c r="B728" s="7"/>
      <c r="F728" s="90"/>
    </row>
    <row r="729" ht="15.75" customHeight="1">
      <c r="A729" s="16"/>
      <c r="B729" s="7"/>
      <c r="F729" s="90"/>
    </row>
    <row r="730" ht="15.75" customHeight="1">
      <c r="A730" s="16"/>
      <c r="B730" s="7"/>
      <c r="F730" s="90"/>
    </row>
    <row r="731" ht="15.75" customHeight="1">
      <c r="A731" s="16"/>
      <c r="B731" s="7"/>
      <c r="F731" s="90"/>
    </row>
    <row r="732" ht="15.75" customHeight="1">
      <c r="A732" s="16"/>
      <c r="B732" s="7"/>
      <c r="F732" s="90"/>
    </row>
    <row r="733" ht="15.75" customHeight="1">
      <c r="A733" s="16"/>
      <c r="B733" s="7"/>
      <c r="F733" s="90"/>
    </row>
    <row r="734" ht="15.75" customHeight="1">
      <c r="A734" s="16"/>
      <c r="B734" s="7"/>
      <c r="F734" s="90"/>
    </row>
    <row r="735" ht="15.75" customHeight="1">
      <c r="A735" s="16"/>
      <c r="B735" s="7"/>
      <c r="F735" s="90"/>
    </row>
    <row r="736" ht="15.75" customHeight="1">
      <c r="A736" s="16"/>
      <c r="B736" s="7"/>
      <c r="F736" s="90"/>
    </row>
    <row r="737" ht="15.75" customHeight="1">
      <c r="A737" s="16"/>
      <c r="B737" s="7"/>
      <c r="F737" s="90"/>
    </row>
    <row r="738" ht="15.75" customHeight="1">
      <c r="A738" s="16"/>
      <c r="B738" s="7"/>
      <c r="F738" s="90"/>
    </row>
    <row r="739" ht="15.75" customHeight="1">
      <c r="A739" s="16"/>
      <c r="B739" s="7"/>
      <c r="F739" s="90"/>
    </row>
    <row r="740" ht="15.75" customHeight="1">
      <c r="A740" s="16"/>
      <c r="B740" s="7"/>
      <c r="F740" s="90"/>
    </row>
    <row r="741" ht="15.75" customHeight="1">
      <c r="A741" s="16"/>
      <c r="B741" s="7"/>
      <c r="F741" s="90"/>
    </row>
    <row r="742" ht="15.75" customHeight="1">
      <c r="A742" s="16"/>
      <c r="B742" s="7"/>
      <c r="F742" s="90"/>
    </row>
    <row r="743" ht="15.75" customHeight="1">
      <c r="A743" s="16"/>
      <c r="B743" s="7"/>
      <c r="F743" s="90"/>
    </row>
    <row r="744" ht="15.75" customHeight="1">
      <c r="A744" s="16"/>
      <c r="B744" s="7"/>
      <c r="F744" s="90"/>
    </row>
    <row r="745" ht="15.75" customHeight="1">
      <c r="A745" s="16"/>
      <c r="B745" s="7"/>
      <c r="F745" s="90"/>
    </row>
    <row r="746" ht="15.75" customHeight="1">
      <c r="A746" s="16"/>
      <c r="B746" s="7"/>
      <c r="F746" s="90"/>
    </row>
    <row r="747" ht="15.75" customHeight="1">
      <c r="A747" s="16"/>
      <c r="B747" s="7"/>
      <c r="F747" s="90"/>
    </row>
    <row r="748" ht="15.75" customHeight="1">
      <c r="A748" s="16"/>
      <c r="B748" s="7"/>
      <c r="F748" s="90"/>
    </row>
    <row r="749" ht="15.75" customHeight="1">
      <c r="A749" s="16"/>
      <c r="B749" s="7"/>
      <c r="F749" s="90"/>
    </row>
    <row r="750" ht="15.75" customHeight="1">
      <c r="A750" s="16"/>
      <c r="B750" s="7"/>
      <c r="F750" s="90"/>
    </row>
    <row r="751" ht="15.75" customHeight="1">
      <c r="A751" s="16"/>
      <c r="B751" s="7"/>
      <c r="F751" s="90"/>
    </row>
    <row r="752" ht="15.75" customHeight="1">
      <c r="A752" s="16"/>
      <c r="B752" s="7"/>
      <c r="F752" s="90"/>
    </row>
    <row r="753" ht="15.75" customHeight="1">
      <c r="A753" s="16"/>
      <c r="B753" s="7"/>
      <c r="F753" s="90"/>
    </row>
    <row r="754" ht="15.75" customHeight="1">
      <c r="A754" s="16"/>
      <c r="B754" s="7"/>
      <c r="F754" s="90"/>
    </row>
    <row r="755" ht="15.75" customHeight="1">
      <c r="A755" s="16"/>
      <c r="B755" s="7"/>
      <c r="F755" s="90"/>
    </row>
    <row r="756" ht="15.75" customHeight="1">
      <c r="A756" s="16"/>
      <c r="B756" s="7"/>
      <c r="F756" s="90"/>
    </row>
    <row r="757" ht="15.75" customHeight="1">
      <c r="A757" s="16"/>
      <c r="B757" s="7"/>
      <c r="F757" s="90"/>
    </row>
    <row r="758" ht="15.75" customHeight="1">
      <c r="A758" s="16"/>
      <c r="B758" s="7"/>
      <c r="F758" s="90"/>
    </row>
    <row r="759" ht="15.75" customHeight="1">
      <c r="A759" s="16"/>
      <c r="B759" s="7"/>
      <c r="F759" s="90"/>
    </row>
    <row r="760" ht="15.75" customHeight="1">
      <c r="A760" s="16"/>
      <c r="B760" s="7"/>
      <c r="F760" s="90"/>
    </row>
    <row r="761" ht="15.75" customHeight="1">
      <c r="A761" s="16"/>
      <c r="B761" s="7"/>
      <c r="F761" s="90"/>
    </row>
    <row r="762" ht="15.75" customHeight="1">
      <c r="A762" s="16"/>
      <c r="B762" s="7"/>
      <c r="F762" s="90"/>
    </row>
    <row r="763" ht="15.75" customHeight="1">
      <c r="A763" s="16"/>
      <c r="B763" s="7"/>
      <c r="F763" s="90"/>
    </row>
    <row r="764" ht="15.75" customHeight="1">
      <c r="A764" s="16"/>
      <c r="B764" s="7"/>
      <c r="F764" s="90"/>
    </row>
    <row r="765" ht="15.75" customHeight="1">
      <c r="A765" s="16"/>
      <c r="B765" s="7"/>
      <c r="F765" s="90"/>
    </row>
    <row r="766" ht="15.75" customHeight="1">
      <c r="A766" s="16"/>
      <c r="B766" s="7"/>
      <c r="F766" s="90"/>
    </row>
    <row r="767" ht="15.75" customHeight="1">
      <c r="A767" s="16"/>
      <c r="B767" s="7"/>
      <c r="F767" s="90"/>
    </row>
    <row r="768" ht="15.75" customHeight="1">
      <c r="A768" s="16"/>
      <c r="B768" s="7"/>
      <c r="F768" s="90"/>
    </row>
    <row r="769" ht="15.75" customHeight="1">
      <c r="A769" s="16"/>
      <c r="B769" s="7"/>
      <c r="F769" s="90"/>
    </row>
    <row r="770" ht="15.75" customHeight="1">
      <c r="A770" s="16"/>
      <c r="B770" s="7"/>
      <c r="F770" s="90"/>
    </row>
    <row r="771" ht="15.75" customHeight="1">
      <c r="A771" s="16"/>
      <c r="B771" s="7"/>
      <c r="F771" s="90"/>
    </row>
    <row r="772" ht="15.75" customHeight="1">
      <c r="A772" s="16"/>
      <c r="B772" s="7"/>
      <c r="F772" s="90"/>
    </row>
    <row r="773" ht="15.75" customHeight="1">
      <c r="A773" s="16"/>
      <c r="B773" s="7"/>
      <c r="F773" s="90"/>
    </row>
    <row r="774" ht="15.75" customHeight="1">
      <c r="A774" s="16"/>
      <c r="B774" s="7"/>
      <c r="F774" s="90"/>
    </row>
    <row r="775" ht="15.75" customHeight="1">
      <c r="A775" s="16"/>
      <c r="B775" s="7"/>
      <c r="F775" s="90"/>
    </row>
    <row r="776" ht="15.75" customHeight="1">
      <c r="A776" s="16"/>
      <c r="B776" s="7"/>
      <c r="F776" s="90"/>
    </row>
    <row r="777" ht="15.75" customHeight="1">
      <c r="A777" s="16"/>
      <c r="B777" s="7"/>
      <c r="F777" s="90"/>
    </row>
    <row r="778" ht="15.75" customHeight="1">
      <c r="A778" s="16"/>
      <c r="B778" s="7"/>
      <c r="F778" s="90"/>
    </row>
    <row r="779" ht="15.75" customHeight="1">
      <c r="A779" s="16"/>
      <c r="B779" s="7"/>
      <c r="F779" s="90"/>
    </row>
    <row r="780" ht="15.75" customHeight="1">
      <c r="A780" s="16"/>
      <c r="B780" s="7"/>
      <c r="F780" s="90"/>
    </row>
    <row r="781" ht="15.75" customHeight="1">
      <c r="A781" s="16"/>
      <c r="B781" s="7"/>
      <c r="F781" s="90"/>
    </row>
    <row r="782" ht="15.75" customHeight="1">
      <c r="A782" s="16"/>
      <c r="B782" s="7"/>
      <c r="F782" s="90"/>
    </row>
    <row r="783" ht="15.75" customHeight="1">
      <c r="A783" s="16"/>
      <c r="B783" s="7"/>
      <c r="F783" s="90"/>
    </row>
    <row r="784" ht="15.75" customHeight="1">
      <c r="A784" s="16"/>
      <c r="B784" s="7"/>
      <c r="F784" s="90"/>
    </row>
    <row r="785" ht="15.75" customHeight="1">
      <c r="A785" s="16"/>
      <c r="B785" s="7"/>
      <c r="F785" s="90"/>
    </row>
    <row r="786" ht="15.75" customHeight="1">
      <c r="A786" s="16"/>
      <c r="B786" s="7"/>
      <c r="F786" s="90"/>
    </row>
    <row r="787" ht="15.75" customHeight="1">
      <c r="A787" s="16"/>
      <c r="B787" s="7"/>
      <c r="F787" s="90"/>
    </row>
    <row r="788" ht="15.75" customHeight="1">
      <c r="A788" s="16"/>
      <c r="B788" s="7"/>
      <c r="F788" s="90"/>
    </row>
    <row r="789" ht="15.75" customHeight="1">
      <c r="A789" s="16"/>
      <c r="B789" s="7"/>
      <c r="F789" s="90"/>
    </row>
    <row r="790" ht="15.75" customHeight="1">
      <c r="A790" s="16"/>
      <c r="B790" s="7"/>
      <c r="F790" s="90"/>
    </row>
    <row r="791" ht="15.75" customHeight="1">
      <c r="A791" s="16"/>
      <c r="B791" s="7"/>
      <c r="F791" s="90"/>
    </row>
    <row r="792" ht="15.75" customHeight="1">
      <c r="A792" s="16"/>
      <c r="B792" s="7"/>
      <c r="F792" s="90"/>
    </row>
    <row r="793" ht="15.75" customHeight="1">
      <c r="A793" s="16"/>
      <c r="B793" s="7"/>
      <c r="F793" s="90"/>
    </row>
    <row r="794" ht="15.75" customHeight="1">
      <c r="A794" s="16"/>
      <c r="B794" s="7"/>
      <c r="F794" s="90"/>
    </row>
    <row r="795" ht="15.75" customHeight="1">
      <c r="A795" s="16"/>
      <c r="B795" s="7"/>
      <c r="F795" s="90"/>
    </row>
    <row r="796" ht="15.75" customHeight="1">
      <c r="A796" s="16"/>
      <c r="B796" s="7"/>
      <c r="F796" s="90"/>
    </row>
    <row r="797" ht="15.75" customHeight="1">
      <c r="A797" s="16"/>
      <c r="B797" s="7"/>
      <c r="F797" s="90"/>
    </row>
    <row r="798" ht="15.75" customHeight="1">
      <c r="A798" s="16"/>
      <c r="B798" s="7"/>
      <c r="F798" s="90"/>
    </row>
    <row r="799" ht="15.75" customHeight="1">
      <c r="A799" s="16"/>
      <c r="B799" s="7"/>
      <c r="F799" s="90"/>
    </row>
    <row r="800" ht="15.75" customHeight="1">
      <c r="A800" s="16"/>
      <c r="B800" s="7"/>
      <c r="F800" s="90"/>
    </row>
    <row r="801" ht="15.75" customHeight="1">
      <c r="A801" s="16"/>
      <c r="B801" s="7"/>
      <c r="F801" s="90"/>
    </row>
    <row r="802" ht="15.75" customHeight="1">
      <c r="A802" s="16"/>
      <c r="B802" s="7"/>
      <c r="F802" s="90"/>
    </row>
    <row r="803" ht="15.75" customHeight="1">
      <c r="A803" s="16"/>
      <c r="B803" s="7"/>
      <c r="F803" s="90"/>
    </row>
    <row r="804" ht="15.75" customHeight="1">
      <c r="A804" s="16"/>
      <c r="B804" s="7"/>
      <c r="F804" s="90"/>
    </row>
    <row r="805" ht="15.75" customHeight="1">
      <c r="A805" s="16"/>
      <c r="B805" s="7"/>
      <c r="F805" s="90"/>
    </row>
    <row r="806" ht="15.75" customHeight="1">
      <c r="A806" s="16"/>
      <c r="B806" s="7"/>
      <c r="F806" s="90"/>
    </row>
    <row r="807" ht="15.75" customHeight="1">
      <c r="A807" s="16"/>
      <c r="B807" s="7"/>
      <c r="F807" s="90"/>
    </row>
    <row r="808" ht="15.75" customHeight="1">
      <c r="A808" s="16"/>
      <c r="B808" s="7"/>
      <c r="F808" s="90"/>
    </row>
    <row r="809" ht="15.75" customHeight="1">
      <c r="A809" s="16"/>
      <c r="B809" s="7"/>
      <c r="F809" s="90"/>
    </row>
    <row r="810" ht="15.75" customHeight="1">
      <c r="A810" s="16"/>
      <c r="B810" s="7"/>
      <c r="F810" s="90"/>
    </row>
    <row r="811" ht="15.75" customHeight="1">
      <c r="A811" s="16"/>
      <c r="B811" s="7"/>
      <c r="F811" s="90"/>
    </row>
    <row r="812" ht="15.75" customHeight="1">
      <c r="A812" s="16"/>
      <c r="B812" s="7"/>
      <c r="F812" s="90"/>
    </row>
    <row r="813" ht="15.75" customHeight="1">
      <c r="A813" s="16"/>
      <c r="B813" s="7"/>
      <c r="F813" s="90"/>
    </row>
    <row r="814" ht="15.75" customHeight="1">
      <c r="A814" s="16"/>
      <c r="B814" s="7"/>
      <c r="F814" s="90"/>
    </row>
    <row r="815" ht="15.75" customHeight="1">
      <c r="A815" s="16"/>
      <c r="B815" s="7"/>
      <c r="F815" s="90"/>
    </row>
    <row r="816" ht="15.75" customHeight="1">
      <c r="A816" s="16"/>
      <c r="B816" s="7"/>
      <c r="F816" s="90"/>
    </row>
    <row r="817" ht="15.75" customHeight="1">
      <c r="A817" s="16"/>
      <c r="B817" s="7"/>
      <c r="F817" s="90"/>
    </row>
    <row r="818" ht="15.75" customHeight="1">
      <c r="A818" s="16"/>
      <c r="B818" s="7"/>
      <c r="F818" s="90"/>
    </row>
    <row r="819" ht="15.75" customHeight="1">
      <c r="A819" s="16"/>
      <c r="B819" s="7"/>
      <c r="F819" s="90"/>
    </row>
    <row r="820" ht="15.75" customHeight="1">
      <c r="A820" s="16"/>
      <c r="B820" s="7"/>
      <c r="F820" s="90"/>
    </row>
    <row r="821" ht="15.75" customHeight="1">
      <c r="A821" s="16"/>
      <c r="B821" s="7"/>
      <c r="F821" s="90"/>
    </row>
    <row r="822" ht="15.75" customHeight="1">
      <c r="A822" s="16"/>
      <c r="B822" s="7"/>
      <c r="F822" s="90"/>
    </row>
    <row r="823" ht="15.75" customHeight="1">
      <c r="A823" s="16"/>
      <c r="B823" s="7"/>
      <c r="F823" s="90"/>
    </row>
    <row r="824" ht="15.75" customHeight="1">
      <c r="A824" s="16"/>
      <c r="B824" s="7"/>
      <c r="F824" s="90"/>
    </row>
    <row r="825" ht="15.75" customHeight="1">
      <c r="A825" s="16"/>
      <c r="B825" s="7"/>
      <c r="F825" s="90"/>
    </row>
    <row r="826" ht="15.75" customHeight="1">
      <c r="A826" s="16"/>
      <c r="B826" s="7"/>
      <c r="F826" s="90"/>
    </row>
    <row r="827" ht="15.75" customHeight="1">
      <c r="A827" s="16"/>
      <c r="B827" s="7"/>
      <c r="F827" s="90"/>
    </row>
    <row r="828" ht="15.75" customHeight="1">
      <c r="A828" s="16"/>
      <c r="B828" s="7"/>
      <c r="F828" s="90"/>
    </row>
    <row r="829" ht="15.75" customHeight="1">
      <c r="A829" s="16"/>
      <c r="B829" s="7"/>
      <c r="F829" s="90"/>
    </row>
    <row r="830" ht="15.75" customHeight="1">
      <c r="A830" s="16"/>
      <c r="B830" s="7"/>
      <c r="F830" s="90"/>
    </row>
    <row r="831" ht="15.75" customHeight="1">
      <c r="A831" s="16"/>
      <c r="B831" s="7"/>
      <c r="F831" s="90"/>
    </row>
    <row r="832" ht="15.75" customHeight="1">
      <c r="A832" s="16"/>
      <c r="B832" s="7"/>
      <c r="F832" s="90"/>
    </row>
    <row r="833" ht="15.75" customHeight="1">
      <c r="A833" s="16"/>
      <c r="B833" s="7"/>
      <c r="F833" s="90"/>
    </row>
    <row r="834" ht="15.75" customHeight="1">
      <c r="A834" s="16"/>
      <c r="B834" s="7"/>
      <c r="F834" s="90"/>
    </row>
    <row r="835" ht="15.75" customHeight="1">
      <c r="A835" s="16"/>
      <c r="B835" s="7"/>
      <c r="F835" s="90"/>
    </row>
    <row r="836" ht="15.75" customHeight="1">
      <c r="A836" s="16"/>
      <c r="B836" s="7"/>
      <c r="F836" s="90"/>
    </row>
    <row r="837" ht="15.75" customHeight="1">
      <c r="A837" s="16"/>
      <c r="B837" s="7"/>
      <c r="F837" s="90"/>
    </row>
    <row r="838" ht="15.75" customHeight="1">
      <c r="A838" s="16"/>
      <c r="B838" s="7"/>
      <c r="F838" s="90"/>
    </row>
    <row r="839" ht="15.75" customHeight="1">
      <c r="A839" s="16"/>
      <c r="B839" s="7"/>
      <c r="F839" s="90"/>
    </row>
    <row r="840" ht="15.75" customHeight="1">
      <c r="A840" s="16"/>
      <c r="B840" s="7"/>
      <c r="F840" s="90"/>
    </row>
    <row r="841" ht="15.75" customHeight="1">
      <c r="A841" s="16"/>
      <c r="B841" s="7"/>
      <c r="F841" s="90"/>
    </row>
    <row r="842" ht="15.75" customHeight="1">
      <c r="A842" s="16"/>
      <c r="B842" s="7"/>
      <c r="F842" s="90"/>
    </row>
    <row r="843" ht="15.75" customHeight="1">
      <c r="A843" s="16"/>
      <c r="B843" s="7"/>
      <c r="F843" s="90"/>
    </row>
    <row r="844" ht="15.75" customHeight="1">
      <c r="A844" s="16"/>
      <c r="B844" s="7"/>
      <c r="F844" s="90"/>
    </row>
    <row r="845" ht="15.75" customHeight="1">
      <c r="A845" s="16"/>
      <c r="B845" s="7"/>
      <c r="F845" s="90"/>
    </row>
    <row r="846" ht="15.75" customHeight="1">
      <c r="A846" s="16"/>
      <c r="B846" s="7"/>
      <c r="F846" s="90"/>
    </row>
    <row r="847" ht="15.75" customHeight="1">
      <c r="A847" s="16"/>
      <c r="B847" s="7"/>
      <c r="F847" s="90"/>
    </row>
    <row r="848" ht="15.75" customHeight="1">
      <c r="A848" s="16"/>
      <c r="B848" s="7"/>
      <c r="F848" s="90"/>
    </row>
    <row r="849" ht="15.75" customHeight="1">
      <c r="A849" s="16"/>
      <c r="B849" s="7"/>
      <c r="F849" s="90"/>
    </row>
    <row r="850" ht="15.75" customHeight="1">
      <c r="A850" s="16"/>
      <c r="B850" s="7"/>
      <c r="F850" s="90"/>
    </row>
    <row r="851" ht="15.75" customHeight="1">
      <c r="A851" s="16"/>
      <c r="B851" s="7"/>
      <c r="F851" s="90"/>
    </row>
    <row r="852" ht="15.75" customHeight="1">
      <c r="A852" s="16"/>
      <c r="B852" s="7"/>
      <c r="F852" s="90"/>
    </row>
    <row r="853" ht="15.75" customHeight="1">
      <c r="A853" s="16"/>
      <c r="B853" s="7"/>
      <c r="F853" s="90"/>
    </row>
    <row r="854" ht="15.75" customHeight="1">
      <c r="A854" s="16"/>
      <c r="B854" s="7"/>
      <c r="F854" s="90"/>
    </row>
    <row r="855" ht="15.75" customHeight="1">
      <c r="A855" s="16"/>
      <c r="B855" s="7"/>
      <c r="F855" s="90"/>
    </row>
    <row r="856" ht="15.75" customHeight="1">
      <c r="A856" s="16"/>
      <c r="B856" s="7"/>
      <c r="F856" s="90"/>
    </row>
    <row r="857" ht="15.75" customHeight="1">
      <c r="A857" s="16"/>
      <c r="B857" s="7"/>
      <c r="F857" s="90"/>
    </row>
    <row r="858" ht="15.75" customHeight="1">
      <c r="A858" s="16"/>
      <c r="B858" s="7"/>
      <c r="F858" s="90"/>
    </row>
    <row r="859" ht="15.75" customHeight="1">
      <c r="A859" s="16"/>
      <c r="B859" s="7"/>
      <c r="F859" s="90"/>
    </row>
    <row r="860" ht="15.75" customHeight="1">
      <c r="A860" s="16"/>
      <c r="B860" s="7"/>
      <c r="F860" s="90"/>
    </row>
    <row r="861" ht="15.75" customHeight="1">
      <c r="A861" s="16"/>
      <c r="B861" s="7"/>
      <c r="F861" s="90"/>
    </row>
    <row r="862" ht="15.75" customHeight="1">
      <c r="A862" s="16"/>
      <c r="B862" s="7"/>
      <c r="F862" s="90"/>
    </row>
    <row r="863" ht="15.75" customHeight="1">
      <c r="A863" s="16"/>
      <c r="B863" s="7"/>
      <c r="F863" s="90"/>
    </row>
    <row r="864" ht="15.75" customHeight="1">
      <c r="A864" s="16"/>
      <c r="B864" s="7"/>
      <c r="F864" s="90"/>
    </row>
    <row r="865" ht="15.75" customHeight="1">
      <c r="A865" s="16"/>
      <c r="B865" s="7"/>
      <c r="F865" s="90"/>
    </row>
    <row r="866" ht="15.75" customHeight="1">
      <c r="A866" s="16"/>
      <c r="B866" s="7"/>
      <c r="F866" s="90"/>
    </row>
    <row r="867" ht="15.75" customHeight="1">
      <c r="A867" s="16"/>
      <c r="B867" s="7"/>
      <c r="F867" s="90"/>
    </row>
    <row r="868" ht="15.75" customHeight="1">
      <c r="A868" s="16"/>
      <c r="B868" s="7"/>
      <c r="F868" s="90"/>
    </row>
    <row r="869" ht="15.75" customHeight="1">
      <c r="A869" s="16"/>
      <c r="B869" s="7"/>
      <c r="F869" s="90"/>
    </row>
    <row r="870" ht="15.75" customHeight="1">
      <c r="A870" s="16"/>
      <c r="B870" s="7"/>
      <c r="F870" s="90"/>
    </row>
    <row r="871" ht="15.75" customHeight="1">
      <c r="A871" s="16"/>
      <c r="B871" s="7"/>
      <c r="F871" s="90"/>
    </row>
    <row r="872" ht="15.75" customHeight="1">
      <c r="A872" s="16"/>
      <c r="B872" s="7"/>
      <c r="F872" s="90"/>
    </row>
    <row r="873" ht="15.75" customHeight="1">
      <c r="A873" s="16"/>
      <c r="B873" s="7"/>
      <c r="F873" s="90"/>
    </row>
    <row r="874" ht="15.75" customHeight="1">
      <c r="A874" s="16"/>
      <c r="B874" s="7"/>
      <c r="F874" s="90"/>
    </row>
    <row r="875" ht="15.75" customHeight="1">
      <c r="A875" s="16"/>
      <c r="B875" s="7"/>
      <c r="F875" s="90"/>
    </row>
    <row r="876" ht="15.75" customHeight="1">
      <c r="A876" s="16"/>
      <c r="B876" s="7"/>
      <c r="F876" s="90"/>
    </row>
    <row r="877" ht="15.75" customHeight="1">
      <c r="A877" s="16"/>
      <c r="B877" s="7"/>
      <c r="F877" s="90"/>
    </row>
    <row r="878" ht="15.75" customHeight="1">
      <c r="A878" s="16"/>
      <c r="B878" s="7"/>
      <c r="F878" s="90"/>
    </row>
    <row r="879" ht="15.75" customHeight="1">
      <c r="A879" s="16"/>
      <c r="B879" s="7"/>
      <c r="F879" s="90"/>
    </row>
    <row r="880" ht="15.75" customHeight="1">
      <c r="A880" s="16"/>
      <c r="B880" s="7"/>
      <c r="F880" s="90"/>
    </row>
    <row r="881" ht="15.75" customHeight="1">
      <c r="A881" s="16"/>
      <c r="B881" s="7"/>
      <c r="F881" s="90"/>
    </row>
    <row r="882" ht="15.75" customHeight="1">
      <c r="A882" s="16"/>
      <c r="B882" s="7"/>
      <c r="F882" s="90"/>
    </row>
    <row r="883" ht="15.75" customHeight="1">
      <c r="A883" s="16"/>
      <c r="B883" s="7"/>
      <c r="F883" s="90"/>
    </row>
    <row r="884" ht="15.75" customHeight="1">
      <c r="A884" s="16"/>
      <c r="B884" s="7"/>
      <c r="F884" s="90"/>
    </row>
    <row r="885" ht="15.75" customHeight="1">
      <c r="A885" s="16"/>
      <c r="B885" s="7"/>
      <c r="F885" s="90"/>
    </row>
    <row r="886" ht="15.75" customHeight="1">
      <c r="A886" s="16"/>
      <c r="B886" s="7"/>
      <c r="F886" s="90"/>
    </row>
    <row r="887" ht="15.75" customHeight="1">
      <c r="A887" s="16"/>
      <c r="B887" s="7"/>
      <c r="F887" s="90"/>
    </row>
    <row r="888" ht="15.75" customHeight="1">
      <c r="A888" s="16"/>
      <c r="B888" s="7"/>
      <c r="F888" s="90"/>
    </row>
    <row r="889" ht="15.75" customHeight="1">
      <c r="A889" s="16"/>
      <c r="B889" s="7"/>
      <c r="F889" s="90"/>
    </row>
    <row r="890" ht="15.75" customHeight="1">
      <c r="A890" s="16"/>
      <c r="B890" s="7"/>
      <c r="F890" s="90"/>
    </row>
    <row r="891" ht="15.75" customHeight="1">
      <c r="A891" s="16"/>
      <c r="B891" s="7"/>
      <c r="F891" s="90"/>
    </row>
    <row r="892" ht="15.75" customHeight="1">
      <c r="A892" s="16"/>
      <c r="B892" s="7"/>
      <c r="F892" s="90"/>
    </row>
    <row r="893" ht="15.75" customHeight="1">
      <c r="A893" s="16"/>
      <c r="B893" s="7"/>
      <c r="F893" s="90"/>
    </row>
    <row r="894" ht="15.75" customHeight="1">
      <c r="A894" s="16"/>
      <c r="B894" s="7"/>
      <c r="F894" s="90"/>
    </row>
    <row r="895" ht="15.75" customHeight="1">
      <c r="A895" s="16"/>
      <c r="B895" s="7"/>
      <c r="F895" s="90"/>
    </row>
    <row r="896" ht="15.75" customHeight="1">
      <c r="A896" s="16"/>
      <c r="B896" s="7"/>
      <c r="F896" s="90"/>
    </row>
    <row r="897" ht="15.75" customHeight="1">
      <c r="A897" s="16"/>
      <c r="B897" s="7"/>
      <c r="F897" s="90"/>
    </row>
    <row r="898" ht="15.75" customHeight="1">
      <c r="A898" s="16"/>
      <c r="B898" s="7"/>
      <c r="F898" s="90"/>
    </row>
    <row r="899" ht="15.75" customHeight="1">
      <c r="A899" s="16"/>
      <c r="B899" s="7"/>
      <c r="F899" s="90"/>
    </row>
    <row r="900" ht="15.75" customHeight="1">
      <c r="A900" s="16"/>
      <c r="B900" s="7"/>
      <c r="F900" s="90"/>
    </row>
    <row r="901" ht="15.75" customHeight="1">
      <c r="A901" s="16"/>
      <c r="B901" s="7"/>
      <c r="F901" s="90"/>
    </row>
    <row r="902" ht="15.75" customHeight="1">
      <c r="A902" s="16"/>
      <c r="B902" s="7"/>
      <c r="F902" s="90"/>
    </row>
    <row r="903" ht="15.75" customHeight="1">
      <c r="A903" s="16"/>
      <c r="B903" s="7"/>
      <c r="F903" s="90"/>
    </row>
    <row r="904" ht="15.75" customHeight="1">
      <c r="A904" s="16"/>
      <c r="B904" s="7"/>
      <c r="F904" s="90"/>
    </row>
    <row r="905" ht="15.75" customHeight="1">
      <c r="A905" s="16"/>
      <c r="B905" s="7"/>
      <c r="F905" s="90"/>
    </row>
    <row r="906" ht="15.75" customHeight="1">
      <c r="A906" s="16"/>
      <c r="B906" s="7"/>
      <c r="F906" s="90"/>
    </row>
    <row r="907" ht="15.75" customHeight="1">
      <c r="A907" s="16"/>
      <c r="B907" s="7"/>
      <c r="F907" s="90"/>
    </row>
    <row r="908" ht="15.75" customHeight="1">
      <c r="A908" s="16"/>
      <c r="B908" s="7"/>
      <c r="F908" s="90"/>
    </row>
    <row r="909" ht="15.75" customHeight="1">
      <c r="A909" s="16"/>
      <c r="B909" s="7"/>
      <c r="F909" s="90"/>
    </row>
    <row r="910" ht="15.75" customHeight="1">
      <c r="A910" s="16"/>
      <c r="B910" s="7"/>
      <c r="F910" s="90"/>
    </row>
    <row r="911" ht="15.75" customHeight="1">
      <c r="A911" s="16"/>
      <c r="B911" s="7"/>
      <c r="F911" s="90"/>
    </row>
    <row r="912" ht="15.75" customHeight="1">
      <c r="A912" s="16"/>
      <c r="B912" s="7"/>
      <c r="F912" s="90"/>
    </row>
    <row r="913" ht="15.75" customHeight="1">
      <c r="A913" s="16"/>
      <c r="B913" s="7"/>
      <c r="F913" s="90"/>
    </row>
    <row r="914" ht="15.75" customHeight="1">
      <c r="A914" s="16"/>
      <c r="B914" s="7"/>
      <c r="F914" s="90"/>
    </row>
    <row r="915" ht="15.75" customHeight="1">
      <c r="A915" s="16"/>
      <c r="B915" s="7"/>
      <c r="F915" s="90"/>
    </row>
    <row r="916" ht="15.75" customHeight="1">
      <c r="A916" s="16"/>
      <c r="B916" s="7"/>
      <c r="F916" s="90"/>
    </row>
    <row r="917" ht="15.75" customHeight="1">
      <c r="A917" s="16"/>
      <c r="B917" s="7"/>
      <c r="F917" s="90"/>
    </row>
    <row r="918" ht="15.75" customHeight="1">
      <c r="A918" s="16"/>
      <c r="B918" s="7"/>
      <c r="F918" s="90"/>
    </row>
    <row r="919" ht="15.75" customHeight="1">
      <c r="A919" s="16"/>
      <c r="B919" s="7"/>
      <c r="F919" s="90"/>
    </row>
    <row r="920" ht="15.75" customHeight="1">
      <c r="A920" s="16"/>
      <c r="B920" s="7"/>
      <c r="F920" s="90"/>
    </row>
    <row r="921" ht="15.75" customHeight="1">
      <c r="A921" s="16"/>
      <c r="B921" s="7"/>
      <c r="F921" s="90"/>
    </row>
    <row r="922" ht="15.75" customHeight="1">
      <c r="A922" s="16"/>
      <c r="B922" s="7"/>
      <c r="F922" s="90"/>
    </row>
    <row r="923" ht="15.75" customHeight="1">
      <c r="A923" s="16"/>
      <c r="B923" s="7"/>
      <c r="F923" s="90"/>
    </row>
    <row r="924" ht="15.75" customHeight="1">
      <c r="A924" s="16"/>
      <c r="B924" s="7"/>
      <c r="F924" s="90"/>
    </row>
    <row r="925" ht="15.75" customHeight="1">
      <c r="A925" s="16"/>
      <c r="B925" s="7"/>
      <c r="F925" s="90"/>
    </row>
    <row r="926" ht="15.75" customHeight="1">
      <c r="A926" s="16"/>
      <c r="B926" s="7"/>
      <c r="F926" s="90"/>
    </row>
    <row r="927" ht="15.75" customHeight="1">
      <c r="A927" s="16"/>
      <c r="B927" s="7"/>
      <c r="F927" s="90"/>
    </row>
    <row r="928" ht="15.75" customHeight="1">
      <c r="A928" s="16"/>
      <c r="B928" s="7"/>
      <c r="F928" s="90"/>
    </row>
    <row r="929" ht="15.75" customHeight="1">
      <c r="A929" s="16"/>
      <c r="B929" s="7"/>
      <c r="F929" s="90"/>
    </row>
    <row r="930" ht="15.75" customHeight="1">
      <c r="A930" s="16"/>
      <c r="B930" s="7"/>
      <c r="F930" s="90"/>
    </row>
    <row r="931" ht="15.75" customHeight="1">
      <c r="A931" s="16"/>
      <c r="B931" s="7"/>
      <c r="F931" s="90"/>
    </row>
    <row r="932" ht="15.75" customHeight="1">
      <c r="A932" s="16"/>
      <c r="B932" s="7"/>
      <c r="F932" s="90"/>
    </row>
    <row r="933" ht="15.75" customHeight="1">
      <c r="A933" s="16"/>
      <c r="B933" s="7"/>
      <c r="F933" s="90"/>
    </row>
    <row r="934" ht="15.75" customHeight="1">
      <c r="A934" s="16"/>
      <c r="B934" s="7"/>
      <c r="F934" s="90"/>
    </row>
    <row r="935" ht="15.75" customHeight="1">
      <c r="A935" s="16"/>
      <c r="B935" s="7"/>
      <c r="F935" s="90"/>
    </row>
    <row r="936" ht="15.75" customHeight="1">
      <c r="A936" s="16"/>
      <c r="B936" s="7"/>
      <c r="F936" s="90"/>
    </row>
    <row r="937" ht="15.75" customHeight="1">
      <c r="A937" s="16"/>
      <c r="B937" s="7"/>
      <c r="F937" s="90"/>
    </row>
    <row r="938" ht="15.75" customHeight="1">
      <c r="A938" s="16"/>
      <c r="B938" s="7"/>
      <c r="F938" s="90"/>
    </row>
    <row r="939" ht="15.75" customHeight="1">
      <c r="A939" s="16"/>
      <c r="B939" s="7"/>
      <c r="F939" s="90"/>
    </row>
    <row r="940" ht="15.75" customHeight="1">
      <c r="A940" s="16"/>
      <c r="B940" s="7"/>
      <c r="F940" s="90"/>
    </row>
    <row r="941" ht="15.75" customHeight="1">
      <c r="A941" s="16"/>
      <c r="B941" s="7"/>
      <c r="F941" s="90"/>
    </row>
    <row r="942" ht="15.75" customHeight="1">
      <c r="A942" s="16"/>
      <c r="B942" s="7"/>
      <c r="F942" s="90"/>
    </row>
    <row r="943" ht="15.75" customHeight="1">
      <c r="A943" s="16"/>
      <c r="B943" s="7"/>
      <c r="F943" s="90"/>
    </row>
    <row r="944" ht="15.75" customHeight="1">
      <c r="A944" s="16"/>
      <c r="B944" s="7"/>
      <c r="F944" s="90"/>
    </row>
    <row r="945" ht="15.75" customHeight="1">
      <c r="A945" s="16"/>
      <c r="B945" s="7"/>
      <c r="F945" s="90"/>
    </row>
    <row r="946" ht="15.75" customHeight="1">
      <c r="A946" s="16"/>
      <c r="B946" s="7"/>
      <c r="F946" s="90"/>
    </row>
    <row r="947" ht="15.75" customHeight="1">
      <c r="A947" s="16"/>
      <c r="B947" s="7"/>
      <c r="F947" s="90"/>
    </row>
    <row r="948" ht="15.75" customHeight="1">
      <c r="A948" s="16"/>
      <c r="B948" s="7"/>
      <c r="F948" s="90"/>
    </row>
    <row r="949" ht="15.75" customHeight="1">
      <c r="A949" s="16"/>
      <c r="B949" s="7"/>
      <c r="F949" s="90"/>
    </row>
    <row r="950" ht="15.75" customHeight="1">
      <c r="A950" s="16"/>
      <c r="B950" s="7"/>
      <c r="F950" s="90"/>
    </row>
    <row r="951" ht="15.75" customHeight="1">
      <c r="A951" s="16"/>
      <c r="B951" s="7"/>
      <c r="F951" s="90"/>
    </row>
    <row r="952" ht="15.75" customHeight="1">
      <c r="A952" s="16"/>
      <c r="B952" s="7"/>
      <c r="F952" s="90"/>
    </row>
    <row r="953" ht="15.75" customHeight="1">
      <c r="A953" s="16"/>
      <c r="B953" s="7"/>
      <c r="F953" s="90"/>
    </row>
    <row r="954" ht="15.75" customHeight="1">
      <c r="A954" s="16"/>
      <c r="B954" s="7"/>
      <c r="F954" s="90"/>
    </row>
    <row r="955" ht="15.75" customHeight="1">
      <c r="A955" s="16"/>
      <c r="B955" s="7"/>
      <c r="F955" s="90"/>
    </row>
    <row r="956" ht="15.75" customHeight="1">
      <c r="A956" s="16"/>
      <c r="B956" s="7"/>
      <c r="F956" s="90"/>
    </row>
    <row r="957" ht="15.75" customHeight="1">
      <c r="A957" s="16"/>
      <c r="B957" s="7"/>
      <c r="F957" s="90"/>
    </row>
    <row r="958" ht="15.75" customHeight="1">
      <c r="A958" s="16"/>
      <c r="B958" s="7"/>
      <c r="F958" s="90"/>
    </row>
    <row r="959" ht="15.75" customHeight="1">
      <c r="A959" s="16"/>
      <c r="B959" s="7"/>
      <c r="F959" s="90"/>
    </row>
    <row r="960" ht="15.75" customHeight="1">
      <c r="A960" s="16"/>
      <c r="B960" s="7"/>
      <c r="F960" s="90"/>
    </row>
    <row r="961" ht="15.75" customHeight="1">
      <c r="A961" s="16"/>
      <c r="B961" s="7"/>
      <c r="F961" s="90"/>
    </row>
    <row r="962" ht="15.75" customHeight="1">
      <c r="A962" s="16"/>
      <c r="B962" s="7"/>
      <c r="F962" s="90"/>
    </row>
    <row r="963" ht="15.75" customHeight="1">
      <c r="A963" s="16"/>
      <c r="B963" s="7"/>
      <c r="F963" s="90"/>
    </row>
    <row r="964" ht="15.75" customHeight="1">
      <c r="A964" s="16"/>
      <c r="B964" s="7"/>
      <c r="F964" s="90"/>
    </row>
    <row r="965" ht="15.75" customHeight="1">
      <c r="A965" s="16"/>
      <c r="B965" s="7"/>
      <c r="F965" s="90"/>
    </row>
    <row r="966" ht="15.75" customHeight="1">
      <c r="A966" s="16"/>
      <c r="B966" s="7"/>
      <c r="F966" s="90"/>
    </row>
    <row r="967" ht="15.75" customHeight="1">
      <c r="A967" s="16"/>
      <c r="B967" s="7"/>
      <c r="F967" s="90"/>
    </row>
    <row r="968" ht="15.75" customHeight="1">
      <c r="A968" s="16"/>
      <c r="B968" s="7"/>
      <c r="F968" s="90"/>
    </row>
    <row r="969" ht="15.75" customHeight="1">
      <c r="A969" s="16"/>
      <c r="B969" s="7"/>
      <c r="F969" s="90"/>
    </row>
    <row r="970" ht="15.75" customHeight="1">
      <c r="A970" s="16"/>
      <c r="B970" s="7"/>
      <c r="F970" s="90"/>
    </row>
    <row r="971" ht="15.75" customHeight="1">
      <c r="A971" s="16"/>
      <c r="B971" s="7"/>
      <c r="F971" s="90"/>
    </row>
    <row r="972" ht="15.75" customHeight="1">
      <c r="A972" s="16"/>
      <c r="B972" s="7"/>
      <c r="F972" s="90"/>
    </row>
    <row r="973" ht="15.75" customHeight="1">
      <c r="A973" s="16"/>
      <c r="B973" s="7"/>
      <c r="F973" s="90"/>
    </row>
    <row r="974" ht="15.75" customHeight="1">
      <c r="A974" s="16"/>
      <c r="B974" s="7"/>
      <c r="F974" s="90"/>
    </row>
    <row r="975" ht="15.75" customHeight="1">
      <c r="A975" s="16"/>
      <c r="B975" s="7"/>
      <c r="F975" s="90"/>
    </row>
    <row r="976" ht="15.75" customHeight="1">
      <c r="A976" s="16"/>
      <c r="B976" s="7"/>
      <c r="F976" s="90"/>
    </row>
    <row r="977" ht="15.75" customHeight="1">
      <c r="A977" s="16"/>
      <c r="B977" s="7"/>
      <c r="F977" s="90"/>
    </row>
    <row r="978" ht="15.75" customHeight="1">
      <c r="A978" s="16"/>
      <c r="B978" s="7"/>
      <c r="F978" s="90"/>
    </row>
    <row r="979" ht="15.75" customHeight="1">
      <c r="A979" s="16"/>
      <c r="B979" s="7"/>
      <c r="F979" s="90"/>
    </row>
    <row r="980" ht="15.75" customHeight="1">
      <c r="A980" s="16"/>
      <c r="B980" s="7"/>
      <c r="F980" s="90"/>
    </row>
    <row r="981" ht="15.75" customHeight="1">
      <c r="A981" s="16"/>
      <c r="B981" s="7"/>
      <c r="F981" s="90"/>
    </row>
    <row r="982" ht="15.75" customHeight="1">
      <c r="A982" s="16"/>
      <c r="B982" s="7"/>
      <c r="F982" s="90"/>
    </row>
    <row r="983" ht="15.75" customHeight="1">
      <c r="A983" s="16"/>
      <c r="B983" s="7"/>
      <c r="F983" s="90"/>
    </row>
    <row r="984" ht="15.75" customHeight="1">
      <c r="A984" s="16"/>
      <c r="B984" s="7"/>
      <c r="F984" s="90"/>
    </row>
    <row r="985" ht="15.75" customHeight="1">
      <c r="A985" s="16"/>
      <c r="B985" s="7"/>
      <c r="F985" s="90"/>
    </row>
    <row r="986" ht="15.75" customHeight="1">
      <c r="A986" s="16"/>
      <c r="B986" s="7"/>
      <c r="F986" s="90"/>
    </row>
    <row r="987" ht="15.75" customHeight="1">
      <c r="A987" s="16"/>
      <c r="B987" s="7"/>
      <c r="F987" s="90"/>
    </row>
    <row r="988" ht="15.75" customHeight="1">
      <c r="A988" s="16"/>
      <c r="B988" s="7"/>
      <c r="F988" s="90"/>
    </row>
    <row r="989" ht="15.75" customHeight="1">
      <c r="A989" s="16"/>
      <c r="B989" s="7"/>
      <c r="F989" s="90"/>
    </row>
    <row r="990" ht="15.75" customHeight="1">
      <c r="A990" s="16"/>
      <c r="B990" s="7"/>
      <c r="F990" s="90"/>
    </row>
    <row r="991" ht="15.75" customHeight="1">
      <c r="A991" s="16"/>
      <c r="B991" s="7"/>
      <c r="F991" s="90"/>
    </row>
    <row r="992" ht="15.75" customHeight="1">
      <c r="A992" s="16"/>
      <c r="B992" s="7"/>
      <c r="F992" s="90"/>
    </row>
    <row r="993" ht="15.75" customHeight="1">
      <c r="A993" s="16"/>
      <c r="B993" s="7"/>
      <c r="F993" s="90"/>
    </row>
    <row r="994" ht="15.75" customHeight="1">
      <c r="A994" s="16"/>
      <c r="B994" s="7"/>
      <c r="F994" s="90"/>
    </row>
    <row r="995" ht="15.75" customHeight="1">
      <c r="A995" s="16"/>
      <c r="B995" s="7"/>
      <c r="F995" s="90"/>
    </row>
    <row r="996" ht="15.75" customHeight="1">
      <c r="A996" s="16"/>
      <c r="B996" s="7"/>
      <c r="F996" s="90"/>
    </row>
    <row r="997" ht="15.75" customHeight="1">
      <c r="A997" s="16"/>
      <c r="B997" s="7"/>
      <c r="F997" s="90"/>
    </row>
    <row r="998" ht="15.75" customHeight="1">
      <c r="A998" s="16"/>
      <c r="B998" s="7"/>
      <c r="F998" s="90"/>
    </row>
    <row r="999" ht="15.75" customHeight="1">
      <c r="A999" s="16"/>
      <c r="B999" s="7"/>
      <c r="F999" s="90"/>
    </row>
    <row r="1000" ht="15.75" customHeight="1">
      <c r="A1000" s="16"/>
      <c r="B1000" s="7"/>
      <c r="F1000" s="90"/>
    </row>
  </sheetData>
  <mergeCells count="2">
    <mergeCell ref="A2:F2"/>
    <mergeCell ref="A4:F4"/>
  </mergeCells>
  <dataValidations>
    <dataValidation type="list" allowBlank="1" showInputMessage="1" showErrorMessage="1" prompt="Please select from the list - Is this start-up cost covered by a loan or paid for with the company's equity?" sqref="E7:E8">
      <formula1>"Yes,No"</formula1>
    </dataValidation>
  </dataValidations>
  <printOptions/>
  <pageMargins bottom="0.75" footer="0.0" header="0.0" left="0.32" right="0.26" top="0.51"/>
  <pageSetup orientation="landscape"/>
  <headerFooter>
    <oddFooter>&amp;CCopyright Protected - Guided Business Plan.com - 888.523.5244</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fitToPage="1"/>
  </sheetPr>
  <sheetViews>
    <sheetView showGridLines="0" workbookViewId="0">
      <pane ySplit="6.0" topLeftCell="A7" activePane="bottomLeft" state="frozen"/>
      <selection activeCell="B8" sqref="B8" pane="bottomLeft"/>
    </sheetView>
  </sheetViews>
  <sheetFormatPr customHeight="1" defaultColWidth="12.63" defaultRowHeight="15.0"/>
  <cols>
    <col customWidth="1" min="1" max="1" width="39.63"/>
    <col customWidth="1" min="2" max="2" width="3.75"/>
    <col customWidth="1" hidden="1" min="3" max="3" width="10.88"/>
    <col customWidth="1" min="4" max="4" width="12.0"/>
    <col customWidth="1" min="5" max="5" width="5.38"/>
    <col customWidth="1" min="6" max="6" width="35.0"/>
    <col customWidth="1" min="7" max="8" width="7.75"/>
    <col customWidth="1" min="9" max="9" width="23.13"/>
    <col customWidth="1" min="10" max="26" width="7.75"/>
  </cols>
  <sheetData>
    <row r="1" ht="27.75" customHeight="1">
      <c r="A1" s="1" t="s">
        <v>0</v>
      </c>
      <c r="B1" s="2"/>
      <c r="C1" s="1"/>
      <c r="D1" s="1"/>
      <c r="E1" s="2"/>
      <c r="F1" s="3"/>
    </row>
    <row r="2" ht="16.5" customHeight="1">
      <c r="A2" s="8" t="str">
        <f>IF(ISBLANK(Company_Name),"Monthly Expenses","Monthly Expenses for "&amp;Company_Name)</f>
        <v>Monthly Expenses for OTW Paints</v>
      </c>
      <c r="B2" s="10"/>
      <c r="C2" s="10"/>
      <c r="D2" s="10"/>
      <c r="E2" s="10"/>
      <c r="F2" s="10"/>
      <c r="I2" s="12"/>
    </row>
    <row r="3">
      <c r="A3" s="14"/>
      <c r="B3" s="13"/>
      <c r="C3" s="11"/>
      <c r="D3" s="11"/>
      <c r="E3" s="113"/>
      <c r="F3" s="18" t="str">
        <f>"Financial Projections Start Date:  "&amp;IF(ISBLANK(Projected_Start_Date),"",TEXT(Projected_Start_Date,"mm/dd/yy"))</f>
        <v>Financial Projections Start Date:  01/01/16</v>
      </c>
    </row>
    <row r="4">
      <c r="A4" s="114" t="s">
        <v>173</v>
      </c>
      <c r="B4" s="30"/>
      <c r="C4" s="30"/>
      <c r="D4" s="30"/>
      <c r="E4" s="30"/>
      <c r="F4" s="30"/>
    </row>
    <row r="5">
      <c r="A5" s="115"/>
      <c r="B5" s="115"/>
      <c r="C5" s="115"/>
      <c r="D5" s="115"/>
      <c r="E5" s="116"/>
      <c r="F5" s="115"/>
    </row>
    <row r="6" ht="18.75" customHeight="1">
      <c r="A6" s="17" t="s">
        <v>174</v>
      </c>
      <c r="B6" s="37" t="s">
        <v>14</v>
      </c>
      <c r="C6" s="39" t="s">
        <v>18</v>
      </c>
      <c r="D6" s="44" t="s">
        <v>175</v>
      </c>
      <c r="E6" s="117" t="s">
        <v>176</v>
      </c>
      <c r="F6" s="51" t="s">
        <v>31</v>
      </c>
    </row>
    <row r="7">
      <c r="A7" s="54" t="s">
        <v>177</v>
      </c>
      <c r="B7" s="118"/>
      <c r="C7" s="119" t="s">
        <v>178</v>
      </c>
      <c r="D7" s="120"/>
      <c r="E7" s="121" t="str">
        <f>IF((G7=0),"",IFERROR(G7/TotalMonthlyOpExp,0))</f>
        <v/>
      </c>
      <c r="F7" s="64"/>
      <c r="G7" s="122" t="str">
        <f t="shared" ref="G7:G35" si="1">D7</f>
        <v/>
      </c>
    </row>
    <row r="8">
      <c r="A8" s="54" t="s">
        <v>179</v>
      </c>
      <c r="B8" s="123"/>
      <c r="C8" s="124" t="s">
        <v>180</v>
      </c>
      <c r="D8" s="125">
        <v>0.0</v>
      </c>
      <c r="E8" s="121" t="str">
        <f>IF((G8=0),"",IFERROR(G8/TotalMonthlyOpExp,0))</f>
        <v/>
      </c>
      <c r="F8" s="64"/>
      <c r="G8" s="122">
        <f t="shared" si="1"/>
        <v>0</v>
      </c>
    </row>
    <row r="9">
      <c r="A9" s="54" t="s">
        <v>181</v>
      </c>
      <c r="B9" s="123"/>
      <c r="C9" s="124" t="s">
        <v>52</v>
      </c>
      <c r="D9" s="125"/>
      <c r="E9" s="121" t="str">
        <f>IF((G9=0),"",IFERROR(G9/TotalMonthlyOpExp,0))</f>
        <v/>
      </c>
      <c r="F9" s="64" t="s">
        <v>182</v>
      </c>
      <c r="G9" s="122" t="str">
        <f t="shared" si="1"/>
        <v/>
      </c>
    </row>
    <row r="10">
      <c r="A10" s="54" t="s">
        <v>183</v>
      </c>
      <c r="B10" s="123"/>
      <c r="C10" s="124" t="s">
        <v>55</v>
      </c>
      <c r="D10" s="125"/>
      <c r="E10" s="121" t="str">
        <f>IF((G10=0),"",IFERROR(G10/TotalMonthlyOpExp,0))</f>
        <v/>
      </c>
      <c r="F10" s="64" t="s">
        <v>184</v>
      </c>
      <c r="G10" s="122" t="str">
        <f t="shared" si="1"/>
        <v/>
      </c>
    </row>
    <row r="11">
      <c r="A11" s="54" t="s">
        <v>185</v>
      </c>
      <c r="B11" s="123"/>
      <c r="C11" s="124" t="s">
        <v>60</v>
      </c>
      <c r="D11" s="125"/>
      <c r="E11" s="121" t="str">
        <f>IF((G11=0),"",IFERROR(G11/TotalMonthlyOpExp,0))</f>
        <v/>
      </c>
      <c r="F11" s="64" t="s">
        <v>186</v>
      </c>
      <c r="G11" s="122" t="str">
        <f t="shared" si="1"/>
        <v/>
      </c>
    </row>
    <row r="12">
      <c r="A12" s="54" t="s">
        <v>187</v>
      </c>
      <c r="B12" s="123"/>
      <c r="C12" s="124" t="s">
        <v>66</v>
      </c>
      <c r="D12" s="125"/>
      <c r="E12" s="121" t="str">
        <f>IF((G12=0),"",IFERROR(G12/TotalMonthlyOpExp,0))</f>
        <v/>
      </c>
      <c r="F12" s="64" t="s">
        <v>188</v>
      </c>
      <c r="G12" s="122" t="str">
        <f t="shared" si="1"/>
        <v/>
      </c>
    </row>
    <row r="13">
      <c r="A13" s="54" t="s">
        <v>189</v>
      </c>
      <c r="B13" s="123"/>
      <c r="C13" s="124" t="s">
        <v>69</v>
      </c>
      <c r="D13" s="125"/>
      <c r="E13" s="121" t="str">
        <f>IF((G13=0),"",IFERROR(G13/TotalMonthlyOpExp,0))</f>
        <v/>
      </c>
      <c r="F13" s="64" t="s">
        <v>190</v>
      </c>
      <c r="G13" s="122" t="str">
        <f t="shared" si="1"/>
        <v/>
      </c>
    </row>
    <row r="14">
      <c r="A14" s="54" t="s">
        <v>191</v>
      </c>
      <c r="B14" s="123"/>
      <c r="C14" s="124" t="s">
        <v>137</v>
      </c>
      <c r="D14" s="125"/>
      <c r="E14" s="121" t="str">
        <f>IF((G14=0),"",IFERROR(G14/TotalMonthlyOpExp,0))</f>
        <v/>
      </c>
      <c r="F14" s="64" t="s">
        <v>192</v>
      </c>
      <c r="G14" s="122" t="str">
        <f t="shared" si="1"/>
        <v/>
      </c>
    </row>
    <row r="15">
      <c r="A15" s="54" t="s">
        <v>193</v>
      </c>
      <c r="B15" s="123"/>
      <c r="C15" s="124" t="s">
        <v>74</v>
      </c>
      <c r="D15" s="125"/>
      <c r="E15" s="121" t="str">
        <f>IF((G15=0),"",IFERROR(G15/TotalMonthlyOpExp,0))</f>
        <v/>
      </c>
      <c r="F15" s="64" t="s">
        <v>194</v>
      </c>
      <c r="G15" s="122" t="str">
        <f t="shared" si="1"/>
        <v/>
      </c>
    </row>
    <row r="16">
      <c r="A16" s="54" t="s">
        <v>195</v>
      </c>
      <c r="B16" s="123"/>
      <c r="C16" s="124" t="s">
        <v>196</v>
      </c>
      <c r="D16" s="125">
        <v>250.0</v>
      </c>
      <c r="E16" s="121">
        <f>IF((G16=0),"",IFERROR(G16/TotalMonthlyOpExp,0))</f>
        <v>0.07936507937</v>
      </c>
      <c r="F16" s="64" t="s">
        <v>197</v>
      </c>
      <c r="G16" s="122">
        <f t="shared" si="1"/>
        <v>250</v>
      </c>
    </row>
    <row r="17">
      <c r="A17" s="54" t="s">
        <v>198</v>
      </c>
      <c r="B17" s="123"/>
      <c r="C17" s="124" t="s">
        <v>80</v>
      </c>
      <c r="D17" s="125">
        <v>1000.0</v>
      </c>
      <c r="E17" s="121">
        <f>IF((G17=0),"",IFERROR(G17/TotalMonthlyOpExp,0))</f>
        <v>0.3174603175</v>
      </c>
      <c r="F17" s="64"/>
      <c r="G17" s="122">
        <f t="shared" si="1"/>
        <v>1000</v>
      </c>
    </row>
    <row r="18">
      <c r="A18" s="54" t="s">
        <v>199</v>
      </c>
      <c r="B18" s="123" t="s">
        <v>91</v>
      </c>
      <c r="C18" s="124" t="s">
        <v>85</v>
      </c>
      <c r="D18" s="125"/>
      <c r="E18" s="121" t="str">
        <f>IF((G18=0),"",IFERROR(G18/TotalMonthlyOpExp,0))</f>
        <v/>
      </c>
      <c r="F18" s="64" t="s">
        <v>200</v>
      </c>
      <c r="G18" s="122" t="str">
        <f t="shared" si="1"/>
        <v/>
      </c>
    </row>
    <row r="19">
      <c r="A19" s="54" t="s">
        <v>201</v>
      </c>
      <c r="B19" s="123"/>
      <c r="C19" s="124" t="s">
        <v>92</v>
      </c>
      <c r="D19" s="125"/>
      <c r="E19" s="121" t="str">
        <f>IF((G19=0),"",IFERROR(G19/TotalMonthlyOpExp,0))</f>
        <v/>
      </c>
      <c r="F19" s="64" t="s">
        <v>202</v>
      </c>
      <c r="G19" s="122" t="str">
        <f t="shared" si="1"/>
        <v/>
      </c>
    </row>
    <row r="20">
      <c r="A20" s="54" t="s">
        <v>203</v>
      </c>
      <c r="B20" s="123"/>
      <c r="C20" s="124" t="s">
        <v>204</v>
      </c>
      <c r="D20" s="125"/>
      <c r="E20" s="121" t="str">
        <f>IF((G20=0),"",IFERROR(G20/TotalMonthlyOpExp,0))</f>
        <v/>
      </c>
      <c r="F20" s="64" t="s">
        <v>205</v>
      </c>
      <c r="G20" s="122" t="str">
        <f t="shared" si="1"/>
        <v/>
      </c>
    </row>
    <row r="21" ht="15.75" customHeight="1">
      <c r="A21" s="54" t="s">
        <v>206</v>
      </c>
      <c r="B21" s="123"/>
      <c r="C21" s="124" t="s">
        <v>99</v>
      </c>
      <c r="D21" s="125">
        <v>50.0</v>
      </c>
      <c r="E21" s="121">
        <f>IF((G21=0),"",IFERROR(G21/TotalMonthlyOpExp,0))</f>
        <v>0.01587301587</v>
      </c>
      <c r="F21" s="64" t="s">
        <v>207</v>
      </c>
      <c r="G21" s="122">
        <f t="shared" si="1"/>
        <v>50</v>
      </c>
    </row>
    <row r="22" ht="15.75" customHeight="1">
      <c r="A22" s="54" t="s">
        <v>208</v>
      </c>
      <c r="B22" s="123"/>
      <c r="C22" s="124" t="s">
        <v>209</v>
      </c>
      <c r="D22" s="125"/>
      <c r="E22" s="121" t="str">
        <f>IF((G22=0),"",IFERROR(G22/TotalMonthlyOpExp,0))</f>
        <v/>
      </c>
      <c r="F22" s="64" t="s">
        <v>210</v>
      </c>
      <c r="G22" s="122" t="str">
        <f t="shared" si="1"/>
        <v/>
      </c>
    </row>
    <row r="23" ht="15.75" customHeight="1">
      <c r="A23" s="54" t="s">
        <v>211</v>
      </c>
      <c r="B23" s="123"/>
      <c r="C23" s="124" t="s">
        <v>106</v>
      </c>
      <c r="D23" s="125">
        <v>150.0</v>
      </c>
      <c r="E23" s="121">
        <f>IF((G23=0),"",IFERROR(G23/TotalMonthlyOpExp,0))</f>
        <v>0.04761904762</v>
      </c>
      <c r="F23" s="64" t="s">
        <v>212</v>
      </c>
      <c r="G23" s="122">
        <f t="shared" si="1"/>
        <v>150</v>
      </c>
    </row>
    <row r="24" ht="15.75" customHeight="1">
      <c r="A24" s="54" t="s">
        <v>213</v>
      </c>
      <c r="B24" s="123"/>
      <c r="C24" s="124" t="s">
        <v>113</v>
      </c>
      <c r="D24" s="125">
        <v>250.0</v>
      </c>
      <c r="E24" s="121">
        <f>IF((G24=0),"",IFERROR(G24/TotalMonthlyOpExp,0))</f>
        <v>0.07936507937</v>
      </c>
      <c r="F24" s="64" t="s">
        <v>114</v>
      </c>
      <c r="G24" s="122">
        <f t="shared" si="1"/>
        <v>250</v>
      </c>
    </row>
    <row r="25" ht="15.75" customHeight="1">
      <c r="A25" s="54" t="s">
        <v>214</v>
      </c>
      <c r="B25" s="123" t="s">
        <v>91</v>
      </c>
      <c r="C25" s="124" t="s">
        <v>117</v>
      </c>
      <c r="D25" s="125"/>
      <c r="E25" s="121" t="str">
        <f>IF((G25=0),"",IFERROR(G25/TotalMonthlyOpExp,0))</f>
        <v/>
      </c>
      <c r="F25" s="64" t="s">
        <v>118</v>
      </c>
      <c r="G25" s="122" t="str">
        <f t="shared" si="1"/>
        <v/>
      </c>
    </row>
    <row r="26" ht="15.75" customHeight="1">
      <c r="A26" s="54" t="s">
        <v>215</v>
      </c>
      <c r="B26" s="123"/>
      <c r="C26" s="124" t="s">
        <v>216</v>
      </c>
      <c r="D26" s="125"/>
      <c r="E26" s="121" t="str">
        <f>IF((G26=0),"",IFERROR(G26/TotalMonthlyOpExp,0))</f>
        <v/>
      </c>
      <c r="F26" s="64" t="s">
        <v>217</v>
      </c>
      <c r="G26" s="122" t="str">
        <f t="shared" si="1"/>
        <v/>
      </c>
    </row>
    <row r="27" ht="15.75" customHeight="1">
      <c r="A27" s="54" t="s">
        <v>219</v>
      </c>
      <c r="B27" s="123"/>
      <c r="C27" s="124" t="s">
        <v>120</v>
      </c>
      <c r="D27" s="125"/>
      <c r="E27" s="121" t="str">
        <f>IF((G27=0),"",IFERROR(G27/TotalMonthlyOpExp,0))</f>
        <v/>
      </c>
      <c r="F27" s="64" t="s">
        <v>220</v>
      </c>
      <c r="G27" s="122" t="str">
        <f t="shared" si="1"/>
        <v/>
      </c>
    </row>
    <row r="28" ht="15.75" customHeight="1">
      <c r="A28" s="54" t="s">
        <v>221</v>
      </c>
      <c r="B28" s="123"/>
      <c r="C28" s="124" t="s">
        <v>126</v>
      </c>
      <c r="D28" s="125">
        <v>250.0</v>
      </c>
      <c r="E28" s="121">
        <f>IF((G28=0),"",IFERROR(G28/TotalMonthlyOpExp,0))</f>
        <v>0.07936507937</v>
      </c>
      <c r="F28" s="64" t="s">
        <v>222</v>
      </c>
      <c r="G28" s="122">
        <f t="shared" si="1"/>
        <v>250</v>
      </c>
    </row>
    <row r="29" ht="15.75" customHeight="1">
      <c r="A29" s="54" t="s">
        <v>223</v>
      </c>
      <c r="B29" s="123"/>
      <c r="C29" s="124" t="s">
        <v>130</v>
      </c>
      <c r="D29" s="125">
        <v>200.0</v>
      </c>
      <c r="E29" s="121">
        <f>IF((G29=0),"",IFERROR(G29/TotalMonthlyOpExp,0))</f>
        <v>0.06349206349</v>
      </c>
      <c r="F29" s="64" t="s">
        <v>132</v>
      </c>
      <c r="G29" s="122">
        <f t="shared" si="1"/>
        <v>200</v>
      </c>
    </row>
    <row r="30" ht="15.75" customHeight="1">
      <c r="A30" s="54" t="s">
        <v>224</v>
      </c>
      <c r="B30" s="123" t="s">
        <v>91</v>
      </c>
      <c r="C30" s="124" t="s">
        <v>134</v>
      </c>
      <c r="D30" s="125"/>
      <c r="E30" s="121" t="str">
        <f>IF((G30=0),"",IFERROR(G30/TotalMonthlyOpExp,0))</f>
        <v/>
      </c>
      <c r="F30" s="64" t="s">
        <v>135</v>
      </c>
      <c r="G30" s="122" t="str">
        <f t="shared" si="1"/>
        <v/>
      </c>
    </row>
    <row r="31" ht="15.75" customHeight="1">
      <c r="A31" s="54" t="s">
        <v>226</v>
      </c>
      <c r="B31" s="123" t="s">
        <v>91</v>
      </c>
      <c r="C31" s="124" t="s">
        <v>140</v>
      </c>
      <c r="D31" s="125"/>
      <c r="E31" s="121" t="str">
        <f>IF((G31=0),"",IFERROR(G31/TotalMonthlyOpExp,0))</f>
        <v/>
      </c>
      <c r="F31" s="64" t="s">
        <v>228</v>
      </c>
      <c r="G31" s="122" t="str">
        <f t="shared" si="1"/>
        <v/>
      </c>
    </row>
    <row r="32" ht="15.75" customHeight="1">
      <c r="A32" s="54" t="s">
        <v>229</v>
      </c>
      <c r="B32" s="123"/>
      <c r="C32" s="124" t="s">
        <v>230</v>
      </c>
      <c r="D32" s="125"/>
      <c r="E32" s="121" t="str">
        <f>IF((G32=0),"",IFERROR(G32/TotalMonthlyOpExp,0))</f>
        <v/>
      </c>
      <c r="F32" s="64" t="s">
        <v>231</v>
      </c>
      <c r="G32" s="122" t="str">
        <f t="shared" si="1"/>
        <v/>
      </c>
    </row>
    <row r="33" ht="15.75" customHeight="1">
      <c r="A33" s="54" t="s">
        <v>233</v>
      </c>
      <c r="B33" s="123"/>
      <c r="C33" s="124"/>
      <c r="D33" s="125"/>
      <c r="E33" s="121" t="str">
        <f>IF((G33=0),"",IFERROR(G33/TotalMonthlyOpExp,0))</f>
        <v/>
      </c>
      <c r="F33" s="64" t="s">
        <v>234</v>
      </c>
      <c r="G33" s="122" t="str">
        <f t="shared" si="1"/>
        <v/>
      </c>
    </row>
    <row r="34" ht="15.75" customHeight="1">
      <c r="A34" s="54" t="s">
        <v>235</v>
      </c>
      <c r="B34" s="140"/>
      <c r="C34" s="142"/>
      <c r="D34" s="125"/>
      <c r="E34" s="121" t="str">
        <f>IF((G34=0),"",IFERROR(G34/TotalMonthlyOpExp,0))</f>
        <v/>
      </c>
      <c r="F34" s="64" t="s">
        <v>237</v>
      </c>
      <c r="G34" s="122" t="str">
        <f t="shared" si="1"/>
        <v/>
      </c>
    </row>
    <row r="35" ht="15.75" customHeight="1">
      <c r="A35" s="54" t="s">
        <v>239</v>
      </c>
      <c r="B35" s="140"/>
      <c r="C35" s="142" t="s">
        <v>144</v>
      </c>
      <c r="D35" s="125">
        <v>1000.0</v>
      </c>
      <c r="E35" s="121">
        <f>IF((G35=0),"",IFERROR(G35/TotalMonthlyOpExp,0))</f>
        <v>0.3174603175</v>
      </c>
      <c r="F35" s="64" t="s">
        <v>247</v>
      </c>
      <c r="G35" s="122">
        <f t="shared" si="1"/>
        <v>1000</v>
      </c>
    </row>
    <row r="36" ht="15.75" customHeight="1">
      <c r="A36" s="54"/>
      <c r="B36" s="12"/>
      <c r="C36" s="12"/>
      <c r="D36" s="12"/>
      <c r="E36" s="146"/>
      <c r="F36" s="64"/>
    </row>
    <row r="37" ht="30.0" customHeight="1">
      <c r="A37" s="148" t="s">
        <v>249</v>
      </c>
      <c r="F37" s="149"/>
    </row>
    <row r="38" ht="15.75" customHeight="1">
      <c r="A38" s="151" t="s">
        <v>251</v>
      </c>
      <c r="B38" s="140"/>
      <c r="C38" s="142"/>
      <c r="D38" s="152">
        <v>0.0</v>
      </c>
      <c r="E38" s="154"/>
      <c r="F38" s="64"/>
    </row>
    <row r="39" ht="15.75" customHeight="1">
      <c r="A39" s="155" t="s">
        <v>252</v>
      </c>
      <c r="B39" s="140"/>
      <c r="C39" s="142"/>
      <c r="D39" s="152">
        <v>0.01</v>
      </c>
      <c r="E39" s="154"/>
      <c r="F39" s="64"/>
    </row>
    <row r="40" ht="15.75" customHeight="1">
      <c r="A40" s="155" t="s">
        <v>253</v>
      </c>
      <c r="B40" s="140"/>
      <c r="C40" s="142"/>
      <c r="D40" s="152">
        <v>0.01</v>
      </c>
      <c r="E40" s="154"/>
      <c r="F40" s="64"/>
    </row>
    <row r="41" ht="15.75" customHeight="1">
      <c r="A41" s="155"/>
      <c r="B41" s="140"/>
      <c r="C41" s="142"/>
      <c r="D41" s="152">
        <v>0.0</v>
      </c>
      <c r="E41" s="154"/>
      <c r="F41" s="64"/>
    </row>
    <row r="42" ht="15.75" customHeight="1">
      <c r="A42" s="156" t="s">
        <v>254</v>
      </c>
      <c r="B42" s="158"/>
      <c r="C42" s="159"/>
      <c r="D42" s="160">
        <v>0.005</v>
      </c>
      <c r="E42" s="154"/>
      <c r="F42" s="64" t="s">
        <v>256</v>
      </c>
    </row>
    <row r="43" ht="15.75" customHeight="1">
      <c r="A43" s="54"/>
      <c r="B43" s="7"/>
      <c r="C43" s="12"/>
      <c r="D43" s="12"/>
      <c r="E43" s="161"/>
      <c r="F43" s="64"/>
    </row>
    <row r="44" ht="15.75" customHeight="1">
      <c r="A44" s="80" t="s">
        <v>257</v>
      </c>
      <c r="B44" s="162"/>
      <c r="C44" s="43"/>
      <c r="D44" s="164">
        <f>SUM(D7:D35)</f>
        <v>3150</v>
      </c>
      <c r="E44" s="166"/>
      <c r="F44" s="88"/>
    </row>
    <row r="45" ht="15.75" customHeight="1">
      <c r="A45" s="16"/>
      <c r="B45" s="7"/>
      <c r="E45" s="161"/>
      <c r="F45" s="90"/>
    </row>
    <row r="46" ht="15.75" customHeight="1">
      <c r="A46" s="16"/>
      <c r="B46" s="7"/>
      <c r="E46" s="161"/>
      <c r="F46" s="90"/>
    </row>
    <row r="47" ht="15.75" customHeight="1">
      <c r="A47" s="16"/>
      <c r="B47" s="7"/>
      <c r="E47" s="161"/>
      <c r="F47" s="90"/>
    </row>
    <row r="48" ht="15.75" customHeight="1">
      <c r="A48" s="16"/>
      <c r="B48" s="7"/>
      <c r="E48" s="161"/>
      <c r="F48" s="90"/>
    </row>
    <row r="49" ht="15.75" customHeight="1">
      <c r="A49" s="16"/>
      <c r="B49" s="7"/>
      <c r="E49" s="161"/>
      <c r="F49" s="90"/>
    </row>
    <row r="50" ht="15.75" customHeight="1">
      <c r="A50" s="16"/>
      <c r="B50" s="7"/>
      <c r="E50" s="161"/>
      <c r="F50" s="90"/>
    </row>
    <row r="51" ht="15.75" customHeight="1">
      <c r="A51" s="16"/>
      <c r="B51" s="7"/>
      <c r="E51" s="161"/>
      <c r="F51" s="90"/>
    </row>
    <row r="52" ht="15.75" customHeight="1">
      <c r="A52" s="16"/>
      <c r="B52" s="7"/>
      <c r="E52" s="161"/>
      <c r="F52" s="90"/>
    </row>
    <row r="53" ht="15.75" customHeight="1">
      <c r="A53" s="16"/>
      <c r="B53" s="7"/>
      <c r="E53" s="161"/>
      <c r="F53" s="90"/>
    </row>
    <row r="54" ht="15.75" customHeight="1">
      <c r="A54" s="16"/>
      <c r="B54" s="7"/>
      <c r="E54" s="161"/>
      <c r="F54" s="90"/>
    </row>
    <row r="55" ht="15.75" customHeight="1">
      <c r="A55" s="16"/>
      <c r="B55" s="7"/>
      <c r="E55" s="161"/>
      <c r="F55" s="90"/>
    </row>
    <row r="56" ht="15.75" customHeight="1">
      <c r="A56" s="16"/>
      <c r="B56" s="7"/>
      <c r="E56" s="161"/>
      <c r="F56" s="90"/>
    </row>
    <row r="57" ht="15.75" customHeight="1">
      <c r="A57" s="16"/>
      <c r="B57" s="7"/>
      <c r="E57" s="161"/>
      <c r="F57" s="90"/>
    </row>
    <row r="58" ht="15.75" customHeight="1">
      <c r="A58" s="16"/>
      <c r="B58" s="7"/>
      <c r="E58" s="161"/>
      <c r="F58" s="90"/>
    </row>
    <row r="59" ht="15.75" customHeight="1">
      <c r="A59" s="16"/>
      <c r="B59" s="7"/>
      <c r="E59" s="161"/>
      <c r="F59" s="90"/>
    </row>
    <row r="60" ht="15.75" customHeight="1">
      <c r="A60" s="16"/>
      <c r="B60" s="7"/>
      <c r="E60" s="161"/>
      <c r="F60" s="90"/>
    </row>
    <row r="61" ht="15.75" customHeight="1">
      <c r="A61" s="16"/>
      <c r="B61" s="7"/>
      <c r="E61" s="161"/>
      <c r="F61" s="90"/>
    </row>
    <row r="62" ht="15.75" customHeight="1">
      <c r="A62" s="16"/>
      <c r="B62" s="7"/>
      <c r="E62" s="161"/>
      <c r="F62" s="90"/>
    </row>
    <row r="63" ht="15.75" customHeight="1">
      <c r="A63" s="16"/>
      <c r="B63" s="7"/>
      <c r="E63" s="161"/>
      <c r="F63" s="90"/>
    </row>
    <row r="64" ht="15.75" customHeight="1">
      <c r="A64" s="16"/>
      <c r="B64" s="7"/>
      <c r="E64" s="161"/>
      <c r="F64" s="90"/>
    </row>
    <row r="65" ht="15.75" customHeight="1">
      <c r="A65" s="16"/>
      <c r="B65" s="7"/>
      <c r="E65" s="161"/>
      <c r="F65" s="90"/>
    </row>
    <row r="66" ht="15.75" customHeight="1">
      <c r="A66" s="16"/>
      <c r="B66" s="7"/>
      <c r="E66" s="161"/>
      <c r="F66" s="90"/>
    </row>
    <row r="67" ht="15.75" customHeight="1">
      <c r="A67" s="16"/>
      <c r="B67" s="7"/>
      <c r="E67" s="161"/>
      <c r="F67" s="90"/>
    </row>
    <row r="68" ht="15.75" customHeight="1">
      <c r="A68" s="16"/>
      <c r="B68" s="7"/>
      <c r="E68" s="161"/>
      <c r="F68" s="90"/>
    </row>
    <row r="69" ht="15.75" customHeight="1">
      <c r="A69" s="16"/>
      <c r="B69" s="7"/>
      <c r="E69" s="161"/>
      <c r="F69" s="90"/>
    </row>
    <row r="70" ht="15.75" customHeight="1">
      <c r="A70" s="16"/>
      <c r="B70" s="7"/>
      <c r="E70" s="161"/>
      <c r="F70" s="90"/>
    </row>
    <row r="71" ht="15.75" customHeight="1">
      <c r="A71" s="16"/>
      <c r="B71" s="7"/>
      <c r="E71" s="161"/>
      <c r="F71" s="90"/>
    </row>
    <row r="72" ht="15.75" customHeight="1">
      <c r="A72" s="16"/>
      <c r="B72" s="7"/>
      <c r="E72" s="161"/>
      <c r="F72" s="90"/>
    </row>
    <row r="73" ht="15.75" customHeight="1">
      <c r="A73" s="16"/>
      <c r="B73" s="7"/>
      <c r="E73" s="161"/>
      <c r="F73" s="90"/>
    </row>
    <row r="74" ht="15.75" customHeight="1">
      <c r="A74" s="16"/>
      <c r="B74" s="7"/>
      <c r="E74" s="161"/>
      <c r="F74" s="90"/>
    </row>
    <row r="75" ht="15.75" customHeight="1">
      <c r="A75" s="16"/>
      <c r="B75" s="7"/>
      <c r="E75" s="161"/>
      <c r="F75" s="90"/>
    </row>
    <row r="76" ht="15.75" customHeight="1">
      <c r="A76" s="16"/>
      <c r="B76" s="7"/>
      <c r="E76" s="161"/>
      <c r="F76" s="90"/>
    </row>
    <row r="77" ht="15.75" customHeight="1">
      <c r="A77" s="16"/>
      <c r="B77" s="7"/>
      <c r="E77" s="161"/>
      <c r="F77" s="90"/>
    </row>
    <row r="78" ht="15.75" customHeight="1">
      <c r="A78" s="16"/>
      <c r="B78" s="7"/>
      <c r="E78" s="161"/>
      <c r="F78" s="90"/>
    </row>
    <row r="79" ht="15.75" customHeight="1">
      <c r="A79" s="16"/>
      <c r="B79" s="7"/>
      <c r="E79" s="161"/>
      <c r="F79" s="90"/>
    </row>
    <row r="80" ht="15.75" customHeight="1">
      <c r="A80" s="16"/>
      <c r="B80" s="7"/>
      <c r="E80" s="161"/>
      <c r="F80" s="90"/>
    </row>
    <row r="81" ht="15.75" customHeight="1">
      <c r="A81" s="16"/>
      <c r="B81" s="7"/>
      <c r="E81" s="161"/>
      <c r="F81" s="90"/>
    </row>
    <row r="82" ht="15.75" customHeight="1">
      <c r="A82" s="16"/>
      <c r="B82" s="7"/>
      <c r="E82" s="161"/>
      <c r="F82" s="90"/>
    </row>
    <row r="83" ht="15.75" customHeight="1">
      <c r="A83" s="16"/>
      <c r="B83" s="7"/>
      <c r="E83" s="161"/>
      <c r="F83" s="90"/>
    </row>
    <row r="84" ht="15.75" customHeight="1">
      <c r="A84" s="16"/>
      <c r="B84" s="7"/>
      <c r="E84" s="161"/>
      <c r="F84" s="90"/>
    </row>
    <row r="85" ht="15.75" customHeight="1">
      <c r="A85" s="16"/>
      <c r="B85" s="7"/>
      <c r="E85" s="161"/>
      <c r="F85" s="90"/>
    </row>
    <row r="86" ht="15.75" customHeight="1">
      <c r="A86" s="16"/>
      <c r="B86" s="7"/>
      <c r="E86" s="161"/>
      <c r="F86" s="90"/>
    </row>
    <row r="87" ht="15.75" customHeight="1">
      <c r="A87" s="16"/>
      <c r="B87" s="7"/>
      <c r="E87" s="161"/>
      <c r="F87" s="90"/>
    </row>
    <row r="88" ht="15.75" customHeight="1">
      <c r="A88" s="16"/>
      <c r="B88" s="7"/>
      <c r="E88" s="161"/>
      <c r="F88" s="90"/>
    </row>
    <row r="89" ht="15.75" customHeight="1">
      <c r="A89" s="16"/>
      <c r="B89" s="7"/>
      <c r="E89" s="161"/>
      <c r="F89" s="90"/>
    </row>
    <row r="90" ht="15.75" customHeight="1">
      <c r="A90" s="16"/>
      <c r="B90" s="7"/>
      <c r="E90" s="161"/>
      <c r="F90" s="90"/>
    </row>
    <row r="91" ht="15.75" customHeight="1">
      <c r="A91" s="16"/>
      <c r="B91" s="7"/>
      <c r="E91" s="161"/>
      <c r="F91" s="90"/>
    </row>
    <row r="92" ht="15.75" customHeight="1">
      <c r="A92" s="16"/>
      <c r="B92" s="7"/>
      <c r="E92" s="161"/>
      <c r="F92" s="90"/>
    </row>
    <row r="93" ht="15.75" customHeight="1">
      <c r="A93" s="16"/>
      <c r="B93" s="7"/>
      <c r="E93" s="161"/>
      <c r="F93" s="90"/>
    </row>
    <row r="94" ht="15.75" customHeight="1">
      <c r="A94" s="16"/>
      <c r="B94" s="7"/>
      <c r="E94" s="161"/>
      <c r="F94" s="90"/>
    </row>
    <row r="95" ht="15.75" customHeight="1">
      <c r="A95" s="16"/>
      <c r="B95" s="7"/>
      <c r="E95" s="161"/>
      <c r="F95" s="90"/>
    </row>
    <row r="96" ht="15.75" customHeight="1">
      <c r="A96" s="16"/>
      <c r="B96" s="7"/>
      <c r="E96" s="161"/>
      <c r="F96" s="90"/>
    </row>
    <row r="97" ht="15.75" customHeight="1">
      <c r="A97" s="16"/>
      <c r="B97" s="7"/>
      <c r="E97" s="161"/>
      <c r="F97" s="90"/>
    </row>
    <row r="98" ht="15.75" customHeight="1">
      <c r="A98" s="16"/>
      <c r="B98" s="7"/>
      <c r="E98" s="161"/>
      <c r="F98" s="90"/>
    </row>
    <row r="99" ht="15.75" customHeight="1">
      <c r="A99" s="16"/>
      <c r="B99" s="7"/>
      <c r="E99" s="161"/>
      <c r="F99" s="90"/>
    </row>
    <row r="100" ht="15.75" customHeight="1">
      <c r="A100" s="16"/>
      <c r="B100" s="7"/>
      <c r="E100" s="161"/>
      <c r="F100" s="90"/>
    </row>
    <row r="101" ht="15.75" customHeight="1">
      <c r="A101" s="16"/>
      <c r="B101" s="7"/>
      <c r="E101" s="161"/>
      <c r="F101" s="90"/>
    </row>
    <row r="102" ht="15.75" customHeight="1">
      <c r="A102" s="16"/>
      <c r="B102" s="7"/>
      <c r="E102" s="161"/>
      <c r="F102" s="90"/>
    </row>
    <row r="103" ht="15.75" customHeight="1">
      <c r="A103" s="16"/>
      <c r="B103" s="7"/>
      <c r="E103" s="161"/>
      <c r="F103" s="90"/>
    </row>
    <row r="104" ht="15.75" customHeight="1">
      <c r="A104" s="16"/>
      <c r="B104" s="7"/>
      <c r="E104" s="161"/>
      <c r="F104" s="90"/>
    </row>
    <row r="105" ht="15.75" customHeight="1">
      <c r="A105" s="16"/>
      <c r="B105" s="7"/>
      <c r="E105" s="161"/>
      <c r="F105" s="90"/>
    </row>
    <row r="106" ht="15.75" customHeight="1">
      <c r="A106" s="16"/>
      <c r="B106" s="7"/>
      <c r="E106" s="161"/>
      <c r="F106" s="90"/>
    </row>
    <row r="107" ht="15.75" customHeight="1">
      <c r="A107" s="16"/>
      <c r="B107" s="7"/>
      <c r="E107" s="161"/>
      <c r="F107" s="90"/>
    </row>
    <row r="108" ht="15.75" customHeight="1">
      <c r="A108" s="16"/>
      <c r="B108" s="7"/>
      <c r="E108" s="161"/>
      <c r="F108" s="90"/>
    </row>
    <row r="109" ht="15.75" customHeight="1">
      <c r="A109" s="16"/>
      <c r="B109" s="7"/>
      <c r="E109" s="161"/>
      <c r="F109" s="90"/>
    </row>
    <row r="110" ht="15.75" customHeight="1">
      <c r="A110" s="16"/>
      <c r="B110" s="7"/>
      <c r="E110" s="161"/>
      <c r="F110" s="90"/>
    </row>
    <row r="111" ht="15.75" customHeight="1">
      <c r="A111" s="16"/>
      <c r="B111" s="7"/>
      <c r="E111" s="161"/>
      <c r="F111" s="90"/>
    </row>
    <row r="112" ht="15.75" customHeight="1">
      <c r="A112" s="16"/>
      <c r="B112" s="7"/>
      <c r="E112" s="161"/>
      <c r="F112" s="90"/>
    </row>
    <row r="113" ht="15.75" customHeight="1">
      <c r="A113" s="16"/>
      <c r="B113" s="7"/>
      <c r="E113" s="161"/>
      <c r="F113" s="90"/>
    </row>
    <row r="114" ht="15.75" customHeight="1">
      <c r="A114" s="16"/>
      <c r="B114" s="7"/>
      <c r="E114" s="161"/>
      <c r="F114" s="90"/>
    </row>
    <row r="115" ht="15.75" customHeight="1">
      <c r="A115" s="16"/>
      <c r="B115" s="7"/>
      <c r="E115" s="161"/>
      <c r="F115" s="90"/>
    </row>
    <row r="116" ht="15.75" customHeight="1">
      <c r="A116" s="16"/>
      <c r="B116" s="7"/>
      <c r="E116" s="161"/>
      <c r="F116" s="90"/>
    </row>
    <row r="117" ht="15.75" customHeight="1">
      <c r="A117" s="16"/>
      <c r="B117" s="7"/>
      <c r="E117" s="161"/>
      <c r="F117" s="90"/>
    </row>
    <row r="118" ht="15.75" customHeight="1">
      <c r="A118" s="16"/>
      <c r="B118" s="7"/>
      <c r="E118" s="161"/>
      <c r="F118" s="90"/>
    </row>
    <row r="119" ht="15.75" customHeight="1">
      <c r="A119" s="16"/>
      <c r="B119" s="7"/>
      <c r="E119" s="161"/>
      <c r="F119" s="90"/>
    </row>
    <row r="120" ht="15.75" customHeight="1">
      <c r="A120" s="16"/>
      <c r="B120" s="7"/>
      <c r="E120" s="161"/>
      <c r="F120" s="90"/>
    </row>
    <row r="121" ht="15.75" customHeight="1">
      <c r="A121" s="16"/>
      <c r="B121" s="7"/>
      <c r="E121" s="161"/>
      <c r="F121" s="90"/>
    </row>
    <row r="122" ht="15.75" customHeight="1">
      <c r="A122" s="16"/>
      <c r="B122" s="7"/>
      <c r="E122" s="161"/>
      <c r="F122" s="90"/>
    </row>
    <row r="123" ht="15.75" customHeight="1">
      <c r="A123" s="16"/>
      <c r="B123" s="7"/>
      <c r="E123" s="161"/>
      <c r="F123" s="90"/>
    </row>
    <row r="124" ht="15.75" customHeight="1">
      <c r="A124" s="16"/>
      <c r="B124" s="7"/>
      <c r="E124" s="161"/>
      <c r="F124" s="90"/>
    </row>
    <row r="125" ht="15.75" customHeight="1">
      <c r="A125" s="16"/>
      <c r="B125" s="7"/>
      <c r="E125" s="161"/>
      <c r="F125" s="90"/>
    </row>
    <row r="126" ht="15.75" customHeight="1">
      <c r="A126" s="16"/>
      <c r="B126" s="7"/>
      <c r="E126" s="161"/>
      <c r="F126" s="90"/>
    </row>
    <row r="127" ht="15.75" customHeight="1">
      <c r="A127" s="16"/>
      <c r="B127" s="7"/>
      <c r="E127" s="161"/>
      <c r="F127" s="90"/>
    </row>
    <row r="128" ht="15.75" customHeight="1">
      <c r="A128" s="16"/>
      <c r="B128" s="7"/>
      <c r="E128" s="161"/>
      <c r="F128" s="90"/>
    </row>
    <row r="129" ht="15.75" customHeight="1">
      <c r="A129" s="16"/>
      <c r="B129" s="7"/>
      <c r="E129" s="161"/>
      <c r="F129" s="90"/>
    </row>
    <row r="130" ht="15.75" customHeight="1">
      <c r="A130" s="16"/>
      <c r="B130" s="7"/>
      <c r="E130" s="161"/>
      <c r="F130" s="90"/>
    </row>
    <row r="131" ht="15.75" customHeight="1">
      <c r="A131" s="16"/>
      <c r="B131" s="7"/>
      <c r="E131" s="161"/>
      <c r="F131" s="90"/>
    </row>
    <row r="132" ht="15.75" customHeight="1">
      <c r="A132" s="16"/>
      <c r="B132" s="7"/>
      <c r="E132" s="161"/>
      <c r="F132" s="90"/>
    </row>
    <row r="133" ht="15.75" customHeight="1">
      <c r="A133" s="16"/>
      <c r="B133" s="7"/>
      <c r="E133" s="161"/>
      <c r="F133" s="90"/>
    </row>
    <row r="134" ht="15.75" customHeight="1">
      <c r="A134" s="16"/>
      <c r="B134" s="7"/>
      <c r="E134" s="161"/>
      <c r="F134" s="90"/>
    </row>
    <row r="135" ht="15.75" customHeight="1">
      <c r="A135" s="16"/>
      <c r="B135" s="7"/>
      <c r="E135" s="161"/>
      <c r="F135" s="90"/>
    </row>
    <row r="136" ht="15.75" customHeight="1">
      <c r="A136" s="16"/>
      <c r="B136" s="7"/>
      <c r="E136" s="161"/>
      <c r="F136" s="90"/>
    </row>
    <row r="137" ht="15.75" customHeight="1">
      <c r="A137" s="16"/>
      <c r="B137" s="7"/>
      <c r="E137" s="161"/>
      <c r="F137" s="90"/>
    </row>
    <row r="138" ht="15.75" customHeight="1">
      <c r="A138" s="16"/>
      <c r="B138" s="7"/>
      <c r="E138" s="161"/>
      <c r="F138" s="90"/>
    </row>
    <row r="139" ht="15.75" customHeight="1">
      <c r="A139" s="16"/>
      <c r="B139" s="7"/>
      <c r="E139" s="161"/>
      <c r="F139" s="90"/>
    </row>
    <row r="140" ht="15.75" customHeight="1">
      <c r="A140" s="16"/>
      <c r="B140" s="7"/>
      <c r="E140" s="161"/>
      <c r="F140" s="90"/>
    </row>
    <row r="141" ht="15.75" customHeight="1">
      <c r="A141" s="16"/>
      <c r="B141" s="7"/>
      <c r="E141" s="161"/>
      <c r="F141" s="90"/>
    </row>
    <row r="142" ht="15.75" customHeight="1">
      <c r="A142" s="16"/>
      <c r="B142" s="7"/>
      <c r="E142" s="161"/>
      <c r="F142" s="90"/>
    </row>
    <row r="143" ht="15.75" customHeight="1">
      <c r="A143" s="16"/>
      <c r="B143" s="7"/>
      <c r="E143" s="161"/>
      <c r="F143" s="90"/>
    </row>
    <row r="144" ht="15.75" customHeight="1">
      <c r="A144" s="16"/>
      <c r="B144" s="7"/>
      <c r="E144" s="161"/>
      <c r="F144" s="90"/>
    </row>
    <row r="145" ht="15.75" customHeight="1">
      <c r="A145" s="16"/>
      <c r="B145" s="7"/>
      <c r="E145" s="161"/>
      <c r="F145" s="90"/>
    </row>
    <row r="146" ht="15.75" customHeight="1">
      <c r="A146" s="16"/>
      <c r="B146" s="7"/>
      <c r="E146" s="161"/>
      <c r="F146" s="90"/>
    </row>
    <row r="147" ht="15.75" customHeight="1">
      <c r="A147" s="16"/>
      <c r="B147" s="7"/>
      <c r="E147" s="161"/>
      <c r="F147" s="90"/>
    </row>
    <row r="148" ht="15.75" customHeight="1">
      <c r="A148" s="16"/>
      <c r="B148" s="7"/>
      <c r="E148" s="161"/>
      <c r="F148" s="90"/>
    </row>
    <row r="149" ht="15.75" customHeight="1">
      <c r="A149" s="16"/>
      <c r="B149" s="7"/>
      <c r="E149" s="161"/>
      <c r="F149" s="90"/>
    </row>
    <row r="150" ht="15.75" customHeight="1">
      <c r="A150" s="16"/>
      <c r="B150" s="7"/>
      <c r="E150" s="161"/>
      <c r="F150" s="90"/>
    </row>
    <row r="151" ht="15.75" customHeight="1">
      <c r="A151" s="16"/>
      <c r="B151" s="7"/>
      <c r="E151" s="161"/>
      <c r="F151" s="90"/>
    </row>
    <row r="152" ht="15.75" customHeight="1">
      <c r="A152" s="16"/>
      <c r="B152" s="7"/>
      <c r="E152" s="161"/>
      <c r="F152" s="90"/>
    </row>
    <row r="153" ht="15.75" customHeight="1">
      <c r="A153" s="16"/>
      <c r="B153" s="7"/>
      <c r="E153" s="161"/>
      <c r="F153" s="90"/>
    </row>
    <row r="154" ht="15.75" customHeight="1">
      <c r="A154" s="16"/>
      <c r="B154" s="7"/>
      <c r="E154" s="161"/>
      <c r="F154" s="90"/>
    </row>
    <row r="155" ht="15.75" customHeight="1">
      <c r="A155" s="16"/>
      <c r="B155" s="7"/>
      <c r="E155" s="161"/>
      <c r="F155" s="90"/>
    </row>
    <row r="156" ht="15.75" customHeight="1">
      <c r="A156" s="16"/>
      <c r="B156" s="7"/>
      <c r="E156" s="161"/>
      <c r="F156" s="90"/>
    </row>
    <row r="157" ht="15.75" customHeight="1">
      <c r="A157" s="16"/>
      <c r="B157" s="7"/>
      <c r="E157" s="161"/>
      <c r="F157" s="90"/>
    </row>
    <row r="158" ht="15.75" customHeight="1">
      <c r="A158" s="16"/>
      <c r="B158" s="7"/>
      <c r="E158" s="161"/>
      <c r="F158" s="90"/>
    </row>
    <row r="159" ht="15.75" customHeight="1">
      <c r="A159" s="16"/>
      <c r="B159" s="7"/>
      <c r="E159" s="161"/>
      <c r="F159" s="90"/>
    </row>
    <row r="160" ht="15.75" customHeight="1">
      <c r="A160" s="16"/>
      <c r="B160" s="7"/>
      <c r="E160" s="161"/>
      <c r="F160" s="90"/>
    </row>
    <row r="161" ht="15.75" customHeight="1">
      <c r="A161" s="16"/>
      <c r="B161" s="7"/>
      <c r="E161" s="161"/>
      <c r="F161" s="90"/>
    </row>
    <row r="162" ht="15.75" customHeight="1">
      <c r="A162" s="16"/>
      <c r="B162" s="7"/>
      <c r="E162" s="161"/>
      <c r="F162" s="90"/>
    </row>
    <row r="163" ht="15.75" customHeight="1">
      <c r="A163" s="16"/>
      <c r="B163" s="7"/>
      <c r="E163" s="161"/>
      <c r="F163" s="90"/>
    </row>
    <row r="164" ht="15.75" customHeight="1">
      <c r="A164" s="16"/>
      <c r="B164" s="7"/>
      <c r="E164" s="161"/>
      <c r="F164" s="90"/>
    </row>
    <row r="165" ht="15.75" customHeight="1">
      <c r="A165" s="16"/>
      <c r="B165" s="7"/>
      <c r="E165" s="161"/>
      <c r="F165" s="90"/>
    </row>
    <row r="166" ht="15.75" customHeight="1">
      <c r="A166" s="16"/>
      <c r="B166" s="7"/>
      <c r="E166" s="161"/>
      <c r="F166" s="90"/>
    </row>
    <row r="167" ht="15.75" customHeight="1">
      <c r="A167" s="16"/>
      <c r="B167" s="7"/>
      <c r="E167" s="161"/>
      <c r="F167" s="90"/>
    </row>
    <row r="168" ht="15.75" customHeight="1">
      <c r="A168" s="16"/>
      <c r="B168" s="7"/>
      <c r="E168" s="161"/>
      <c r="F168" s="90"/>
    </row>
    <row r="169" ht="15.75" customHeight="1">
      <c r="A169" s="16"/>
      <c r="B169" s="7"/>
      <c r="E169" s="161"/>
      <c r="F169" s="90"/>
    </row>
    <row r="170" ht="15.75" customHeight="1">
      <c r="A170" s="16"/>
      <c r="B170" s="7"/>
      <c r="E170" s="161"/>
      <c r="F170" s="90"/>
    </row>
    <row r="171" ht="15.75" customHeight="1">
      <c r="A171" s="16"/>
      <c r="B171" s="7"/>
      <c r="E171" s="161"/>
      <c r="F171" s="90"/>
    </row>
    <row r="172" ht="15.75" customHeight="1">
      <c r="A172" s="16"/>
      <c r="B172" s="7"/>
      <c r="E172" s="161"/>
      <c r="F172" s="90"/>
    </row>
    <row r="173" ht="15.75" customHeight="1">
      <c r="A173" s="16"/>
      <c r="B173" s="7"/>
      <c r="E173" s="161"/>
      <c r="F173" s="90"/>
    </row>
    <row r="174" ht="15.75" customHeight="1">
      <c r="A174" s="16"/>
      <c r="B174" s="7"/>
      <c r="E174" s="161"/>
      <c r="F174" s="90"/>
    </row>
    <row r="175" ht="15.75" customHeight="1">
      <c r="A175" s="16"/>
      <c r="B175" s="7"/>
      <c r="E175" s="161"/>
      <c r="F175" s="90"/>
    </row>
    <row r="176" ht="15.75" customHeight="1">
      <c r="A176" s="16"/>
      <c r="B176" s="7"/>
      <c r="E176" s="161"/>
      <c r="F176" s="90"/>
    </row>
    <row r="177" ht="15.75" customHeight="1">
      <c r="A177" s="16"/>
      <c r="B177" s="7"/>
      <c r="E177" s="161"/>
      <c r="F177" s="90"/>
    </row>
    <row r="178" ht="15.75" customHeight="1">
      <c r="A178" s="16"/>
      <c r="B178" s="7"/>
      <c r="E178" s="161"/>
      <c r="F178" s="90"/>
    </row>
    <row r="179" ht="15.75" customHeight="1">
      <c r="A179" s="16"/>
      <c r="B179" s="7"/>
      <c r="E179" s="161"/>
      <c r="F179" s="90"/>
    </row>
    <row r="180" ht="15.75" customHeight="1">
      <c r="A180" s="16"/>
      <c r="B180" s="7"/>
      <c r="E180" s="161"/>
      <c r="F180" s="90"/>
    </row>
    <row r="181" ht="15.75" customHeight="1">
      <c r="A181" s="16"/>
      <c r="B181" s="7"/>
      <c r="E181" s="161"/>
      <c r="F181" s="90"/>
    </row>
    <row r="182" ht="15.75" customHeight="1">
      <c r="A182" s="16"/>
      <c r="B182" s="7"/>
      <c r="E182" s="161"/>
      <c r="F182" s="90"/>
    </row>
    <row r="183" ht="15.75" customHeight="1">
      <c r="A183" s="16"/>
      <c r="B183" s="7"/>
      <c r="E183" s="161"/>
      <c r="F183" s="90"/>
    </row>
    <row r="184" ht="15.75" customHeight="1">
      <c r="A184" s="16"/>
      <c r="B184" s="7"/>
      <c r="E184" s="161"/>
      <c r="F184" s="90"/>
    </row>
    <row r="185" ht="15.75" customHeight="1">
      <c r="A185" s="16"/>
      <c r="B185" s="7"/>
      <c r="E185" s="161"/>
      <c r="F185" s="90"/>
    </row>
    <row r="186" ht="15.75" customHeight="1">
      <c r="A186" s="16"/>
      <c r="B186" s="7"/>
      <c r="E186" s="161"/>
      <c r="F186" s="90"/>
    </row>
    <row r="187" ht="15.75" customHeight="1">
      <c r="A187" s="16"/>
      <c r="B187" s="7"/>
      <c r="E187" s="161"/>
      <c r="F187" s="90"/>
    </row>
    <row r="188" ht="15.75" customHeight="1">
      <c r="A188" s="16"/>
      <c r="B188" s="7"/>
      <c r="E188" s="161"/>
      <c r="F188" s="90"/>
    </row>
    <row r="189" ht="15.75" customHeight="1">
      <c r="A189" s="16"/>
      <c r="B189" s="7"/>
      <c r="E189" s="161"/>
      <c r="F189" s="90"/>
    </row>
    <row r="190" ht="15.75" customHeight="1">
      <c r="A190" s="16"/>
      <c r="B190" s="7"/>
      <c r="E190" s="161"/>
      <c r="F190" s="90"/>
    </row>
    <row r="191" ht="15.75" customHeight="1">
      <c r="A191" s="16"/>
      <c r="B191" s="7"/>
      <c r="E191" s="161"/>
      <c r="F191" s="90"/>
    </row>
    <row r="192" ht="15.75" customHeight="1">
      <c r="A192" s="16"/>
      <c r="B192" s="7"/>
      <c r="E192" s="161"/>
      <c r="F192" s="90"/>
    </row>
    <row r="193" ht="15.75" customHeight="1">
      <c r="A193" s="16"/>
      <c r="B193" s="7"/>
      <c r="E193" s="161"/>
      <c r="F193" s="90"/>
    </row>
    <row r="194" ht="15.75" customHeight="1">
      <c r="A194" s="16"/>
      <c r="B194" s="7"/>
      <c r="E194" s="161"/>
      <c r="F194" s="90"/>
    </row>
    <row r="195" ht="15.75" customHeight="1">
      <c r="A195" s="16"/>
      <c r="B195" s="7"/>
      <c r="E195" s="161"/>
      <c r="F195" s="90"/>
    </row>
    <row r="196" ht="15.75" customHeight="1">
      <c r="A196" s="16"/>
      <c r="B196" s="7"/>
      <c r="E196" s="161"/>
      <c r="F196" s="90"/>
    </row>
    <row r="197" ht="15.75" customHeight="1">
      <c r="A197" s="16"/>
      <c r="B197" s="7"/>
      <c r="E197" s="161"/>
      <c r="F197" s="90"/>
    </row>
    <row r="198" ht="15.75" customHeight="1">
      <c r="A198" s="16"/>
      <c r="B198" s="7"/>
      <c r="E198" s="161"/>
      <c r="F198" s="90"/>
    </row>
    <row r="199" ht="15.75" customHeight="1">
      <c r="A199" s="16"/>
      <c r="B199" s="7"/>
      <c r="E199" s="161"/>
      <c r="F199" s="90"/>
    </row>
    <row r="200" ht="15.75" customHeight="1">
      <c r="A200" s="16"/>
      <c r="B200" s="7"/>
      <c r="E200" s="161"/>
      <c r="F200" s="90"/>
    </row>
    <row r="201" ht="15.75" customHeight="1">
      <c r="A201" s="16"/>
      <c r="B201" s="7"/>
      <c r="E201" s="161"/>
      <c r="F201" s="90"/>
    </row>
    <row r="202" ht="15.75" customHeight="1">
      <c r="A202" s="16"/>
      <c r="B202" s="7"/>
      <c r="E202" s="161"/>
      <c r="F202" s="90"/>
    </row>
    <row r="203" ht="15.75" customHeight="1">
      <c r="A203" s="16"/>
      <c r="B203" s="7"/>
      <c r="E203" s="161"/>
      <c r="F203" s="90"/>
    </row>
    <row r="204" ht="15.75" customHeight="1">
      <c r="A204" s="16"/>
      <c r="B204" s="7"/>
      <c r="E204" s="161"/>
      <c r="F204" s="90"/>
    </row>
    <row r="205" ht="15.75" customHeight="1">
      <c r="A205" s="16"/>
      <c r="B205" s="7"/>
      <c r="E205" s="161"/>
      <c r="F205" s="90"/>
    </row>
    <row r="206" ht="15.75" customHeight="1">
      <c r="A206" s="16"/>
      <c r="B206" s="7"/>
      <c r="E206" s="161"/>
      <c r="F206" s="90"/>
    </row>
    <row r="207" ht="15.75" customHeight="1">
      <c r="A207" s="16"/>
      <c r="B207" s="7"/>
      <c r="E207" s="161"/>
      <c r="F207" s="90"/>
    </row>
    <row r="208" ht="15.75" customHeight="1">
      <c r="A208" s="16"/>
      <c r="B208" s="7"/>
      <c r="E208" s="161"/>
      <c r="F208" s="90"/>
    </row>
    <row r="209" ht="15.75" customHeight="1">
      <c r="A209" s="16"/>
      <c r="B209" s="7"/>
      <c r="E209" s="161"/>
      <c r="F209" s="90"/>
    </row>
    <row r="210" ht="15.75" customHeight="1">
      <c r="A210" s="16"/>
      <c r="B210" s="7"/>
      <c r="E210" s="161"/>
      <c r="F210" s="90"/>
    </row>
    <row r="211" ht="15.75" customHeight="1">
      <c r="A211" s="16"/>
      <c r="B211" s="7"/>
      <c r="E211" s="161"/>
      <c r="F211" s="90"/>
    </row>
    <row r="212" ht="15.75" customHeight="1">
      <c r="A212" s="16"/>
      <c r="B212" s="7"/>
      <c r="E212" s="161"/>
      <c r="F212" s="90"/>
    </row>
    <row r="213" ht="15.75" customHeight="1">
      <c r="A213" s="16"/>
      <c r="B213" s="7"/>
      <c r="E213" s="161"/>
      <c r="F213" s="90"/>
    </row>
    <row r="214" ht="15.75" customHeight="1">
      <c r="A214" s="16"/>
      <c r="B214" s="7"/>
      <c r="E214" s="161"/>
      <c r="F214" s="90"/>
    </row>
    <row r="215" ht="15.75" customHeight="1">
      <c r="A215" s="16"/>
      <c r="B215" s="7"/>
      <c r="E215" s="161"/>
      <c r="F215" s="90"/>
    </row>
    <row r="216" ht="15.75" customHeight="1">
      <c r="A216" s="16"/>
      <c r="B216" s="7"/>
      <c r="E216" s="161"/>
      <c r="F216" s="90"/>
    </row>
    <row r="217" ht="15.75" customHeight="1">
      <c r="A217" s="16"/>
      <c r="B217" s="7"/>
      <c r="E217" s="161"/>
      <c r="F217" s="90"/>
    </row>
    <row r="218" ht="15.75" customHeight="1">
      <c r="A218" s="16"/>
      <c r="B218" s="7"/>
      <c r="E218" s="161"/>
      <c r="F218" s="90"/>
    </row>
    <row r="219" ht="15.75" customHeight="1">
      <c r="A219" s="16"/>
      <c r="B219" s="7"/>
      <c r="E219" s="161"/>
      <c r="F219" s="90"/>
    </row>
    <row r="220" ht="15.75" customHeight="1">
      <c r="A220" s="16"/>
      <c r="B220" s="7"/>
      <c r="E220" s="161"/>
      <c r="F220" s="90"/>
    </row>
    <row r="221" ht="15.75" customHeight="1">
      <c r="A221" s="16"/>
      <c r="B221" s="7"/>
      <c r="E221" s="161"/>
      <c r="F221" s="90"/>
    </row>
    <row r="222" ht="15.75" customHeight="1">
      <c r="A222" s="16"/>
      <c r="B222" s="7"/>
      <c r="E222" s="161"/>
      <c r="F222" s="90"/>
    </row>
    <row r="223" ht="15.75" customHeight="1">
      <c r="A223" s="16"/>
      <c r="B223" s="7"/>
      <c r="E223" s="161"/>
      <c r="F223" s="90"/>
    </row>
    <row r="224" ht="15.75" customHeight="1">
      <c r="A224" s="16"/>
      <c r="B224" s="7"/>
      <c r="E224" s="161"/>
      <c r="F224" s="90"/>
    </row>
    <row r="225" ht="15.75" customHeight="1">
      <c r="A225" s="16"/>
      <c r="B225" s="7"/>
      <c r="E225" s="161"/>
      <c r="F225" s="90"/>
    </row>
    <row r="226" ht="15.75" customHeight="1">
      <c r="A226" s="16"/>
      <c r="B226" s="7"/>
      <c r="E226" s="161"/>
      <c r="F226" s="90"/>
    </row>
    <row r="227" ht="15.75" customHeight="1">
      <c r="A227" s="16"/>
      <c r="B227" s="7"/>
      <c r="E227" s="161"/>
      <c r="F227" s="90"/>
    </row>
    <row r="228" ht="15.75" customHeight="1">
      <c r="A228" s="16"/>
      <c r="B228" s="7"/>
      <c r="E228" s="161"/>
      <c r="F228" s="90"/>
    </row>
    <row r="229" ht="15.75" customHeight="1">
      <c r="A229" s="16"/>
      <c r="B229" s="7"/>
      <c r="E229" s="161"/>
      <c r="F229" s="90"/>
    </row>
    <row r="230" ht="15.75" customHeight="1">
      <c r="A230" s="16"/>
      <c r="B230" s="7"/>
      <c r="E230" s="161"/>
      <c r="F230" s="90"/>
    </row>
    <row r="231" ht="15.75" customHeight="1">
      <c r="A231" s="16"/>
      <c r="B231" s="7"/>
      <c r="E231" s="161"/>
      <c r="F231" s="90"/>
    </row>
    <row r="232" ht="15.75" customHeight="1">
      <c r="A232" s="16"/>
      <c r="B232" s="7"/>
      <c r="E232" s="161"/>
      <c r="F232" s="90"/>
    </row>
    <row r="233" ht="15.75" customHeight="1">
      <c r="A233" s="16"/>
      <c r="B233" s="7"/>
      <c r="E233" s="161"/>
      <c r="F233" s="90"/>
    </row>
    <row r="234" ht="15.75" customHeight="1">
      <c r="A234" s="16"/>
      <c r="B234" s="7"/>
      <c r="E234" s="161"/>
      <c r="F234" s="90"/>
    </row>
    <row r="235" ht="15.75" customHeight="1">
      <c r="A235" s="16"/>
      <c r="B235" s="7"/>
      <c r="E235" s="161"/>
      <c r="F235" s="90"/>
    </row>
    <row r="236" ht="15.75" customHeight="1">
      <c r="A236" s="16"/>
      <c r="B236" s="7"/>
      <c r="E236" s="161"/>
      <c r="F236" s="90"/>
    </row>
    <row r="237" ht="15.75" customHeight="1">
      <c r="A237" s="16"/>
      <c r="B237" s="7"/>
      <c r="E237" s="161"/>
      <c r="F237" s="90"/>
    </row>
    <row r="238" ht="15.75" customHeight="1">
      <c r="A238" s="16"/>
      <c r="B238" s="7"/>
      <c r="E238" s="161"/>
      <c r="F238" s="90"/>
    </row>
    <row r="239" ht="15.75" customHeight="1">
      <c r="A239" s="16"/>
      <c r="B239" s="7"/>
      <c r="E239" s="161"/>
      <c r="F239" s="90"/>
    </row>
    <row r="240" ht="15.75" customHeight="1">
      <c r="A240" s="16"/>
      <c r="B240" s="7"/>
      <c r="E240" s="161"/>
      <c r="F240" s="90"/>
    </row>
    <row r="241" ht="15.75" customHeight="1">
      <c r="A241" s="16"/>
      <c r="B241" s="7"/>
      <c r="E241" s="161"/>
      <c r="F241" s="90"/>
    </row>
    <row r="242" ht="15.75" customHeight="1">
      <c r="A242" s="16"/>
      <c r="B242" s="7"/>
      <c r="E242" s="161"/>
      <c r="F242" s="90"/>
    </row>
    <row r="243" ht="15.75" customHeight="1">
      <c r="A243" s="16"/>
      <c r="B243" s="7"/>
      <c r="E243" s="161"/>
      <c r="F243" s="90"/>
    </row>
    <row r="244" ht="15.75" customHeight="1">
      <c r="A244" s="16"/>
      <c r="B244" s="7"/>
      <c r="E244" s="161"/>
      <c r="F244" s="90"/>
    </row>
    <row r="245" ht="15.75" customHeight="1">
      <c r="A245" s="16"/>
      <c r="B245" s="7"/>
      <c r="E245" s="161"/>
      <c r="F245" s="90"/>
    </row>
    <row r="246" ht="15.75" customHeight="1">
      <c r="A246" s="16"/>
      <c r="B246" s="7"/>
      <c r="E246" s="161"/>
      <c r="F246" s="90"/>
    </row>
    <row r="247" ht="15.75" customHeight="1">
      <c r="A247" s="16"/>
      <c r="B247" s="7"/>
      <c r="E247" s="161"/>
      <c r="F247" s="90"/>
    </row>
    <row r="248" ht="15.75" customHeight="1">
      <c r="A248" s="16"/>
      <c r="B248" s="7"/>
      <c r="E248" s="161"/>
      <c r="F248" s="90"/>
    </row>
    <row r="249" ht="15.75" customHeight="1">
      <c r="A249" s="16"/>
      <c r="B249" s="7"/>
      <c r="E249" s="161"/>
      <c r="F249" s="90"/>
    </row>
    <row r="250" ht="15.75" customHeight="1">
      <c r="A250" s="16"/>
      <c r="B250" s="7"/>
      <c r="E250" s="161"/>
      <c r="F250" s="90"/>
    </row>
    <row r="251" ht="15.75" customHeight="1">
      <c r="A251" s="16"/>
      <c r="B251" s="7"/>
      <c r="E251" s="161"/>
      <c r="F251" s="90"/>
    </row>
    <row r="252" ht="15.75" customHeight="1">
      <c r="A252" s="16"/>
      <c r="B252" s="7"/>
      <c r="E252" s="161"/>
      <c r="F252" s="90"/>
    </row>
    <row r="253" ht="15.75" customHeight="1">
      <c r="A253" s="16"/>
      <c r="B253" s="7"/>
      <c r="E253" s="161"/>
      <c r="F253" s="90"/>
    </row>
    <row r="254" ht="15.75" customHeight="1">
      <c r="A254" s="16"/>
      <c r="B254" s="7"/>
      <c r="E254" s="161"/>
      <c r="F254" s="90"/>
    </row>
    <row r="255" ht="15.75" customHeight="1">
      <c r="A255" s="16"/>
      <c r="B255" s="7"/>
      <c r="E255" s="161"/>
      <c r="F255" s="90"/>
    </row>
    <row r="256" ht="15.75" customHeight="1">
      <c r="A256" s="16"/>
      <c r="B256" s="7"/>
      <c r="E256" s="161"/>
      <c r="F256" s="90"/>
    </row>
    <row r="257" ht="15.75" customHeight="1">
      <c r="A257" s="16"/>
      <c r="B257" s="7"/>
      <c r="E257" s="161"/>
      <c r="F257" s="90"/>
    </row>
    <row r="258" ht="15.75" customHeight="1">
      <c r="A258" s="16"/>
      <c r="B258" s="7"/>
      <c r="E258" s="161"/>
      <c r="F258" s="90"/>
    </row>
    <row r="259" ht="15.75" customHeight="1">
      <c r="A259" s="16"/>
      <c r="B259" s="7"/>
      <c r="E259" s="161"/>
      <c r="F259" s="90"/>
    </row>
    <row r="260" ht="15.75" customHeight="1">
      <c r="A260" s="16"/>
      <c r="B260" s="7"/>
      <c r="E260" s="161"/>
      <c r="F260" s="90"/>
    </row>
    <row r="261" ht="15.75" customHeight="1">
      <c r="A261" s="16"/>
      <c r="B261" s="7"/>
      <c r="E261" s="161"/>
      <c r="F261" s="90"/>
    </row>
    <row r="262" ht="15.75" customHeight="1">
      <c r="A262" s="16"/>
      <c r="B262" s="7"/>
      <c r="E262" s="161"/>
      <c r="F262" s="90"/>
    </row>
    <row r="263" ht="15.75" customHeight="1">
      <c r="A263" s="16"/>
      <c r="B263" s="7"/>
      <c r="E263" s="161"/>
      <c r="F263" s="90"/>
    </row>
    <row r="264" ht="15.75" customHeight="1">
      <c r="A264" s="16"/>
      <c r="B264" s="7"/>
      <c r="E264" s="161"/>
      <c r="F264" s="90"/>
    </row>
    <row r="265" ht="15.75" customHeight="1">
      <c r="A265" s="16"/>
      <c r="B265" s="7"/>
      <c r="E265" s="161"/>
      <c r="F265" s="90"/>
    </row>
    <row r="266" ht="15.75" customHeight="1">
      <c r="A266" s="16"/>
      <c r="B266" s="7"/>
      <c r="E266" s="161"/>
      <c r="F266" s="90"/>
    </row>
    <row r="267" ht="15.75" customHeight="1">
      <c r="A267" s="16"/>
      <c r="B267" s="7"/>
      <c r="E267" s="161"/>
      <c r="F267" s="90"/>
    </row>
    <row r="268" ht="15.75" customHeight="1">
      <c r="A268" s="16"/>
      <c r="B268" s="7"/>
      <c r="E268" s="161"/>
      <c r="F268" s="90"/>
    </row>
    <row r="269" ht="15.75" customHeight="1">
      <c r="A269" s="16"/>
      <c r="B269" s="7"/>
      <c r="E269" s="161"/>
      <c r="F269" s="90"/>
    </row>
    <row r="270" ht="15.75" customHeight="1">
      <c r="A270" s="16"/>
      <c r="B270" s="7"/>
      <c r="E270" s="161"/>
      <c r="F270" s="90"/>
    </row>
    <row r="271" ht="15.75" customHeight="1">
      <c r="A271" s="16"/>
      <c r="B271" s="7"/>
      <c r="E271" s="161"/>
      <c r="F271" s="90"/>
    </row>
    <row r="272" ht="15.75" customHeight="1">
      <c r="A272" s="16"/>
      <c r="B272" s="7"/>
      <c r="E272" s="161"/>
      <c r="F272" s="90"/>
    </row>
    <row r="273" ht="15.75" customHeight="1">
      <c r="A273" s="16"/>
      <c r="B273" s="7"/>
      <c r="E273" s="161"/>
      <c r="F273" s="90"/>
    </row>
    <row r="274" ht="15.75" customHeight="1">
      <c r="A274" s="16"/>
      <c r="B274" s="7"/>
      <c r="E274" s="161"/>
      <c r="F274" s="90"/>
    </row>
    <row r="275" ht="15.75" customHeight="1">
      <c r="A275" s="16"/>
      <c r="B275" s="7"/>
      <c r="E275" s="161"/>
      <c r="F275" s="90"/>
    </row>
    <row r="276" ht="15.75" customHeight="1">
      <c r="A276" s="16"/>
      <c r="B276" s="7"/>
      <c r="E276" s="161"/>
      <c r="F276" s="90"/>
    </row>
    <row r="277" ht="15.75" customHeight="1">
      <c r="A277" s="16"/>
      <c r="B277" s="7"/>
      <c r="E277" s="161"/>
      <c r="F277" s="90"/>
    </row>
    <row r="278" ht="15.75" customHeight="1">
      <c r="A278" s="16"/>
      <c r="B278" s="7"/>
      <c r="E278" s="161"/>
      <c r="F278" s="90"/>
    </row>
    <row r="279" ht="15.75" customHeight="1">
      <c r="A279" s="16"/>
      <c r="B279" s="7"/>
      <c r="E279" s="161"/>
      <c r="F279" s="90"/>
    </row>
    <row r="280" ht="15.75" customHeight="1">
      <c r="A280" s="16"/>
      <c r="B280" s="7"/>
      <c r="E280" s="161"/>
      <c r="F280" s="90"/>
    </row>
    <row r="281" ht="15.75" customHeight="1">
      <c r="A281" s="16"/>
      <c r="B281" s="7"/>
      <c r="E281" s="161"/>
      <c r="F281" s="90"/>
    </row>
    <row r="282" ht="15.75" customHeight="1">
      <c r="A282" s="16"/>
      <c r="B282" s="7"/>
      <c r="E282" s="161"/>
      <c r="F282" s="90"/>
    </row>
    <row r="283" ht="15.75" customHeight="1">
      <c r="A283" s="16"/>
      <c r="B283" s="7"/>
      <c r="E283" s="161"/>
      <c r="F283" s="90"/>
    </row>
    <row r="284" ht="15.75" customHeight="1">
      <c r="A284" s="16"/>
      <c r="B284" s="7"/>
      <c r="E284" s="161"/>
      <c r="F284" s="90"/>
    </row>
    <row r="285" ht="15.75" customHeight="1">
      <c r="A285" s="16"/>
      <c r="B285" s="7"/>
      <c r="E285" s="161"/>
      <c r="F285" s="90"/>
    </row>
    <row r="286" ht="15.75" customHeight="1">
      <c r="A286" s="16"/>
      <c r="B286" s="7"/>
      <c r="E286" s="161"/>
      <c r="F286" s="90"/>
    </row>
    <row r="287" ht="15.75" customHeight="1">
      <c r="A287" s="16"/>
      <c r="B287" s="7"/>
      <c r="E287" s="161"/>
      <c r="F287" s="90"/>
    </row>
    <row r="288" ht="15.75" customHeight="1">
      <c r="A288" s="16"/>
      <c r="B288" s="7"/>
      <c r="E288" s="161"/>
      <c r="F288" s="90"/>
    </row>
    <row r="289" ht="15.75" customHeight="1">
      <c r="A289" s="16"/>
      <c r="B289" s="7"/>
      <c r="E289" s="161"/>
      <c r="F289" s="90"/>
    </row>
    <row r="290" ht="15.75" customHeight="1">
      <c r="A290" s="16"/>
      <c r="B290" s="7"/>
      <c r="E290" s="161"/>
      <c r="F290" s="90"/>
    </row>
    <row r="291" ht="15.75" customHeight="1">
      <c r="A291" s="16"/>
      <c r="B291" s="7"/>
      <c r="E291" s="161"/>
      <c r="F291" s="90"/>
    </row>
    <row r="292" ht="15.75" customHeight="1">
      <c r="A292" s="16"/>
      <c r="B292" s="7"/>
      <c r="E292" s="161"/>
      <c r="F292" s="90"/>
    </row>
    <row r="293" ht="15.75" customHeight="1">
      <c r="A293" s="16"/>
      <c r="B293" s="7"/>
      <c r="E293" s="161"/>
      <c r="F293" s="90"/>
    </row>
    <row r="294" ht="15.75" customHeight="1">
      <c r="A294" s="16"/>
      <c r="B294" s="7"/>
      <c r="E294" s="161"/>
      <c r="F294" s="90"/>
    </row>
    <row r="295" ht="15.75" customHeight="1">
      <c r="A295" s="16"/>
      <c r="B295" s="7"/>
      <c r="E295" s="161"/>
      <c r="F295" s="90"/>
    </row>
    <row r="296" ht="15.75" customHeight="1">
      <c r="A296" s="16"/>
      <c r="B296" s="7"/>
      <c r="E296" s="161"/>
      <c r="F296" s="90"/>
    </row>
    <row r="297" ht="15.75" customHeight="1">
      <c r="A297" s="16"/>
      <c r="B297" s="7"/>
      <c r="E297" s="161"/>
      <c r="F297" s="90"/>
    </row>
    <row r="298" ht="15.75" customHeight="1">
      <c r="A298" s="16"/>
      <c r="B298" s="7"/>
      <c r="E298" s="161"/>
      <c r="F298" s="90"/>
    </row>
    <row r="299" ht="15.75" customHeight="1">
      <c r="A299" s="16"/>
      <c r="B299" s="7"/>
      <c r="E299" s="161"/>
      <c r="F299" s="90"/>
    </row>
    <row r="300" ht="15.75" customHeight="1">
      <c r="A300" s="16"/>
      <c r="B300" s="7"/>
      <c r="E300" s="161"/>
      <c r="F300" s="90"/>
    </row>
    <row r="301" ht="15.75" customHeight="1">
      <c r="A301" s="16"/>
      <c r="B301" s="7"/>
      <c r="E301" s="161"/>
      <c r="F301" s="90"/>
    </row>
    <row r="302" ht="15.75" customHeight="1">
      <c r="A302" s="16"/>
      <c r="B302" s="7"/>
      <c r="E302" s="161"/>
      <c r="F302" s="90"/>
    </row>
    <row r="303" ht="15.75" customHeight="1">
      <c r="A303" s="16"/>
      <c r="B303" s="7"/>
      <c r="E303" s="161"/>
      <c r="F303" s="90"/>
    </row>
    <row r="304" ht="15.75" customHeight="1">
      <c r="A304" s="16"/>
      <c r="B304" s="7"/>
      <c r="E304" s="161"/>
      <c r="F304" s="90"/>
    </row>
    <row r="305" ht="15.75" customHeight="1">
      <c r="A305" s="16"/>
      <c r="B305" s="7"/>
      <c r="E305" s="161"/>
      <c r="F305" s="90"/>
    </row>
    <row r="306" ht="15.75" customHeight="1">
      <c r="A306" s="16"/>
      <c r="B306" s="7"/>
      <c r="E306" s="161"/>
      <c r="F306" s="90"/>
    </row>
    <row r="307" ht="15.75" customHeight="1">
      <c r="A307" s="16"/>
      <c r="B307" s="7"/>
      <c r="E307" s="161"/>
      <c r="F307" s="90"/>
    </row>
    <row r="308" ht="15.75" customHeight="1">
      <c r="A308" s="16"/>
      <c r="B308" s="7"/>
      <c r="E308" s="161"/>
      <c r="F308" s="90"/>
    </row>
    <row r="309" ht="15.75" customHeight="1">
      <c r="A309" s="16"/>
      <c r="B309" s="7"/>
      <c r="E309" s="161"/>
      <c r="F309" s="90"/>
    </row>
    <row r="310" ht="15.75" customHeight="1">
      <c r="A310" s="16"/>
      <c r="B310" s="7"/>
      <c r="E310" s="161"/>
      <c r="F310" s="90"/>
    </row>
    <row r="311" ht="15.75" customHeight="1">
      <c r="A311" s="16"/>
      <c r="B311" s="7"/>
      <c r="E311" s="161"/>
      <c r="F311" s="90"/>
    </row>
    <row r="312" ht="15.75" customHeight="1">
      <c r="A312" s="16"/>
      <c r="B312" s="7"/>
      <c r="E312" s="161"/>
      <c r="F312" s="90"/>
    </row>
    <row r="313" ht="15.75" customHeight="1">
      <c r="A313" s="16"/>
      <c r="B313" s="7"/>
      <c r="E313" s="161"/>
      <c r="F313" s="90"/>
    </row>
    <row r="314" ht="15.75" customHeight="1">
      <c r="A314" s="16"/>
      <c r="B314" s="7"/>
      <c r="E314" s="161"/>
      <c r="F314" s="90"/>
    </row>
    <row r="315" ht="15.75" customHeight="1">
      <c r="A315" s="16"/>
      <c r="B315" s="7"/>
      <c r="E315" s="161"/>
      <c r="F315" s="90"/>
    </row>
    <row r="316" ht="15.75" customHeight="1">
      <c r="A316" s="16"/>
      <c r="B316" s="7"/>
      <c r="E316" s="161"/>
      <c r="F316" s="90"/>
    </row>
    <row r="317" ht="15.75" customHeight="1">
      <c r="A317" s="16"/>
      <c r="B317" s="7"/>
      <c r="E317" s="161"/>
      <c r="F317" s="90"/>
    </row>
    <row r="318" ht="15.75" customHeight="1">
      <c r="A318" s="16"/>
      <c r="B318" s="7"/>
      <c r="E318" s="161"/>
      <c r="F318" s="90"/>
    </row>
    <row r="319" ht="15.75" customHeight="1">
      <c r="A319" s="16"/>
      <c r="B319" s="7"/>
      <c r="E319" s="161"/>
      <c r="F319" s="90"/>
    </row>
    <row r="320" ht="15.75" customHeight="1">
      <c r="A320" s="16"/>
      <c r="B320" s="7"/>
      <c r="E320" s="161"/>
      <c r="F320" s="90"/>
    </row>
    <row r="321" ht="15.75" customHeight="1">
      <c r="A321" s="16"/>
      <c r="B321" s="7"/>
      <c r="E321" s="161"/>
      <c r="F321" s="90"/>
    </row>
    <row r="322" ht="15.75" customHeight="1">
      <c r="A322" s="16"/>
      <c r="B322" s="7"/>
      <c r="E322" s="161"/>
      <c r="F322" s="90"/>
    </row>
    <row r="323" ht="15.75" customHeight="1">
      <c r="A323" s="16"/>
      <c r="B323" s="7"/>
      <c r="E323" s="161"/>
      <c r="F323" s="90"/>
    </row>
    <row r="324" ht="15.75" customHeight="1">
      <c r="A324" s="16"/>
      <c r="B324" s="7"/>
      <c r="E324" s="161"/>
      <c r="F324" s="90"/>
    </row>
    <row r="325" ht="15.75" customHeight="1">
      <c r="A325" s="16"/>
      <c r="B325" s="7"/>
      <c r="E325" s="161"/>
      <c r="F325" s="90"/>
    </row>
    <row r="326" ht="15.75" customHeight="1">
      <c r="A326" s="16"/>
      <c r="B326" s="7"/>
      <c r="E326" s="161"/>
      <c r="F326" s="90"/>
    </row>
    <row r="327" ht="15.75" customHeight="1">
      <c r="A327" s="16"/>
      <c r="B327" s="7"/>
      <c r="E327" s="161"/>
      <c r="F327" s="90"/>
    </row>
    <row r="328" ht="15.75" customHeight="1">
      <c r="A328" s="16"/>
      <c r="B328" s="7"/>
      <c r="E328" s="161"/>
      <c r="F328" s="90"/>
    </row>
    <row r="329" ht="15.75" customHeight="1">
      <c r="A329" s="16"/>
      <c r="B329" s="7"/>
      <c r="E329" s="161"/>
      <c r="F329" s="90"/>
    </row>
    <row r="330" ht="15.75" customHeight="1">
      <c r="A330" s="16"/>
      <c r="B330" s="7"/>
      <c r="E330" s="161"/>
      <c r="F330" s="90"/>
    </row>
    <row r="331" ht="15.75" customHeight="1">
      <c r="A331" s="16"/>
      <c r="B331" s="7"/>
      <c r="E331" s="161"/>
      <c r="F331" s="90"/>
    </row>
    <row r="332" ht="15.75" customHeight="1">
      <c r="A332" s="16"/>
      <c r="B332" s="7"/>
      <c r="E332" s="161"/>
      <c r="F332" s="90"/>
    </row>
    <row r="333" ht="15.75" customHeight="1">
      <c r="A333" s="16"/>
      <c r="B333" s="7"/>
      <c r="E333" s="161"/>
      <c r="F333" s="90"/>
    </row>
    <row r="334" ht="15.75" customHeight="1">
      <c r="A334" s="16"/>
      <c r="B334" s="7"/>
      <c r="E334" s="161"/>
      <c r="F334" s="90"/>
    </row>
    <row r="335" ht="15.75" customHeight="1">
      <c r="A335" s="16"/>
      <c r="B335" s="7"/>
      <c r="E335" s="161"/>
      <c r="F335" s="90"/>
    </row>
    <row r="336" ht="15.75" customHeight="1">
      <c r="A336" s="16"/>
      <c r="B336" s="7"/>
      <c r="E336" s="161"/>
      <c r="F336" s="90"/>
    </row>
    <row r="337" ht="15.75" customHeight="1">
      <c r="A337" s="16"/>
      <c r="B337" s="7"/>
      <c r="E337" s="161"/>
      <c r="F337" s="90"/>
    </row>
    <row r="338" ht="15.75" customHeight="1">
      <c r="A338" s="16"/>
      <c r="B338" s="7"/>
      <c r="E338" s="161"/>
      <c r="F338" s="90"/>
    </row>
    <row r="339" ht="15.75" customHeight="1">
      <c r="A339" s="16"/>
      <c r="B339" s="7"/>
      <c r="E339" s="161"/>
      <c r="F339" s="90"/>
    </row>
    <row r="340" ht="15.75" customHeight="1">
      <c r="A340" s="16"/>
      <c r="B340" s="7"/>
      <c r="E340" s="161"/>
      <c r="F340" s="90"/>
    </row>
    <row r="341" ht="15.75" customHeight="1">
      <c r="A341" s="16"/>
      <c r="B341" s="7"/>
      <c r="E341" s="161"/>
      <c r="F341" s="90"/>
    </row>
    <row r="342" ht="15.75" customHeight="1">
      <c r="A342" s="16"/>
      <c r="B342" s="7"/>
      <c r="E342" s="161"/>
      <c r="F342" s="90"/>
    </row>
    <row r="343" ht="15.75" customHeight="1">
      <c r="A343" s="16"/>
      <c r="B343" s="7"/>
      <c r="E343" s="161"/>
      <c r="F343" s="90"/>
    </row>
    <row r="344" ht="15.75" customHeight="1">
      <c r="A344" s="16"/>
      <c r="B344" s="7"/>
      <c r="E344" s="161"/>
      <c r="F344" s="90"/>
    </row>
    <row r="345" ht="15.75" customHeight="1">
      <c r="A345" s="16"/>
      <c r="B345" s="7"/>
      <c r="E345" s="161"/>
      <c r="F345" s="90"/>
    </row>
    <row r="346" ht="15.75" customHeight="1">
      <c r="A346" s="16"/>
      <c r="B346" s="7"/>
      <c r="E346" s="161"/>
      <c r="F346" s="90"/>
    </row>
    <row r="347" ht="15.75" customHeight="1">
      <c r="A347" s="16"/>
      <c r="B347" s="7"/>
      <c r="E347" s="161"/>
      <c r="F347" s="90"/>
    </row>
    <row r="348" ht="15.75" customHeight="1">
      <c r="A348" s="16"/>
      <c r="B348" s="7"/>
      <c r="E348" s="161"/>
      <c r="F348" s="90"/>
    </row>
    <row r="349" ht="15.75" customHeight="1">
      <c r="A349" s="16"/>
      <c r="B349" s="7"/>
      <c r="E349" s="161"/>
      <c r="F349" s="90"/>
    </row>
    <row r="350" ht="15.75" customHeight="1">
      <c r="A350" s="16"/>
      <c r="B350" s="7"/>
      <c r="E350" s="161"/>
      <c r="F350" s="90"/>
    </row>
    <row r="351" ht="15.75" customHeight="1">
      <c r="A351" s="16"/>
      <c r="B351" s="7"/>
      <c r="E351" s="161"/>
      <c r="F351" s="90"/>
    </row>
    <row r="352" ht="15.75" customHeight="1">
      <c r="A352" s="16"/>
      <c r="B352" s="7"/>
      <c r="E352" s="161"/>
      <c r="F352" s="90"/>
    </row>
    <row r="353" ht="15.75" customHeight="1">
      <c r="A353" s="16"/>
      <c r="B353" s="7"/>
      <c r="E353" s="161"/>
      <c r="F353" s="90"/>
    </row>
    <row r="354" ht="15.75" customHeight="1">
      <c r="A354" s="16"/>
      <c r="B354" s="7"/>
      <c r="E354" s="161"/>
      <c r="F354" s="90"/>
    </row>
    <row r="355" ht="15.75" customHeight="1">
      <c r="A355" s="16"/>
      <c r="B355" s="7"/>
      <c r="E355" s="161"/>
      <c r="F355" s="90"/>
    </row>
    <row r="356" ht="15.75" customHeight="1">
      <c r="A356" s="16"/>
      <c r="B356" s="7"/>
      <c r="E356" s="161"/>
      <c r="F356" s="90"/>
    </row>
    <row r="357" ht="15.75" customHeight="1">
      <c r="A357" s="16"/>
      <c r="B357" s="7"/>
      <c r="E357" s="161"/>
      <c r="F357" s="90"/>
    </row>
    <row r="358" ht="15.75" customHeight="1">
      <c r="A358" s="16"/>
      <c r="B358" s="7"/>
      <c r="E358" s="161"/>
      <c r="F358" s="90"/>
    </row>
    <row r="359" ht="15.75" customHeight="1">
      <c r="A359" s="16"/>
      <c r="B359" s="7"/>
      <c r="E359" s="161"/>
      <c r="F359" s="90"/>
    </row>
    <row r="360" ht="15.75" customHeight="1">
      <c r="A360" s="16"/>
      <c r="B360" s="7"/>
      <c r="E360" s="161"/>
      <c r="F360" s="90"/>
    </row>
    <row r="361" ht="15.75" customHeight="1">
      <c r="A361" s="16"/>
      <c r="B361" s="7"/>
      <c r="E361" s="161"/>
      <c r="F361" s="90"/>
    </row>
    <row r="362" ht="15.75" customHeight="1">
      <c r="A362" s="16"/>
      <c r="B362" s="7"/>
      <c r="E362" s="161"/>
      <c r="F362" s="90"/>
    </row>
    <row r="363" ht="15.75" customHeight="1">
      <c r="A363" s="16"/>
      <c r="B363" s="7"/>
      <c r="E363" s="161"/>
      <c r="F363" s="90"/>
    </row>
    <row r="364" ht="15.75" customHeight="1">
      <c r="A364" s="16"/>
      <c r="B364" s="7"/>
      <c r="E364" s="161"/>
      <c r="F364" s="90"/>
    </row>
    <row r="365" ht="15.75" customHeight="1">
      <c r="A365" s="16"/>
      <c r="B365" s="7"/>
      <c r="E365" s="161"/>
      <c r="F365" s="90"/>
    </row>
    <row r="366" ht="15.75" customHeight="1">
      <c r="A366" s="16"/>
      <c r="B366" s="7"/>
      <c r="E366" s="161"/>
      <c r="F366" s="90"/>
    </row>
    <row r="367" ht="15.75" customHeight="1">
      <c r="A367" s="16"/>
      <c r="B367" s="7"/>
      <c r="E367" s="161"/>
      <c r="F367" s="90"/>
    </row>
    <row r="368" ht="15.75" customHeight="1">
      <c r="A368" s="16"/>
      <c r="B368" s="7"/>
      <c r="E368" s="161"/>
      <c r="F368" s="90"/>
    </row>
    <row r="369" ht="15.75" customHeight="1">
      <c r="A369" s="16"/>
      <c r="B369" s="7"/>
      <c r="E369" s="161"/>
      <c r="F369" s="90"/>
    </row>
    <row r="370" ht="15.75" customHeight="1">
      <c r="A370" s="16"/>
      <c r="B370" s="7"/>
      <c r="E370" s="161"/>
      <c r="F370" s="90"/>
    </row>
    <row r="371" ht="15.75" customHeight="1">
      <c r="A371" s="16"/>
      <c r="B371" s="7"/>
      <c r="E371" s="161"/>
      <c r="F371" s="90"/>
    </row>
    <row r="372" ht="15.75" customHeight="1">
      <c r="A372" s="16"/>
      <c r="B372" s="7"/>
      <c r="E372" s="161"/>
      <c r="F372" s="90"/>
    </row>
    <row r="373" ht="15.75" customHeight="1">
      <c r="A373" s="16"/>
      <c r="B373" s="7"/>
      <c r="E373" s="161"/>
      <c r="F373" s="90"/>
    </row>
    <row r="374" ht="15.75" customHeight="1">
      <c r="A374" s="16"/>
      <c r="B374" s="7"/>
      <c r="E374" s="161"/>
      <c r="F374" s="90"/>
    </row>
    <row r="375" ht="15.75" customHeight="1">
      <c r="A375" s="16"/>
      <c r="B375" s="7"/>
      <c r="E375" s="161"/>
      <c r="F375" s="90"/>
    </row>
    <row r="376" ht="15.75" customHeight="1">
      <c r="A376" s="16"/>
      <c r="B376" s="7"/>
      <c r="E376" s="161"/>
      <c r="F376" s="90"/>
    </row>
    <row r="377" ht="15.75" customHeight="1">
      <c r="A377" s="16"/>
      <c r="B377" s="7"/>
      <c r="E377" s="161"/>
      <c r="F377" s="90"/>
    </row>
    <row r="378" ht="15.75" customHeight="1">
      <c r="A378" s="16"/>
      <c r="B378" s="7"/>
      <c r="E378" s="161"/>
      <c r="F378" s="90"/>
    </row>
    <row r="379" ht="15.75" customHeight="1">
      <c r="A379" s="16"/>
      <c r="B379" s="7"/>
      <c r="E379" s="161"/>
      <c r="F379" s="90"/>
    </row>
    <row r="380" ht="15.75" customHeight="1">
      <c r="A380" s="16"/>
      <c r="B380" s="7"/>
      <c r="E380" s="161"/>
      <c r="F380" s="90"/>
    </row>
    <row r="381" ht="15.75" customHeight="1">
      <c r="A381" s="16"/>
      <c r="B381" s="7"/>
      <c r="E381" s="161"/>
      <c r="F381" s="90"/>
    </row>
    <row r="382" ht="15.75" customHeight="1">
      <c r="A382" s="16"/>
      <c r="B382" s="7"/>
      <c r="E382" s="161"/>
      <c r="F382" s="90"/>
    </row>
    <row r="383" ht="15.75" customHeight="1">
      <c r="A383" s="16"/>
      <c r="B383" s="7"/>
      <c r="E383" s="161"/>
      <c r="F383" s="90"/>
    </row>
    <row r="384" ht="15.75" customHeight="1">
      <c r="A384" s="16"/>
      <c r="B384" s="7"/>
      <c r="E384" s="161"/>
      <c r="F384" s="90"/>
    </row>
    <row r="385" ht="15.75" customHeight="1">
      <c r="A385" s="16"/>
      <c r="B385" s="7"/>
      <c r="E385" s="161"/>
      <c r="F385" s="90"/>
    </row>
    <row r="386" ht="15.75" customHeight="1">
      <c r="A386" s="16"/>
      <c r="B386" s="7"/>
      <c r="E386" s="161"/>
      <c r="F386" s="90"/>
    </row>
    <row r="387" ht="15.75" customHeight="1">
      <c r="A387" s="16"/>
      <c r="B387" s="7"/>
      <c r="E387" s="161"/>
      <c r="F387" s="90"/>
    </row>
    <row r="388" ht="15.75" customHeight="1">
      <c r="A388" s="16"/>
      <c r="B388" s="7"/>
      <c r="E388" s="161"/>
      <c r="F388" s="90"/>
    </row>
    <row r="389" ht="15.75" customHeight="1">
      <c r="A389" s="16"/>
      <c r="B389" s="7"/>
      <c r="E389" s="161"/>
      <c r="F389" s="90"/>
    </row>
    <row r="390" ht="15.75" customHeight="1">
      <c r="A390" s="16"/>
      <c r="B390" s="7"/>
      <c r="E390" s="161"/>
      <c r="F390" s="90"/>
    </row>
    <row r="391" ht="15.75" customHeight="1">
      <c r="A391" s="16"/>
      <c r="B391" s="7"/>
      <c r="E391" s="161"/>
      <c r="F391" s="90"/>
    </row>
    <row r="392" ht="15.75" customHeight="1">
      <c r="A392" s="16"/>
      <c r="B392" s="7"/>
      <c r="E392" s="161"/>
      <c r="F392" s="90"/>
    </row>
    <row r="393" ht="15.75" customHeight="1">
      <c r="A393" s="16"/>
      <c r="B393" s="7"/>
      <c r="E393" s="161"/>
      <c r="F393" s="90"/>
    </row>
    <row r="394" ht="15.75" customHeight="1">
      <c r="A394" s="16"/>
      <c r="B394" s="7"/>
      <c r="E394" s="161"/>
      <c r="F394" s="90"/>
    </row>
    <row r="395" ht="15.75" customHeight="1">
      <c r="A395" s="16"/>
      <c r="B395" s="7"/>
      <c r="E395" s="161"/>
      <c r="F395" s="90"/>
    </row>
    <row r="396" ht="15.75" customHeight="1">
      <c r="A396" s="16"/>
      <c r="B396" s="7"/>
      <c r="E396" s="161"/>
      <c r="F396" s="90"/>
    </row>
    <row r="397" ht="15.75" customHeight="1">
      <c r="A397" s="16"/>
      <c r="B397" s="7"/>
      <c r="E397" s="161"/>
      <c r="F397" s="90"/>
    </row>
    <row r="398" ht="15.75" customHeight="1">
      <c r="A398" s="16"/>
      <c r="B398" s="7"/>
      <c r="E398" s="161"/>
      <c r="F398" s="90"/>
    </row>
    <row r="399" ht="15.75" customHeight="1">
      <c r="A399" s="16"/>
      <c r="B399" s="7"/>
      <c r="E399" s="161"/>
      <c r="F399" s="90"/>
    </row>
    <row r="400" ht="15.75" customHeight="1">
      <c r="A400" s="16"/>
      <c r="B400" s="7"/>
      <c r="E400" s="161"/>
      <c r="F400" s="90"/>
    </row>
    <row r="401" ht="15.75" customHeight="1">
      <c r="A401" s="16"/>
      <c r="B401" s="7"/>
      <c r="E401" s="161"/>
      <c r="F401" s="90"/>
    </row>
    <row r="402" ht="15.75" customHeight="1">
      <c r="A402" s="16"/>
      <c r="B402" s="7"/>
      <c r="E402" s="161"/>
      <c r="F402" s="90"/>
    </row>
    <row r="403" ht="15.75" customHeight="1">
      <c r="A403" s="16"/>
      <c r="B403" s="7"/>
      <c r="E403" s="161"/>
      <c r="F403" s="90"/>
    </row>
    <row r="404" ht="15.75" customHeight="1">
      <c r="A404" s="16"/>
      <c r="B404" s="7"/>
      <c r="E404" s="161"/>
      <c r="F404" s="90"/>
    </row>
    <row r="405" ht="15.75" customHeight="1">
      <c r="A405" s="16"/>
      <c r="B405" s="7"/>
      <c r="E405" s="161"/>
      <c r="F405" s="90"/>
    </row>
    <row r="406" ht="15.75" customHeight="1">
      <c r="A406" s="16"/>
      <c r="B406" s="7"/>
      <c r="E406" s="161"/>
      <c r="F406" s="90"/>
    </row>
    <row r="407" ht="15.75" customHeight="1">
      <c r="A407" s="16"/>
      <c r="B407" s="7"/>
      <c r="E407" s="161"/>
      <c r="F407" s="90"/>
    </row>
    <row r="408" ht="15.75" customHeight="1">
      <c r="A408" s="16"/>
      <c r="B408" s="7"/>
      <c r="E408" s="161"/>
      <c r="F408" s="90"/>
    </row>
    <row r="409" ht="15.75" customHeight="1">
      <c r="A409" s="16"/>
      <c r="B409" s="7"/>
      <c r="E409" s="161"/>
      <c r="F409" s="90"/>
    </row>
    <row r="410" ht="15.75" customHeight="1">
      <c r="A410" s="16"/>
      <c r="B410" s="7"/>
      <c r="E410" s="161"/>
      <c r="F410" s="90"/>
    </row>
    <row r="411" ht="15.75" customHeight="1">
      <c r="A411" s="16"/>
      <c r="B411" s="7"/>
      <c r="E411" s="161"/>
      <c r="F411" s="90"/>
    </row>
    <row r="412" ht="15.75" customHeight="1">
      <c r="A412" s="16"/>
      <c r="B412" s="7"/>
      <c r="E412" s="161"/>
      <c r="F412" s="90"/>
    </row>
    <row r="413" ht="15.75" customHeight="1">
      <c r="A413" s="16"/>
      <c r="B413" s="7"/>
      <c r="E413" s="161"/>
      <c r="F413" s="90"/>
    </row>
    <row r="414" ht="15.75" customHeight="1">
      <c r="A414" s="16"/>
      <c r="B414" s="7"/>
      <c r="E414" s="161"/>
      <c r="F414" s="90"/>
    </row>
    <row r="415" ht="15.75" customHeight="1">
      <c r="A415" s="16"/>
      <c r="B415" s="7"/>
      <c r="E415" s="161"/>
      <c r="F415" s="90"/>
    </row>
    <row r="416" ht="15.75" customHeight="1">
      <c r="A416" s="16"/>
      <c r="B416" s="7"/>
      <c r="E416" s="161"/>
      <c r="F416" s="90"/>
    </row>
    <row r="417" ht="15.75" customHeight="1">
      <c r="A417" s="16"/>
      <c r="B417" s="7"/>
      <c r="E417" s="161"/>
      <c r="F417" s="90"/>
    </row>
    <row r="418" ht="15.75" customHeight="1">
      <c r="A418" s="16"/>
      <c r="B418" s="7"/>
      <c r="E418" s="161"/>
      <c r="F418" s="90"/>
    </row>
    <row r="419" ht="15.75" customHeight="1">
      <c r="A419" s="16"/>
      <c r="B419" s="7"/>
      <c r="E419" s="161"/>
      <c r="F419" s="90"/>
    </row>
    <row r="420" ht="15.75" customHeight="1">
      <c r="A420" s="16"/>
      <c r="B420" s="7"/>
      <c r="E420" s="161"/>
      <c r="F420" s="90"/>
    </row>
    <row r="421" ht="15.75" customHeight="1">
      <c r="A421" s="16"/>
      <c r="B421" s="7"/>
      <c r="E421" s="161"/>
      <c r="F421" s="90"/>
    </row>
    <row r="422" ht="15.75" customHeight="1">
      <c r="A422" s="16"/>
      <c r="B422" s="7"/>
      <c r="E422" s="161"/>
      <c r="F422" s="90"/>
    </row>
    <row r="423" ht="15.75" customHeight="1">
      <c r="A423" s="16"/>
      <c r="B423" s="7"/>
      <c r="E423" s="161"/>
      <c r="F423" s="90"/>
    </row>
    <row r="424" ht="15.75" customHeight="1">
      <c r="A424" s="16"/>
      <c r="B424" s="7"/>
      <c r="E424" s="161"/>
      <c r="F424" s="90"/>
    </row>
    <row r="425" ht="15.75" customHeight="1">
      <c r="A425" s="16"/>
      <c r="B425" s="7"/>
      <c r="E425" s="161"/>
      <c r="F425" s="90"/>
    </row>
    <row r="426" ht="15.75" customHeight="1">
      <c r="A426" s="16"/>
      <c r="B426" s="7"/>
      <c r="E426" s="161"/>
      <c r="F426" s="90"/>
    </row>
    <row r="427" ht="15.75" customHeight="1">
      <c r="A427" s="16"/>
      <c r="B427" s="7"/>
      <c r="E427" s="161"/>
      <c r="F427" s="90"/>
    </row>
    <row r="428" ht="15.75" customHeight="1">
      <c r="A428" s="16"/>
      <c r="B428" s="7"/>
      <c r="E428" s="161"/>
      <c r="F428" s="90"/>
    </row>
    <row r="429" ht="15.75" customHeight="1">
      <c r="A429" s="16"/>
      <c r="B429" s="7"/>
      <c r="E429" s="161"/>
      <c r="F429" s="90"/>
    </row>
    <row r="430" ht="15.75" customHeight="1">
      <c r="A430" s="16"/>
      <c r="B430" s="7"/>
      <c r="E430" s="161"/>
      <c r="F430" s="90"/>
    </row>
    <row r="431" ht="15.75" customHeight="1">
      <c r="A431" s="16"/>
      <c r="B431" s="7"/>
      <c r="E431" s="161"/>
      <c r="F431" s="90"/>
    </row>
    <row r="432" ht="15.75" customHeight="1">
      <c r="A432" s="16"/>
      <c r="B432" s="7"/>
      <c r="E432" s="161"/>
      <c r="F432" s="90"/>
    </row>
    <row r="433" ht="15.75" customHeight="1">
      <c r="A433" s="16"/>
      <c r="B433" s="7"/>
      <c r="E433" s="161"/>
      <c r="F433" s="90"/>
    </row>
    <row r="434" ht="15.75" customHeight="1">
      <c r="A434" s="16"/>
      <c r="B434" s="7"/>
      <c r="E434" s="161"/>
      <c r="F434" s="90"/>
    </row>
    <row r="435" ht="15.75" customHeight="1">
      <c r="A435" s="16"/>
      <c r="B435" s="7"/>
      <c r="E435" s="161"/>
      <c r="F435" s="90"/>
    </row>
    <row r="436" ht="15.75" customHeight="1">
      <c r="A436" s="16"/>
      <c r="B436" s="7"/>
      <c r="E436" s="161"/>
      <c r="F436" s="90"/>
    </row>
    <row r="437" ht="15.75" customHeight="1">
      <c r="A437" s="16"/>
      <c r="B437" s="7"/>
      <c r="E437" s="161"/>
      <c r="F437" s="90"/>
    </row>
    <row r="438" ht="15.75" customHeight="1">
      <c r="A438" s="16"/>
      <c r="B438" s="7"/>
      <c r="E438" s="161"/>
      <c r="F438" s="90"/>
    </row>
    <row r="439" ht="15.75" customHeight="1">
      <c r="A439" s="16"/>
      <c r="B439" s="7"/>
      <c r="E439" s="161"/>
      <c r="F439" s="90"/>
    </row>
    <row r="440" ht="15.75" customHeight="1">
      <c r="A440" s="16"/>
      <c r="B440" s="7"/>
      <c r="E440" s="161"/>
      <c r="F440" s="90"/>
    </row>
    <row r="441" ht="15.75" customHeight="1">
      <c r="A441" s="16"/>
      <c r="B441" s="7"/>
      <c r="E441" s="161"/>
      <c r="F441" s="90"/>
    </row>
    <row r="442" ht="15.75" customHeight="1">
      <c r="A442" s="16"/>
      <c r="B442" s="7"/>
      <c r="E442" s="161"/>
      <c r="F442" s="90"/>
    </row>
    <row r="443" ht="15.75" customHeight="1">
      <c r="A443" s="16"/>
      <c r="B443" s="7"/>
      <c r="E443" s="161"/>
      <c r="F443" s="90"/>
    </row>
    <row r="444" ht="15.75" customHeight="1">
      <c r="A444" s="16"/>
      <c r="B444" s="7"/>
      <c r="E444" s="161"/>
      <c r="F444" s="90"/>
    </row>
    <row r="445" ht="15.75" customHeight="1">
      <c r="A445" s="16"/>
      <c r="B445" s="7"/>
      <c r="E445" s="161"/>
      <c r="F445" s="90"/>
    </row>
    <row r="446" ht="15.75" customHeight="1">
      <c r="A446" s="16"/>
      <c r="B446" s="7"/>
      <c r="E446" s="161"/>
      <c r="F446" s="90"/>
    </row>
    <row r="447" ht="15.75" customHeight="1">
      <c r="A447" s="16"/>
      <c r="B447" s="7"/>
      <c r="E447" s="161"/>
      <c r="F447" s="90"/>
    </row>
    <row r="448" ht="15.75" customHeight="1">
      <c r="A448" s="16"/>
      <c r="B448" s="7"/>
      <c r="E448" s="161"/>
      <c r="F448" s="90"/>
    </row>
    <row r="449" ht="15.75" customHeight="1">
      <c r="A449" s="16"/>
      <c r="B449" s="7"/>
      <c r="E449" s="161"/>
      <c r="F449" s="90"/>
    </row>
    <row r="450" ht="15.75" customHeight="1">
      <c r="A450" s="16"/>
      <c r="B450" s="7"/>
      <c r="E450" s="161"/>
      <c r="F450" s="90"/>
    </row>
    <row r="451" ht="15.75" customHeight="1">
      <c r="A451" s="16"/>
      <c r="B451" s="7"/>
      <c r="E451" s="161"/>
      <c r="F451" s="90"/>
    </row>
    <row r="452" ht="15.75" customHeight="1">
      <c r="A452" s="16"/>
      <c r="B452" s="7"/>
      <c r="E452" s="161"/>
      <c r="F452" s="90"/>
    </row>
    <row r="453" ht="15.75" customHeight="1">
      <c r="A453" s="16"/>
      <c r="B453" s="7"/>
      <c r="E453" s="161"/>
      <c r="F453" s="90"/>
    </row>
    <row r="454" ht="15.75" customHeight="1">
      <c r="A454" s="16"/>
      <c r="B454" s="7"/>
      <c r="E454" s="161"/>
      <c r="F454" s="90"/>
    </row>
    <row r="455" ht="15.75" customHeight="1">
      <c r="A455" s="16"/>
      <c r="B455" s="7"/>
      <c r="E455" s="161"/>
      <c r="F455" s="90"/>
    </row>
    <row r="456" ht="15.75" customHeight="1">
      <c r="A456" s="16"/>
      <c r="B456" s="7"/>
      <c r="E456" s="161"/>
      <c r="F456" s="90"/>
    </row>
    <row r="457" ht="15.75" customHeight="1">
      <c r="A457" s="16"/>
      <c r="B457" s="7"/>
      <c r="E457" s="161"/>
      <c r="F457" s="90"/>
    </row>
    <row r="458" ht="15.75" customHeight="1">
      <c r="A458" s="16"/>
      <c r="B458" s="7"/>
      <c r="E458" s="161"/>
      <c r="F458" s="90"/>
    </row>
    <row r="459" ht="15.75" customHeight="1">
      <c r="A459" s="16"/>
      <c r="B459" s="7"/>
      <c r="E459" s="161"/>
      <c r="F459" s="90"/>
    </row>
    <row r="460" ht="15.75" customHeight="1">
      <c r="A460" s="16"/>
      <c r="B460" s="7"/>
      <c r="E460" s="161"/>
      <c r="F460" s="90"/>
    </row>
    <row r="461" ht="15.75" customHeight="1">
      <c r="A461" s="16"/>
      <c r="B461" s="7"/>
      <c r="E461" s="161"/>
      <c r="F461" s="90"/>
    </row>
    <row r="462" ht="15.75" customHeight="1">
      <c r="A462" s="16"/>
      <c r="B462" s="7"/>
      <c r="E462" s="161"/>
      <c r="F462" s="90"/>
    </row>
    <row r="463" ht="15.75" customHeight="1">
      <c r="A463" s="16"/>
      <c r="B463" s="7"/>
      <c r="E463" s="161"/>
      <c r="F463" s="90"/>
    </row>
    <row r="464" ht="15.75" customHeight="1">
      <c r="A464" s="16"/>
      <c r="B464" s="7"/>
      <c r="E464" s="161"/>
      <c r="F464" s="90"/>
    </row>
    <row r="465" ht="15.75" customHeight="1">
      <c r="A465" s="16"/>
      <c r="B465" s="7"/>
      <c r="E465" s="161"/>
      <c r="F465" s="90"/>
    </row>
    <row r="466" ht="15.75" customHeight="1">
      <c r="A466" s="16"/>
      <c r="B466" s="7"/>
      <c r="E466" s="161"/>
      <c r="F466" s="90"/>
    </row>
    <row r="467" ht="15.75" customHeight="1">
      <c r="A467" s="16"/>
      <c r="B467" s="7"/>
      <c r="E467" s="161"/>
      <c r="F467" s="90"/>
    </row>
    <row r="468" ht="15.75" customHeight="1">
      <c r="A468" s="16"/>
      <c r="B468" s="7"/>
      <c r="E468" s="161"/>
      <c r="F468" s="90"/>
    </row>
    <row r="469" ht="15.75" customHeight="1">
      <c r="A469" s="16"/>
      <c r="B469" s="7"/>
      <c r="E469" s="161"/>
      <c r="F469" s="90"/>
    </row>
    <row r="470" ht="15.75" customHeight="1">
      <c r="A470" s="16"/>
      <c r="B470" s="7"/>
      <c r="E470" s="161"/>
      <c r="F470" s="90"/>
    </row>
    <row r="471" ht="15.75" customHeight="1">
      <c r="A471" s="16"/>
      <c r="B471" s="7"/>
      <c r="E471" s="161"/>
      <c r="F471" s="90"/>
    </row>
    <row r="472" ht="15.75" customHeight="1">
      <c r="A472" s="16"/>
      <c r="B472" s="7"/>
      <c r="E472" s="161"/>
      <c r="F472" s="90"/>
    </row>
    <row r="473" ht="15.75" customHeight="1">
      <c r="A473" s="16"/>
      <c r="B473" s="7"/>
      <c r="E473" s="161"/>
      <c r="F473" s="90"/>
    </row>
    <row r="474" ht="15.75" customHeight="1">
      <c r="A474" s="16"/>
      <c r="B474" s="7"/>
      <c r="E474" s="161"/>
      <c r="F474" s="90"/>
    </row>
    <row r="475" ht="15.75" customHeight="1">
      <c r="A475" s="16"/>
      <c r="B475" s="7"/>
      <c r="E475" s="161"/>
      <c r="F475" s="90"/>
    </row>
    <row r="476" ht="15.75" customHeight="1">
      <c r="A476" s="16"/>
      <c r="B476" s="7"/>
      <c r="E476" s="161"/>
      <c r="F476" s="90"/>
    </row>
    <row r="477" ht="15.75" customHeight="1">
      <c r="A477" s="16"/>
      <c r="B477" s="7"/>
      <c r="E477" s="161"/>
      <c r="F477" s="90"/>
    </row>
    <row r="478" ht="15.75" customHeight="1">
      <c r="A478" s="16"/>
      <c r="B478" s="7"/>
      <c r="E478" s="161"/>
      <c r="F478" s="90"/>
    </row>
    <row r="479" ht="15.75" customHeight="1">
      <c r="A479" s="16"/>
      <c r="B479" s="7"/>
      <c r="E479" s="161"/>
      <c r="F479" s="90"/>
    </row>
    <row r="480" ht="15.75" customHeight="1">
      <c r="A480" s="16"/>
      <c r="B480" s="7"/>
      <c r="E480" s="161"/>
      <c r="F480" s="90"/>
    </row>
    <row r="481" ht="15.75" customHeight="1">
      <c r="A481" s="16"/>
      <c r="B481" s="7"/>
      <c r="E481" s="161"/>
      <c r="F481" s="90"/>
    </row>
    <row r="482" ht="15.75" customHeight="1">
      <c r="A482" s="16"/>
      <c r="B482" s="7"/>
      <c r="E482" s="161"/>
      <c r="F482" s="90"/>
    </row>
    <row r="483" ht="15.75" customHeight="1">
      <c r="A483" s="16"/>
      <c r="B483" s="7"/>
      <c r="E483" s="161"/>
      <c r="F483" s="90"/>
    </row>
    <row r="484" ht="15.75" customHeight="1">
      <c r="A484" s="16"/>
      <c r="B484" s="7"/>
      <c r="E484" s="161"/>
      <c r="F484" s="90"/>
    </row>
    <row r="485" ht="15.75" customHeight="1">
      <c r="A485" s="16"/>
      <c r="B485" s="7"/>
      <c r="E485" s="161"/>
      <c r="F485" s="90"/>
    </row>
    <row r="486" ht="15.75" customHeight="1">
      <c r="A486" s="16"/>
      <c r="B486" s="7"/>
      <c r="E486" s="161"/>
      <c r="F486" s="90"/>
    </row>
    <row r="487" ht="15.75" customHeight="1">
      <c r="A487" s="16"/>
      <c r="B487" s="7"/>
      <c r="E487" s="161"/>
      <c r="F487" s="90"/>
    </row>
    <row r="488" ht="15.75" customHeight="1">
      <c r="A488" s="16"/>
      <c r="B488" s="7"/>
      <c r="E488" s="161"/>
      <c r="F488" s="90"/>
    </row>
    <row r="489" ht="15.75" customHeight="1">
      <c r="A489" s="16"/>
      <c r="B489" s="7"/>
      <c r="E489" s="161"/>
      <c r="F489" s="90"/>
    </row>
    <row r="490" ht="15.75" customHeight="1">
      <c r="A490" s="16"/>
      <c r="B490" s="7"/>
      <c r="E490" s="161"/>
      <c r="F490" s="90"/>
    </row>
    <row r="491" ht="15.75" customHeight="1">
      <c r="A491" s="16"/>
      <c r="B491" s="7"/>
      <c r="E491" s="161"/>
      <c r="F491" s="90"/>
    </row>
    <row r="492" ht="15.75" customHeight="1">
      <c r="A492" s="16"/>
      <c r="B492" s="7"/>
      <c r="E492" s="161"/>
      <c r="F492" s="90"/>
    </row>
    <row r="493" ht="15.75" customHeight="1">
      <c r="A493" s="16"/>
      <c r="B493" s="7"/>
      <c r="E493" s="161"/>
      <c r="F493" s="90"/>
    </row>
    <row r="494" ht="15.75" customHeight="1">
      <c r="A494" s="16"/>
      <c r="B494" s="7"/>
      <c r="E494" s="161"/>
      <c r="F494" s="90"/>
    </row>
    <row r="495" ht="15.75" customHeight="1">
      <c r="A495" s="16"/>
      <c r="B495" s="7"/>
      <c r="E495" s="161"/>
      <c r="F495" s="90"/>
    </row>
    <row r="496" ht="15.75" customHeight="1">
      <c r="A496" s="16"/>
      <c r="B496" s="7"/>
      <c r="E496" s="161"/>
      <c r="F496" s="90"/>
    </row>
    <row r="497" ht="15.75" customHeight="1">
      <c r="A497" s="16"/>
      <c r="B497" s="7"/>
      <c r="E497" s="161"/>
      <c r="F497" s="90"/>
    </row>
    <row r="498" ht="15.75" customHeight="1">
      <c r="A498" s="16"/>
      <c r="B498" s="7"/>
      <c r="E498" s="161"/>
      <c r="F498" s="90"/>
    </row>
    <row r="499" ht="15.75" customHeight="1">
      <c r="A499" s="16"/>
      <c r="B499" s="7"/>
      <c r="E499" s="161"/>
      <c r="F499" s="90"/>
    </row>
    <row r="500" ht="15.75" customHeight="1">
      <c r="A500" s="16"/>
      <c r="B500" s="7"/>
      <c r="E500" s="161"/>
      <c r="F500" s="90"/>
    </row>
    <row r="501" ht="15.75" customHeight="1">
      <c r="A501" s="16"/>
      <c r="B501" s="7"/>
      <c r="E501" s="161"/>
      <c r="F501" s="90"/>
    </row>
    <row r="502" ht="15.75" customHeight="1">
      <c r="A502" s="16"/>
      <c r="B502" s="7"/>
      <c r="E502" s="161"/>
      <c r="F502" s="90"/>
    </row>
    <row r="503" ht="15.75" customHeight="1">
      <c r="A503" s="16"/>
      <c r="B503" s="7"/>
      <c r="E503" s="161"/>
      <c r="F503" s="90"/>
    </row>
    <row r="504" ht="15.75" customHeight="1">
      <c r="A504" s="16"/>
      <c r="B504" s="7"/>
      <c r="E504" s="161"/>
      <c r="F504" s="90"/>
    </row>
    <row r="505" ht="15.75" customHeight="1">
      <c r="A505" s="16"/>
      <c r="B505" s="7"/>
      <c r="E505" s="161"/>
      <c r="F505" s="90"/>
    </row>
    <row r="506" ht="15.75" customHeight="1">
      <c r="A506" s="16"/>
      <c r="B506" s="7"/>
      <c r="E506" s="161"/>
      <c r="F506" s="90"/>
    </row>
    <row r="507" ht="15.75" customHeight="1">
      <c r="A507" s="16"/>
      <c r="B507" s="7"/>
      <c r="E507" s="161"/>
      <c r="F507" s="90"/>
    </row>
    <row r="508" ht="15.75" customHeight="1">
      <c r="A508" s="16"/>
      <c r="B508" s="7"/>
      <c r="E508" s="161"/>
      <c r="F508" s="90"/>
    </row>
    <row r="509" ht="15.75" customHeight="1">
      <c r="A509" s="16"/>
      <c r="B509" s="7"/>
      <c r="E509" s="161"/>
      <c r="F509" s="90"/>
    </row>
    <row r="510" ht="15.75" customHeight="1">
      <c r="A510" s="16"/>
      <c r="B510" s="7"/>
      <c r="E510" s="161"/>
      <c r="F510" s="90"/>
    </row>
    <row r="511" ht="15.75" customHeight="1">
      <c r="A511" s="16"/>
      <c r="B511" s="7"/>
      <c r="E511" s="161"/>
      <c r="F511" s="90"/>
    </row>
    <row r="512" ht="15.75" customHeight="1">
      <c r="A512" s="16"/>
      <c r="B512" s="7"/>
      <c r="E512" s="161"/>
      <c r="F512" s="90"/>
    </row>
    <row r="513" ht="15.75" customHeight="1">
      <c r="A513" s="16"/>
      <c r="B513" s="7"/>
      <c r="E513" s="161"/>
      <c r="F513" s="90"/>
    </row>
    <row r="514" ht="15.75" customHeight="1">
      <c r="A514" s="16"/>
      <c r="B514" s="7"/>
      <c r="E514" s="161"/>
      <c r="F514" s="90"/>
    </row>
    <row r="515" ht="15.75" customHeight="1">
      <c r="A515" s="16"/>
      <c r="B515" s="7"/>
      <c r="E515" s="161"/>
      <c r="F515" s="90"/>
    </row>
    <row r="516" ht="15.75" customHeight="1">
      <c r="A516" s="16"/>
      <c r="B516" s="7"/>
      <c r="E516" s="161"/>
      <c r="F516" s="90"/>
    </row>
    <row r="517" ht="15.75" customHeight="1">
      <c r="A517" s="16"/>
      <c r="B517" s="7"/>
      <c r="E517" s="161"/>
      <c r="F517" s="90"/>
    </row>
    <row r="518" ht="15.75" customHeight="1">
      <c r="A518" s="16"/>
      <c r="B518" s="7"/>
      <c r="E518" s="161"/>
      <c r="F518" s="90"/>
    </row>
    <row r="519" ht="15.75" customHeight="1">
      <c r="A519" s="16"/>
      <c r="B519" s="7"/>
      <c r="E519" s="161"/>
      <c r="F519" s="90"/>
    </row>
    <row r="520" ht="15.75" customHeight="1">
      <c r="A520" s="16"/>
      <c r="B520" s="7"/>
      <c r="E520" s="161"/>
      <c r="F520" s="90"/>
    </row>
    <row r="521" ht="15.75" customHeight="1">
      <c r="A521" s="16"/>
      <c r="B521" s="7"/>
      <c r="E521" s="161"/>
      <c r="F521" s="90"/>
    </row>
    <row r="522" ht="15.75" customHeight="1">
      <c r="A522" s="16"/>
      <c r="B522" s="7"/>
      <c r="E522" s="161"/>
      <c r="F522" s="90"/>
    </row>
    <row r="523" ht="15.75" customHeight="1">
      <c r="A523" s="16"/>
      <c r="B523" s="7"/>
      <c r="E523" s="161"/>
      <c r="F523" s="90"/>
    </row>
    <row r="524" ht="15.75" customHeight="1">
      <c r="A524" s="16"/>
      <c r="B524" s="7"/>
      <c r="E524" s="161"/>
      <c r="F524" s="90"/>
    </row>
    <row r="525" ht="15.75" customHeight="1">
      <c r="A525" s="16"/>
      <c r="B525" s="7"/>
      <c r="E525" s="161"/>
      <c r="F525" s="90"/>
    </row>
    <row r="526" ht="15.75" customHeight="1">
      <c r="A526" s="16"/>
      <c r="B526" s="7"/>
      <c r="E526" s="161"/>
      <c r="F526" s="90"/>
    </row>
    <row r="527" ht="15.75" customHeight="1">
      <c r="A527" s="16"/>
      <c r="B527" s="7"/>
      <c r="E527" s="161"/>
      <c r="F527" s="90"/>
    </row>
    <row r="528" ht="15.75" customHeight="1">
      <c r="A528" s="16"/>
      <c r="B528" s="7"/>
      <c r="E528" s="161"/>
      <c r="F528" s="90"/>
    </row>
    <row r="529" ht="15.75" customHeight="1">
      <c r="A529" s="16"/>
      <c r="B529" s="7"/>
      <c r="E529" s="161"/>
      <c r="F529" s="90"/>
    </row>
    <row r="530" ht="15.75" customHeight="1">
      <c r="A530" s="16"/>
      <c r="B530" s="7"/>
      <c r="E530" s="161"/>
      <c r="F530" s="90"/>
    </row>
    <row r="531" ht="15.75" customHeight="1">
      <c r="A531" s="16"/>
      <c r="B531" s="7"/>
      <c r="E531" s="161"/>
      <c r="F531" s="90"/>
    </row>
    <row r="532" ht="15.75" customHeight="1">
      <c r="A532" s="16"/>
      <c r="B532" s="7"/>
      <c r="E532" s="161"/>
      <c r="F532" s="90"/>
    </row>
    <row r="533" ht="15.75" customHeight="1">
      <c r="A533" s="16"/>
      <c r="B533" s="7"/>
      <c r="E533" s="161"/>
      <c r="F533" s="90"/>
    </row>
    <row r="534" ht="15.75" customHeight="1">
      <c r="A534" s="16"/>
      <c r="B534" s="7"/>
      <c r="E534" s="161"/>
      <c r="F534" s="90"/>
    </row>
    <row r="535" ht="15.75" customHeight="1">
      <c r="A535" s="16"/>
      <c r="B535" s="7"/>
      <c r="E535" s="161"/>
      <c r="F535" s="90"/>
    </row>
    <row r="536" ht="15.75" customHeight="1">
      <c r="A536" s="16"/>
      <c r="B536" s="7"/>
      <c r="E536" s="161"/>
      <c r="F536" s="90"/>
    </row>
    <row r="537" ht="15.75" customHeight="1">
      <c r="A537" s="16"/>
      <c r="B537" s="7"/>
      <c r="E537" s="161"/>
      <c r="F537" s="90"/>
    </row>
    <row r="538" ht="15.75" customHeight="1">
      <c r="A538" s="16"/>
      <c r="B538" s="7"/>
      <c r="E538" s="161"/>
      <c r="F538" s="90"/>
    </row>
    <row r="539" ht="15.75" customHeight="1">
      <c r="A539" s="16"/>
      <c r="B539" s="7"/>
      <c r="E539" s="161"/>
      <c r="F539" s="90"/>
    </row>
    <row r="540" ht="15.75" customHeight="1">
      <c r="A540" s="16"/>
      <c r="B540" s="7"/>
      <c r="E540" s="161"/>
      <c r="F540" s="90"/>
    </row>
    <row r="541" ht="15.75" customHeight="1">
      <c r="A541" s="16"/>
      <c r="B541" s="7"/>
      <c r="E541" s="161"/>
      <c r="F541" s="90"/>
    </row>
    <row r="542" ht="15.75" customHeight="1">
      <c r="A542" s="16"/>
      <c r="B542" s="7"/>
      <c r="E542" s="161"/>
      <c r="F542" s="90"/>
    </row>
    <row r="543" ht="15.75" customHeight="1">
      <c r="A543" s="16"/>
      <c r="B543" s="7"/>
      <c r="E543" s="161"/>
      <c r="F543" s="90"/>
    </row>
    <row r="544" ht="15.75" customHeight="1">
      <c r="A544" s="16"/>
      <c r="B544" s="7"/>
      <c r="E544" s="161"/>
      <c r="F544" s="90"/>
    </row>
    <row r="545" ht="15.75" customHeight="1">
      <c r="A545" s="16"/>
      <c r="B545" s="7"/>
      <c r="E545" s="161"/>
      <c r="F545" s="90"/>
    </row>
    <row r="546" ht="15.75" customHeight="1">
      <c r="A546" s="16"/>
      <c r="B546" s="7"/>
      <c r="E546" s="161"/>
      <c r="F546" s="90"/>
    </row>
    <row r="547" ht="15.75" customHeight="1">
      <c r="A547" s="16"/>
      <c r="B547" s="7"/>
      <c r="E547" s="161"/>
      <c r="F547" s="90"/>
    </row>
    <row r="548" ht="15.75" customHeight="1">
      <c r="A548" s="16"/>
      <c r="B548" s="7"/>
      <c r="E548" s="161"/>
      <c r="F548" s="90"/>
    </row>
    <row r="549" ht="15.75" customHeight="1">
      <c r="A549" s="16"/>
      <c r="B549" s="7"/>
      <c r="E549" s="161"/>
      <c r="F549" s="90"/>
    </row>
    <row r="550" ht="15.75" customHeight="1">
      <c r="A550" s="16"/>
      <c r="B550" s="7"/>
      <c r="E550" s="161"/>
      <c r="F550" s="90"/>
    </row>
    <row r="551" ht="15.75" customHeight="1">
      <c r="A551" s="16"/>
      <c r="B551" s="7"/>
      <c r="E551" s="161"/>
      <c r="F551" s="90"/>
    </row>
    <row r="552" ht="15.75" customHeight="1">
      <c r="A552" s="16"/>
      <c r="B552" s="7"/>
      <c r="E552" s="161"/>
      <c r="F552" s="90"/>
    </row>
    <row r="553" ht="15.75" customHeight="1">
      <c r="A553" s="16"/>
      <c r="B553" s="7"/>
      <c r="E553" s="161"/>
      <c r="F553" s="90"/>
    </row>
    <row r="554" ht="15.75" customHeight="1">
      <c r="A554" s="16"/>
      <c r="B554" s="7"/>
      <c r="E554" s="161"/>
      <c r="F554" s="90"/>
    </row>
    <row r="555" ht="15.75" customHeight="1">
      <c r="A555" s="16"/>
      <c r="B555" s="7"/>
      <c r="E555" s="161"/>
      <c r="F555" s="90"/>
    </row>
    <row r="556" ht="15.75" customHeight="1">
      <c r="A556" s="16"/>
      <c r="B556" s="7"/>
      <c r="E556" s="161"/>
      <c r="F556" s="90"/>
    </row>
    <row r="557" ht="15.75" customHeight="1">
      <c r="A557" s="16"/>
      <c r="B557" s="7"/>
      <c r="E557" s="161"/>
      <c r="F557" s="90"/>
    </row>
    <row r="558" ht="15.75" customHeight="1">
      <c r="A558" s="16"/>
      <c r="B558" s="7"/>
      <c r="E558" s="161"/>
      <c r="F558" s="90"/>
    </row>
    <row r="559" ht="15.75" customHeight="1">
      <c r="A559" s="16"/>
      <c r="B559" s="7"/>
      <c r="E559" s="161"/>
      <c r="F559" s="90"/>
    </row>
    <row r="560" ht="15.75" customHeight="1">
      <c r="A560" s="16"/>
      <c r="B560" s="7"/>
      <c r="E560" s="161"/>
      <c r="F560" s="90"/>
    </row>
    <row r="561" ht="15.75" customHeight="1">
      <c r="A561" s="16"/>
      <c r="B561" s="7"/>
      <c r="E561" s="161"/>
      <c r="F561" s="90"/>
    </row>
    <row r="562" ht="15.75" customHeight="1">
      <c r="A562" s="16"/>
      <c r="B562" s="7"/>
      <c r="E562" s="161"/>
      <c r="F562" s="90"/>
    </row>
    <row r="563" ht="15.75" customHeight="1">
      <c r="A563" s="16"/>
      <c r="B563" s="7"/>
      <c r="E563" s="161"/>
      <c r="F563" s="90"/>
    </row>
    <row r="564" ht="15.75" customHeight="1">
      <c r="A564" s="16"/>
      <c r="B564" s="7"/>
      <c r="E564" s="161"/>
      <c r="F564" s="90"/>
    </row>
    <row r="565" ht="15.75" customHeight="1">
      <c r="A565" s="16"/>
      <c r="B565" s="7"/>
      <c r="E565" s="161"/>
      <c r="F565" s="90"/>
    </row>
    <row r="566" ht="15.75" customHeight="1">
      <c r="A566" s="16"/>
      <c r="B566" s="7"/>
      <c r="E566" s="161"/>
      <c r="F566" s="90"/>
    </row>
    <row r="567" ht="15.75" customHeight="1">
      <c r="A567" s="16"/>
      <c r="B567" s="7"/>
      <c r="E567" s="161"/>
      <c r="F567" s="90"/>
    </row>
    <row r="568" ht="15.75" customHeight="1">
      <c r="A568" s="16"/>
      <c r="B568" s="7"/>
      <c r="E568" s="161"/>
      <c r="F568" s="90"/>
    </row>
    <row r="569" ht="15.75" customHeight="1">
      <c r="A569" s="16"/>
      <c r="B569" s="7"/>
      <c r="E569" s="161"/>
      <c r="F569" s="90"/>
    </row>
    <row r="570" ht="15.75" customHeight="1">
      <c r="A570" s="16"/>
      <c r="B570" s="7"/>
      <c r="E570" s="161"/>
      <c r="F570" s="90"/>
    </row>
    <row r="571" ht="15.75" customHeight="1">
      <c r="A571" s="16"/>
      <c r="B571" s="7"/>
      <c r="E571" s="161"/>
      <c r="F571" s="90"/>
    </row>
    <row r="572" ht="15.75" customHeight="1">
      <c r="A572" s="16"/>
      <c r="B572" s="7"/>
      <c r="E572" s="161"/>
      <c r="F572" s="90"/>
    </row>
    <row r="573" ht="15.75" customHeight="1">
      <c r="A573" s="16"/>
      <c r="B573" s="7"/>
      <c r="E573" s="161"/>
      <c r="F573" s="90"/>
    </row>
    <row r="574" ht="15.75" customHeight="1">
      <c r="A574" s="16"/>
      <c r="B574" s="7"/>
      <c r="E574" s="161"/>
      <c r="F574" s="90"/>
    </row>
    <row r="575" ht="15.75" customHeight="1">
      <c r="A575" s="16"/>
      <c r="B575" s="7"/>
      <c r="E575" s="161"/>
      <c r="F575" s="90"/>
    </row>
    <row r="576" ht="15.75" customHeight="1">
      <c r="A576" s="16"/>
      <c r="B576" s="7"/>
      <c r="E576" s="161"/>
      <c r="F576" s="90"/>
    </row>
    <row r="577" ht="15.75" customHeight="1">
      <c r="A577" s="16"/>
      <c r="B577" s="7"/>
      <c r="E577" s="161"/>
      <c r="F577" s="90"/>
    </row>
    <row r="578" ht="15.75" customHeight="1">
      <c r="A578" s="16"/>
      <c r="B578" s="7"/>
      <c r="E578" s="161"/>
      <c r="F578" s="90"/>
    </row>
    <row r="579" ht="15.75" customHeight="1">
      <c r="A579" s="16"/>
      <c r="B579" s="7"/>
      <c r="E579" s="161"/>
      <c r="F579" s="90"/>
    </row>
    <row r="580" ht="15.75" customHeight="1">
      <c r="A580" s="16"/>
      <c r="B580" s="7"/>
      <c r="E580" s="161"/>
      <c r="F580" s="90"/>
    </row>
    <row r="581" ht="15.75" customHeight="1">
      <c r="A581" s="16"/>
      <c r="B581" s="7"/>
      <c r="E581" s="161"/>
      <c r="F581" s="90"/>
    </row>
    <row r="582" ht="15.75" customHeight="1">
      <c r="A582" s="16"/>
      <c r="B582" s="7"/>
      <c r="E582" s="161"/>
      <c r="F582" s="90"/>
    </row>
    <row r="583" ht="15.75" customHeight="1">
      <c r="A583" s="16"/>
      <c r="B583" s="7"/>
      <c r="E583" s="161"/>
      <c r="F583" s="90"/>
    </row>
    <row r="584" ht="15.75" customHeight="1">
      <c r="A584" s="16"/>
      <c r="B584" s="7"/>
      <c r="E584" s="161"/>
      <c r="F584" s="90"/>
    </row>
    <row r="585" ht="15.75" customHeight="1">
      <c r="A585" s="16"/>
      <c r="B585" s="7"/>
      <c r="E585" s="161"/>
      <c r="F585" s="90"/>
    </row>
    <row r="586" ht="15.75" customHeight="1">
      <c r="A586" s="16"/>
      <c r="B586" s="7"/>
      <c r="E586" s="161"/>
      <c r="F586" s="90"/>
    </row>
    <row r="587" ht="15.75" customHeight="1">
      <c r="A587" s="16"/>
      <c r="B587" s="7"/>
      <c r="E587" s="161"/>
      <c r="F587" s="90"/>
    </row>
    <row r="588" ht="15.75" customHeight="1">
      <c r="A588" s="16"/>
      <c r="B588" s="7"/>
      <c r="E588" s="161"/>
      <c r="F588" s="90"/>
    </row>
    <row r="589" ht="15.75" customHeight="1">
      <c r="A589" s="16"/>
      <c r="B589" s="7"/>
      <c r="E589" s="161"/>
      <c r="F589" s="90"/>
    </row>
    <row r="590" ht="15.75" customHeight="1">
      <c r="A590" s="16"/>
      <c r="B590" s="7"/>
      <c r="E590" s="161"/>
      <c r="F590" s="90"/>
    </row>
    <row r="591" ht="15.75" customHeight="1">
      <c r="A591" s="16"/>
      <c r="B591" s="7"/>
      <c r="E591" s="161"/>
      <c r="F591" s="90"/>
    </row>
    <row r="592" ht="15.75" customHeight="1">
      <c r="A592" s="16"/>
      <c r="B592" s="7"/>
      <c r="E592" s="161"/>
      <c r="F592" s="90"/>
    </row>
    <row r="593" ht="15.75" customHeight="1">
      <c r="A593" s="16"/>
      <c r="B593" s="7"/>
      <c r="E593" s="161"/>
      <c r="F593" s="90"/>
    </row>
    <row r="594" ht="15.75" customHeight="1">
      <c r="A594" s="16"/>
      <c r="B594" s="7"/>
      <c r="E594" s="161"/>
      <c r="F594" s="90"/>
    </row>
    <row r="595" ht="15.75" customHeight="1">
      <c r="A595" s="16"/>
      <c r="B595" s="7"/>
      <c r="E595" s="161"/>
      <c r="F595" s="90"/>
    </row>
    <row r="596" ht="15.75" customHeight="1">
      <c r="A596" s="16"/>
      <c r="B596" s="7"/>
      <c r="E596" s="161"/>
      <c r="F596" s="90"/>
    </row>
    <row r="597" ht="15.75" customHeight="1">
      <c r="A597" s="16"/>
      <c r="B597" s="7"/>
      <c r="E597" s="161"/>
      <c r="F597" s="90"/>
    </row>
    <row r="598" ht="15.75" customHeight="1">
      <c r="A598" s="16"/>
      <c r="B598" s="7"/>
      <c r="E598" s="161"/>
      <c r="F598" s="90"/>
    </row>
    <row r="599" ht="15.75" customHeight="1">
      <c r="A599" s="16"/>
      <c r="B599" s="7"/>
      <c r="E599" s="161"/>
      <c r="F599" s="90"/>
    </row>
    <row r="600" ht="15.75" customHeight="1">
      <c r="A600" s="16"/>
      <c r="B600" s="7"/>
      <c r="E600" s="161"/>
      <c r="F600" s="90"/>
    </row>
    <row r="601" ht="15.75" customHeight="1">
      <c r="A601" s="16"/>
      <c r="B601" s="7"/>
      <c r="E601" s="161"/>
      <c r="F601" s="90"/>
    </row>
    <row r="602" ht="15.75" customHeight="1">
      <c r="A602" s="16"/>
      <c r="B602" s="7"/>
      <c r="E602" s="161"/>
      <c r="F602" s="90"/>
    </row>
    <row r="603" ht="15.75" customHeight="1">
      <c r="A603" s="16"/>
      <c r="B603" s="7"/>
      <c r="E603" s="161"/>
      <c r="F603" s="90"/>
    </row>
    <row r="604" ht="15.75" customHeight="1">
      <c r="A604" s="16"/>
      <c r="B604" s="7"/>
      <c r="E604" s="161"/>
      <c r="F604" s="90"/>
    </row>
    <row r="605" ht="15.75" customHeight="1">
      <c r="A605" s="16"/>
      <c r="B605" s="7"/>
      <c r="E605" s="161"/>
      <c r="F605" s="90"/>
    </row>
    <row r="606" ht="15.75" customHeight="1">
      <c r="A606" s="16"/>
      <c r="B606" s="7"/>
      <c r="E606" s="161"/>
      <c r="F606" s="90"/>
    </row>
    <row r="607" ht="15.75" customHeight="1">
      <c r="A607" s="16"/>
      <c r="B607" s="7"/>
      <c r="E607" s="161"/>
      <c r="F607" s="90"/>
    </row>
    <row r="608" ht="15.75" customHeight="1">
      <c r="A608" s="16"/>
      <c r="B608" s="7"/>
      <c r="E608" s="161"/>
      <c r="F608" s="90"/>
    </row>
    <row r="609" ht="15.75" customHeight="1">
      <c r="A609" s="16"/>
      <c r="B609" s="7"/>
      <c r="E609" s="161"/>
      <c r="F609" s="90"/>
    </row>
    <row r="610" ht="15.75" customHeight="1">
      <c r="A610" s="16"/>
      <c r="B610" s="7"/>
      <c r="E610" s="161"/>
      <c r="F610" s="90"/>
    </row>
    <row r="611" ht="15.75" customHeight="1">
      <c r="A611" s="16"/>
      <c r="B611" s="7"/>
      <c r="E611" s="161"/>
      <c r="F611" s="90"/>
    </row>
    <row r="612" ht="15.75" customHeight="1">
      <c r="A612" s="16"/>
      <c r="B612" s="7"/>
      <c r="E612" s="161"/>
      <c r="F612" s="90"/>
    </row>
    <row r="613" ht="15.75" customHeight="1">
      <c r="A613" s="16"/>
      <c r="B613" s="7"/>
      <c r="E613" s="161"/>
      <c r="F613" s="90"/>
    </row>
    <row r="614" ht="15.75" customHeight="1">
      <c r="A614" s="16"/>
      <c r="B614" s="7"/>
      <c r="E614" s="161"/>
      <c r="F614" s="90"/>
    </row>
    <row r="615" ht="15.75" customHeight="1">
      <c r="A615" s="16"/>
      <c r="B615" s="7"/>
      <c r="E615" s="161"/>
      <c r="F615" s="90"/>
    </row>
    <row r="616" ht="15.75" customHeight="1">
      <c r="A616" s="16"/>
      <c r="B616" s="7"/>
      <c r="E616" s="161"/>
      <c r="F616" s="90"/>
    </row>
    <row r="617" ht="15.75" customHeight="1">
      <c r="A617" s="16"/>
      <c r="B617" s="7"/>
      <c r="E617" s="161"/>
      <c r="F617" s="90"/>
    </row>
    <row r="618" ht="15.75" customHeight="1">
      <c r="A618" s="16"/>
      <c r="B618" s="7"/>
      <c r="E618" s="161"/>
      <c r="F618" s="90"/>
    </row>
    <row r="619" ht="15.75" customHeight="1">
      <c r="A619" s="16"/>
      <c r="B619" s="7"/>
      <c r="E619" s="161"/>
      <c r="F619" s="90"/>
    </row>
    <row r="620" ht="15.75" customHeight="1">
      <c r="A620" s="16"/>
      <c r="B620" s="7"/>
      <c r="E620" s="161"/>
      <c r="F620" s="90"/>
    </row>
    <row r="621" ht="15.75" customHeight="1">
      <c r="A621" s="16"/>
      <c r="B621" s="7"/>
      <c r="E621" s="161"/>
      <c r="F621" s="90"/>
    </row>
    <row r="622" ht="15.75" customHeight="1">
      <c r="A622" s="16"/>
      <c r="B622" s="7"/>
      <c r="E622" s="161"/>
      <c r="F622" s="90"/>
    </row>
    <row r="623" ht="15.75" customHeight="1">
      <c r="A623" s="16"/>
      <c r="B623" s="7"/>
      <c r="E623" s="161"/>
      <c r="F623" s="90"/>
    </row>
    <row r="624" ht="15.75" customHeight="1">
      <c r="A624" s="16"/>
      <c r="B624" s="7"/>
      <c r="E624" s="161"/>
      <c r="F624" s="90"/>
    </row>
    <row r="625" ht="15.75" customHeight="1">
      <c r="A625" s="16"/>
      <c r="B625" s="7"/>
      <c r="E625" s="161"/>
      <c r="F625" s="90"/>
    </row>
    <row r="626" ht="15.75" customHeight="1">
      <c r="A626" s="16"/>
      <c r="B626" s="7"/>
      <c r="E626" s="161"/>
      <c r="F626" s="90"/>
    </row>
    <row r="627" ht="15.75" customHeight="1">
      <c r="A627" s="16"/>
      <c r="B627" s="7"/>
      <c r="E627" s="161"/>
      <c r="F627" s="90"/>
    </row>
    <row r="628" ht="15.75" customHeight="1">
      <c r="A628" s="16"/>
      <c r="B628" s="7"/>
      <c r="E628" s="161"/>
      <c r="F628" s="90"/>
    </row>
    <row r="629" ht="15.75" customHeight="1">
      <c r="A629" s="16"/>
      <c r="B629" s="7"/>
      <c r="E629" s="161"/>
      <c r="F629" s="90"/>
    </row>
    <row r="630" ht="15.75" customHeight="1">
      <c r="A630" s="16"/>
      <c r="B630" s="7"/>
      <c r="E630" s="161"/>
      <c r="F630" s="90"/>
    </row>
    <row r="631" ht="15.75" customHeight="1">
      <c r="A631" s="16"/>
      <c r="B631" s="7"/>
      <c r="E631" s="161"/>
      <c r="F631" s="90"/>
    </row>
    <row r="632" ht="15.75" customHeight="1">
      <c r="A632" s="16"/>
      <c r="B632" s="7"/>
      <c r="E632" s="161"/>
      <c r="F632" s="90"/>
    </row>
    <row r="633" ht="15.75" customHeight="1">
      <c r="A633" s="16"/>
      <c r="B633" s="7"/>
      <c r="E633" s="161"/>
      <c r="F633" s="90"/>
    </row>
    <row r="634" ht="15.75" customHeight="1">
      <c r="A634" s="16"/>
      <c r="B634" s="7"/>
      <c r="E634" s="161"/>
      <c r="F634" s="90"/>
    </row>
    <row r="635" ht="15.75" customHeight="1">
      <c r="A635" s="16"/>
      <c r="B635" s="7"/>
      <c r="E635" s="161"/>
      <c r="F635" s="90"/>
    </row>
    <row r="636" ht="15.75" customHeight="1">
      <c r="A636" s="16"/>
      <c r="B636" s="7"/>
      <c r="E636" s="161"/>
      <c r="F636" s="90"/>
    </row>
    <row r="637" ht="15.75" customHeight="1">
      <c r="A637" s="16"/>
      <c r="B637" s="7"/>
      <c r="E637" s="161"/>
      <c r="F637" s="90"/>
    </row>
    <row r="638" ht="15.75" customHeight="1">
      <c r="A638" s="16"/>
      <c r="B638" s="7"/>
      <c r="E638" s="161"/>
      <c r="F638" s="90"/>
    </row>
    <row r="639" ht="15.75" customHeight="1">
      <c r="A639" s="16"/>
      <c r="B639" s="7"/>
      <c r="E639" s="161"/>
      <c r="F639" s="90"/>
    </row>
    <row r="640" ht="15.75" customHeight="1">
      <c r="A640" s="16"/>
      <c r="B640" s="7"/>
      <c r="E640" s="161"/>
      <c r="F640" s="90"/>
    </row>
    <row r="641" ht="15.75" customHeight="1">
      <c r="A641" s="16"/>
      <c r="B641" s="7"/>
      <c r="E641" s="161"/>
      <c r="F641" s="90"/>
    </row>
    <row r="642" ht="15.75" customHeight="1">
      <c r="A642" s="16"/>
      <c r="B642" s="7"/>
      <c r="E642" s="161"/>
      <c r="F642" s="90"/>
    </row>
    <row r="643" ht="15.75" customHeight="1">
      <c r="A643" s="16"/>
      <c r="B643" s="7"/>
      <c r="E643" s="161"/>
      <c r="F643" s="90"/>
    </row>
    <row r="644" ht="15.75" customHeight="1">
      <c r="A644" s="16"/>
      <c r="B644" s="7"/>
      <c r="E644" s="161"/>
      <c r="F644" s="90"/>
    </row>
    <row r="645" ht="15.75" customHeight="1">
      <c r="A645" s="16"/>
      <c r="B645" s="7"/>
      <c r="E645" s="161"/>
      <c r="F645" s="90"/>
    </row>
    <row r="646" ht="15.75" customHeight="1">
      <c r="A646" s="16"/>
      <c r="B646" s="7"/>
      <c r="E646" s="161"/>
      <c r="F646" s="90"/>
    </row>
    <row r="647" ht="15.75" customHeight="1">
      <c r="A647" s="16"/>
      <c r="B647" s="7"/>
      <c r="E647" s="161"/>
      <c r="F647" s="90"/>
    </row>
    <row r="648" ht="15.75" customHeight="1">
      <c r="A648" s="16"/>
      <c r="B648" s="7"/>
      <c r="E648" s="161"/>
      <c r="F648" s="90"/>
    </row>
    <row r="649" ht="15.75" customHeight="1">
      <c r="A649" s="16"/>
      <c r="B649" s="7"/>
      <c r="E649" s="161"/>
      <c r="F649" s="90"/>
    </row>
    <row r="650" ht="15.75" customHeight="1">
      <c r="A650" s="16"/>
      <c r="B650" s="7"/>
      <c r="E650" s="161"/>
      <c r="F650" s="90"/>
    </row>
    <row r="651" ht="15.75" customHeight="1">
      <c r="A651" s="16"/>
      <c r="B651" s="7"/>
      <c r="E651" s="161"/>
      <c r="F651" s="90"/>
    </row>
    <row r="652" ht="15.75" customHeight="1">
      <c r="A652" s="16"/>
      <c r="B652" s="7"/>
      <c r="E652" s="161"/>
      <c r="F652" s="90"/>
    </row>
    <row r="653" ht="15.75" customHeight="1">
      <c r="A653" s="16"/>
      <c r="B653" s="7"/>
      <c r="E653" s="161"/>
      <c r="F653" s="90"/>
    </row>
    <row r="654" ht="15.75" customHeight="1">
      <c r="A654" s="16"/>
      <c r="B654" s="7"/>
      <c r="E654" s="161"/>
      <c r="F654" s="90"/>
    </row>
    <row r="655" ht="15.75" customHeight="1">
      <c r="A655" s="16"/>
      <c r="B655" s="7"/>
      <c r="E655" s="161"/>
      <c r="F655" s="90"/>
    </row>
    <row r="656" ht="15.75" customHeight="1">
      <c r="A656" s="16"/>
      <c r="B656" s="7"/>
      <c r="E656" s="161"/>
      <c r="F656" s="90"/>
    </row>
    <row r="657" ht="15.75" customHeight="1">
      <c r="A657" s="16"/>
      <c r="B657" s="7"/>
      <c r="E657" s="161"/>
      <c r="F657" s="90"/>
    </row>
    <row r="658" ht="15.75" customHeight="1">
      <c r="A658" s="16"/>
      <c r="B658" s="7"/>
      <c r="E658" s="161"/>
      <c r="F658" s="90"/>
    </row>
    <row r="659" ht="15.75" customHeight="1">
      <c r="A659" s="16"/>
      <c r="B659" s="7"/>
      <c r="E659" s="161"/>
      <c r="F659" s="90"/>
    </row>
    <row r="660" ht="15.75" customHeight="1">
      <c r="A660" s="16"/>
      <c r="B660" s="7"/>
      <c r="E660" s="161"/>
      <c r="F660" s="90"/>
    </row>
    <row r="661" ht="15.75" customHeight="1">
      <c r="A661" s="16"/>
      <c r="B661" s="7"/>
      <c r="E661" s="161"/>
      <c r="F661" s="90"/>
    </row>
    <row r="662" ht="15.75" customHeight="1">
      <c r="A662" s="16"/>
      <c r="B662" s="7"/>
      <c r="E662" s="161"/>
      <c r="F662" s="90"/>
    </row>
    <row r="663" ht="15.75" customHeight="1">
      <c r="A663" s="16"/>
      <c r="B663" s="7"/>
      <c r="E663" s="161"/>
      <c r="F663" s="90"/>
    </row>
    <row r="664" ht="15.75" customHeight="1">
      <c r="A664" s="16"/>
      <c r="B664" s="7"/>
      <c r="E664" s="161"/>
      <c r="F664" s="90"/>
    </row>
    <row r="665" ht="15.75" customHeight="1">
      <c r="A665" s="16"/>
      <c r="B665" s="7"/>
      <c r="E665" s="161"/>
      <c r="F665" s="90"/>
    </row>
    <row r="666" ht="15.75" customHeight="1">
      <c r="A666" s="16"/>
      <c r="B666" s="7"/>
      <c r="E666" s="161"/>
      <c r="F666" s="90"/>
    </row>
    <row r="667" ht="15.75" customHeight="1">
      <c r="A667" s="16"/>
      <c r="B667" s="7"/>
      <c r="E667" s="161"/>
      <c r="F667" s="90"/>
    </row>
    <row r="668" ht="15.75" customHeight="1">
      <c r="A668" s="16"/>
      <c r="B668" s="7"/>
      <c r="E668" s="161"/>
      <c r="F668" s="90"/>
    </row>
    <row r="669" ht="15.75" customHeight="1">
      <c r="A669" s="16"/>
      <c r="B669" s="7"/>
      <c r="E669" s="161"/>
      <c r="F669" s="90"/>
    </row>
    <row r="670" ht="15.75" customHeight="1">
      <c r="A670" s="16"/>
      <c r="B670" s="7"/>
      <c r="E670" s="161"/>
      <c r="F670" s="90"/>
    </row>
    <row r="671" ht="15.75" customHeight="1">
      <c r="A671" s="16"/>
      <c r="B671" s="7"/>
      <c r="E671" s="161"/>
      <c r="F671" s="90"/>
    </row>
    <row r="672" ht="15.75" customHeight="1">
      <c r="A672" s="16"/>
      <c r="B672" s="7"/>
      <c r="E672" s="161"/>
      <c r="F672" s="90"/>
    </row>
    <row r="673" ht="15.75" customHeight="1">
      <c r="A673" s="16"/>
      <c r="B673" s="7"/>
      <c r="E673" s="161"/>
      <c r="F673" s="90"/>
    </row>
    <row r="674" ht="15.75" customHeight="1">
      <c r="A674" s="16"/>
      <c r="B674" s="7"/>
      <c r="E674" s="161"/>
      <c r="F674" s="90"/>
    </row>
    <row r="675" ht="15.75" customHeight="1">
      <c r="A675" s="16"/>
      <c r="B675" s="7"/>
      <c r="E675" s="161"/>
      <c r="F675" s="90"/>
    </row>
    <row r="676" ht="15.75" customHeight="1">
      <c r="A676" s="16"/>
      <c r="B676" s="7"/>
      <c r="E676" s="161"/>
      <c r="F676" s="90"/>
    </row>
    <row r="677" ht="15.75" customHeight="1">
      <c r="A677" s="16"/>
      <c r="B677" s="7"/>
      <c r="E677" s="161"/>
      <c r="F677" s="90"/>
    </row>
    <row r="678" ht="15.75" customHeight="1">
      <c r="A678" s="16"/>
      <c r="B678" s="7"/>
      <c r="E678" s="161"/>
      <c r="F678" s="90"/>
    </row>
    <row r="679" ht="15.75" customHeight="1">
      <c r="A679" s="16"/>
      <c r="B679" s="7"/>
      <c r="E679" s="161"/>
      <c r="F679" s="90"/>
    </row>
    <row r="680" ht="15.75" customHeight="1">
      <c r="A680" s="16"/>
      <c r="B680" s="7"/>
      <c r="E680" s="161"/>
      <c r="F680" s="90"/>
    </row>
    <row r="681" ht="15.75" customHeight="1">
      <c r="A681" s="16"/>
      <c r="B681" s="7"/>
      <c r="E681" s="161"/>
      <c r="F681" s="90"/>
    </row>
    <row r="682" ht="15.75" customHeight="1">
      <c r="A682" s="16"/>
      <c r="B682" s="7"/>
      <c r="E682" s="161"/>
      <c r="F682" s="90"/>
    </row>
    <row r="683" ht="15.75" customHeight="1">
      <c r="A683" s="16"/>
      <c r="B683" s="7"/>
      <c r="E683" s="161"/>
      <c r="F683" s="90"/>
    </row>
    <row r="684" ht="15.75" customHeight="1">
      <c r="A684" s="16"/>
      <c r="B684" s="7"/>
      <c r="E684" s="161"/>
      <c r="F684" s="90"/>
    </row>
    <row r="685" ht="15.75" customHeight="1">
      <c r="A685" s="16"/>
      <c r="B685" s="7"/>
      <c r="E685" s="161"/>
      <c r="F685" s="90"/>
    </row>
    <row r="686" ht="15.75" customHeight="1">
      <c r="A686" s="16"/>
      <c r="B686" s="7"/>
      <c r="E686" s="161"/>
      <c r="F686" s="90"/>
    </row>
    <row r="687" ht="15.75" customHeight="1">
      <c r="A687" s="16"/>
      <c r="B687" s="7"/>
      <c r="E687" s="161"/>
      <c r="F687" s="90"/>
    </row>
    <row r="688" ht="15.75" customHeight="1">
      <c r="A688" s="16"/>
      <c r="B688" s="7"/>
      <c r="E688" s="161"/>
      <c r="F688" s="90"/>
    </row>
    <row r="689" ht="15.75" customHeight="1">
      <c r="A689" s="16"/>
      <c r="B689" s="7"/>
      <c r="E689" s="161"/>
      <c r="F689" s="90"/>
    </row>
    <row r="690" ht="15.75" customHeight="1">
      <c r="A690" s="16"/>
      <c r="B690" s="7"/>
      <c r="E690" s="161"/>
      <c r="F690" s="90"/>
    </row>
    <row r="691" ht="15.75" customHeight="1">
      <c r="A691" s="16"/>
      <c r="B691" s="7"/>
      <c r="E691" s="161"/>
      <c r="F691" s="90"/>
    </row>
    <row r="692" ht="15.75" customHeight="1">
      <c r="A692" s="16"/>
      <c r="B692" s="7"/>
      <c r="E692" s="161"/>
      <c r="F692" s="90"/>
    </row>
    <row r="693" ht="15.75" customHeight="1">
      <c r="A693" s="16"/>
      <c r="B693" s="7"/>
      <c r="E693" s="161"/>
      <c r="F693" s="90"/>
    </row>
    <row r="694" ht="15.75" customHeight="1">
      <c r="A694" s="16"/>
      <c r="B694" s="7"/>
      <c r="E694" s="161"/>
      <c r="F694" s="90"/>
    </row>
    <row r="695" ht="15.75" customHeight="1">
      <c r="A695" s="16"/>
      <c r="B695" s="7"/>
      <c r="E695" s="161"/>
      <c r="F695" s="90"/>
    </row>
    <row r="696" ht="15.75" customHeight="1">
      <c r="A696" s="16"/>
      <c r="B696" s="7"/>
      <c r="E696" s="161"/>
      <c r="F696" s="90"/>
    </row>
    <row r="697" ht="15.75" customHeight="1">
      <c r="A697" s="16"/>
      <c r="B697" s="7"/>
      <c r="E697" s="161"/>
      <c r="F697" s="90"/>
    </row>
    <row r="698" ht="15.75" customHeight="1">
      <c r="A698" s="16"/>
      <c r="B698" s="7"/>
      <c r="E698" s="161"/>
      <c r="F698" s="90"/>
    </row>
    <row r="699" ht="15.75" customHeight="1">
      <c r="A699" s="16"/>
      <c r="B699" s="7"/>
      <c r="E699" s="161"/>
      <c r="F699" s="90"/>
    </row>
    <row r="700" ht="15.75" customHeight="1">
      <c r="A700" s="16"/>
      <c r="B700" s="7"/>
      <c r="E700" s="161"/>
      <c r="F700" s="90"/>
    </row>
    <row r="701" ht="15.75" customHeight="1">
      <c r="A701" s="16"/>
      <c r="B701" s="7"/>
      <c r="E701" s="161"/>
      <c r="F701" s="90"/>
    </row>
    <row r="702" ht="15.75" customHeight="1">
      <c r="A702" s="16"/>
      <c r="B702" s="7"/>
      <c r="E702" s="161"/>
      <c r="F702" s="90"/>
    </row>
    <row r="703" ht="15.75" customHeight="1">
      <c r="A703" s="16"/>
      <c r="B703" s="7"/>
      <c r="E703" s="161"/>
      <c r="F703" s="90"/>
    </row>
    <row r="704" ht="15.75" customHeight="1">
      <c r="A704" s="16"/>
      <c r="B704" s="7"/>
      <c r="E704" s="161"/>
      <c r="F704" s="90"/>
    </row>
    <row r="705" ht="15.75" customHeight="1">
      <c r="A705" s="16"/>
      <c r="B705" s="7"/>
      <c r="E705" s="161"/>
      <c r="F705" s="90"/>
    </row>
    <row r="706" ht="15.75" customHeight="1">
      <c r="A706" s="16"/>
      <c r="B706" s="7"/>
      <c r="E706" s="161"/>
      <c r="F706" s="90"/>
    </row>
    <row r="707" ht="15.75" customHeight="1">
      <c r="A707" s="16"/>
      <c r="B707" s="7"/>
      <c r="E707" s="161"/>
      <c r="F707" s="90"/>
    </row>
    <row r="708" ht="15.75" customHeight="1">
      <c r="A708" s="16"/>
      <c r="B708" s="7"/>
      <c r="E708" s="161"/>
      <c r="F708" s="90"/>
    </row>
    <row r="709" ht="15.75" customHeight="1">
      <c r="A709" s="16"/>
      <c r="B709" s="7"/>
      <c r="E709" s="161"/>
      <c r="F709" s="90"/>
    </row>
    <row r="710" ht="15.75" customHeight="1">
      <c r="A710" s="16"/>
      <c r="B710" s="7"/>
      <c r="E710" s="161"/>
      <c r="F710" s="90"/>
    </row>
    <row r="711" ht="15.75" customHeight="1">
      <c r="A711" s="16"/>
      <c r="B711" s="7"/>
      <c r="E711" s="161"/>
      <c r="F711" s="90"/>
    </row>
    <row r="712" ht="15.75" customHeight="1">
      <c r="A712" s="16"/>
      <c r="B712" s="7"/>
      <c r="E712" s="161"/>
      <c r="F712" s="90"/>
    </row>
    <row r="713" ht="15.75" customHeight="1">
      <c r="A713" s="16"/>
      <c r="B713" s="7"/>
      <c r="E713" s="161"/>
      <c r="F713" s="90"/>
    </row>
    <row r="714" ht="15.75" customHeight="1">
      <c r="A714" s="16"/>
      <c r="B714" s="7"/>
      <c r="E714" s="161"/>
      <c r="F714" s="90"/>
    </row>
    <row r="715" ht="15.75" customHeight="1">
      <c r="A715" s="16"/>
      <c r="B715" s="7"/>
      <c r="E715" s="161"/>
      <c r="F715" s="90"/>
    </row>
    <row r="716" ht="15.75" customHeight="1">
      <c r="A716" s="16"/>
      <c r="B716" s="7"/>
      <c r="E716" s="161"/>
      <c r="F716" s="90"/>
    </row>
    <row r="717" ht="15.75" customHeight="1">
      <c r="A717" s="16"/>
      <c r="B717" s="7"/>
      <c r="E717" s="161"/>
      <c r="F717" s="90"/>
    </row>
    <row r="718" ht="15.75" customHeight="1">
      <c r="A718" s="16"/>
      <c r="B718" s="7"/>
      <c r="E718" s="161"/>
      <c r="F718" s="90"/>
    </row>
    <row r="719" ht="15.75" customHeight="1">
      <c r="A719" s="16"/>
      <c r="B719" s="7"/>
      <c r="E719" s="161"/>
      <c r="F719" s="90"/>
    </row>
    <row r="720" ht="15.75" customHeight="1">
      <c r="A720" s="16"/>
      <c r="B720" s="7"/>
      <c r="E720" s="161"/>
      <c r="F720" s="90"/>
    </row>
    <row r="721" ht="15.75" customHeight="1">
      <c r="A721" s="16"/>
      <c r="B721" s="7"/>
      <c r="E721" s="161"/>
      <c r="F721" s="90"/>
    </row>
    <row r="722" ht="15.75" customHeight="1">
      <c r="A722" s="16"/>
      <c r="B722" s="7"/>
      <c r="E722" s="161"/>
      <c r="F722" s="90"/>
    </row>
    <row r="723" ht="15.75" customHeight="1">
      <c r="A723" s="16"/>
      <c r="B723" s="7"/>
      <c r="E723" s="161"/>
      <c r="F723" s="90"/>
    </row>
    <row r="724" ht="15.75" customHeight="1">
      <c r="A724" s="16"/>
      <c r="B724" s="7"/>
      <c r="E724" s="161"/>
      <c r="F724" s="90"/>
    </row>
    <row r="725" ht="15.75" customHeight="1">
      <c r="A725" s="16"/>
      <c r="B725" s="7"/>
      <c r="E725" s="161"/>
      <c r="F725" s="90"/>
    </row>
    <row r="726" ht="15.75" customHeight="1">
      <c r="A726" s="16"/>
      <c r="B726" s="7"/>
      <c r="E726" s="161"/>
      <c r="F726" s="90"/>
    </row>
    <row r="727" ht="15.75" customHeight="1">
      <c r="A727" s="16"/>
      <c r="B727" s="7"/>
      <c r="E727" s="161"/>
      <c r="F727" s="90"/>
    </row>
    <row r="728" ht="15.75" customHeight="1">
      <c r="A728" s="16"/>
      <c r="B728" s="7"/>
      <c r="E728" s="161"/>
      <c r="F728" s="90"/>
    </row>
    <row r="729" ht="15.75" customHeight="1">
      <c r="A729" s="16"/>
      <c r="B729" s="7"/>
      <c r="E729" s="161"/>
      <c r="F729" s="90"/>
    </row>
    <row r="730" ht="15.75" customHeight="1">
      <c r="A730" s="16"/>
      <c r="B730" s="7"/>
      <c r="E730" s="161"/>
      <c r="F730" s="90"/>
    </row>
    <row r="731" ht="15.75" customHeight="1">
      <c r="A731" s="16"/>
      <c r="B731" s="7"/>
      <c r="E731" s="161"/>
      <c r="F731" s="90"/>
    </row>
    <row r="732" ht="15.75" customHeight="1">
      <c r="A732" s="16"/>
      <c r="B732" s="7"/>
      <c r="E732" s="161"/>
      <c r="F732" s="90"/>
    </row>
    <row r="733" ht="15.75" customHeight="1">
      <c r="A733" s="16"/>
      <c r="B733" s="7"/>
      <c r="E733" s="161"/>
      <c r="F733" s="90"/>
    </row>
    <row r="734" ht="15.75" customHeight="1">
      <c r="A734" s="16"/>
      <c r="B734" s="7"/>
      <c r="E734" s="161"/>
      <c r="F734" s="90"/>
    </row>
    <row r="735" ht="15.75" customHeight="1">
      <c r="A735" s="16"/>
      <c r="B735" s="7"/>
      <c r="E735" s="161"/>
      <c r="F735" s="90"/>
    </row>
    <row r="736" ht="15.75" customHeight="1">
      <c r="A736" s="16"/>
      <c r="B736" s="7"/>
      <c r="E736" s="161"/>
      <c r="F736" s="90"/>
    </row>
    <row r="737" ht="15.75" customHeight="1">
      <c r="A737" s="16"/>
      <c r="B737" s="7"/>
      <c r="E737" s="161"/>
      <c r="F737" s="90"/>
    </row>
    <row r="738" ht="15.75" customHeight="1">
      <c r="A738" s="16"/>
      <c r="B738" s="7"/>
      <c r="E738" s="161"/>
      <c r="F738" s="90"/>
    </row>
    <row r="739" ht="15.75" customHeight="1">
      <c r="A739" s="16"/>
      <c r="B739" s="7"/>
      <c r="E739" s="161"/>
      <c r="F739" s="90"/>
    </row>
    <row r="740" ht="15.75" customHeight="1">
      <c r="A740" s="16"/>
      <c r="B740" s="7"/>
      <c r="E740" s="161"/>
      <c r="F740" s="90"/>
    </row>
    <row r="741" ht="15.75" customHeight="1">
      <c r="A741" s="16"/>
      <c r="B741" s="7"/>
      <c r="E741" s="161"/>
      <c r="F741" s="90"/>
    </row>
    <row r="742" ht="15.75" customHeight="1">
      <c r="A742" s="16"/>
      <c r="B742" s="7"/>
      <c r="E742" s="161"/>
      <c r="F742" s="90"/>
    </row>
    <row r="743" ht="15.75" customHeight="1">
      <c r="A743" s="16"/>
      <c r="B743" s="7"/>
      <c r="E743" s="161"/>
      <c r="F743" s="90"/>
    </row>
    <row r="744" ht="15.75" customHeight="1">
      <c r="A744" s="16"/>
      <c r="B744" s="7"/>
      <c r="E744" s="161"/>
      <c r="F744" s="90"/>
    </row>
    <row r="745" ht="15.75" customHeight="1">
      <c r="A745" s="16"/>
      <c r="B745" s="7"/>
      <c r="E745" s="161"/>
      <c r="F745" s="90"/>
    </row>
    <row r="746" ht="15.75" customHeight="1">
      <c r="A746" s="16"/>
      <c r="B746" s="7"/>
      <c r="E746" s="161"/>
      <c r="F746" s="90"/>
    </row>
    <row r="747" ht="15.75" customHeight="1">
      <c r="A747" s="16"/>
      <c r="B747" s="7"/>
      <c r="E747" s="161"/>
      <c r="F747" s="90"/>
    </row>
    <row r="748" ht="15.75" customHeight="1">
      <c r="A748" s="16"/>
      <c r="B748" s="7"/>
      <c r="E748" s="161"/>
      <c r="F748" s="90"/>
    </row>
    <row r="749" ht="15.75" customHeight="1">
      <c r="A749" s="16"/>
      <c r="B749" s="7"/>
      <c r="E749" s="161"/>
      <c r="F749" s="90"/>
    </row>
    <row r="750" ht="15.75" customHeight="1">
      <c r="A750" s="16"/>
      <c r="B750" s="7"/>
      <c r="E750" s="161"/>
      <c r="F750" s="90"/>
    </row>
    <row r="751" ht="15.75" customHeight="1">
      <c r="A751" s="16"/>
      <c r="B751" s="7"/>
      <c r="E751" s="161"/>
      <c r="F751" s="90"/>
    </row>
    <row r="752" ht="15.75" customHeight="1">
      <c r="A752" s="16"/>
      <c r="B752" s="7"/>
      <c r="E752" s="161"/>
      <c r="F752" s="90"/>
    </row>
    <row r="753" ht="15.75" customHeight="1">
      <c r="A753" s="16"/>
      <c r="B753" s="7"/>
      <c r="E753" s="161"/>
      <c r="F753" s="90"/>
    </row>
    <row r="754" ht="15.75" customHeight="1">
      <c r="A754" s="16"/>
      <c r="B754" s="7"/>
      <c r="E754" s="161"/>
      <c r="F754" s="90"/>
    </row>
    <row r="755" ht="15.75" customHeight="1">
      <c r="A755" s="16"/>
      <c r="B755" s="7"/>
      <c r="E755" s="161"/>
      <c r="F755" s="90"/>
    </row>
    <row r="756" ht="15.75" customHeight="1">
      <c r="A756" s="16"/>
      <c r="B756" s="7"/>
      <c r="E756" s="161"/>
      <c r="F756" s="90"/>
    </row>
    <row r="757" ht="15.75" customHeight="1">
      <c r="A757" s="16"/>
      <c r="B757" s="7"/>
      <c r="E757" s="161"/>
      <c r="F757" s="90"/>
    </row>
    <row r="758" ht="15.75" customHeight="1">
      <c r="A758" s="16"/>
      <c r="B758" s="7"/>
      <c r="E758" s="161"/>
      <c r="F758" s="90"/>
    </row>
    <row r="759" ht="15.75" customHeight="1">
      <c r="A759" s="16"/>
      <c r="B759" s="7"/>
      <c r="E759" s="161"/>
      <c r="F759" s="90"/>
    </row>
    <row r="760" ht="15.75" customHeight="1">
      <c r="A760" s="16"/>
      <c r="B760" s="7"/>
      <c r="E760" s="161"/>
      <c r="F760" s="90"/>
    </row>
    <row r="761" ht="15.75" customHeight="1">
      <c r="A761" s="16"/>
      <c r="B761" s="7"/>
      <c r="E761" s="161"/>
      <c r="F761" s="90"/>
    </row>
    <row r="762" ht="15.75" customHeight="1">
      <c r="A762" s="16"/>
      <c r="B762" s="7"/>
      <c r="E762" s="161"/>
      <c r="F762" s="90"/>
    </row>
    <row r="763" ht="15.75" customHeight="1">
      <c r="A763" s="16"/>
      <c r="B763" s="7"/>
      <c r="E763" s="161"/>
      <c r="F763" s="90"/>
    </row>
    <row r="764" ht="15.75" customHeight="1">
      <c r="A764" s="16"/>
      <c r="B764" s="7"/>
      <c r="E764" s="161"/>
      <c r="F764" s="90"/>
    </row>
    <row r="765" ht="15.75" customHeight="1">
      <c r="A765" s="16"/>
      <c r="B765" s="7"/>
      <c r="E765" s="161"/>
      <c r="F765" s="90"/>
    </row>
    <row r="766" ht="15.75" customHeight="1">
      <c r="A766" s="16"/>
      <c r="B766" s="7"/>
      <c r="E766" s="161"/>
      <c r="F766" s="90"/>
    </row>
    <row r="767" ht="15.75" customHeight="1">
      <c r="A767" s="16"/>
      <c r="B767" s="7"/>
      <c r="E767" s="161"/>
      <c r="F767" s="90"/>
    </row>
    <row r="768" ht="15.75" customHeight="1">
      <c r="A768" s="16"/>
      <c r="B768" s="7"/>
      <c r="E768" s="161"/>
      <c r="F768" s="90"/>
    </row>
    <row r="769" ht="15.75" customHeight="1">
      <c r="A769" s="16"/>
      <c r="B769" s="7"/>
      <c r="E769" s="161"/>
      <c r="F769" s="90"/>
    </row>
    <row r="770" ht="15.75" customHeight="1">
      <c r="A770" s="16"/>
      <c r="B770" s="7"/>
      <c r="E770" s="161"/>
      <c r="F770" s="90"/>
    </row>
    <row r="771" ht="15.75" customHeight="1">
      <c r="A771" s="16"/>
      <c r="B771" s="7"/>
      <c r="E771" s="161"/>
      <c r="F771" s="90"/>
    </row>
    <row r="772" ht="15.75" customHeight="1">
      <c r="A772" s="16"/>
      <c r="B772" s="7"/>
      <c r="E772" s="161"/>
      <c r="F772" s="90"/>
    </row>
    <row r="773" ht="15.75" customHeight="1">
      <c r="A773" s="16"/>
      <c r="B773" s="7"/>
      <c r="E773" s="161"/>
      <c r="F773" s="90"/>
    </row>
    <row r="774" ht="15.75" customHeight="1">
      <c r="A774" s="16"/>
      <c r="B774" s="7"/>
      <c r="E774" s="161"/>
      <c r="F774" s="90"/>
    </row>
    <row r="775" ht="15.75" customHeight="1">
      <c r="A775" s="16"/>
      <c r="B775" s="7"/>
      <c r="E775" s="161"/>
      <c r="F775" s="90"/>
    </row>
    <row r="776" ht="15.75" customHeight="1">
      <c r="A776" s="16"/>
      <c r="B776" s="7"/>
      <c r="E776" s="161"/>
      <c r="F776" s="90"/>
    </row>
    <row r="777" ht="15.75" customHeight="1">
      <c r="A777" s="16"/>
      <c r="B777" s="7"/>
      <c r="E777" s="161"/>
      <c r="F777" s="90"/>
    </row>
    <row r="778" ht="15.75" customHeight="1">
      <c r="A778" s="16"/>
      <c r="B778" s="7"/>
      <c r="E778" s="161"/>
      <c r="F778" s="90"/>
    </row>
    <row r="779" ht="15.75" customHeight="1">
      <c r="A779" s="16"/>
      <c r="B779" s="7"/>
      <c r="E779" s="161"/>
      <c r="F779" s="90"/>
    </row>
    <row r="780" ht="15.75" customHeight="1">
      <c r="A780" s="16"/>
      <c r="B780" s="7"/>
      <c r="E780" s="161"/>
      <c r="F780" s="90"/>
    </row>
    <row r="781" ht="15.75" customHeight="1">
      <c r="A781" s="16"/>
      <c r="B781" s="7"/>
      <c r="E781" s="161"/>
      <c r="F781" s="90"/>
    </row>
    <row r="782" ht="15.75" customHeight="1">
      <c r="A782" s="16"/>
      <c r="B782" s="7"/>
      <c r="E782" s="161"/>
      <c r="F782" s="90"/>
    </row>
    <row r="783" ht="15.75" customHeight="1">
      <c r="A783" s="16"/>
      <c r="B783" s="7"/>
      <c r="E783" s="161"/>
      <c r="F783" s="90"/>
    </row>
    <row r="784" ht="15.75" customHeight="1">
      <c r="A784" s="16"/>
      <c r="B784" s="7"/>
      <c r="E784" s="161"/>
      <c r="F784" s="90"/>
    </row>
    <row r="785" ht="15.75" customHeight="1">
      <c r="A785" s="16"/>
      <c r="B785" s="7"/>
      <c r="E785" s="161"/>
      <c r="F785" s="90"/>
    </row>
    <row r="786" ht="15.75" customHeight="1">
      <c r="A786" s="16"/>
      <c r="B786" s="7"/>
      <c r="E786" s="161"/>
      <c r="F786" s="90"/>
    </row>
    <row r="787" ht="15.75" customHeight="1">
      <c r="A787" s="16"/>
      <c r="B787" s="7"/>
      <c r="E787" s="161"/>
      <c r="F787" s="90"/>
    </row>
    <row r="788" ht="15.75" customHeight="1">
      <c r="A788" s="16"/>
      <c r="B788" s="7"/>
      <c r="E788" s="161"/>
      <c r="F788" s="90"/>
    </row>
    <row r="789" ht="15.75" customHeight="1">
      <c r="A789" s="16"/>
      <c r="B789" s="7"/>
      <c r="E789" s="161"/>
      <c r="F789" s="90"/>
    </row>
    <row r="790" ht="15.75" customHeight="1">
      <c r="A790" s="16"/>
      <c r="B790" s="7"/>
      <c r="E790" s="161"/>
      <c r="F790" s="90"/>
    </row>
    <row r="791" ht="15.75" customHeight="1">
      <c r="A791" s="16"/>
      <c r="B791" s="7"/>
      <c r="E791" s="161"/>
      <c r="F791" s="90"/>
    </row>
    <row r="792" ht="15.75" customHeight="1">
      <c r="A792" s="16"/>
      <c r="B792" s="7"/>
      <c r="E792" s="161"/>
      <c r="F792" s="90"/>
    </row>
    <row r="793" ht="15.75" customHeight="1">
      <c r="A793" s="16"/>
      <c r="B793" s="7"/>
      <c r="E793" s="161"/>
      <c r="F793" s="90"/>
    </row>
    <row r="794" ht="15.75" customHeight="1">
      <c r="A794" s="16"/>
      <c r="B794" s="7"/>
      <c r="E794" s="161"/>
      <c r="F794" s="90"/>
    </row>
    <row r="795" ht="15.75" customHeight="1">
      <c r="A795" s="16"/>
      <c r="B795" s="7"/>
      <c r="E795" s="161"/>
      <c r="F795" s="90"/>
    </row>
    <row r="796" ht="15.75" customHeight="1">
      <c r="A796" s="16"/>
      <c r="B796" s="7"/>
      <c r="E796" s="161"/>
      <c r="F796" s="90"/>
    </row>
    <row r="797" ht="15.75" customHeight="1">
      <c r="A797" s="16"/>
      <c r="B797" s="7"/>
      <c r="E797" s="161"/>
      <c r="F797" s="90"/>
    </row>
    <row r="798" ht="15.75" customHeight="1">
      <c r="A798" s="16"/>
      <c r="B798" s="7"/>
      <c r="E798" s="161"/>
      <c r="F798" s="90"/>
    </row>
    <row r="799" ht="15.75" customHeight="1">
      <c r="A799" s="16"/>
      <c r="B799" s="7"/>
      <c r="E799" s="161"/>
      <c r="F799" s="90"/>
    </row>
    <row r="800" ht="15.75" customHeight="1">
      <c r="A800" s="16"/>
      <c r="B800" s="7"/>
      <c r="E800" s="161"/>
      <c r="F800" s="90"/>
    </row>
    <row r="801" ht="15.75" customHeight="1">
      <c r="A801" s="16"/>
      <c r="B801" s="7"/>
      <c r="E801" s="161"/>
      <c r="F801" s="90"/>
    </row>
    <row r="802" ht="15.75" customHeight="1">
      <c r="A802" s="16"/>
      <c r="B802" s="7"/>
      <c r="E802" s="161"/>
      <c r="F802" s="90"/>
    </row>
    <row r="803" ht="15.75" customHeight="1">
      <c r="A803" s="16"/>
      <c r="B803" s="7"/>
      <c r="E803" s="161"/>
      <c r="F803" s="90"/>
    </row>
    <row r="804" ht="15.75" customHeight="1">
      <c r="A804" s="16"/>
      <c r="B804" s="7"/>
      <c r="E804" s="161"/>
      <c r="F804" s="90"/>
    </row>
    <row r="805" ht="15.75" customHeight="1">
      <c r="A805" s="16"/>
      <c r="B805" s="7"/>
      <c r="E805" s="161"/>
      <c r="F805" s="90"/>
    </row>
    <row r="806" ht="15.75" customHeight="1">
      <c r="A806" s="16"/>
      <c r="B806" s="7"/>
      <c r="E806" s="161"/>
      <c r="F806" s="90"/>
    </row>
    <row r="807" ht="15.75" customHeight="1">
      <c r="A807" s="16"/>
      <c r="B807" s="7"/>
      <c r="E807" s="161"/>
      <c r="F807" s="90"/>
    </row>
    <row r="808" ht="15.75" customHeight="1">
      <c r="A808" s="16"/>
      <c r="B808" s="7"/>
      <c r="E808" s="161"/>
      <c r="F808" s="90"/>
    </row>
    <row r="809" ht="15.75" customHeight="1">
      <c r="A809" s="16"/>
      <c r="B809" s="7"/>
      <c r="E809" s="161"/>
      <c r="F809" s="90"/>
    </row>
    <row r="810" ht="15.75" customHeight="1">
      <c r="A810" s="16"/>
      <c r="B810" s="7"/>
      <c r="E810" s="161"/>
      <c r="F810" s="90"/>
    </row>
    <row r="811" ht="15.75" customHeight="1">
      <c r="A811" s="16"/>
      <c r="B811" s="7"/>
      <c r="E811" s="161"/>
      <c r="F811" s="90"/>
    </row>
    <row r="812" ht="15.75" customHeight="1">
      <c r="A812" s="16"/>
      <c r="B812" s="7"/>
      <c r="E812" s="161"/>
      <c r="F812" s="90"/>
    </row>
    <row r="813" ht="15.75" customHeight="1">
      <c r="A813" s="16"/>
      <c r="B813" s="7"/>
      <c r="E813" s="161"/>
      <c r="F813" s="90"/>
    </row>
    <row r="814" ht="15.75" customHeight="1">
      <c r="A814" s="16"/>
      <c r="B814" s="7"/>
      <c r="E814" s="161"/>
      <c r="F814" s="90"/>
    </row>
    <row r="815" ht="15.75" customHeight="1">
      <c r="A815" s="16"/>
      <c r="B815" s="7"/>
      <c r="E815" s="161"/>
      <c r="F815" s="90"/>
    </row>
    <row r="816" ht="15.75" customHeight="1">
      <c r="A816" s="16"/>
      <c r="B816" s="7"/>
      <c r="E816" s="161"/>
      <c r="F816" s="90"/>
    </row>
    <row r="817" ht="15.75" customHeight="1">
      <c r="A817" s="16"/>
      <c r="B817" s="7"/>
      <c r="E817" s="161"/>
      <c r="F817" s="90"/>
    </row>
    <row r="818" ht="15.75" customHeight="1">
      <c r="A818" s="16"/>
      <c r="B818" s="7"/>
      <c r="E818" s="161"/>
      <c r="F818" s="90"/>
    </row>
    <row r="819" ht="15.75" customHeight="1">
      <c r="A819" s="16"/>
      <c r="B819" s="7"/>
      <c r="E819" s="161"/>
      <c r="F819" s="90"/>
    </row>
    <row r="820" ht="15.75" customHeight="1">
      <c r="A820" s="16"/>
      <c r="B820" s="7"/>
      <c r="E820" s="161"/>
      <c r="F820" s="90"/>
    </row>
    <row r="821" ht="15.75" customHeight="1">
      <c r="A821" s="16"/>
      <c r="B821" s="7"/>
      <c r="E821" s="161"/>
      <c r="F821" s="90"/>
    </row>
    <row r="822" ht="15.75" customHeight="1">
      <c r="A822" s="16"/>
      <c r="B822" s="7"/>
      <c r="E822" s="161"/>
      <c r="F822" s="90"/>
    </row>
    <row r="823" ht="15.75" customHeight="1">
      <c r="A823" s="16"/>
      <c r="B823" s="7"/>
      <c r="E823" s="161"/>
      <c r="F823" s="90"/>
    </row>
    <row r="824" ht="15.75" customHeight="1">
      <c r="A824" s="16"/>
      <c r="B824" s="7"/>
      <c r="E824" s="161"/>
      <c r="F824" s="90"/>
    </row>
    <row r="825" ht="15.75" customHeight="1">
      <c r="A825" s="16"/>
      <c r="B825" s="7"/>
      <c r="E825" s="161"/>
      <c r="F825" s="90"/>
    </row>
    <row r="826" ht="15.75" customHeight="1">
      <c r="A826" s="16"/>
      <c r="B826" s="7"/>
      <c r="E826" s="161"/>
      <c r="F826" s="90"/>
    </row>
    <row r="827" ht="15.75" customHeight="1">
      <c r="A827" s="16"/>
      <c r="B827" s="7"/>
      <c r="E827" s="161"/>
      <c r="F827" s="90"/>
    </row>
    <row r="828" ht="15.75" customHeight="1">
      <c r="A828" s="16"/>
      <c r="B828" s="7"/>
      <c r="E828" s="161"/>
      <c r="F828" s="90"/>
    </row>
    <row r="829" ht="15.75" customHeight="1">
      <c r="A829" s="16"/>
      <c r="B829" s="7"/>
      <c r="E829" s="161"/>
      <c r="F829" s="90"/>
    </row>
    <row r="830" ht="15.75" customHeight="1">
      <c r="A830" s="16"/>
      <c r="B830" s="7"/>
      <c r="E830" s="161"/>
      <c r="F830" s="90"/>
    </row>
    <row r="831" ht="15.75" customHeight="1">
      <c r="A831" s="16"/>
      <c r="B831" s="7"/>
      <c r="E831" s="161"/>
      <c r="F831" s="90"/>
    </row>
    <row r="832" ht="15.75" customHeight="1">
      <c r="A832" s="16"/>
      <c r="B832" s="7"/>
      <c r="E832" s="161"/>
      <c r="F832" s="90"/>
    </row>
    <row r="833" ht="15.75" customHeight="1">
      <c r="A833" s="16"/>
      <c r="B833" s="7"/>
      <c r="E833" s="161"/>
      <c r="F833" s="90"/>
    </row>
    <row r="834" ht="15.75" customHeight="1">
      <c r="A834" s="16"/>
      <c r="B834" s="7"/>
      <c r="E834" s="161"/>
      <c r="F834" s="90"/>
    </row>
    <row r="835" ht="15.75" customHeight="1">
      <c r="A835" s="16"/>
      <c r="B835" s="7"/>
      <c r="E835" s="161"/>
      <c r="F835" s="90"/>
    </row>
    <row r="836" ht="15.75" customHeight="1">
      <c r="A836" s="16"/>
      <c r="B836" s="7"/>
      <c r="E836" s="161"/>
      <c r="F836" s="90"/>
    </row>
    <row r="837" ht="15.75" customHeight="1">
      <c r="A837" s="16"/>
      <c r="B837" s="7"/>
      <c r="E837" s="161"/>
      <c r="F837" s="90"/>
    </row>
    <row r="838" ht="15.75" customHeight="1">
      <c r="A838" s="16"/>
      <c r="B838" s="7"/>
      <c r="E838" s="161"/>
      <c r="F838" s="90"/>
    </row>
    <row r="839" ht="15.75" customHeight="1">
      <c r="A839" s="16"/>
      <c r="B839" s="7"/>
      <c r="E839" s="161"/>
      <c r="F839" s="90"/>
    </row>
    <row r="840" ht="15.75" customHeight="1">
      <c r="A840" s="16"/>
      <c r="B840" s="7"/>
      <c r="E840" s="161"/>
      <c r="F840" s="90"/>
    </row>
    <row r="841" ht="15.75" customHeight="1">
      <c r="A841" s="16"/>
      <c r="B841" s="7"/>
      <c r="E841" s="161"/>
      <c r="F841" s="90"/>
    </row>
    <row r="842" ht="15.75" customHeight="1">
      <c r="A842" s="16"/>
      <c r="B842" s="7"/>
      <c r="E842" s="161"/>
      <c r="F842" s="90"/>
    </row>
    <row r="843" ht="15.75" customHeight="1">
      <c r="A843" s="16"/>
      <c r="B843" s="7"/>
      <c r="E843" s="161"/>
      <c r="F843" s="90"/>
    </row>
    <row r="844" ht="15.75" customHeight="1">
      <c r="A844" s="16"/>
      <c r="B844" s="7"/>
      <c r="E844" s="161"/>
      <c r="F844" s="90"/>
    </row>
    <row r="845" ht="15.75" customHeight="1">
      <c r="A845" s="16"/>
      <c r="B845" s="7"/>
      <c r="E845" s="161"/>
      <c r="F845" s="90"/>
    </row>
    <row r="846" ht="15.75" customHeight="1">
      <c r="A846" s="16"/>
      <c r="B846" s="7"/>
      <c r="E846" s="161"/>
      <c r="F846" s="90"/>
    </row>
    <row r="847" ht="15.75" customHeight="1">
      <c r="A847" s="16"/>
      <c r="B847" s="7"/>
      <c r="E847" s="161"/>
      <c r="F847" s="90"/>
    </row>
    <row r="848" ht="15.75" customHeight="1">
      <c r="A848" s="16"/>
      <c r="B848" s="7"/>
      <c r="E848" s="161"/>
      <c r="F848" s="90"/>
    </row>
    <row r="849" ht="15.75" customHeight="1">
      <c r="A849" s="16"/>
      <c r="B849" s="7"/>
      <c r="E849" s="161"/>
      <c r="F849" s="90"/>
    </row>
    <row r="850" ht="15.75" customHeight="1">
      <c r="A850" s="16"/>
      <c r="B850" s="7"/>
      <c r="E850" s="161"/>
      <c r="F850" s="90"/>
    </row>
    <row r="851" ht="15.75" customHeight="1">
      <c r="A851" s="16"/>
      <c r="B851" s="7"/>
      <c r="E851" s="161"/>
      <c r="F851" s="90"/>
    </row>
    <row r="852" ht="15.75" customHeight="1">
      <c r="A852" s="16"/>
      <c r="B852" s="7"/>
      <c r="E852" s="161"/>
      <c r="F852" s="90"/>
    </row>
    <row r="853" ht="15.75" customHeight="1">
      <c r="A853" s="16"/>
      <c r="B853" s="7"/>
      <c r="E853" s="161"/>
      <c r="F853" s="90"/>
    </row>
    <row r="854" ht="15.75" customHeight="1">
      <c r="A854" s="16"/>
      <c r="B854" s="7"/>
      <c r="E854" s="161"/>
      <c r="F854" s="90"/>
    </row>
    <row r="855" ht="15.75" customHeight="1">
      <c r="A855" s="16"/>
      <c r="B855" s="7"/>
      <c r="E855" s="161"/>
      <c r="F855" s="90"/>
    </row>
    <row r="856" ht="15.75" customHeight="1">
      <c r="A856" s="16"/>
      <c r="B856" s="7"/>
      <c r="E856" s="161"/>
      <c r="F856" s="90"/>
    </row>
    <row r="857" ht="15.75" customHeight="1">
      <c r="A857" s="16"/>
      <c r="B857" s="7"/>
      <c r="E857" s="161"/>
      <c r="F857" s="90"/>
    </row>
    <row r="858" ht="15.75" customHeight="1">
      <c r="A858" s="16"/>
      <c r="B858" s="7"/>
      <c r="E858" s="161"/>
      <c r="F858" s="90"/>
    </row>
    <row r="859" ht="15.75" customHeight="1">
      <c r="A859" s="16"/>
      <c r="B859" s="7"/>
      <c r="E859" s="161"/>
      <c r="F859" s="90"/>
    </row>
    <row r="860" ht="15.75" customHeight="1">
      <c r="A860" s="16"/>
      <c r="B860" s="7"/>
      <c r="E860" s="161"/>
      <c r="F860" s="90"/>
    </row>
    <row r="861" ht="15.75" customHeight="1">
      <c r="A861" s="16"/>
      <c r="B861" s="7"/>
      <c r="E861" s="161"/>
      <c r="F861" s="90"/>
    </row>
    <row r="862" ht="15.75" customHeight="1">
      <c r="A862" s="16"/>
      <c r="B862" s="7"/>
      <c r="E862" s="161"/>
      <c r="F862" s="90"/>
    </row>
    <row r="863" ht="15.75" customHeight="1">
      <c r="A863" s="16"/>
      <c r="B863" s="7"/>
      <c r="E863" s="161"/>
      <c r="F863" s="90"/>
    </row>
    <row r="864" ht="15.75" customHeight="1">
      <c r="A864" s="16"/>
      <c r="B864" s="7"/>
      <c r="E864" s="161"/>
      <c r="F864" s="90"/>
    </row>
    <row r="865" ht="15.75" customHeight="1">
      <c r="A865" s="16"/>
      <c r="B865" s="7"/>
      <c r="E865" s="161"/>
      <c r="F865" s="90"/>
    </row>
    <row r="866" ht="15.75" customHeight="1">
      <c r="A866" s="16"/>
      <c r="B866" s="7"/>
      <c r="E866" s="161"/>
      <c r="F866" s="90"/>
    </row>
    <row r="867" ht="15.75" customHeight="1">
      <c r="A867" s="16"/>
      <c r="B867" s="7"/>
      <c r="E867" s="161"/>
      <c r="F867" s="90"/>
    </row>
    <row r="868" ht="15.75" customHeight="1">
      <c r="A868" s="16"/>
      <c r="B868" s="7"/>
      <c r="E868" s="161"/>
      <c r="F868" s="90"/>
    </row>
    <row r="869" ht="15.75" customHeight="1">
      <c r="A869" s="16"/>
      <c r="B869" s="7"/>
      <c r="E869" s="161"/>
      <c r="F869" s="90"/>
    </row>
    <row r="870" ht="15.75" customHeight="1">
      <c r="A870" s="16"/>
      <c r="B870" s="7"/>
      <c r="E870" s="161"/>
      <c r="F870" s="90"/>
    </row>
    <row r="871" ht="15.75" customHeight="1">
      <c r="A871" s="16"/>
      <c r="B871" s="7"/>
      <c r="E871" s="161"/>
      <c r="F871" s="90"/>
    </row>
    <row r="872" ht="15.75" customHeight="1">
      <c r="A872" s="16"/>
      <c r="B872" s="7"/>
      <c r="E872" s="161"/>
      <c r="F872" s="90"/>
    </row>
    <row r="873" ht="15.75" customHeight="1">
      <c r="A873" s="16"/>
      <c r="B873" s="7"/>
      <c r="E873" s="161"/>
      <c r="F873" s="90"/>
    </row>
    <row r="874" ht="15.75" customHeight="1">
      <c r="A874" s="16"/>
      <c r="B874" s="7"/>
      <c r="E874" s="161"/>
      <c r="F874" s="90"/>
    </row>
    <row r="875" ht="15.75" customHeight="1">
      <c r="A875" s="16"/>
      <c r="B875" s="7"/>
      <c r="E875" s="161"/>
      <c r="F875" s="90"/>
    </row>
    <row r="876" ht="15.75" customHeight="1">
      <c r="A876" s="16"/>
      <c r="B876" s="7"/>
      <c r="E876" s="161"/>
      <c r="F876" s="90"/>
    </row>
    <row r="877" ht="15.75" customHeight="1">
      <c r="A877" s="16"/>
      <c r="B877" s="7"/>
      <c r="E877" s="161"/>
      <c r="F877" s="90"/>
    </row>
    <row r="878" ht="15.75" customHeight="1">
      <c r="A878" s="16"/>
      <c r="B878" s="7"/>
      <c r="E878" s="161"/>
      <c r="F878" s="90"/>
    </row>
    <row r="879" ht="15.75" customHeight="1">
      <c r="A879" s="16"/>
      <c r="B879" s="7"/>
      <c r="E879" s="161"/>
      <c r="F879" s="90"/>
    </row>
    <row r="880" ht="15.75" customHeight="1">
      <c r="A880" s="16"/>
      <c r="B880" s="7"/>
      <c r="E880" s="161"/>
      <c r="F880" s="90"/>
    </row>
    <row r="881" ht="15.75" customHeight="1">
      <c r="A881" s="16"/>
      <c r="B881" s="7"/>
      <c r="E881" s="161"/>
      <c r="F881" s="90"/>
    </row>
    <row r="882" ht="15.75" customHeight="1">
      <c r="A882" s="16"/>
      <c r="B882" s="7"/>
      <c r="E882" s="161"/>
      <c r="F882" s="90"/>
    </row>
    <row r="883" ht="15.75" customHeight="1">
      <c r="A883" s="16"/>
      <c r="B883" s="7"/>
      <c r="E883" s="161"/>
      <c r="F883" s="90"/>
    </row>
    <row r="884" ht="15.75" customHeight="1">
      <c r="A884" s="16"/>
      <c r="B884" s="7"/>
      <c r="E884" s="161"/>
      <c r="F884" s="90"/>
    </row>
    <row r="885" ht="15.75" customHeight="1">
      <c r="A885" s="16"/>
      <c r="B885" s="7"/>
      <c r="E885" s="161"/>
      <c r="F885" s="90"/>
    </row>
    <row r="886" ht="15.75" customHeight="1">
      <c r="A886" s="16"/>
      <c r="B886" s="7"/>
      <c r="E886" s="161"/>
      <c r="F886" s="90"/>
    </row>
    <row r="887" ht="15.75" customHeight="1">
      <c r="A887" s="16"/>
      <c r="B887" s="7"/>
      <c r="E887" s="161"/>
      <c r="F887" s="90"/>
    </row>
    <row r="888" ht="15.75" customHeight="1">
      <c r="A888" s="16"/>
      <c r="B888" s="7"/>
      <c r="E888" s="161"/>
      <c r="F888" s="90"/>
    </row>
    <row r="889" ht="15.75" customHeight="1">
      <c r="A889" s="16"/>
      <c r="B889" s="7"/>
      <c r="E889" s="161"/>
      <c r="F889" s="90"/>
    </row>
    <row r="890" ht="15.75" customHeight="1">
      <c r="A890" s="16"/>
      <c r="B890" s="7"/>
      <c r="E890" s="161"/>
      <c r="F890" s="90"/>
    </row>
    <row r="891" ht="15.75" customHeight="1">
      <c r="A891" s="16"/>
      <c r="B891" s="7"/>
      <c r="E891" s="161"/>
      <c r="F891" s="90"/>
    </row>
    <row r="892" ht="15.75" customHeight="1">
      <c r="A892" s="16"/>
      <c r="B892" s="7"/>
      <c r="E892" s="161"/>
      <c r="F892" s="90"/>
    </row>
    <row r="893" ht="15.75" customHeight="1">
      <c r="A893" s="16"/>
      <c r="B893" s="7"/>
      <c r="E893" s="161"/>
      <c r="F893" s="90"/>
    </row>
    <row r="894" ht="15.75" customHeight="1">
      <c r="A894" s="16"/>
      <c r="B894" s="7"/>
      <c r="E894" s="161"/>
      <c r="F894" s="90"/>
    </row>
    <row r="895" ht="15.75" customHeight="1">
      <c r="A895" s="16"/>
      <c r="B895" s="7"/>
      <c r="E895" s="161"/>
      <c r="F895" s="90"/>
    </row>
    <row r="896" ht="15.75" customHeight="1">
      <c r="A896" s="16"/>
      <c r="B896" s="7"/>
      <c r="E896" s="161"/>
      <c r="F896" s="90"/>
    </row>
    <row r="897" ht="15.75" customHeight="1">
      <c r="A897" s="16"/>
      <c r="B897" s="7"/>
      <c r="E897" s="161"/>
      <c r="F897" s="90"/>
    </row>
    <row r="898" ht="15.75" customHeight="1">
      <c r="A898" s="16"/>
      <c r="B898" s="7"/>
      <c r="E898" s="161"/>
      <c r="F898" s="90"/>
    </row>
    <row r="899" ht="15.75" customHeight="1">
      <c r="A899" s="16"/>
      <c r="B899" s="7"/>
      <c r="E899" s="161"/>
      <c r="F899" s="90"/>
    </row>
    <row r="900" ht="15.75" customHeight="1">
      <c r="A900" s="16"/>
      <c r="B900" s="7"/>
      <c r="E900" s="161"/>
      <c r="F900" s="90"/>
    </row>
    <row r="901" ht="15.75" customHeight="1">
      <c r="A901" s="16"/>
      <c r="B901" s="7"/>
      <c r="E901" s="161"/>
      <c r="F901" s="90"/>
    </row>
    <row r="902" ht="15.75" customHeight="1">
      <c r="A902" s="16"/>
      <c r="B902" s="7"/>
      <c r="E902" s="161"/>
      <c r="F902" s="90"/>
    </row>
    <row r="903" ht="15.75" customHeight="1">
      <c r="A903" s="16"/>
      <c r="B903" s="7"/>
      <c r="E903" s="161"/>
      <c r="F903" s="90"/>
    </row>
    <row r="904" ht="15.75" customHeight="1">
      <c r="A904" s="16"/>
      <c r="B904" s="7"/>
      <c r="E904" s="161"/>
      <c r="F904" s="90"/>
    </row>
    <row r="905" ht="15.75" customHeight="1">
      <c r="A905" s="16"/>
      <c r="B905" s="7"/>
      <c r="E905" s="161"/>
      <c r="F905" s="90"/>
    </row>
    <row r="906" ht="15.75" customHeight="1">
      <c r="A906" s="16"/>
      <c r="B906" s="7"/>
      <c r="E906" s="161"/>
      <c r="F906" s="90"/>
    </row>
    <row r="907" ht="15.75" customHeight="1">
      <c r="A907" s="16"/>
      <c r="B907" s="7"/>
      <c r="E907" s="161"/>
      <c r="F907" s="90"/>
    </row>
    <row r="908" ht="15.75" customHeight="1">
      <c r="A908" s="16"/>
      <c r="B908" s="7"/>
      <c r="E908" s="161"/>
      <c r="F908" s="90"/>
    </row>
    <row r="909" ht="15.75" customHeight="1">
      <c r="A909" s="16"/>
      <c r="B909" s="7"/>
      <c r="E909" s="161"/>
      <c r="F909" s="90"/>
    </row>
    <row r="910" ht="15.75" customHeight="1">
      <c r="A910" s="16"/>
      <c r="B910" s="7"/>
      <c r="E910" s="161"/>
      <c r="F910" s="90"/>
    </row>
    <row r="911" ht="15.75" customHeight="1">
      <c r="A911" s="16"/>
      <c r="B911" s="7"/>
      <c r="E911" s="161"/>
      <c r="F911" s="90"/>
    </row>
    <row r="912" ht="15.75" customHeight="1">
      <c r="A912" s="16"/>
      <c r="B912" s="7"/>
      <c r="E912" s="161"/>
      <c r="F912" s="90"/>
    </row>
    <row r="913" ht="15.75" customHeight="1">
      <c r="A913" s="16"/>
      <c r="B913" s="7"/>
      <c r="E913" s="161"/>
      <c r="F913" s="90"/>
    </row>
    <row r="914" ht="15.75" customHeight="1">
      <c r="A914" s="16"/>
      <c r="B914" s="7"/>
      <c r="E914" s="161"/>
      <c r="F914" s="90"/>
    </row>
    <row r="915" ht="15.75" customHeight="1">
      <c r="A915" s="16"/>
      <c r="B915" s="7"/>
      <c r="E915" s="161"/>
      <c r="F915" s="90"/>
    </row>
    <row r="916" ht="15.75" customHeight="1">
      <c r="A916" s="16"/>
      <c r="B916" s="7"/>
      <c r="E916" s="161"/>
      <c r="F916" s="90"/>
    </row>
    <row r="917" ht="15.75" customHeight="1">
      <c r="A917" s="16"/>
      <c r="B917" s="7"/>
      <c r="E917" s="161"/>
      <c r="F917" s="90"/>
    </row>
    <row r="918" ht="15.75" customHeight="1">
      <c r="A918" s="16"/>
      <c r="B918" s="7"/>
      <c r="E918" s="161"/>
      <c r="F918" s="90"/>
    </row>
    <row r="919" ht="15.75" customHeight="1">
      <c r="A919" s="16"/>
      <c r="B919" s="7"/>
      <c r="E919" s="161"/>
      <c r="F919" s="90"/>
    </row>
    <row r="920" ht="15.75" customHeight="1">
      <c r="A920" s="16"/>
      <c r="B920" s="7"/>
      <c r="E920" s="161"/>
      <c r="F920" s="90"/>
    </row>
    <row r="921" ht="15.75" customHeight="1">
      <c r="A921" s="16"/>
      <c r="B921" s="7"/>
      <c r="E921" s="161"/>
      <c r="F921" s="90"/>
    </row>
    <row r="922" ht="15.75" customHeight="1">
      <c r="A922" s="16"/>
      <c r="B922" s="7"/>
      <c r="E922" s="161"/>
      <c r="F922" s="90"/>
    </row>
    <row r="923" ht="15.75" customHeight="1">
      <c r="A923" s="16"/>
      <c r="B923" s="7"/>
      <c r="E923" s="161"/>
      <c r="F923" s="90"/>
    </row>
    <row r="924" ht="15.75" customHeight="1">
      <c r="A924" s="16"/>
      <c r="B924" s="7"/>
      <c r="E924" s="161"/>
      <c r="F924" s="90"/>
    </row>
    <row r="925" ht="15.75" customHeight="1">
      <c r="A925" s="16"/>
      <c r="B925" s="7"/>
      <c r="E925" s="161"/>
      <c r="F925" s="90"/>
    </row>
    <row r="926" ht="15.75" customHeight="1">
      <c r="A926" s="16"/>
      <c r="B926" s="7"/>
      <c r="E926" s="161"/>
      <c r="F926" s="90"/>
    </row>
    <row r="927" ht="15.75" customHeight="1">
      <c r="A927" s="16"/>
      <c r="B927" s="7"/>
      <c r="E927" s="161"/>
      <c r="F927" s="90"/>
    </row>
    <row r="928" ht="15.75" customHeight="1">
      <c r="A928" s="16"/>
      <c r="B928" s="7"/>
      <c r="E928" s="161"/>
      <c r="F928" s="90"/>
    </row>
    <row r="929" ht="15.75" customHeight="1">
      <c r="A929" s="16"/>
      <c r="B929" s="7"/>
      <c r="E929" s="161"/>
      <c r="F929" s="90"/>
    </row>
    <row r="930" ht="15.75" customHeight="1">
      <c r="A930" s="16"/>
      <c r="B930" s="7"/>
      <c r="E930" s="161"/>
      <c r="F930" s="90"/>
    </row>
    <row r="931" ht="15.75" customHeight="1">
      <c r="A931" s="16"/>
      <c r="B931" s="7"/>
      <c r="E931" s="161"/>
      <c r="F931" s="90"/>
    </row>
    <row r="932" ht="15.75" customHeight="1">
      <c r="A932" s="16"/>
      <c r="B932" s="7"/>
      <c r="E932" s="161"/>
      <c r="F932" s="90"/>
    </row>
    <row r="933" ht="15.75" customHeight="1">
      <c r="A933" s="16"/>
      <c r="B933" s="7"/>
      <c r="E933" s="161"/>
      <c r="F933" s="90"/>
    </row>
    <row r="934" ht="15.75" customHeight="1">
      <c r="A934" s="16"/>
      <c r="B934" s="7"/>
      <c r="E934" s="161"/>
      <c r="F934" s="90"/>
    </row>
    <row r="935" ht="15.75" customHeight="1">
      <c r="A935" s="16"/>
      <c r="B935" s="7"/>
      <c r="E935" s="161"/>
      <c r="F935" s="90"/>
    </row>
    <row r="936" ht="15.75" customHeight="1">
      <c r="A936" s="16"/>
      <c r="B936" s="7"/>
      <c r="E936" s="161"/>
      <c r="F936" s="90"/>
    </row>
    <row r="937" ht="15.75" customHeight="1">
      <c r="A937" s="16"/>
      <c r="B937" s="7"/>
      <c r="E937" s="161"/>
      <c r="F937" s="90"/>
    </row>
    <row r="938" ht="15.75" customHeight="1">
      <c r="A938" s="16"/>
      <c r="B938" s="7"/>
      <c r="E938" s="161"/>
      <c r="F938" s="90"/>
    </row>
    <row r="939" ht="15.75" customHeight="1">
      <c r="A939" s="16"/>
      <c r="B939" s="7"/>
      <c r="E939" s="161"/>
      <c r="F939" s="90"/>
    </row>
    <row r="940" ht="15.75" customHeight="1">
      <c r="A940" s="16"/>
      <c r="B940" s="7"/>
      <c r="E940" s="161"/>
      <c r="F940" s="90"/>
    </row>
    <row r="941" ht="15.75" customHeight="1">
      <c r="A941" s="16"/>
      <c r="B941" s="7"/>
      <c r="E941" s="161"/>
      <c r="F941" s="90"/>
    </row>
    <row r="942" ht="15.75" customHeight="1">
      <c r="A942" s="16"/>
      <c r="B942" s="7"/>
      <c r="E942" s="161"/>
      <c r="F942" s="90"/>
    </row>
    <row r="943" ht="15.75" customHeight="1">
      <c r="A943" s="16"/>
      <c r="B943" s="7"/>
      <c r="E943" s="161"/>
      <c r="F943" s="90"/>
    </row>
    <row r="944" ht="15.75" customHeight="1">
      <c r="A944" s="16"/>
      <c r="B944" s="7"/>
      <c r="E944" s="161"/>
      <c r="F944" s="90"/>
    </row>
    <row r="945" ht="15.75" customHeight="1">
      <c r="A945" s="16"/>
      <c r="B945" s="7"/>
      <c r="E945" s="161"/>
      <c r="F945" s="90"/>
    </row>
    <row r="946" ht="15.75" customHeight="1">
      <c r="A946" s="16"/>
      <c r="B946" s="7"/>
      <c r="E946" s="161"/>
      <c r="F946" s="90"/>
    </row>
    <row r="947" ht="15.75" customHeight="1">
      <c r="A947" s="16"/>
      <c r="B947" s="7"/>
      <c r="E947" s="161"/>
      <c r="F947" s="90"/>
    </row>
    <row r="948" ht="15.75" customHeight="1">
      <c r="A948" s="16"/>
      <c r="B948" s="7"/>
      <c r="E948" s="161"/>
      <c r="F948" s="90"/>
    </row>
    <row r="949" ht="15.75" customHeight="1">
      <c r="A949" s="16"/>
      <c r="B949" s="7"/>
      <c r="E949" s="161"/>
      <c r="F949" s="90"/>
    </row>
    <row r="950" ht="15.75" customHeight="1">
      <c r="A950" s="16"/>
      <c r="B950" s="7"/>
      <c r="E950" s="161"/>
      <c r="F950" s="90"/>
    </row>
    <row r="951" ht="15.75" customHeight="1">
      <c r="A951" s="16"/>
      <c r="B951" s="7"/>
      <c r="E951" s="161"/>
      <c r="F951" s="90"/>
    </row>
    <row r="952" ht="15.75" customHeight="1">
      <c r="A952" s="16"/>
      <c r="B952" s="7"/>
      <c r="E952" s="161"/>
      <c r="F952" s="90"/>
    </row>
    <row r="953" ht="15.75" customHeight="1">
      <c r="A953" s="16"/>
      <c r="B953" s="7"/>
      <c r="E953" s="161"/>
      <c r="F953" s="90"/>
    </row>
    <row r="954" ht="15.75" customHeight="1">
      <c r="A954" s="16"/>
      <c r="B954" s="7"/>
      <c r="E954" s="161"/>
      <c r="F954" s="90"/>
    </row>
    <row r="955" ht="15.75" customHeight="1">
      <c r="A955" s="16"/>
      <c r="B955" s="7"/>
      <c r="E955" s="161"/>
      <c r="F955" s="90"/>
    </row>
    <row r="956" ht="15.75" customHeight="1">
      <c r="A956" s="16"/>
      <c r="B956" s="7"/>
      <c r="E956" s="161"/>
      <c r="F956" s="90"/>
    </row>
    <row r="957" ht="15.75" customHeight="1">
      <c r="A957" s="16"/>
      <c r="B957" s="7"/>
      <c r="E957" s="161"/>
      <c r="F957" s="90"/>
    </row>
    <row r="958" ht="15.75" customHeight="1">
      <c r="A958" s="16"/>
      <c r="B958" s="7"/>
      <c r="E958" s="161"/>
      <c r="F958" s="90"/>
    </row>
    <row r="959" ht="15.75" customHeight="1">
      <c r="A959" s="16"/>
      <c r="B959" s="7"/>
      <c r="E959" s="161"/>
      <c r="F959" s="90"/>
    </row>
    <row r="960" ht="15.75" customHeight="1">
      <c r="A960" s="16"/>
      <c r="B960" s="7"/>
      <c r="E960" s="161"/>
      <c r="F960" s="90"/>
    </row>
    <row r="961" ht="15.75" customHeight="1">
      <c r="A961" s="16"/>
      <c r="B961" s="7"/>
      <c r="E961" s="161"/>
      <c r="F961" s="90"/>
    </row>
    <row r="962" ht="15.75" customHeight="1">
      <c r="A962" s="16"/>
      <c r="B962" s="7"/>
      <c r="E962" s="161"/>
      <c r="F962" s="90"/>
    </row>
    <row r="963" ht="15.75" customHeight="1">
      <c r="A963" s="16"/>
      <c r="B963" s="7"/>
      <c r="E963" s="161"/>
      <c r="F963" s="90"/>
    </row>
    <row r="964" ht="15.75" customHeight="1">
      <c r="A964" s="16"/>
      <c r="B964" s="7"/>
      <c r="E964" s="161"/>
      <c r="F964" s="90"/>
    </row>
    <row r="965" ht="15.75" customHeight="1">
      <c r="A965" s="16"/>
      <c r="B965" s="7"/>
      <c r="E965" s="161"/>
      <c r="F965" s="90"/>
    </row>
    <row r="966" ht="15.75" customHeight="1">
      <c r="A966" s="16"/>
      <c r="B966" s="7"/>
      <c r="E966" s="161"/>
      <c r="F966" s="90"/>
    </row>
    <row r="967" ht="15.75" customHeight="1">
      <c r="A967" s="16"/>
      <c r="B967" s="7"/>
      <c r="E967" s="161"/>
      <c r="F967" s="90"/>
    </row>
    <row r="968" ht="15.75" customHeight="1">
      <c r="A968" s="16"/>
      <c r="B968" s="7"/>
      <c r="E968" s="161"/>
      <c r="F968" s="90"/>
    </row>
    <row r="969" ht="15.75" customHeight="1">
      <c r="A969" s="16"/>
      <c r="B969" s="7"/>
      <c r="E969" s="161"/>
      <c r="F969" s="90"/>
    </row>
    <row r="970" ht="15.75" customHeight="1">
      <c r="A970" s="16"/>
      <c r="B970" s="7"/>
      <c r="E970" s="161"/>
      <c r="F970" s="90"/>
    </row>
    <row r="971" ht="15.75" customHeight="1">
      <c r="A971" s="16"/>
      <c r="B971" s="7"/>
      <c r="E971" s="161"/>
      <c r="F971" s="90"/>
    </row>
    <row r="972" ht="15.75" customHeight="1">
      <c r="A972" s="16"/>
      <c r="B972" s="7"/>
      <c r="E972" s="161"/>
      <c r="F972" s="90"/>
    </row>
    <row r="973" ht="15.75" customHeight="1">
      <c r="A973" s="16"/>
      <c r="B973" s="7"/>
      <c r="E973" s="161"/>
      <c r="F973" s="90"/>
    </row>
    <row r="974" ht="15.75" customHeight="1">
      <c r="A974" s="16"/>
      <c r="B974" s="7"/>
      <c r="E974" s="161"/>
      <c r="F974" s="90"/>
    </row>
    <row r="975" ht="15.75" customHeight="1">
      <c r="A975" s="16"/>
      <c r="B975" s="7"/>
      <c r="E975" s="161"/>
      <c r="F975" s="90"/>
    </row>
    <row r="976" ht="15.75" customHeight="1">
      <c r="A976" s="16"/>
      <c r="B976" s="7"/>
      <c r="E976" s="161"/>
      <c r="F976" s="90"/>
    </row>
    <row r="977" ht="15.75" customHeight="1">
      <c r="A977" s="16"/>
      <c r="B977" s="7"/>
      <c r="E977" s="161"/>
      <c r="F977" s="90"/>
    </row>
    <row r="978" ht="15.75" customHeight="1">
      <c r="A978" s="16"/>
      <c r="B978" s="7"/>
      <c r="E978" s="161"/>
      <c r="F978" s="90"/>
    </row>
    <row r="979" ht="15.75" customHeight="1">
      <c r="A979" s="16"/>
      <c r="B979" s="7"/>
      <c r="E979" s="161"/>
      <c r="F979" s="90"/>
    </row>
    <row r="980" ht="15.75" customHeight="1">
      <c r="A980" s="16"/>
      <c r="B980" s="7"/>
      <c r="E980" s="161"/>
      <c r="F980" s="90"/>
    </row>
    <row r="981" ht="15.75" customHeight="1">
      <c r="A981" s="16"/>
      <c r="B981" s="7"/>
      <c r="E981" s="161"/>
      <c r="F981" s="90"/>
    </row>
    <row r="982" ht="15.75" customHeight="1">
      <c r="A982" s="16"/>
      <c r="B982" s="7"/>
      <c r="E982" s="161"/>
      <c r="F982" s="90"/>
    </row>
    <row r="983" ht="15.75" customHeight="1">
      <c r="A983" s="16"/>
      <c r="B983" s="7"/>
      <c r="E983" s="161"/>
      <c r="F983" s="90"/>
    </row>
    <row r="984" ht="15.75" customHeight="1">
      <c r="A984" s="16"/>
      <c r="B984" s="7"/>
      <c r="E984" s="161"/>
      <c r="F984" s="90"/>
    </row>
    <row r="985" ht="15.75" customHeight="1">
      <c r="A985" s="16"/>
      <c r="B985" s="7"/>
      <c r="E985" s="161"/>
      <c r="F985" s="90"/>
    </row>
    <row r="986" ht="15.75" customHeight="1">
      <c r="A986" s="16"/>
      <c r="B986" s="7"/>
      <c r="E986" s="161"/>
      <c r="F986" s="90"/>
    </row>
    <row r="987" ht="15.75" customHeight="1">
      <c r="A987" s="16"/>
      <c r="B987" s="7"/>
      <c r="E987" s="161"/>
      <c r="F987" s="90"/>
    </row>
    <row r="988" ht="15.75" customHeight="1">
      <c r="A988" s="16"/>
      <c r="B988" s="7"/>
      <c r="E988" s="161"/>
      <c r="F988" s="90"/>
    </row>
    <row r="989" ht="15.75" customHeight="1">
      <c r="A989" s="16"/>
      <c r="B989" s="7"/>
      <c r="E989" s="161"/>
      <c r="F989" s="90"/>
    </row>
    <row r="990" ht="15.75" customHeight="1">
      <c r="A990" s="16"/>
      <c r="B990" s="7"/>
      <c r="E990" s="161"/>
      <c r="F990" s="90"/>
    </row>
    <row r="991" ht="15.75" customHeight="1">
      <c r="A991" s="16"/>
      <c r="B991" s="7"/>
      <c r="E991" s="161"/>
      <c r="F991" s="90"/>
    </row>
    <row r="992" ht="15.75" customHeight="1">
      <c r="A992" s="16"/>
      <c r="B992" s="7"/>
      <c r="E992" s="161"/>
      <c r="F992" s="90"/>
    </row>
    <row r="993" ht="15.75" customHeight="1">
      <c r="A993" s="16"/>
      <c r="B993" s="7"/>
      <c r="E993" s="161"/>
      <c r="F993" s="90"/>
    </row>
    <row r="994" ht="15.75" customHeight="1">
      <c r="A994" s="16"/>
      <c r="B994" s="7"/>
      <c r="E994" s="161"/>
      <c r="F994" s="90"/>
    </row>
    <row r="995" ht="15.75" customHeight="1">
      <c r="A995" s="16"/>
      <c r="B995" s="7"/>
      <c r="E995" s="161"/>
      <c r="F995" s="90"/>
    </row>
    <row r="996" ht="15.75" customHeight="1">
      <c r="A996" s="16"/>
      <c r="B996" s="7"/>
      <c r="E996" s="161"/>
      <c r="F996" s="90"/>
    </row>
    <row r="997" ht="15.75" customHeight="1">
      <c r="A997" s="16"/>
      <c r="B997" s="7"/>
      <c r="E997" s="161"/>
      <c r="F997" s="90"/>
    </row>
    <row r="998" ht="15.75" customHeight="1">
      <c r="A998" s="16"/>
      <c r="B998" s="7"/>
      <c r="E998" s="161"/>
      <c r="F998" s="90"/>
    </row>
    <row r="999" ht="15.75" customHeight="1">
      <c r="A999" s="16"/>
      <c r="B999" s="7"/>
      <c r="E999" s="161"/>
      <c r="F999" s="90"/>
    </row>
    <row r="1000" ht="15.75" customHeight="1">
      <c r="A1000" s="16"/>
      <c r="B1000" s="7"/>
      <c r="E1000" s="161"/>
      <c r="F1000" s="90"/>
    </row>
  </sheetData>
  <mergeCells count="3">
    <mergeCell ref="A37:F37"/>
    <mergeCell ref="A4:F4"/>
    <mergeCell ref="A2:F2"/>
  </mergeCells>
  <printOptions/>
  <pageMargins bottom="0.54" footer="0.0" header="0.0" left="0.32" right="0.38" top="0.51"/>
  <pageSetup orientation="landscape"/>
  <headerFooter>
    <oddFooter>&amp;CCopyright Protected - Guided Business Plan.com - 888.523.5244</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fitToPage="1"/>
  </sheetPr>
  <sheetViews>
    <sheetView showGridLines="0" workbookViewId="0"/>
  </sheetViews>
  <sheetFormatPr customHeight="1" defaultColWidth="12.63" defaultRowHeight="15.0"/>
  <cols>
    <col customWidth="1" min="1" max="1" width="4.5"/>
    <col customWidth="1" min="2" max="2" width="24.75"/>
    <col customWidth="1" min="3" max="3" width="9.13"/>
    <col customWidth="1" min="4" max="4" width="12.63"/>
    <col customWidth="1" min="5" max="5" width="12.0"/>
    <col customWidth="1" min="6" max="7" width="11.75"/>
    <col customWidth="1" min="8" max="8" width="11.13"/>
    <col customWidth="1" min="9" max="10" width="12.38"/>
    <col customWidth="1" min="11" max="11" width="10.0"/>
    <col customWidth="1" min="12" max="12" width="10.25"/>
    <col customWidth="1" min="13" max="13" width="9.13"/>
    <col customWidth="1" min="14" max="14" width="10.0"/>
    <col customWidth="1" min="15" max="15" width="11.38"/>
    <col customWidth="1" min="16" max="17" width="9.13"/>
    <col customWidth="1" min="18" max="18" width="2.88"/>
    <col customWidth="1" min="19" max="19" width="9.75"/>
    <col customWidth="1" min="20" max="20" width="10.38"/>
    <col customWidth="1" min="21" max="21" width="5.63"/>
    <col customWidth="1" min="22" max="26" width="7.75"/>
  </cols>
  <sheetData>
    <row r="1" ht="27.75" customHeight="1">
      <c r="A1" s="1" t="s">
        <v>218</v>
      </c>
      <c r="B1" s="1"/>
      <c r="C1" s="1"/>
      <c r="D1" s="1"/>
      <c r="E1" s="1"/>
      <c r="F1" s="1"/>
      <c r="G1" s="126"/>
      <c r="T1" s="7"/>
      <c r="U1" s="7"/>
      <c r="V1" s="7"/>
    </row>
    <row r="2">
      <c r="A2" s="5" t="str">
        <f>IF(ISBLANK(Company_Name),"Salaries &amp; Wages Projections",Company_Name&amp;" | Salaries &amp; Wages Projections |")</f>
        <v>OTW Paints | Salaries &amp; Wages Projections |</v>
      </c>
      <c r="B2" s="5"/>
      <c r="C2" s="5"/>
      <c r="D2" s="5"/>
      <c r="I2" s="127"/>
      <c r="T2" s="7"/>
      <c r="U2" s="7"/>
      <c r="V2" s="7"/>
    </row>
    <row r="3" ht="15.75" customHeight="1">
      <c r="A3" s="11"/>
      <c r="B3" s="11"/>
      <c r="C3" s="11"/>
      <c r="D3" s="11"/>
      <c r="E3" s="11"/>
      <c r="F3" s="11"/>
      <c r="G3" s="128" t="str">
        <f>"Financial Projections Start Date:  "&amp;TEXT(Projected_Start_Date,"mm/dd/yy")</f>
        <v>Financial Projections Start Date:  01/01/16</v>
      </c>
      <c r="H3" s="129"/>
      <c r="I3" s="130"/>
      <c r="T3" s="7"/>
      <c r="U3" s="7"/>
      <c r="V3" s="7"/>
    </row>
    <row r="4">
      <c r="A4" s="131" t="s">
        <v>225</v>
      </c>
      <c r="B4" s="132"/>
      <c r="C4" s="132"/>
      <c r="D4" s="132"/>
      <c r="E4" s="132"/>
      <c r="F4" s="132"/>
      <c r="G4" s="132"/>
      <c r="H4" s="132"/>
      <c r="I4" s="132"/>
      <c r="U4" s="7"/>
      <c r="V4" s="7"/>
      <c r="W4" s="7"/>
    </row>
    <row r="5">
      <c r="A5" s="38" t="s">
        <v>227</v>
      </c>
      <c r="B5" s="133"/>
      <c r="C5" s="12"/>
      <c r="D5" s="12"/>
      <c r="E5" s="12"/>
      <c r="F5" s="12"/>
      <c r="G5" s="12"/>
      <c r="H5" s="12"/>
      <c r="I5" s="12"/>
      <c r="O5" s="133"/>
      <c r="T5" s="134"/>
      <c r="U5" s="134"/>
      <c r="V5" s="134"/>
    </row>
    <row r="6">
      <c r="A6" s="135" t="s">
        <v>232</v>
      </c>
      <c r="B6" s="135"/>
      <c r="C6" s="135"/>
      <c r="D6" s="135"/>
      <c r="E6" s="135"/>
      <c r="F6" s="135"/>
      <c r="G6" s="135"/>
      <c r="H6" s="135"/>
      <c r="I6" s="135"/>
      <c r="O6" s="133"/>
      <c r="P6" s="136"/>
      <c r="T6" s="137"/>
      <c r="U6" s="137"/>
      <c r="V6" s="137"/>
    </row>
    <row r="7">
      <c r="A7" s="138"/>
      <c r="H7" s="139"/>
      <c r="I7" s="141"/>
      <c r="O7" s="133"/>
      <c r="P7" s="136"/>
      <c r="T7" s="137"/>
      <c r="U7" s="137"/>
      <c r="V7" s="137"/>
    </row>
    <row r="8">
      <c r="A8" s="143" t="s">
        <v>236</v>
      </c>
      <c r="B8" s="37" t="s">
        <v>238</v>
      </c>
      <c r="C8" s="144" t="s">
        <v>240</v>
      </c>
      <c r="D8" s="44" t="s">
        <v>241</v>
      </c>
      <c r="E8" s="144" t="s">
        <v>242</v>
      </c>
      <c r="F8" s="37" t="s">
        <v>243</v>
      </c>
      <c r="G8" s="37" t="s">
        <v>244</v>
      </c>
      <c r="H8" s="37" t="s">
        <v>245</v>
      </c>
      <c r="I8" s="145" t="s">
        <v>246</v>
      </c>
      <c r="O8" s="133"/>
      <c r="P8" s="136"/>
      <c r="T8" s="137"/>
      <c r="U8" s="137"/>
      <c r="V8" s="137"/>
    </row>
    <row r="9">
      <c r="A9" s="53">
        <v>1.0</v>
      </c>
      <c r="B9" s="147" t="s">
        <v>248</v>
      </c>
      <c r="C9" s="147" t="s">
        <v>250</v>
      </c>
      <c r="D9" s="147"/>
      <c r="E9" s="150">
        <v>42370.0</v>
      </c>
      <c r="F9" s="153">
        <f>IF(ISBLANK(E9),"",IF(E9&lt;Projected_Start_Date,G9,(NETWORKDAYS(E9,EOMONTH(E9,0)))*(I9/((NETWORKDAYS(41275,41639))))))</f>
        <v>2011.494253</v>
      </c>
      <c r="G9" s="153">
        <f>IF(ISBLANK(E9),"",IF(OR(E9&lt;=Projected_Start_Date,AND(E9&gt;=Projected_Start_Date,E9&lt;(Projected_Start_Date+(365*2)))),I9/12,""))</f>
        <v>2083.333333</v>
      </c>
      <c r="H9" s="153">
        <f>IF(ISBLANK(E9),"",IF(E9&lt;=FIN_StartDate,52*(I9/52),IF(AND(E9&gt;FIN_StartDate,E9&lt;=(FIN_StartDate+364)),((52-WEEKNUM(E9,1))*I9/52),"")))</f>
        <v>25000</v>
      </c>
      <c r="I9" s="157">
        <v>25000.0</v>
      </c>
      <c r="O9" s="133"/>
      <c r="P9" s="136"/>
      <c r="T9" s="137"/>
      <c r="U9" s="137"/>
      <c r="V9" s="137"/>
    </row>
    <row r="10">
      <c r="A10" s="53">
        <v>2.0</v>
      </c>
      <c r="B10" s="147" t="s">
        <v>255</v>
      </c>
      <c r="C10" s="147" t="s">
        <v>250</v>
      </c>
      <c r="D10" s="147"/>
      <c r="E10" s="150">
        <v>42370.0</v>
      </c>
      <c r="F10" s="153">
        <f>IF(ISBLANK(E10),"",IF(E10&lt;Projected_Start_Date,G10,(NETWORKDAYS(E10,EOMONTH(E10,0)))*(I10/((NETWORKDAYS(41275,41639))))))</f>
        <v>2011.494253</v>
      </c>
      <c r="G10" s="153">
        <f>IF(ISBLANK(E10),"",IF(OR(E10&lt;=Projected_Start_Date,AND(E10&gt;=Projected_Start_Date,E10&lt;(Projected_Start_Date+(365*2)))),I10/12,""))</f>
        <v>2083.333333</v>
      </c>
      <c r="H10" s="153">
        <f>IF(ISBLANK(E10),"",IF(E10&lt;=FIN_StartDate,52*(I10/52),IF(AND(E10&gt;FIN_StartDate,E10&lt;=(FIN_StartDate+364)),((52-WEEKNUM(E10,1))*I10/52),"")))</f>
        <v>25000</v>
      </c>
      <c r="I10" s="157">
        <v>25000.0</v>
      </c>
      <c r="O10" s="133"/>
      <c r="P10" s="136"/>
      <c r="T10" s="137"/>
      <c r="U10" s="137"/>
      <c r="V10" s="137"/>
    </row>
    <row r="11">
      <c r="A11" s="53">
        <v>3.0</v>
      </c>
      <c r="B11" s="147"/>
      <c r="C11" s="147"/>
      <c r="D11" s="147"/>
      <c r="E11" s="150"/>
      <c r="F11" s="153" t="str">
        <f>IF(ISBLANK(E11),"",IF(E11&lt;Projected_Start_Date,G11,(NETWORKDAYS(E11,EOMONTH(E11,0)))*(I11/((NETWORKDAYS(41275,41639))))))</f>
        <v/>
      </c>
      <c r="G11" s="153" t="str">
        <f>IF(ISBLANK(E11),"",IF(OR(E11&lt;=Projected_Start_Date,AND(E11&gt;=Projected_Start_Date,E11&lt;(Projected_Start_Date+(365*2)))),I11/12,""))</f>
        <v/>
      </c>
      <c r="H11" s="153" t="str">
        <f>IF(ISBLANK(E11),"",IF(E11&lt;=FIN_StartDate,52*(I11/52),IF(AND(E11&gt;FIN_StartDate,E11&lt;=(FIN_StartDate+364)),((52-WEEKNUM(E11,1))*I11/52),"")))</f>
        <v/>
      </c>
      <c r="I11" s="157">
        <v>0.0</v>
      </c>
      <c r="O11" s="133"/>
      <c r="P11" s="136"/>
      <c r="T11" s="137"/>
      <c r="U11" s="137"/>
      <c r="V11" s="137"/>
    </row>
    <row r="12">
      <c r="A12" s="53">
        <v>4.0</v>
      </c>
      <c r="B12" s="147"/>
      <c r="C12" s="147"/>
      <c r="D12" s="147"/>
      <c r="E12" s="150"/>
      <c r="F12" s="153" t="str">
        <f>IF(ISBLANK(E12),"",IF(E12&lt;Projected_Start_Date,G12,(NETWORKDAYS(E12,EOMONTH(E12,0)))*(I12/((NETWORKDAYS(41275,41639))))))</f>
        <v/>
      </c>
      <c r="G12" s="153" t="str">
        <f>IF(ISBLANK(E12),"",IF(OR(E12&lt;=Projected_Start_Date,AND(E12&gt;=Projected_Start_Date,E12&lt;(Projected_Start_Date+(365*2)))),I12/12,""))</f>
        <v/>
      </c>
      <c r="H12" s="153" t="str">
        <f>IF(ISBLANK(E12),"",IF(E12&lt;=FIN_StartDate,52*(I12/52),IF(AND(E12&gt;FIN_StartDate,E12&lt;=(FIN_StartDate+364)),((52-WEEKNUM(E12,1))*I12/52),"")))</f>
        <v/>
      </c>
      <c r="I12" s="157">
        <v>0.0</v>
      </c>
      <c r="O12" s="133"/>
      <c r="P12" s="136"/>
      <c r="T12" s="137"/>
      <c r="U12" s="137"/>
      <c r="V12" s="137"/>
    </row>
    <row r="13">
      <c r="A13" s="53">
        <v>5.0</v>
      </c>
      <c r="B13" s="147"/>
      <c r="C13" s="147"/>
      <c r="D13" s="147"/>
      <c r="E13" s="150"/>
      <c r="F13" s="153" t="str">
        <f>IF(ISBLANK(E13),"",IF(E13&lt;Projected_Start_Date,G13,(NETWORKDAYS(E13,EOMONTH(E13,0)))*(I13/((NETWORKDAYS(41275,41639))))))</f>
        <v/>
      </c>
      <c r="G13" s="153" t="str">
        <f>IF(ISBLANK(E13),"",IF(OR(E13&lt;=Projected_Start_Date,AND(E13&gt;=Projected_Start_Date,E13&lt;(Projected_Start_Date+(365*2)))),I13/12,""))</f>
        <v/>
      </c>
      <c r="H13" s="153" t="str">
        <f>IF(ISBLANK(E13),"",IF(E13&lt;=FIN_StartDate,52*(I13/52),IF(AND(E13&gt;FIN_StartDate,E13&lt;=(FIN_StartDate+364)),((52-WEEKNUM(E13,1))*I13/52),"")))</f>
        <v/>
      </c>
      <c r="I13" s="157">
        <v>0.0</v>
      </c>
      <c r="O13" s="133"/>
      <c r="P13" s="136"/>
      <c r="T13" s="137"/>
      <c r="U13" s="137"/>
      <c r="V13" s="137"/>
    </row>
    <row r="14">
      <c r="A14" s="53">
        <v>6.0</v>
      </c>
      <c r="B14" s="147"/>
      <c r="C14" s="147"/>
      <c r="D14" s="147"/>
      <c r="E14" s="150"/>
      <c r="F14" s="153" t="str">
        <f>IF(ISBLANK(E14),"",IF(E14&lt;Projected_Start_Date,G14,(NETWORKDAYS(E14,EOMONTH(E14,0)))*(I14/((NETWORKDAYS(41275,41639))))))</f>
        <v/>
      </c>
      <c r="G14" s="153" t="str">
        <f>IF(ISBLANK(E14),"",IF(OR(E14&lt;=Projected_Start_Date,AND(E14&gt;=Projected_Start_Date,E14&lt;(Projected_Start_Date+(365*2)))),I14/12,""))</f>
        <v/>
      </c>
      <c r="H14" s="153" t="str">
        <f>IF(ISBLANK(E14),"",IF(E14&lt;=FIN_StartDate,52*(I14/52),IF(AND(E14&gt;FIN_StartDate,E14&lt;=(FIN_StartDate+364)),((52-WEEKNUM(E14,1))*I14/52),"")))</f>
        <v/>
      </c>
      <c r="I14" s="157">
        <v>0.0</v>
      </c>
      <c r="T14" s="137"/>
      <c r="U14" s="7"/>
      <c r="V14" s="7"/>
    </row>
    <row r="15">
      <c r="A15" s="53">
        <v>7.0</v>
      </c>
      <c r="B15" s="147"/>
      <c r="C15" s="179"/>
      <c r="D15" s="147"/>
      <c r="E15" s="150"/>
      <c r="F15" s="153" t="str">
        <f>IF(ISBLANK(E15),"",IF(E15&lt;Projected_Start_Date,G15,(NETWORKDAYS(E15,EOMONTH(E15,0)))*(I15/((NETWORKDAYS(41275,41639))))))</f>
        <v/>
      </c>
      <c r="G15" s="153" t="str">
        <f>IF(ISBLANK(E15),"",IF(OR(E15&lt;=Projected_Start_Date,AND(E15&gt;=Projected_Start_Date,E15&lt;(Projected_Start_Date+(365*2)))),I15/12,""))</f>
        <v/>
      </c>
      <c r="H15" s="153" t="str">
        <f>IF(ISBLANK(E15),"",IF(E15&lt;=FIN_StartDate,52*(I15/52),IF(AND(E15&gt;FIN_StartDate,E15&lt;=(FIN_StartDate+364)),((52-WEEKNUM(E15,1))*I15/52),"")))</f>
        <v/>
      </c>
      <c r="I15" s="157">
        <v>0.0</v>
      </c>
      <c r="K15" s="12"/>
      <c r="T15" s="7"/>
      <c r="U15" s="7"/>
      <c r="V15" s="7"/>
    </row>
    <row r="16">
      <c r="A16" s="53">
        <v>8.0</v>
      </c>
      <c r="B16" s="147"/>
      <c r="C16" s="147"/>
      <c r="D16" s="147"/>
      <c r="E16" s="150"/>
      <c r="F16" s="153" t="str">
        <f>IF(ISBLANK(E16),"",IF(E16&lt;Projected_Start_Date,G16,(NETWORKDAYS(E16,EOMONTH(E16,0)))*(I16/((NETWORKDAYS(41275,41639))))))</f>
        <v/>
      </c>
      <c r="G16" s="153" t="str">
        <f>IF(ISBLANK(E16),"",IF(OR(E16&lt;=Projected_Start_Date,AND(E16&gt;=Projected_Start_Date,E16&lt;(Projected_Start_Date+(365*2)))),I16/12,""))</f>
        <v/>
      </c>
      <c r="H16" s="153" t="str">
        <f>IF(ISBLANK(E16),"",IF(E16&lt;=FIN_StartDate,52*(I16/52),IF(AND(E16&gt;FIN_StartDate,E16&lt;=(FIN_StartDate+364)),((52-WEEKNUM(E16,1))*I16/52),"")))</f>
        <v/>
      </c>
      <c r="I16" s="157"/>
      <c r="K16" s="12"/>
      <c r="T16" s="7"/>
      <c r="U16" s="7"/>
      <c r="V16" s="7"/>
    </row>
    <row r="17">
      <c r="A17" s="53">
        <v>9.0</v>
      </c>
      <c r="B17" s="147"/>
      <c r="C17" s="147"/>
      <c r="D17" s="147"/>
      <c r="E17" s="150"/>
      <c r="F17" s="153" t="str">
        <f>IF(ISBLANK(E17),"",IF(E17&lt;Projected_Start_Date,G17,(NETWORKDAYS(E17,EOMONTH(E17,0)))*(I17/((NETWORKDAYS(41275,41639))))))</f>
        <v/>
      </c>
      <c r="G17" s="153" t="str">
        <f>IF(ISBLANK(E17),"",IF(OR(E17&lt;=Projected_Start_Date,AND(E17&gt;=Projected_Start_Date,E17&lt;(Projected_Start_Date+(365*2)))),I17/12,""))</f>
        <v/>
      </c>
      <c r="H17" s="153" t="str">
        <f>IF(ISBLANK(E17),"",IF(E17&lt;=FIN_StartDate,52*(I17/52),IF(AND(E17&gt;FIN_StartDate,E17&lt;=(FIN_StartDate+364)),((52-WEEKNUM(E17,1))*I17/52),"")))</f>
        <v/>
      </c>
      <c r="I17" s="157"/>
      <c r="T17" s="7"/>
      <c r="U17" s="7"/>
      <c r="V17" s="7"/>
    </row>
    <row r="18">
      <c r="A18" s="53">
        <v>10.0</v>
      </c>
      <c r="B18" s="147"/>
      <c r="C18" s="147"/>
      <c r="D18" s="147"/>
      <c r="E18" s="150"/>
      <c r="F18" s="153" t="str">
        <f>IF(ISBLANK(E18),"",IF(E18&lt;Projected_Start_Date,G18,(NETWORKDAYS(E18,EOMONTH(E18,0)))*(I18/((NETWORKDAYS(41275,41639))))))</f>
        <v/>
      </c>
      <c r="G18" s="153" t="str">
        <f>IF(ISBLANK(E18),"",IF(OR(E18&lt;=Projected_Start_Date,AND(E18&gt;=Projected_Start_Date,E18&lt;(Projected_Start_Date+(365*2)))),I18/12,""))</f>
        <v/>
      </c>
      <c r="H18" s="153" t="str">
        <f>IF(ISBLANK(E18),"",IF(E18&lt;=FIN_StartDate,52*(I18/52),IF(AND(E18&gt;FIN_StartDate,E18&lt;=(FIN_StartDate+364)),((52-WEEKNUM(E18,1))*I18/52),"")))</f>
        <v/>
      </c>
      <c r="I18" s="157"/>
      <c r="J18" s="12"/>
      <c r="T18" s="7"/>
      <c r="U18" s="7"/>
      <c r="V18" s="7"/>
    </row>
    <row r="19">
      <c r="A19" s="53">
        <v>11.0</v>
      </c>
      <c r="B19" s="147"/>
      <c r="C19" s="147"/>
      <c r="D19" s="147"/>
      <c r="E19" s="150"/>
      <c r="F19" s="153" t="str">
        <f>IF(ISBLANK(E19),"",IF(E19&lt;Projected_Start_Date,G19,(NETWORKDAYS(E19,EOMONTH(E19,0)))*(I19/((NETWORKDAYS(41275,41639))))))</f>
        <v/>
      </c>
      <c r="G19" s="153" t="str">
        <f>IF(ISBLANK(E19),"",IF(OR(E19&lt;=Projected_Start_Date,AND(E19&gt;=Projected_Start_Date,E19&lt;(Projected_Start_Date+(365*2)))),I19/12,""))</f>
        <v/>
      </c>
      <c r="H19" s="153" t="str">
        <f>IF(ISBLANK(E19),"",IF(E19&lt;=FIN_StartDate,52*(I19/52),IF(AND(E19&gt;FIN_StartDate,E19&lt;=(FIN_StartDate+364)),((52-WEEKNUM(E19,1))*I19/52),"")))</f>
        <v/>
      </c>
      <c r="I19" s="157"/>
      <c r="T19" s="7"/>
      <c r="U19" s="7"/>
      <c r="V19" s="7"/>
    </row>
    <row r="20">
      <c r="A20" s="53">
        <v>12.0</v>
      </c>
      <c r="B20" s="147"/>
      <c r="C20" s="147"/>
      <c r="D20" s="147"/>
      <c r="E20" s="150"/>
      <c r="F20" s="153" t="str">
        <f>IF(ISBLANK(E20),"",IF(E20&lt;Projected_Start_Date,G20,(NETWORKDAYS(E20,EOMONTH(E20,0)))*(I20/((NETWORKDAYS(41275,41639))))))</f>
        <v/>
      </c>
      <c r="G20" s="153" t="str">
        <f>IF(ISBLANK(E20),"",IF(OR(E20&lt;=Projected_Start_Date,AND(E20&gt;=Projected_Start_Date,E20&lt;(Projected_Start_Date+(365*2)))),I20/12,""))</f>
        <v/>
      </c>
      <c r="H20" s="153" t="str">
        <f>IF(ISBLANK(E20),"",IF(E20&lt;=FIN_StartDate,52*(I20/52),IF(AND(E20&gt;FIN_StartDate,E20&lt;=(FIN_StartDate+364)),((52-WEEKNUM(E20,1))*I20/52),"")))</f>
        <v/>
      </c>
      <c r="I20" s="157"/>
      <c r="T20" s="7"/>
      <c r="U20" s="7"/>
      <c r="V20" s="7"/>
    </row>
    <row r="21" ht="15.75" customHeight="1">
      <c r="A21" s="53">
        <v>13.0</v>
      </c>
      <c r="B21" s="147"/>
      <c r="C21" s="147"/>
      <c r="D21" s="147"/>
      <c r="E21" s="150"/>
      <c r="F21" s="153" t="str">
        <f>IF(ISBLANK(E21),"",IF(E21&lt;Projected_Start_Date,G21,(NETWORKDAYS(E21,EOMONTH(E21,0)))*(I21/((NETWORKDAYS(41275,41639))))))</f>
        <v/>
      </c>
      <c r="G21" s="153" t="str">
        <f>IF(ISBLANK(E21),"",IF(OR(E21&lt;=Projected_Start_Date,AND(E21&gt;=Projected_Start_Date,E21&lt;(Projected_Start_Date+(365*2)))),I21/12,""))</f>
        <v/>
      </c>
      <c r="H21" s="153" t="str">
        <f>IF(ISBLANK(E21),"",IF(E21&lt;=FIN_StartDate,52*(I21/52),IF(AND(E21&gt;FIN_StartDate,E21&lt;=(FIN_StartDate+364)),((52-WEEKNUM(E21,1))*I21/52),"")))</f>
        <v/>
      </c>
      <c r="I21" s="157"/>
      <c r="T21" s="7"/>
      <c r="U21" s="7"/>
      <c r="V21" s="7"/>
    </row>
    <row r="22" ht="15.75" customHeight="1">
      <c r="A22" s="53">
        <v>14.0</v>
      </c>
      <c r="B22" s="147"/>
      <c r="C22" s="147"/>
      <c r="D22" s="147"/>
      <c r="E22" s="150"/>
      <c r="F22" s="153" t="str">
        <f>IF(ISBLANK(E22),"",IF(E22&lt;Projected_Start_Date,G22,(NETWORKDAYS(E22,EOMONTH(E22,0)))*(I22/((NETWORKDAYS(41275,41639))))))</f>
        <v/>
      </c>
      <c r="G22" s="153" t="str">
        <f>IF(ISBLANK(E22),"",IF(OR(E22&lt;=Projected_Start_Date,AND(E22&gt;=Projected_Start_Date,E22&lt;(Projected_Start_Date+(365*2)))),I22/12,""))</f>
        <v/>
      </c>
      <c r="H22" s="153" t="str">
        <f>IF(ISBLANK(E22),"",IF(E22&lt;=FIN_StartDate,52*(I22/52),IF(AND(E22&gt;FIN_StartDate,E22&lt;=(FIN_StartDate+364)),((52-WEEKNUM(E22,1))*I22/52),"")))</f>
        <v/>
      </c>
      <c r="I22" s="157"/>
      <c r="T22" s="7"/>
      <c r="U22" s="7"/>
      <c r="V22" s="7"/>
    </row>
    <row r="23" ht="15.75" customHeight="1">
      <c r="A23" s="53">
        <v>15.0</v>
      </c>
      <c r="B23" s="147"/>
      <c r="C23" s="147"/>
      <c r="D23" s="147"/>
      <c r="E23" s="150"/>
      <c r="F23" s="153" t="str">
        <f>IF(ISBLANK(E23),"",IF(E23&lt;Projected_Start_Date,G23,(NETWORKDAYS(E23,EOMONTH(E23,0)))*(I23/((NETWORKDAYS(41275,41639))))))</f>
        <v/>
      </c>
      <c r="G23" s="153" t="str">
        <f>IF(ISBLANK(E23),"",IF(OR(E23&lt;=Projected_Start_Date,AND(E23&gt;=Projected_Start_Date,E23&lt;(Projected_Start_Date+(365*2)))),I23/12,""))</f>
        <v/>
      </c>
      <c r="H23" s="153" t="str">
        <f>IF(ISBLANK(E23),"",IF(E23&lt;=FIN_StartDate,52*(I23/52),IF(AND(E23&gt;FIN_StartDate,E23&lt;=(FIN_StartDate+364)),((52-WEEKNUM(E23,1))*I23/52),"")))</f>
        <v/>
      </c>
      <c r="I23" s="157"/>
      <c r="T23" s="7"/>
      <c r="U23" s="7"/>
      <c r="V23" s="7"/>
    </row>
    <row r="24" ht="15.75" customHeight="1">
      <c r="A24" s="53">
        <v>16.0</v>
      </c>
      <c r="B24" s="147"/>
      <c r="C24" s="147"/>
      <c r="D24" s="147"/>
      <c r="E24" s="150"/>
      <c r="F24" s="153" t="str">
        <f>IF(ISBLANK(E24),"",IF(E24&lt;Projected_Start_Date,G24,(NETWORKDAYS(E24,EOMONTH(E24,0)))*(I24/((NETWORKDAYS(41275,41639))))))</f>
        <v/>
      </c>
      <c r="G24" s="153" t="str">
        <f>IF(ISBLANK(E24),"",IF(OR(E24&lt;=Projected_Start_Date,AND(E24&gt;=Projected_Start_Date,E24&lt;(Projected_Start_Date+(365*2)))),I24/12,""))</f>
        <v/>
      </c>
      <c r="H24" s="153" t="str">
        <f>IF(ISBLANK(E24),"",IF(E24&lt;=FIN_StartDate,52*(I24/52),IF(AND(E24&gt;FIN_StartDate,E24&lt;=(FIN_StartDate+364)),((52-WEEKNUM(E24,1))*I24/52),"")))</f>
        <v/>
      </c>
      <c r="I24" s="157"/>
      <c r="T24" s="7"/>
      <c r="U24" s="7"/>
      <c r="V24" s="7"/>
    </row>
    <row r="25" ht="15.75" customHeight="1">
      <c r="A25" s="53">
        <v>17.0</v>
      </c>
      <c r="B25" s="147"/>
      <c r="C25" s="147"/>
      <c r="D25" s="147"/>
      <c r="E25" s="150"/>
      <c r="F25" s="153" t="str">
        <f>IF(ISBLANK(E25),"",IF(E25&lt;Projected_Start_Date,G25,(NETWORKDAYS(E25,EOMONTH(E25,0)))*(I25/((NETWORKDAYS(41275,41639))))))</f>
        <v/>
      </c>
      <c r="G25" s="153" t="str">
        <f>IF(ISBLANK(E25),"",IF(OR(E25&lt;=Projected_Start_Date,AND(E25&gt;=Projected_Start_Date,E25&lt;(Projected_Start_Date+(365*2)))),I25/12,""))</f>
        <v/>
      </c>
      <c r="H25" s="153" t="str">
        <f>IF(ISBLANK(E25),"",IF(E25&lt;=FIN_StartDate,52*(I25/52),IF(AND(E25&gt;FIN_StartDate,E25&lt;=(FIN_StartDate+364)),((52-WEEKNUM(E25,1))*I25/52),"")))</f>
        <v/>
      </c>
      <c r="I25" s="157"/>
      <c r="T25" s="7"/>
      <c r="U25" s="7"/>
      <c r="V25" s="7"/>
    </row>
    <row r="26" ht="15.75" customHeight="1">
      <c r="A26" s="53">
        <v>18.0</v>
      </c>
      <c r="B26" s="147"/>
      <c r="C26" s="147"/>
      <c r="D26" s="147"/>
      <c r="E26" s="150"/>
      <c r="F26" s="153" t="str">
        <f>IF(ISBLANK(E26),"",IF(E26&lt;Projected_Start_Date,G26,(NETWORKDAYS(E26,EOMONTH(E26,0)))*(I26/((NETWORKDAYS(41275,41639))))))</f>
        <v/>
      </c>
      <c r="G26" s="153" t="str">
        <f>IF(ISBLANK(E26),"",IF(OR(E26&lt;=Projected_Start_Date,AND(E26&gt;=Projected_Start_Date,E26&lt;(Projected_Start_Date+(365*2)))),I26/12,""))</f>
        <v/>
      </c>
      <c r="H26" s="153" t="str">
        <f>IF(ISBLANK(E26),"",IF(E26&lt;=FIN_StartDate,52*(I26/52),IF(AND(E26&gt;FIN_StartDate,E26&lt;=(FIN_StartDate+364)),((52-WEEKNUM(E26,1))*I26/52),"")))</f>
        <v/>
      </c>
      <c r="I26" s="157"/>
      <c r="T26" s="7"/>
      <c r="U26" s="7"/>
      <c r="V26" s="7"/>
    </row>
    <row r="27" ht="15.75" customHeight="1">
      <c r="A27" s="53">
        <v>19.0</v>
      </c>
      <c r="B27" s="147"/>
      <c r="C27" s="147"/>
      <c r="D27" s="147"/>
      <c r="E27" s="150"/>
      <c r="F27" s="153" t="str">
        <f>IF(ISBLANK(E27),"",IF(E27&lt;Projected_Start_Date,G27,(NETWORKDAYS(E27,EOMONTH(E27,0)))*(I27/((NETWORKDAYS(41275,41639))))))</f>
        <v/>
      </c>
      <c r="G27" s="153" t="str">
        <f>IF(ISBLANK(E27),"",IF(OR(E27&lt;=Projected_Start_Date,AND(E27&gt;=Projected_Start_Date,E27&lt;(Projected_Start_Date+(365*2)))),I27/12,""))</f>
        <v/>
      </c>
      <c r="H27" s="153" t="str">
        <f>IF(ISBLANK(E27),"",IF(E27&lt;=FIN_StartDate,52*(I27/52),IF(AND(E27&gt;FIN_StartDate,E27&lt;=(FIN_StartDate+364)),((52-WEEKNUM(E27,1))*I27/52),"")))</f>
        <v/>
      </c>
      <c r="I27" s="157"/>
      <c r="T27" s="7"/>
      <c r="U27" s="7"/>
      <c r="V27" s="7"/>
    </row>
    <row r="28" ht="15.75" customHeight="1">
      <c r="A28" s="53">
        <v>20.0</v>
      </c>
      <c r="B28" s="147"/>
      <c r="C28" s="147"/>
      <c r="D28" s="147"/>
      <c r="E28" s="150"/>
      <c r="F28" s="153" t="str">
        <f>IF(ISBLANK(E28),"",IF(E28&lt;Projected_Start_Date,G28,(NETWORKDAYS(E28,EOMONTH(E28,0)))*(I28/((NETWORKDAYS(41275,41639))))))</f>
        <v/>
      </c>
      <c r="G28" s="153" t="str">
        <f>IF(ISBLANK(E28),"",IF(OR(E28&lt;=Projected_Start_Date,AND(E28&gt;=Projected_Start_Date,E28&lt;(Projected_Start_Date+(365*2)))),I28/12,""))</f>
        <v/>
      </c>
      <c r="H28" s="153" t="str">
        <f>IF(ISBLANK(E28),"",IF(E28&lt;=FIN_StartDate,52*(I28/52),IF(AND(E28&gt;FIN_StartDate,E28&lt;=(FIN_StartDate+364)),((52-WEEKNUM(E28,1))*I28/52),"")))</f>
        <v/>
      </c>
      <c r="I28" s="157"/>
      <c r="T28" s="7"/>
      <c r="U28" s="7"/>
      <c r="V28" s="7"/>
    </row>
    <row r="29" ht="15.75" customHeight="1">
      <c r="A29" s="53">
        <v>21.0</v>
      </c>
      <c r="B29" s="147"/>
      <c r="C29" s="147"/>
      <c r="D29" s="147"/>
      <c r="E29" s="150"/>
      <c r="F29" s="153" t="str">
        <f>IF(ISBLANK(E29),"",IF(E29&lt;Projected_Start_Date,G29,(NETWORKDAYS(E29,EOMONTH(E29,0)))*(I29/((NETWORKDAYS(41275,41639))))))</f>
        <v/>
      </c>
      <c r="G29" s="153" t="str">
        <f>IF(ISBLANK(E29),"",IF(OR(E29&lt;=Projected_Start_Date,AND(E29&gt;=Projected_Start_Date,E29&lt;(Projected_Start_Date+(365*2)))),I29/12,""))</f>
        <v/>
      </c>
      <c r="H29" s="153" t="str">
        <f>IF(ISBLANK(E29),"",IF(E29&lt;=FIN_StartDate,52*(I29/52),IF(AND(E29&gt;FIN_StartDate,E29&lt;=(FIN_StartDate+364)),((52-WEEKNUM(E29,1))*I29/52),"")))</f>
        <v/>
      </c>
      <c r="I29" s="157"/>
      <c r="T29" s="7"/>
      <c r="U29" s="7"/>
      <c r="V29" s="7"/>
    </row>
    <row r="30" ht="15.75" customHeight="1">
      <c r="A30" s="53">
        <v>22.0</v>
      </c>
      <c r="B30" s="147"/>
      <c r="C30" s="147"/>
      <c r="D30" s="147"/>
      <c r="E30" s="150"/>
      <c r="F30" s="153" t="str">
        <f>IF(ISBLANK(E30),"",IF(E30&lt;Projected_Start_Date,G30,(NETWORKDAYS(E30,EOMONTH(E30,0)))*(I30/((NETWORKDAYS(41275,41639))))))</f>
        <v/>
      </c>
      <c r="G30" s="153" t="str">
        <f>IF(ISBLANK(E30),"",IF(OR(E30&lt;=Projected_Start_Date,AND(E30&gt;=Projected_Start_Date,E30&lt;(Projected_Start_Date+(365*2)))),I30/12,""))</f>
        <v/>
      </c>
      <c r="H30" s="153" t="str">
        <f>IF(ISBLANK(E30),"",IF(E30&lt;=FIN_StartDate,52*(I30/52),IF(AND(E30&gt;FIN_StartDate,E30&lt;=(FIN_StartDate+364)),((52-WEEKNUM(E30,1))*I30/52),"")))</f>
        <v/>
      </c>
      <c r="I30" s="157"/>
      <c r="T30" s="7"/>
      <c r="U30" s="7"/>
      <c r="V30" s="7"/>
    </row>
    <row r="31" ht="15.75" customHeight="1">
      <c r="A31" s="53">
        <v>23.0</v>
      </c>
      <c r="B31" s="147"/>
      <c r="C31" s="147"/>
      <c r="D31" s="147"/>
      <c r="E31" s="150"/>
      <c r="F31" s="153" t="str">
        <f>IF(ISBLANK(E31),"",IF(E31&lt;Projected_Start_Date,G31,(NETWORKDAYS(E31,EOMONTH(E31,0)))*(I31/((NETWORKDAYS(41275,41639))))))</f>
        <v/>
      </c>
      <c r="G31" s="153" t="str">
        <f>IF(ISBLANK(E31),"",IF(OR(E31&lt;=Projected_Start_Date,AND(E31&gt;=Projected_Start_Date,E31&lt;(Projected_Start_Date+(365*2)))),I31/12,""))</f>
        <v/>
      </c>
      <c r="H31" s="153" t="str">
        <f>IF(ISBLANK(E31),"",IF(E31&lt;=FIN_StartDate,52*(I31/52),IF(AND(E31&gt;FIN_StartDate,E31&lt;=(FIN_StartDate+364)),((52-WEEKNUM(E31,1))*I31/52),"")))</f>
        <v/>
      </c>
      <c r="I31" s="157"/>
      <c r="T31" s="7"/>
      <c r="U31" s="7"/>
      <c r="V31" s="7"/>
    </row>
    <row r="32" ht="15.75" customHeight="1">
      <c r="A32" s="53">
        <v>24.0</v>
      </c>
      <c r="B32" s="147"/>
      <c r="C32" s="147"/>
      <c r="D32" s="147"/>
      <c r="E32" s="150"/>
      <c r="F32" s="153" t="str">
        <f>IF(ISBLANK(E32),"",IF(E32&lt;Projected_Start_Date,G32,(NETWORKDAYS(E32,EOMONTH(E32,0)))*(I32/((NETWORKDAYS(41275,41639))))))</f>
        <v/>
      </c>
      <c r="G32" s="153" t="str">
        <f>IF(ISBLANK(E32),"",IF(OR(E32&lt;=Projected_Start_Date,AND(E32&gt;=Projected_Start_Date,E32&lt;(Projected_Start_Date+(365*2)))),I32/12,""))</f>
        <v/>
      </c>
      <c r="H32" s="153" t="str">
        <f>IF(ISBLANK(E32),"",IF(E32&lt;=FIN_StartDate,52*(I32/52),IF(AND(E32&gt;FIN_StartDate,E32&lt;=(FIN_StartDate+364)),((52-WEEKNUM(E32,1))*I32/52),"")))</f>
        <v/>
      </c>
      <c r="I32" s="157"/>
      <c r="T32" s="7"/>
      <c r="U32" s="7"/>
      <c r="V32" s="7"/>
    </row>
    <row r="33" ht="15.75" customHeight="1">
      <c r="A33" s="53">
        <v>25.0</v>
      </c>
      <c r="B33" s="147"/>
      <c r="C33" s="147"/>
      <c r="D33" s="147"/>
      <c r="E33" s="150"/>
      <c r="F33" s="153" t="str">
        <f>IF(ISBLANK(E33),"",IF(E33&lt;Projected_Start_Date,G33,(NETWORKDAYS(E33,EOMONTH(E33,0)))*(I33/((NETWORKDAYS(41275,41639))))))</f>
        <v/>
      </c>
      <c r="G33" s="153" t="str">
        <f>IF(ISBLANK(E33),"",IF(OR(E33&lt;=Projected_Start_Date,AND(E33&gt;=Projected_Start_Date,E33&lt;(Projected_Start_Date+(365*2)))),I33/12,""))</f>
        <v/>
      </c>
      <c r="H33" s="153" t="str">
        <f>IF(ISBLANK(E33),"",IF(E33&lt;=FIN_StartDate,52*(I33/52),IF(AND(E33&gt;FIN_StartDate,E33&lt;=(FIN_StartDate+364)),((52-WEEKNUM(E33,1))*I33/52),"")))</f>
        <v/>
      </c>
      <c r="I33" s="157"/>
      <c r="T33" s="7"/>
      <c r="U33" s="7"/>
      <c r="V33" s="7"/>
    </row>
    <row r="34" ht="15.75" customHeight="1">
      <c r="A34" s="53">
        <v>26.0</v>
      </c>
      <c r="B34" s="147"/>
      <c r="C34" s="147"/>
      <c r="D34" s="147"/>
      <c r="E34" s="150"/>
      <c r="F34" s="153" t="str">
        <f>IF(ISBLANK(E34),"",IF(E34&lt;Projected_Start_Date,G34,(NETWORKDAYS(E34,EOMONTH(E34,0)))*(I34/((NETWORKDAYS(41275,41639))))))</f>
        <v/>
      </c>
      <c r="G34" s="153" t="str">
        <f>IF(ISBLANK(E34),"",IF(OR(E34&lt;=Projected_Start_Date,AND(E34&gt;=Projected_Start_Date,E34&lt;(Projected_Start_Date+(365*2)))),I34/12,""))</f>
        <v/>
      </c>
      <c r="H34" s="153" t="str">
        <f>IF(ISBLANK(E34),"",IF(E34&lt;=FIN_StartDate,52*(I34/52),IF(AND(E34&gt;FIN_StartDate,E34&lt;=(FIN_StartDate+364)),((52-WEEKNUM(E34,1))*I34/52),"")))</f>
        <v/>
      </c>
      <c r="I34" s="157"/>
      <c r="T34" s="7"/>
      <c r="U34" s="7"/>
      <c r="V34" s="7"/>
    </row>
    <row r="35" ht="15.75" customHeight="1">
      <c r="A35" s="53">
        <v>27.0</v>
      </c>
      <c r="B35" s="147"/>
      <c r="C35" s="147"/>
      <c r="D35" s="147"/>
      <c r="E35" s="150"/>
      <c r="F35" s="153" t="str">
        <f>IF(ISBLANK(E35),"",IF(E35&lt;Projected_Start_Date,G35,(NETWORKDAYS(E35,EOMONTH(E35,0)))*(I35/((NETWORKDAYS(41275,41639))))))</f>
        <v/>
      </c>
      <c r="G35" s="153" t="str">
        <f>IF(ISBLANK(E35),"",IF(OR(E35&lt;=Projected_Start_Date,AND(E35&gt;=Projected_Start_Date,E35&lt;(Projected_Start_Date+(365*2)))),I35/12,""))</f>
        <v/>
      </c>
      <c r="H35" s="153" t="str">
        <f>IF(ISBLANK(E35),"",IF(E35&lt;=FIN_StartDate,52*(I35/52),IF(AND(E35&gt;FIN_StartDate,E35&lt;=(FIN_StartDate+364)),((52-WEEKNUM(E35,1))*I35/52),"")))</f>
        <v/>
      </c>
      <c r="I35" s="157"/>
      <c r="T35" s="7"/>
      <c r="U35" s="7"/>
      <c r="V35" s="7"/>
    </row>
    <row r="36" ht="15.75" customHeight="1">
      <c r="A36" s="53">
        <v>28.0</v>
      </c>
      <c r="B36" s="147"/>
      <c r="C36" s="147"/>
      <c r="D36" s="147"/>
      <c r="E36" s="150"/>
      <c r="F36" s="153" t="str">
        <f>IF(ISBLANK(E36),"",IF(E36&lt;Projected_Start_Date,G36,(NETWORKDAYS(E36,EOMONTH(E36,0)))*(I36/((NETWORKDAYS(41275,41639))))))</f>
        <v/>
      </c>
      <c r="G36" s="153" t="str">
        <f>IF(ISBLANK(E36),"",IF(OR(E36&lt;=Projected_Start_Date,AND(E36&gt;=Projected_Start_Date,E36&lt;(Projected_Start_Date+(365*2)))),I36/12,""))</f>
        <v/>
      </c>
      <c r="H36" s="153" t="str">
        <f>IF(ISBLANK(E36),"",IF(E36&lt;=FIN_StartDate,52*(I36/52),IF(AND(E36&gt;FIN_StartDate,E36&lt;=(FIN_StartDate+364)),((52-WEEKNUM(E36,1))*I36/52),"")))</f>
        <v/>
      </c>
      <c r="I36" s="157"/>
      <c r="T36" s="7"/>
      <c r="U36" s="7"/>
      <c r="V36" s="7"/>
    </row>
    <row r="37" ht="15.75" customHeight="1">
      <c r="A37" s="53">
        <v>29.0</v>
      </c>
      <c r="B37" s="147"/>
      <c r="C37" s="147"/>
      <c r="D37" s="147"/>
      <c r="E37" s="150"/>
      <c r="F37" s="153" t="str">
        <f>IF(ISBLANK(E37),"",IF(E37&lt;Projected_Start_Date,G37,(NETWORKDAYS(E37,EOMONTH(E37,0)))*(I37/((NETWORKDAYS(41275,41639))))))</f>
        <v/>
      </c>
      <c r="G37" s="153" t="str">
        <f>IF(ISBLANK(E37),"",IF(OR(E37&lt;=Projected_Start_Date,AND(E37&gt;=Projected_Start_Date,E37&lt;(Projected_Start_Date+(365*2)))),I37/12,""))</f>
        <v/>
      </c>
      <c r="H37" s="153" t="str">
        <f>IF(ISBLANK(E37),"",IF(E37&lt;=FIN_StartDate,52*(I37/52),IF(AND(E37&gt;FIN_StartDate,E37&lt;=(FIN_StartDate+364)),((52-WEEKNUM(E37,1))*I37/52),"")))</f>
        <v/>
      </c>
      <c r="I37" s="157"/>
      <c r="T37" s="7"/>
      <c r="U37" s="7"/>
      <c r="V37" s="7"/>
    </row>
    <row r="38" ht="15.75" customHeight="1">
      <c r="A38" s="53">
        <v>30.0</v>
      </c>
      <c r="B38" s="147"/>
      <c r="C38" s="147"/>
      <c r="D38" s="147"/>
      <c r="E38" s="150"/>
      <c r="F38" s="153" t="str">
        <f>IF(ISBLANK(E38),"",IF(E38&lt;Projected_Start_Date,G38,(NETWORKDAYS(E38,EOMONTH(E38,0)))*(I38/((NETWORKDAYS(41275,41639))))))</f>
        <v/>
      </c>
      <c r="G38" s="153" t="str">
        <f>IF(ISBLANK(E38),"",IF(OR(E38&lt;=Projected_Start_Date,AND(E38&gt;=Projected_Start_Date,E38&lt;(Projected_Start_Date+(365*2)))),I38/12,""))</f>
        <v/>
      </c>
      <c r="H38" s="153" t="str">
        <f>IF(ISBLANK(E38),"",IF(E38&lt;=FIN_StartDate,52*(I38/52),IF(AND(E38&gt;FIN_StartDate,E38&lt;=(FIN_StartDate+364)),((52-WEEKNUM(E38,1))*I38/52),"")))</f>
        <v/>
      </c>
      <c r="I38" s="157"/>
      <c r="T38" s="7"/>
      <c r="U38" s="7"/>
      <c r="V38" s="7"/>
    </row>
    <row r="39" ht="15.75" customHeight="1">
      <c r="A39" s="53">
        <v>31.0</v>
      </c>
      <c r="B39" s="147"/>
      <c r="C39" s="147"/>
      <c r="D39" s="147"/>
      <c r="E39" s="150"/>
      <c r="F39" s="153" t="str">
        <f>IF(ISBLANK(E39),"",IF(E39&lt;Projected_Start_Date,G39,(NETWORKDAYS(E39,EOMONTH(E39,0)))*(I39/((NETWORKDAYS(41275,41639))))))</f>
        <v/>
      </c>
      <c r="G39" s="153" t="str">
        <f>IF(ISBLANK(E39),"",IF(OR(E39&lt;=Projected_Start_Date,AND(E39&gt;=Projected_Start_Date,E39&lt;(Projected_Start_Date+(365*2)))),I39/12,""))</f>
        <v/>
      </c>
      <c r="H39" s="153" t="str">
        <f>IF(ISBLANK(E39),"",IF(E39&lt;=FIN_StartDate,52*(I39/52),IF(AND(E39&gt;FIN_StartDate,E39&lt;=(FIN_StartDate+364)),((52-WEEKNUM(E39,1))*I39/52),"")))</f>
        <v/>
      </c>
      <c r="I39" s="157"/>
      <c r="T39" s="7"/>
      <c r="U39" s="7"/>
      <c r="V39" s="7"/>
    </row>
    <row r="40" ht="15.75" customHeight="1">
      <c r="A40" s="53">
        <v>32.0</v>
      </c>
      <c r="B40" s="147"/>
      <c r="C40" s="147"/>
      <c r="D40" s="147"/>
      <c r="E40" s="150"/>
      <c r="F40" s="153" t="str">
        <f>IF(ISBLANK(E40),"",IF(E40&lt;Projected_Start_Date,G40,(NETWORKDAYS(E40,EOMONTH(E40,0)))*(I40/((NETWORKDAYS(41275,41639))))))</f>
        <v/>
      </c>
      <c r="G40" s="153" t="str">
        <f>IF(ISBLANK(E40),"",IF(OR(E40&lt;=Projected_Start_Date,AND(E40&gt;=Projected_Start_Date,E40&lt;(Projected_Start_Date+(365*2)))),I40/12,""))</f>
        <v/>
      </c>
      <c r="H40" s="153" t="str">
        <f>IF(ISBLANK(E40),"",IF(E40&lt;=FIN_StartDate,52*(I40/52),IF(AND(E40&gt;FIN_StartDate,E40&lt;=(FIN_StartDate+364)),((52-WEEKNUM(E40,1))*I40/52),"")))</f>
        <v/>
      </c>
      <c r="I40" s="157"/>
      <c r="T40" s="7"/>
      <c r="U40" s="7"/>
      <c r="V40" s="7"/>
    </row>
    <row r="41" ht="15.75" customHeight="1">
      <c r="A41" s="53">
        <v>33.0</v>
      </c>
      <c r="B41" s="147"/>
      <c r="C41" s="147"/>
      <c r="D41" s="147"/>
      <c r="E41" s="150"/>
      <c r="F41" s="153" t="str">
        <f>IF(ISBLANK(E41),"",IF(E41&lt;Projected_Start_Date,G41,(NETWORKDAYS(E41,EOMONTH(E41,0)))*(I41/((NETWORKDAYS(41275,41639))))))</f>
        <v/>
      </c>
      <c r="G41" s="153" t="str">
        <f>IF(ISBLANK(E41),"",IF(OR(E41&lt;=Projected_Start_Date,AND(E41&gt;=Projected_Start_Date,E41&lt;(Projected_Start_Date+(365*2)))),I41/12,""))</f>
        <v/>
      </c>
      <c r="H41" s="153" t="str">
        <f>IF(ISBLANK(E41),"",IF(E41&lt;=FIN_StartDate,52*(I41/52),IF(AND(E41&gt;FIN_StartDate,E41&lt;=(FIN_StartDate+364)),((52-WEEKNUM(E41,1))*I41/52),"")))</f>
        <v/>
      </c>
      <c r="I41" s="157"/>
      <c r="T41" s="7"/>
      <c r="U41" s="7"/>
      <c r="V41" s="7"/>
    </row>
    <row r="42" ht="15.75" customHeight="1">
      <c r="A42" s="53">
        <v>34.0</v>
      </c>
      <c r="B42" s="147"/>
      <c r="C42" s="147"/>
      <c r="D42" s="147"/>
      <c r="E42" s="150"/>
      <c r="F42" s="153" t="str">
        <f>IF(ISBLANK(E42),"",IF(E42&lt;Projected_Start_Date,G42,(NETWORKDAYS(E42,EOMONTH(E42,0)))*(I42/((NETWORKDAYS(41275,41639))))))</f>
        <v/>
      </c>
      <c r="G42" s="153" t="str">
        <f>IF(ISBLANK(E42),"",IF(OR(E42&lt;=Projected_Start_Date,AND(E42&gt;=Projected_Start_Date,E42&lt;(Projected_Start_Date+(365*2)))),I42/12,""))</f>
        <v/>
      </c>
      <c r="H42" s="153" t="str">
        <f>IF(ISBLANK(E42),"",IF(E42&lt;=FIN_StartDate,52*(I42/52),IF(AND(E42&gt;FIN_StartDate,E42&lt;=(FIN_StartDate+364)),((52-WEEKNUM(E42,1))*I42/52),"")))</f>
        <v/>
      </c>
      <c r="I42" s="157"/>
      <c r="T42" s="7"/>
      <c r="U42" s="7"/>
      <c r="V42" s="7"/>
    </row>
    <row r="43" ht="15.75" customHeight="1">
      <c r="A43" s="53">
        <v>35.0</v>
      </c>
      <c r="B43" s="147"/>
      <c r="C43" s="147"/>
      <c r="D43" s="147"/>
      <c r="E43" s="150"/>
      <c r="F43" s="153" t="str">
        <f>IF(ISBLANK(E43),"",IF(E43&lt;Projected_Start_Date,G43,(NETWORKDAYS(E43,EOMONTH(E43,0)))*(I43/((NETWORKDAYS(41275,41639))))))</f>
        <v/>
      </c>
      <c r="G43" s="153" t="str">
        <f>IF(ISBLANK(E43),"",IF(OR(E43&lt;=Projected_Start_Date,AND(E43&gt;=Projected_Start_Date,E43&lt;(Projected_Start_Date+(365*2)))),I43/12,""))</f>
        <v/>
      </c>
      <c r="H43" s="153" t="str">
        <f>IF(ISBLANK(E43),"",IF(E43&lt;=FIN_StartDate,52*(I43/52),IF(AND(E43&gt;FIN_StartDate,E43&lt;=(FIN_StartDate+364)),((52-WEEKNUM(E43,1))*I43/52),"")))</f>
        <v/>
      </c>
      <c r="I43" s="157"/>
      <c r="T43" s="7"/>
      <c r="U43" s="7"/>
      <c r="V43" s="7"/>
    </row>
    <row r="44" ht="15.75" customHeight="1">
      <c r="A44" s="53">
        <v>36.0</v>
      </c>
      <c r="B44" s="147"/>
      <c r="C44" s="147"/>
      <c r="D44" s="147"/>
      <c r="E44" s="150"/>
      <c r="F44" s="153" t="str">
        <f>IF(ISBLANK(E44),"",IF(E44&lt;Projected_Start_Date,G44,(NETWORKDAYS(E44,EOMONTH(E44,0)))*(I44/((NETWORKDAYS(41275,41639))))))</f>
        <v/>
      </c>
      <c r="G44" s="153" t="str">
        <f>IF(ISBLANK(E44),"",IF(OR(E44&lt;=Projected_Start_Date,AND(E44&gt;=Projected_Start_Date,E44&lt;(Projected_Start_Date+(365*2)))),I44/12,""))</f>
        <v/>
      </c>
      <c r="H44" s="153" t="str">
        <f>IF(ISBLANK(E44),"",IF(E44&lt;=FIN_StartDate,52*(I44/52),IF(AND(E44&gt;FIN_StartDate,E44&lt;=(FIN_StartDate+364)),((52-WEEKNUM(E44,1))*I44/52),"")))</f>
        <v/>
      </c>
      <c r="I44" s="157"/>
      <c r="T44" s="7"/>
      <c r="U44" s="7"/>
      <c r="V44" s="7"/>
    </row>
    <row r="45" ht="15.75" customHeight="1">
      <c r="A45" s="53">
        <v>37.0</v>
      </c>
      <c r="B45" s="147"/>
      <c r="C45" s="147"/>
      <c r="D45" s="147"/>
      <c r="E45" s="150"/>
      <c r="F45" s="153" t="str">
        <f>IF(ISBLANK(E45),"",IF(E45&lt;Projected_Start_Date,G45,(NETWORKDAYS(E45,EOMONTH(E45,0)))*(I45/((NETWORKDAYS(41275,41639))))))</f>
        <v/>
      </c>
      <c r="G45" s="153" t="str">
        <f>IF(ISBLANK(E45),"",IF(OR(E45&lt;=Projected_Start_Date,AND(E45&gt;=Projected_Start_Date,E45&lt;(Projected_Start_Date+(365*2)))),I45/12,""))</f>
        <v/>
      </c>
      <c r="H45" s="153" t="str">
        <f>IF(ISBLANK(E45),"",IF(E45&lt;=FIN_StartDate,52*(I45/52),IF(AND(E45&gt;FIN_StartDate,E45&lt;=(FIN_StartDate+364)),((52-WEEKNUM(E45,1))*I45/52),"")))</f>
        <v/>
      </c>
      <c r="I45" s="157"/>
      <c r="T45" s="7"/>
      <c r="U45" s="7"/>
      <c r="V45" s="7"/>
    </row>
    <row r="46" ht="15.75" customHeight="1">
      <c r="A46" s="53">
        <v>38.0</v>
      </c>
      <c r="B46" s="147"/>
      <c r="C46" s="147"/>
      <c r="D46" s="147"/>
      <c r="E46" s="150"/>
      <c r="F46" s="153" t="str">
        <f>IF(ISBLANK(E46),"",IF(E46&lt;Projected_Start_Date,G46,(NETWORKDAYS(E46,EOMONTH(E46,0)))*(I46/((NETWORKDAYS(41275,41639))))))</f>
        <v/>
      </c>
      <c r="G46" s="153" t="str">
        <f>IF(ISBLANK(E46),"",IF(OR(E46&lt;=Projected_Start_Date,AND(E46&gt;=Projected_Start_Date,E46&lt;(Projected_Start_Date+(365*2)))),I46/12,""))</f>
        <v/>
      </c>
      <c r="H46" s="153" t="str">
        <f>IF(ISBLANK(E46),"",IF(E46&lt;=FIN_StartDate,52*(I46/52),IF(AND(E46&gt;FIN_StartDate,E46&lt;=(FIN_StartDate+364)),((52-WEEKNUM(E46,1))*I46/52),"")))</f>
        <v/>
      </c>
      <c r="I46" s="157"/>
      <c r="T46" s="7"/>
      <c r="U46" s="7"/>
      <c r="V46" s="7"/>
    </row>
    <row r="47" ht="15.75" customHeight="1">
      <c r="A47" s="53">
        <v>39.0</v>
      </c>
      <c r="B47" s="147"/>
      <c r="C47" s="147"/>
      <c r="D47" s="147"/>
      <c r="E47" s="150"/>
      <c r="F47" s="153" t="str">
        <f>IF(ISBLANK(E47),"",IF(E47&lt;Projected_Start_Date,G47,(NETWORKDAYS(E47,EOMONTH(E47,0)))*(I47/((NETWORKDAYS(41275,41639))))))</f>
        <v/>
      </c>
      <c r="G47" s="153" t="str">
        <f>IF(ISBLANK(E47),"",IF(OR(E47&lt;=Projected_Start_Date,AND(E47&gt;=Projected_Start_Date,E47&lt;(Projected_Start_Date+(365*2)))),I47/12,""))</f>
        <v/>
      </c>
      <c r="H47" s="153" t="str">
        <f>IF(ISBLANK(E47),"",IF(E47&lt;=FIN_StartDate,52*(I47/52),IF(AND(E47&gt;FIN_StartDate,E47&lt;=(FIN_StartDate+364)),((52-WEEKNUM(E47,1))*I47/52),"")))</f>
        <v/>
      </c>
      <c r="I47" s="157"/>
      <c r="T47" s="7"/>
      <c r="U47" s="7"/>
      <c r="V47" s="7"/>
    </row>
    <row r="48" ht="15.75" customHeight="1">
      <c r="A48" s="53">
        <v>40.0</v>
      </c>
      <c r="B48" s="147"/>
      <c r="C48" s="147"/>
      <c r="D48" s="147"/>
      <c r="E48" s="150"/>
      <c r="F48" s="153" t="str">
        <f>IF(ISBLANK(E48),"",IF(E48&lt;Projected_Start_Date,G48,(NETWORKDAYS(E48,EOMONTH(E48,0)))*(I48/((NETWORKDAYS(41275,41639))))))</f>
        <v/>
      </c>
      <c r="G48" s="153" t="str">
        <f>IF(ISBLANK(E48),"",IF(OR(E48&lt;=Projected_Start_Date,AND(E48&gt;=Projected_Start_Date,E48&lt;(Projected_Start_Date+(365*2)))),I48/12,""))</f>
        <v/>
      </c>
      <c r="H48" s="153" t="str">
        <f>IF(ISBLANK(E48),"",IF(E48&lt;=FIN_StartDate,52*(I48/52),IF(AND(E48&gt;FIN_StartDate,E48&lt;=(FIN_StartDate+364)),((52-WEEKNUM(E48,1))*I48/52),"")))</f>
        <v/>
      </c>
      <c r="I48" s="157"/>
      <c r="T48" s="7"/>
      <c r="U48" s="7"/>
      <c r="V48" s="7"/>
    </row>
    <row r="49" ht="15.75" customHeight="1">
      <c r="A49" s="53">
        <v>41.0</v>
      </c>
      <c r="B49" s="147"/>
      <c r="C49" s="147"/>
      <c r="D49" s="147"/>
      <c r="E49" s="150"/>
      <c r="F49" s="153" t="str">
        <f>IF(ISBLANK(E49),"",IF(E49&lt;Projected_Start_Date,G49,(NETWORKDAYS(E49,EOMONTH(E49,0)))*(I49/((NETWORKDAYS(41275,41639))))))</f>
        <v/>
      </c>
      <c r="G49" s="153" t="str">
        <f>IF(ISBLANK(E49),"",IF(OR(E49&lt;=Projected_Start_Date,AND(E49&gt;=Projected_Start_Date,E49&lt;(Projected_Start_Date+(365*2)))),I49/12,""))</f>
        <v/>
      </c>
      <c r="H49" s="153" t="str">
        <f>IF(ISBLANK(E49),"",IF(E49&lt;=FIN_StartDate,52*(I49/52),IF(AND(E49&gt;FIN_StartDate,E49&lt;=(FIN_StartDate+364)),((52-WEEKNUM(E49,1))*I49/52),"")))</f>
        <v/>
      </c>
      <c r="I49" s="157"/>
      <c r="T49" s="7"/>
      <c r="U49" s="7"/>
      <c r="V49" s="7"/>
    </row>
    <row r="50" ht="15.75" customHeight="1">
      <c r="A50" s="53">
        <v>42.0</v>
      </c>
      <c r="B50" s="147"/>
      <c r="C50" s="147"/>
      <c r="D50" s="147"/>
      <c r="E50" s="150"/>
      <c r="F50" s="153" t="str">
        <f>IF(ISBLANK(E50),"",IF(E50&lt;Projected_Start_Date,G50,(NETWORKDAYS(E50,EOMONTH(E50,0)))*(I50/((NETWORKDAYS(41275,41639))))))</f>
        <v/>
      </c>
      <c r="G50" s="153" t="str">
        <f>IF(ISBLANK(E50),"",IF(OR(E50&lt;=Projected_Start_Date,AND(E50&gt;=Projected_Start_Date,E50&lt;(Projected_Start_Date+(365*2)))),I50/12,""))</f>
        <v/>
      </c>
      <c r="H50" s="153" t="str">
        <f>IF(ISBLANK(E50),"",IF(E50&lt;=FIN_StartDate,52*(I50/52),IF(AND(E50&gt;FIN_StartDate,E50&lt;=(FIN_StartDate+364)),((52-WEEKNUM(E50,1))*I50/52),"")))</f>
        <v/>
      </c>
      <c r="I50" s="157"/>
      <c r="T50" s="7"/>
      <c r="U50" s="7"/>
      <c r="V50" s="7"/>
    </row>
    <row r="51" ht="15.75" customHeight="1">
      <c r="A51" s="53">
        <v>43.0</v>
      </c>
      <c r="B51" s="147"/>
      <c r="C51" s="147"/>
      <c r="D51" s="147"/>
      <c r="E51" s="150"/>
      <c r="F51" s="153" t="str">
        <f>IF(ISBLANK(E51),"",IF(E51&lt;Projected_Start_Date,G51,(NETWORKDAYS(E51,EOMONTH(E51,0)))*(I51/((NETWORKDAYS(41275,41639))))))</f>
        <v/>
      </c>
      <c r="G51" s="153" t="str">
        <f>IF(ISBLANK(E51),"",IF(OR(E51&lt;=Projected_Start_Date,AND(E51&gt;=Projected_Start_Date,E51&lt;(Projected_Start_Date+(365*2)))),I51/12,""))</f>
        <v/>
      </c>
      <c r="H51" s="153" t="str">
        <f>IF(ISBLANK(E51),"",IF(E51&lt;=FIN_StartDate,52*(I51/52),IF(AND(E51&gt;FIN_StartDate,E51&lt;=(FIN_StartDate+364)),((52-WEEKNUM(E51,1))*I51/52),"")))</f>
        <v/>
      </c>
      <c r="I51" s="157"/>
      <c r="T51" s="7"/>
      <c r="U51" s="7"/>
      <c r="V51" s="7"/>
    </row>
    <row r="52" ht="15.75" customHeight="1">
      <c r="A52" s="53">
        <v>44.0</v>
      </c>
      <c r="B52" s="147"/>
      <c r="C52" s="147"/>
      <c r="D52" s="147"/>
      <c r="E52" s="150"/>
      <c r="F52" s="153" t="str">
        <f>IF(ISBLANK(E52),"",IF(E52&lt;Projected_Start_Date,G52,(NETWORKDAYS(E52,EOMONTH(E52,0)))*(I52/((NETWORKDAYS(41275,41639))))))</f>
        <v/>
      </c>
      <c r="G52" s="153" t="str">
        <f>IF(ISBLANK(E52),"",IF(OR(E52&lt;=Projected_Start_Date,AND(E52&gt;=Projected_Start_Date,E52&lt;(Projected_Start_Date+(365*2)))),I52/12,""))</f>
        <v/>
      </c>
      <c r="H52" s="153" t="str">
        <f>IF(ISBLANK(E52),"",IF(E52&lt;=FIN_StartDate,52*(I52/52),IF(AND(E52&gt;FIN_StartDate,E52&lt;=(FIN_StartDate+364)),((52-WEEKNUM(E52,1))*I52/52),"")))</f>
        <v/>
      </c>
      <c r="I52" s="157"/>
      <c r="T52" s="7"/>
      <c r="U52" s="7"/>
      <c r="V52" s="7"/>
    </row>
    <row r="53" ht="15.75" customHeight="1">
      <c r="A53" s="53">
        <v>45.0</v>
      </c>
      <c r="B53" s="147"/>
      <c r="C53" s="147"/>
      <c r="D53" s="147"/>
      <c r="E53" s="150"/>
      <c r="F53" s="153" t="str">
        <f>IF(ISBLANK(E53),"",IF(E53&lt;Projected_Start_Date,G53,(NETWORKDAYS(E53,EOMONTH(E53,0)))*(I53/((NETWORKDAYS(41275,41639))))))</f>
        <v/>
      </c>
      <c r="G53" s="153" t="str">
        <f>IF(ISBLANK(E53),"",IF(OR(E53&lt;=Projected_Start_Date,AND(E53&gt;=Projected_Start_Date,E53&lt;(Projected_Start_Date+(365*2)))),I53/12,""))</f>
        <v/>
      </c>
      <c r="H53" s="153" t="str">
        <f>IF(ISBLANK(E53),"",IF(E53&lt;=FIN_StartDate,52*(I53/52),IF(AND(E53&gt;FIN_StartDate,E53&lt;=(FIN_StartDate+364)),((52-WEEKNUM(E53,1))*I53/52),"")))</f>
        <v/>
      </c>
      <c r="I53" s="157"/>
      <c r="T53" s="7"/>
      <c r="U53" s="7"/>
      <c r="V53" s="7"/>
    </row>
    <row r="54" ht="15.75" customHeight="1">
      <c r="A54" s="53">
        <v>46.0</v>
      </c>
      <c r="B54" s="147"/>
      <c r="C54" s="147"/>
      <c r="D54" s="147"/>
      <c r="E54" s="150"/>
      <c r="F54" s="153" t="str">
        <f>IF(ISBLANK(E54),"",IF(E54&lt;Projected_Start_Date,G54,(NETWORKDAYS(E54,EOMONTH(E54,0)))*(I54/((NETWORKDAYS(41275,41639))))))</f>
        <v/>
      </c>
      <c r="G54" s="153" t="str">
        <f>IF(ISBLANK(E54),"",IF(OR(E54&lt;=Projected_Start_Date,AND(E54&gt;=Projected_Start_Date,E54&lt;(Projected_Start_Date+(365*2)))),I54/12,""))</f>
        <v/>
      </c>
      <c r="H54" s="153" t="str">
        <f>IF(ISBLANK(E54),"",IF(E54&lt;=FIN_StartDate,52*(I54/52),IF(AND(E54&gt;FIN_StartDate,E54&lt;=(FIN_StartDate+364)),((52-WEEKNUM(E54,1))*I54/52),"")))</f>
        <v/>
      </c>
      <c r="I54" s="157"/>
      <c r="T54" s="7"/>
      <c r="U54" s="7"/>
      <c r="V54" s="7"/>
    </row>
    <row r="55" ht="15.75" customHeight="1">
      <c r="A55" s="53">
        <v>47.0</v>
      </c>
      <c r="B55" s="147"/>
      <c r="C55" s="147"/>
      <c r="D55" s="147"/>
      <c r="E55" s="150"/>
      <c r="F55" s="153" t="str">
        <f>IF(ISBLANK(E55),"",IF(E55&lt;Projected_Start_Date,G55,(NETWORKDAYS(E55,EOMONTH(E55,0)))*(I55/((NETWORKDAYS(41275,41639))))))</f>
        <v/>
      </c>
      <c r="G55" s="153" t="str">
        <f>IF(ISBLANK(E55),"",IF(OR(E55&lt;=Projected_Start_Date,AND(E55&gt;=Projected_Start_Date,E55&lt;(Projected_Start_Date+(365*2)))),I55/12,""))</f>
        <v/>
      </c>
      <c r="H55" s="153" t="str">
        <f>IF(ISBLANK(E55),"",IF(E55&lt;=FIN_StartDate,52*(I55/52),IF(AND(E55&gt;FIN_StartDate,E55&lt;=(FIN_StartDate+364)),((52-WEEKNUM(E55,1))*I55/52),"")))</f>
        <v/>
      </c>
      <c r="I55" s="157"/>
      <c r="T55" s="7"/>
      <c r="U55" s="7"/>
      <c r="V55" s="7"/>
    </row>
    <row r="56" ht="15.75" customHeight="1">
      <c r="A56" s="53">
        <v>48.0</v>
      </c>
      <c r="B56" s="147"/>
      <c r="C56" s="147"/>
      <c r="D56" s="147"/>
      <c r="E56" s="150"/>
      <c r="F56" s="153" t="str">
        <f>IF(ISBLANK(E56),"",IF(E56&lt;Projected_Start_Date,G56,(NETWORKDAYS(E56,EOMONTH(E56,0)))*(I56/((NETWORKDAYS(41275,41639))))))</f>
        <v/>
      </c>
      <c r="G56" s="153" t="str">
        <f>IF(ISBLANK(E56),"",IF(OR(E56&lt;=Projected_Start_Date,AND(E56&gt;=Projected_Start_Date,E56&lt;(Projected_Start_Date+(365*2)))),I56/12,""))</f>
        <v/>
      </c>
      <c r="H56" s="153" t="str">
        <f>IF(ISBLANK(E56),"",IF(E56&lt;=FIN_StartDate,52*(I56/52),IF(AND(E56&gt;FIN_StartDate,E56&lt;=(FIN_StartDate+364)),((52-WEEKNUM(E56,1))*I56/52),"")))</f>
        <v/>
      </c>
      <c r="I56" s="157"/>
      <c r="T56" s="7"/>
      <c r="U56" s="7"/>
      <c r="V56" s="7"/>
    </row>
    <row r="57" ht="15.75" customHeight="1">
      <c r="A57" s="53">
        <v>49.0</v>
      </c>
      <c r="B57" s="147"/>
      <c r="C57" s="147"/>
      <c r="D57" s="147"/>
      <c r="E57" s="150"/>
      <c r="F57" s="153" t="str">
        <f>IF(ISBLANK(E57),"",IF(E57&lt;Projected_Start_Date,G57,(NETWORKDAYS(E57,EOMONTH(E57,0)))*(I57/((NETWORKDAYS(41275,41639))))))</f>
        <v/>
      </c>
      <c r="G57" s="153" t="str">
        <f>IF(ISBLANK(E57),"",IF(OR(E57&lt;=Projected_Start_Date,AND(E57&gt;=Projected_Start_Date,E57&lt;(Projected_Start_Date+(365*2)))),I57/12,""))</f>
        <v/>
      </c>
      <c r="H57" s="153" t="str">
        <f>IF(ISBLANK(E57),"",IF(E57&lt;=FIN_StartDate,52*(I57/52),IF(AND(E57&gt;FIN_StartDate,E57&lt;=(FIN_StartDate+364)),((52-WEEKNUM(E57,1))*I57/52),"")))</f>
        <v/>
      </c>
      <c r="I57" s="157"/>
      <c r="T57" s="7"/>
      <c r="U57" s="7"/>
      <c r="V57" s="7"/>
    </row>
    <row r="58" ht="15.75" customHeight="1">
      <c r="A58" s="40">
        <v>50.0</v>
      </c>
      <c r="B58" s="203"/>
      <c r="C58" s="203"/>
      <c r="D58" s="203"/>
      <c r="E58" s="204"/>
      <c r="F58" s="100" t="str">
        <f>IF(ISBLANK(E58),"",IF(E58&lt;Projected_Start_Date,G58,(NETWORKDAYS(E58,EOMONTH(E58,0)))*(I58/((NETWORKDAYS(41275,41639))))))</f>
        <v/>
      </c>
      <c r="G58" s="100" t="str">
        <f>IF(ISBLANK(E58),"",IF(OR(E58&lt;=Projected_Start_Date,AND(E58&gt;=Projected_Start_Date,E58&lt;(Projected_Start_Date+(365*2)))),I58/12,""))</f>
        <v/>
      </c>
      <c r="H58" s="205" t="str">
        <f>IF(ISBLANK(E58),"",IF(E58&lt;=FIN_StartDate,52*(I58/52),IF(AND(E58&gt;FIN_StartDate,E58&lt;=(FIN_StartDate+364)),((52-WEEKNUM(E58,1))*I58/52),"")))</f>
        <v/>
      </c>
      <c r="I58" s="206"/>
      <c r="T58" s="7"/>
      <c r="U58" s="7"/>
      <c r="V58" s="7"/>
    </row>
    <row r="59" ht="15.75" customHeight="1">
      <c r="T59" s="7"/>
      <c r="U59" s="7"/>
      <c r="V59" s="7"/>
    </row>
    <row r="60" ht="15.75" customHeight="1">
      <c r="T60" s="7"/>
      <c r="U60" s="7"/>
      <c r="V60" s="7"/>
    </row>
    <row r="61" ht="15.75" customHeight="1">
      <c r="T61" s="7"/>
      <c r="U61" s="7"/>
      <c r="V61" s="7"/>
    </row>
    <row r="62" ht="15.75" customHeight="1">
      <c r="T62" s="7"/>
      <c r="U62" s="7"/>
      <c r="V62" s="7"/>
    </row>
    <row r="63" ht="15.75" customHeight="1">
      <c r="T63" s="7"/>
      <c r="U63" s="7"/>
      <c r="V63" s="7"/>
    </row>
    <row r="64" ht="15.75" customHeight="1">
      <c r="T64" s="7"/>
      <c r="U64" s="7"/>
      <c r="V64" s="7"/>
    </row>
    <row r="65" ht="15.75" customHeight="1">
      <c r="T65" s="7"/>
      <c r="U65" s="7"/>
      <c r="V65" s="7"/>
    </row>
    <row r="66" ht="15.75" customHeight="1">
      <c r="T66" s="7"/>
      <c r="U66" s="7"/>
      <c r="V66" s="7"/>
    </row>
    <row r="67" ht="15.75" customHeight="1">
      <c r="T67" s="7"/>
      <c r="U67" s="7"/>
      <c r="V67" s="7"/>
    </row>
    <row r="68" ht="15.75" customHeight="1">
      <c r="T68" s="7"/>
      <c r="U68" s="7"/>
      <c r="V68" s="7"/>
    </row>
    <row r="69" ht="15.75" customHeight="1">
      <c r="T69" s="7"/>
      <c r="U69" s="7"/>
      <c r="V69" s="7"/>
    </row>
    <row r="70" ht="15.75" customHeight="1">
      <c r="T70" s="7"/>
      <c r="U70" s="7"/>
      <c r="V70" s="7"/>
    </row>
    <row r="71" ht="15.75" customHeight="1">
      <c r="T71" s="7"/>
      <c r="U71" s="7"/>
      <c r="V71" s="7"/>
    </row>
    <row r="72" ht="15.75" customHeight="1">
      <c r="T72" s="7"/>
      <c r="U72" s="7"/>
      <c r="V72" s="7"/>
    </row>
    <row r="73" ht="15.75" customHeight="1">
      <c r="T73" s="7"/>
      <c r="U73" s="7"/>
      <c r="V73" s="7"/>
    </row>
    <row r="74" ht="15.75" customHeight="1">
      <c r="T74" s="7"/>
      <c r="U74" s="7"/>
      <c r="V74" s="7"/>
    </row>
    <row r="75" ht="15.75" customHeight="1">
      <c r="T75" s="7"/>
      <c r="U75" s="7"/>
      <c r="V75" s="7"/>
    </row>
    <row r="76" ht="15.75" customHeight="1">
      <c r="T76" s="7"/>
      <c r="U76" s="7"/>
      <c r="V76" s="7"/>
    </row>
    <row r="77" ht="15.75" customHeight="1">
      <c r="T77" s="7"/>
      <c r="U77" s="7"/>
      <c r="V77" s="7"/>
    </row>
    <row r="78" ht="15.75" customHeight="1">
      <c r="T78" s="7"/>
      <c r="U78" s="7"/>
      <c r="V78" s="7"/>
    </row>
    <row r="79" ht="15.75" customHeight="1">
      <c r="T79" s="7"/>
      <c r="U79" s="7"/>
      <c r="V79" s="7"/>
    </row>
    <row r="80" ht="15.75" customHeight="1">
      <c r="T80" s="7"/>
      <c r="U80" s="7"/>
      <c r="V80" s="7"/>
    </row>
    <row r="81" ht="15.75" customHeight="1">
      <c r="T81" s="7"/>
      <c r="U81" s="7"/>
      <c r="V81" s="7"/>
    </row>
    <row r="82" ht="15.75" customHeight="1">
      <c r="T82" s="7"/>
      <c r="U82" s="7"/>
      <c r="V82" s="7"/>
    </row>
    <row r="83" ht="15.75" customHeight="1">
      <c r="T83" s="7"/>
      <c r="U83" s="7"/>
      <c r="V83" s="7"/>
    </row>
    <row r="84" ht="15.75" customHeight="1">
      <c r="T84" s="7"/>
      <c r="U84" s="7"/>
      <c r="V84" s="7"/>
    </row>
    <row r="85" ht="15.75" customHeight="1">
      <c r="T85" s="7"/>
      <c r="U85" s="7"/>
      <c r="V85" s="7"/>
    </row>
    <row r="86" ht="15.75" customHeight="1">
      <c r="T86" s="7"/>
      <c r="U86" s="7"/>
      <c r="V86" s="7"/>
    </row>
    <row r="87" ht="15.75" customHeight="1">
      <c r="T87" s="7"/>
      <c r="U87" s="7"/>
      <c r="V87" s="7"/>
    </row>
    <row r="88" ht="15.75" customHeight="1">
      <c r="T88" s="7"/>
      <c r="U88" s="7"/>
      <c r="V88" s="7"/>
    </row>
    <row r="89" ht="15.75" customHeight="1">
      <c r="T89" s="7"/>
      <c r="U89" s="7"/>
      <c r="V89" s="7"/>
    </row>
    <row r="90" ht="15.75" customHeight="1">
      <c r="T90" s="7"/>
      <c r="U90" s="7"/>
      <c r="V90" s="7"/>
    </row>
    <row r="91" ht="15.75" customHeight="1">
      <c r="T91" s="7"/>
      <c r="U91" s="7"/>
      <c r="V91" s="7"/>
    </row>
    <row r="92" ht="15.75" customHeight="1">
      <c r="T92" s="7"/>
      <c r="U92" s="7"/>
      <c r="V92" s="7"/>
    </row>
    <row r="93" ht="15.75" customHeight="1">
      <c r="T93" s="7"/>
      <c r="U93" s="7"/>
      <c r="V93" s="7"/>
    </row>
    <row r="94" ht="15.75" customHeight="1">
      <c r="T94" s="7"/>
      <c r="U94" s="7"/>
      <c r="V94" s="7"/>
    </row>
    <row r="95" ht="15.75" customHeight="1">
      <c r="T95" s="7"/>
      <c r="U95" s="7"/>
      <c r="V95" s="7"/>
    </row>
    <row r="96" ht="15.75" customHeight="1">
      <c r="T96" s="7"/>
      <c r="U96" s="7"/>
      <c r="V96" s="7"/>
    </row>
    <row r="97" ht="15.75" customHeight="1">
      <c r="T97" s="7"/>
      <c r="U97" s="7"/>
      <c r="V97" s="7"/>
    </row>
    <row r="98" ht="15.75" customHeight="1">
      <c r="T98" s="7"/>
      <c r="U98" s="7"/>
      <c r="V98" s="7"/>
    </row>
    <row r="99" ht="15.75" customHeight="1">
      <c r="T99" s="7"/>
      <c r="U99" s="7"/>
      <c r="V99" s="7"/>
    </row>
    <row r="100" ht="15.75" customHeight="1">
      <c r="T100" s="7"/>
      <c r="U100" s="7"/>
      <c r="V100" s="7"/>
    </row>
    <row r="101" ht="15.75" customHeight="1">
      <c r="T101" s="7"/>
      <c r="U101" s="7"/>
      <c r="V101" s="7"/>
    </row>
    <row r="102" ht="15.75" customHeight="1">
      <c r="T102" s="7"/>
      <c r="U102" s="7"/>
      <c r="V102" s="7"/>
    </row>
    <row r="103" ht="15.75" customHeight="1">
      <c r="T103" s="7"/>
      <c r="U103" s="7"/>
      <c r="V103" s="7"/>
    </row>
    <row r="104" ht="15.75" customHeight="1">
      <c r="T104" s="7"/>
      <c r="U104" s="7"/>
      <c r="V104" s="7"/>
    </row>
    <row r="105" ht="15.75" customHeight="1">
      <c r="T105" s="7"/>
      <c r="U105" s="7"/>
      <c r="V105" s="7"/>
    </row>
    <row r="106" ht="15.75" customHeight="1">
      <c r="T106" s="7"/>
      <c r="U106" s="7"/>
      <c r="V106" s="7"/>
    </row>
    <row r="107" ht="15.75" customHeight="1">
      <c r="T107" s="7"/>
      <c r="U107" s="7"/>
      <c r="V107" s="7"/>
    </row>
    <row r="108" ht="15.75" customHeight="1">
      <c r="T108" s="7"/>
      <c r="U108" s="7"/>
      <c r="V108" s="7"/>
    </row>
    <row r="109" ht="15.75" customHeight="1">
      <c r="T109" s="7"/>
      <c r="U109" s="7"/>
      <c r="V109" s="7"/>
    </row>
    <row r="110" ht="15.75" customHeight="1">
      <c r="T110" s="7"/>
      <c r="U110" s="7"/>
      <c r="V110" s="7"/>
    </row>
    <row r="111" ht="15.75" customHeight="1">
      <c r="T111" s="7"/>
      <c r="U111" s="7"/>
      <c r="V111" s="7"/>
    </row>
    <row r="112" ht="15.75" customHeight="1">
      <c r="T112" s="7"/>
      <c r="U112" s="7"/>
      <c r="V112" s="7"/>
    </row>
    <row r="113" ht="15.75" customHeight="1">
      <c r="T113" s="7"/>
      <c r="U113" s="7"/>
      <c r="V113" s="7"/>
    </row>
    <row r="114" ht="15.75" customHeight="1">
      <c r="T114" s="7"/>
      <c r="U114" s="7"/>
      <c r="V114" s="7"/>
    </row>
    <row r="115" ht="15.75" customHeight="1">
      <c r="T115" s="7"/>
      <c r="U115" s="7"/>
      <c r="V115" s="7"/>
    </row>
    <row r="116" ht="15.75" customHeight="1">
      <c r="T116" s="7"/>
      <c r="U116" s="7"/>
      <c r="V116" s="7"/>
    </row>
    <row r="117" ht="15.75" customHeight="1">
      <c r="T117" s="7"/>
      <c r="U117" s="7"/>
      <c r="V117" s="7"/>
    </row>
    <row r="118" ht="15.75" customHeight="1">
      <c r="T118" s="7"/>
      <c r="U118" s="7"/>
      <c r="V118" s="7"/>
    </row>
    <row r="119" ht="15.75" customHeight="1">
      <c r="T119" s="7"/>
      <c r="U119" s="7"/>
      <c r="V119" s="7"/>
    </row>
    <row r="120" ht="15.75" customHeight="1">
      <c r="T120" s="7"/>
      <c r="U120" s="7"/>
      <c r="V120" s="7"/>
    </row>
    <row r="121" ht="15.75" customHeight="1">
      <c r="T121" s="7"/>
      <c r="U121" s="7"/>
      <c r="V121" s="7"/>
    </row>
    <row r="122" ht="15.75" customHeight="1">
      <c r="T122" s="7"/>
      <c r="U122" s="7"/>
      <c r="V122" s="7"/>
    </row>
    <row r="123" ht="15.75" customHeight="1">
      <c r="T123" s="7"/>
      <c r="U123" s="7"/>
      <c r="V123" s="7"/>
    </row>
    <row r="124" ht="15.75" customHeight="1">
      <c r="T124" s="7"/>
      <c r="U124" s="7"/>
      <c r="V124" s="7"/>
    </row>
    <row r="125" ht="15.75" customHeight="1">
      <c r="T125" s="7"/>
      <c r="U125" s="7"/>
      <c r="V125" s="7"/>
    </row>
    <row r="126" ht="15.75" customHeight="1">
      <c r="T126" s="7"/>
      <c r="U126" s="7"/>
      <c r="V126" s="7"/>
    </row>
    <row r="127" ht="15.75" customHeight="1">
      <c r="T127" s="7"/>
      <c r="U127" s="7"/>
      <c r="V127" s="7"/>
    </row>
    <row r="128" ht="15.75" customHeight="1">
      <c r="T128" s="7"/>
      <c r="U128" s="7"/>
      <c r="V128" s="7"/>
    </row>
    <row r="129" ht="15.75" customHeight="1">
      <c r="T129" s="7"/>
      <c r="U129" s="7"/>
      <c r="V129" s="7"/>
    </row>
    <row r="130" ht="15.75" customHeight="1">
      <c r="T130" s="7"/>
      <c r="U130" s="7"/>
      <c r="V130" s="7"/>
    </row>
    <row r="131" ht="15.75" customHeight="1">
      <c r="T131" s="7"/>
      <c r="U131" s="7"/>
      <c r="V131" s="7"/>
    </row>
    <row r="132" ht="15.75" customHeight="1">
      <c r="T132" s="7"/>
      <c r="U132" s="7"/>
      <c r="V132" s="7"/>
    </row>
    <row r="133" ht="15.75" customHeight="1">
      <c r="T133" s="7"/>
      <c r="U133" s="7"/>
      <c r="V133" s="7"/>
    </row>
    <row r="134" ht="15.75" customHeight="1">
      <c r="T134" s="7"/>
      <c r="U134" s="7"/>
      <c r="V134" s="7"/>
    </row>
    <row r="135" ht="15.75" customHeight="1">
      <c r="T135" s="7"/>
      <c r="U135" s="7"/>
      <c r="V135" s="7"/>
    </row>
    <row r="136" ht="15.75" customHeight="1">
      <c r="T136" s="7"/>
      <c r="U136" s="7"/>
      <c r="V136" s="7"/>
    </row>
    <row r="137" ht="15.75" customHeight="1">
      <c r="T137" s="7"/>
      <c r="U137" s="7"/>
      <c r="V137" s="7"/>
    </row>
    <row r="138" ht="15.75" customHeight="1">
      <c r="T138" s="7"/>
      <c r="U138" s="7"/>
      <c r="V138" s="7"/>
    </row>
    <row r="139" ht="15.75" customHeight="1">
      <c r="T139" s="7"/>
      <c r="U139" s="7"/>
      <c r="V139" s="7"/>
    </row>
    <row r="140" ht="15.75" customHeight="1">
      <c r="T140" s="7"/>
      <c r="U140" s="7"/>
      <c r="V140" s="7"/>
    </row>
    <row r="141" ht="15.75" customHeight="1">
      <c r="T141" s="7"/>
      <c r="U141" s="7"/>
      <c r="V141" s="7"/>
    </row>
    <row r="142" ht="15.75" customHeight="1">
      <c r="T142" s="7"/>
      <c r="U142" s="7"/>
      <c r="V142" s="7"/>
    </row>
    <row r="143" ht="15.75" customHeight="1">
      <c r="T143" s="7"/>
      <c r="U143" s="7"/>
      <c r="V143" s="7"/>
    </row>
    <row r="144" ht="15.75" customHeight="1">
      <c r="T144" s="7"/>
      <c r="U144" s="7"/>
      <c r="V144" s="7"/>
    </row>
    <row r="145" ht="15.75" customHeight="1">
      <c r="T145" s="7"/>
      <c r="U145" s="7"/>
      <c r="V145" s="7"/>
    </row>
    <row r="146" ht="15.75" customHeight="1">
      <c r="T146" s="7"/>
      <c r="U146" s="7"/>
      <c r="V146" s="7"/>
    </row>
    <row r="147" ht="15.75" customHeight="1">
      <c r="T147" s="7"/>
      <c r="U147" s="7"/>
      <c r="V147" s="7"/>
    </row>
    <row r="148" ht="15.75" customHeight="1">
      <c r="T148" s="7"/>
      <c r="U148" s="7"/>
      <c r="V148" s="7"/>
    </row>
    <row r="149" ht="15.75" customHeight="1">
      <c r="T149" s="7"/>
      <c r="U149" s="7"/>
      <c r="V149" s="7"/>
    </row>
    <row r="150" ht="15.75" customHeight="1">
      <c r="T150" s="7"/>
      <c r="U150" s="7"/>
      <c r="V150" s="7"/>
    </row>
    <row r="151" ht="15.75" customHeight="1">
      <c r="T151" s="7"/>
      <c r="U151" s="7"/>
      <c r="V151" s="7"/>
    </row>
    <row r="152" ht="15.75" customHeight="1">
      <c r="T152" s="7"/>
      <c r="U152" s="7"/>
      <c r="V152" s="7"/>
    </row>
    <row r="153" ht="15.75" customHeight="1">
      <c r="T153" s="7"/>
      <c r="U153" s="7"/>
      <c r="V153" s="7"/>
    </row>
    <row r="154" ht="15.75" customHeight="1">
      <c r="T154" s="7"/>
      <c r="U154" s="7"/>
      <c r="V154" s="7"/>
    </row>
    <row r="155" ht="15.75" customHeight="1">
      <c r="T155" s="7"/>
      <c r="U155" s="7"/>
      <c r="V155" s="7"/>
    </row>
    <row r="156" ht="15.75" customHeight="1">
      <c r="T156" s="7"/>
      <c r="U156" s="7"/>
      <c r="V156" s="7"/>
    </row>
    <row r="157" ht="15.75" customHeight="1">
      <c r="T157" s="7"/>
      <c r="U157" s="7"/>
      <c r="V157" s="7"/>
    </row>
    <row r="158" ht="15.75" customHeight="1">
      <c r="T158" s="7"/>
      <c r="U158" s="7"/>
      <c r="V158" s="7"/>
    </row>
    <row r="159" ht="15.75" customHeight="1">
      <c r="T159" s="7"/>
      <c r="U159" s="7"/>
      <c r="V159" s="7"/>
    </row>
    <row r="160" ht="15.75" customHeight="1">
      <c r="T160" s="7"/>
      <c r="U160" s="7"/>
      <c r="V160" s="7"/>
    </row>
    <row r="161" ht="15.75" customHeight="1">
      <c r="T161" s="7"/>
      <c r="U161" s="7"/>
      <c r="V161" s="7"/>
    </row>
    <row r="162" ht="15.75" customHeight="1">
      <c r="T162" s="7"/>
      <c r="U162" s="7"/>
      <c r="V162" s="7"/>
    </row>
    <row r="163" ht="15.75" customHeight="1">
      <c r="T163" s="7"/>
      <c r="U163" s="7"/>
      <c r="V163" s="7"/>
    </row>
    <row r="164" ht="15.75" customHeight="1">
      <c r="T164" s="7"/>
      <c r="U164" s="7"/>
      <c r="V164" s="7"/>
    </row>
    <row r="165" ht="15.75" customHeight="1">
      <c r="T165" s="7"/>
      <c r="U165" s="7"/>
      <c r="V165" s="7"/>
    </row>
    <row r="166" ht="15.75" customHeight="1">
      <c r="T166" s="7"/>
      <c r="U166" s="7"/>
      <c r="V166" s="7"/>
    </row>
    <row r="167" ht="15.75" customHeight="1">
      <c r="T167" s="7"/>
      <c r="U167" s="7"/>
      <c r="V167" s="7"/>
    </row>
    <row r="168" ht="15.75" customHeight="1">
      <c r="T168" s="7"/>
      <c r="U168" s="7"/>
      <c r="V168" s="7"/>
    </row>
    <row r="169" ht="15.75" customHeight="1">
      <c r="T169" s="7"/>
      <c r="U169" s="7"/>
      <c r="V169" s="7"/>
    </row>
    <row r="170" ht="15.75" customHeight="1">
      <c r="T170" s="7"/>
      <c r="U170" s="7"/>
      <c r="V170" s="7"/>
    </row>
    <row r="171" ht="15.75" customHeight="1">
      <c r="T171" s="7"/>
      <c r="U171" s="7"/>
      <c r="V171" s="7"/>
    </row>
    <row r="172" ht="15.75" customHeight="1">
      <c r="T172" s="7"/>
      <c r="U172" s="7"/>
      <c r="V172" s="7"/>
    </row>
    <row r="173" ht="15.75" customHeight="1">
      <c r="T173" s="7"/>
      <c r="U173" s="7"/>
      <c r="V173" s="7"/>
    </row>
    <row r="174" ht="15.75" customHeight="1">
      <c r="T174" s="7"/>
      <c r="U174" s="7"/>
      <c r="V174" s="7"/>
    </row>
    <row r="175" ht="15.75" customHeight="1">
      <c r="T175" s="7"/>
      <c r="U175" s="7"/>
      <c r="V175" s="7"/>
    </row>
    <row r="176" ht="15.75" customHeight="1">
      <c r="T176" s="7"/>
      <c r="U176" s="7"/>
      <c r="V176" s="7"/>
    </row>
    <row r="177" ht="15.75" customHeight="1">
      <c r="T177" s="7"/>
      <c r="U177" s="7"/>
      <c r="V177" s="7"/>
    </row>
    <row r="178" ht="15.75" customHeight="1">
      <c r="T178" s="7"/>
      <c r="U178" s="7"/>
      <c r="V178" s="7"/>
    </row>
    <row r="179" ht="15.75" customHeight="1">
      <c r="T179" s="7"/>
      <c r="U179" s="7"/>
      <c r="V179" s="7"/>
    </row>
    <row r="180" ht="15.75" customHeight="1">
      <c r="T180" s="7"/>
      <c r="U180" s="7"/>
      <c r="V180" s="7"/>
    </row>
    <row r="181" ht="15.75" customHeight="1">
      <c r="T181" s="7"/>
      <c r="U181" s="7"/>
      <c r="V181" s="7"/>
    </row>
    <row r="182" ht="15.75" customHeight="1">
      <c r="T182" s="7"/>
      <c r="U182" s="7"/>
      <c r="V182" s="7"/>
    </row>
    <row r="183" ht="15.75" customHeight="1">
      <c r="T183" s="7"/>
      <c r="U183" s="7"/>
      <c r="V183" s="7"/>
    </row>
    <row r="184" ht="15.75" customHeight="1">
      <c r="T184" s="7"/>
      <c r="U184" s="7"/>
      <c r="V184" s="7"/>
    </row>
    <row r="185" ht="15.75" customHeight="1">
      <c r="T185" s="7"/>
      <c r="U185" s="7"/>
      <c r="V185" s="7"/>
    </row>
    <row r="186" ht="15.75" customHeight="1">
      <c r="T186" s="7"/>
      <c r="U186" s="7"/>
      <c r="V186" s="7"/>
    </row>
    <row r="187" ht="15.75" customHeight="1">
      <c r="T187" s="7"/>
      <c r="U187" s="7"/>
      <c r="V187" s="7"/>
    </row>
    <row r="188" ht="15.75" customHeight="1">
      <c r="T188" s="7"/>
      <c r="U188" s="7"/>
      <c r="V188" s="7"/>
    </row>
    <row r="189" ht="15.75" customHeight="1">
      <c r="T189" s="7"/>
      <c r="U189" s="7"/>
      <c r="V189" s="7"/>
    </row>
    <row r="190" ht="15.75" customHeight="1">
      <c r="T190" s="7"/>
      <c r="U190" s="7"/>
      <c r="V190" s="7"/>
    </row>
    <row r="191" ht="15.75" customHeight="1">
      <c r="T191" s="7"/>
      <c r="U191" s="7"/>
      <c r="V191" s="7"/>
    </row>
    <row r="192" ht="15.75" customHeight="1">
      <c r="T192" s="7"/>
      <c r="U192" s="7"/>
      <c r="V192" s="7"/>
    </row>
    <row r="193" ht="15.75" customHeight="1">
      <c r="T193" s="7"/>
      <c r="U193" s="7"/>
      <c r="V193" s="7"/>
    </row>
    <row r="194" ht="15.75" customHeight="1">
      <c r="T194" s="7"/>
      <c r="U194" s="7"/>
      <c r="V194" s="7"/>
    </row>
    <row r="195" ht="15.75" customHeight="1">
      <c r="T195" s="7"/>
      <c r="U195" s="7"/>
      <c r="V195" s="7"/>
    </row>
    <row r="196" ht="15.75" customHeight="1">
      <c r="T196" s="7"/>
      <c r="U196" s="7"/>
      <c r="V196" s="7"/>
    </row>
    <row r="197" ht="15.75" customHeight="1">
      <c r="T197" s="7"/>
      <c r="U197" s="7"/>
      <c r="V197" s="7"/>
    </row>
    <row r="198" ht="15.75" customHeight="1">
      <c r="T198" s="7"/>
      <c r="U198" s="7"/>
      <c r="V198" s="7"/>
    </row>
    <row r="199" ht="15.75" customHeight="1">
      <c r="T199" s="7"/>
      <c r="U199" s="7"/>
      <c r="V199" s="7"/>
    </row>
    <row r="200" ht="15.75" customHeight="1">
      <c r="T200" s="7"/>
      <c r="U200" s="7"/>
      <c r="V200" s="7"/>
    </row>
    <row r="201" ht="15.75" customHeight="1">
      <c r="T201" s="7"/>
      <c r="U201" s="7"/>
      <c r="V201" s="7"/>
    </row>
    <row r="202" ht="15.75" customHeight="1">
      <c r="T202" s="7"/>
      <c r="U202" s="7"/>
      <c r="V202" s="7"/>
    </row>
    <row r="203" ht="15.75" customHeight="1">
      <c r="T203" s="7"/>
      <c r="U203" s="7"/>
      <c r="V203" s="7"/>
    </row>
    <row r="204" ht="15.75" customHeight="1">
      <c r="T204" s="7"/>
      <c r="U204" s="7"/>
      <c r="V204" s="7"/>
    </row>
    <row r="205" ht="15.75" customHeight="1">
      <c r="T205" s="7"/>
      <c r="U205" s="7"/>
      <c r="V205" s="7"/>
    </row>
    <row r="206" ht="15.75" customHeight="1">
      <c r="T206" s="7"/>
      <c r="U206" s="7"/>
      <c r="V206" s="7"/>
    </row>
    <row r="207" ht="15.75" customHeight="1">
      <c r="T207" s="7"/>
      <c r="U207" s="7"/>
      <c r="V207" s="7"/>
    </row>
    <row r="208" ht="15.75" customHeight="1">
      <c r="T208" s="7"/>
      <c r="U208" s="7"/>
      <c r="V208" s="7"/>
    </row>
    <row r="209" ht="15.75" customHeight="1">
      <c r="T209" s="7"/>
      <c r="U209" s="7"/>
      <c r="V209" s="7"/>
    </row>
    <row r="210" ht="15.75" customHeight="1">
      <c r="T210" s="7"/>
      <c r="U210" s="7"/>
      <c r="V210" s="7"/>
    </row>
    <row r="211" ht="15.75" customHeight="1">
      <c r="T211" s="7"/>
      <c r="U211" s="7"/>
      <c r="V211" s="7"/>
    </row>
    <row r="212" ht="15.75" customHeight="1">
      <c r="T212" s="7"/>
      <c r="U212" s="7"/>
      <c r="V212" s="7"/>
    </row>
    <row r="213" ht="15.75" customHeight="1">
      <c r="T213" s="7"/>
      <c r="U213" s="7"/>
      <c r="V213" s="7"/>
    </row>
    <row r="214" ht="15.75" customHeight="1">
      <c r="T214" s="7"/>
      <c r="U214" s="7"/>
      <c r="V214" s="7"/>
    </row>
    <row r="215" ht="15.75" customHeight="1">
      <c r="T215" s="7"/>
      <c r="U215" s="7"/>
      <c r="V215" s="7"/>
    </row>
    <row r="216" ht="15.75" customHeight="1">
      <c r="T216" s="7"/>
      <c r="U216" s="7"/>
      <c r="V216" s="7"/>
    </row>
    <row r="217" ht="15.75" customHeight="1">
      <c r="T217" s="7"/>
      <c r="U217" s="7"/>
      <c r="V217" s="7"/>
    </row>
    <row r="218" ht="15.75" customHeight="1">
      <c r="T218" s="7"/>
      <c r="U218" s="7"/>
      <c r="V218" s="7"/>
    </row>
    <row r="219" ht="15.75" customHeight="1">
      <c r="T219" s="7"/>
      <c r="U219" s="7"/>
      <c r="V219" s="7"/>
    </row>
    <row r="220" ht="15.75" customHeight="1">
      <c r="T220" s="7"/>
      <c r="U220" s="7"/>
      <c r="V220" s="7"/>
    </row>
    <row r="221" ht="15.75" customHeight="1">
      <c r="T221" s="7"/>
      <c r="U221" s="7"/>
      <c r="V221" s="7"/>
    </row>
    <row r="222" ht="15.75" customHeight="1">
      <c r="T222" s="7"/>
      <c r="U222" s="7"/>
      <c r="V222" s="7"/>
    </row>
    <row r="223" ht="15.75" customHeight="1">
      <c r="T223" s="7"/>
      <c r="U223" s="7"/>
      <c r="V223" s="7"/>
    </row>
    <row r="224" ht="15.75" customHeight="1">
      <c r="T224" s="7"/>
      <c r="U224" s="7"/>
      <c r="V224" s="7"/>
    </row>
    <row r="225" ht="15.75" customHeight="1">
      <c r="T225" s="7"/>
      <c r="U225" s="7"/>
      <c r="V225" s="7"/>
    </row>
    <row r="226" ht="15.75" customHeight="1">
      <c r="T226" s="7"/>
      <c r="U226" s="7"/>
      <c r="V226" s="7"/>
    </row>
    <row r="227" ht="15.75" customHeight="1">
      <c r="T227" s="7"/>
      <c r="U227" s="7"/>
      <c r="V227" s="7"/>
    </row>
    <row r="228" ht="15.75" customHeight="1">
      <c r="T228" s="7"/>
      <c r="U228" s="7"/>
      <c r="V228" s="7"/>
    </row>
    <row r="229" ht="15.75" customHeight="1">
      <c r="T229" s="7"/>
      <c r="U229" s="7"/>
      <c r="V229" s="7"/>
    </row>
    <row r="230" ht="15.75" customHeight="1">
      <c r="T230" s="7"/>
      <c r="U230" s="7"/>
      <c r="V230" s="7"/>
    </row>
    <row r="231" ht="15.75" customHeight="1">
      <c r="T231" s="7"/>
      <c r="U231" s="7"/>
      <c r="V231" s="7"/>
    </row>
    <row r="232" ht="15.75" customHeight="1">
      <c r="T232" s="7"/>
      <c r="U232" s="7"/>
      <c r="V232" s="7"/>
    </row>
    <row r="233" ht="15.75" customHeight="1">
      <c r="T233" s="7"/>
      <c r="U233" s="7"/>
      <c r="V233" s="7"/>
    </row>
    <row r="234" ht="15.75" customHeight="1">
      <c r="T234" s="7"/>
      <c r="U234" s="7"/>
      <c r="V234" s="7"/>
    </row>
    <row r="235" ht="15.75" customHeight="1">
      <c r="T235" s="7"/>
      <c r="U235" s="7"/>
      <c r="V235" s="7"/>
    </row>
    <row r="236" ht="15.75" customHeight="1">
      <c r="T236" s="7"/>
      <c r="U236" s="7"/>
      <c r="V236" s="7"/>
    </row>
    <row r="237" ht="15.75" customHeight="1">
      <c r="T237" s="7"/>
      <c r="U237" s="7"/>
      <c r="V237" s="7"/>
    </row>
    <row r="238" ht="15.75" customHeight="1">
      <c r="T238" s="7"/>
      <c r="U238" s="7"/>
      <c r="V238" s="7"/>
    </row>
    <row r="239" ht="15.75" customHeight="1">
      <c r="T239" s="7"/>
      <c r="U239" s="7"/>
      <c r="V239" s="7"/>
    </row>
    <row r="240" ht="15.75" customHeight="1">
      <c r="T240" s="7"/>
      <c r="U240" s="7"/>
      <c r="V240" s="7"/>
    </row>
    <row r="241" ht="15.75" customHeight="1">
      <c r="T241" s="7"/>
      <c r="U241" s="7"/>
      <c r="V241" s="7"/>
    </row>
    <row r="242" ht="15.75" customHeight="1">
      <c r="T242" s="7"/>
      <c r="U242" s="7"/>
      <c r="V242" s="7"/>
    </row>
    <row r="243" ht="15.75" customHeight="1">
      <c r="T243" s="7"/>
      <c r="U243" s="7"/>
      <c r="V243" s="7"/>
    </row>
    <row r="244" ht="15.75" customHeight="1">
      <c r="T244" s="7"/>
      <c r="U244" s="7"/>
      <c r="V244" s="7"/>
    </row>
    <row r="245" ht="15.75" customHeight="1">
      <c r="T245" s="7"/>
      <c r="U245" s="7"/>
      <c r="V245" s="7"/>
    </row>
    <row r="246" ht="15.75" customHeight="1">
      <c r="T246" s="7"/>
      <c r="U246" s="7"/>
      <c r="V246" s="7"/>
    </row>
    <row r="247" ht="15.75" customHeight="1">
      <c r="T247" s="7"/>
      <c r="U247" s="7"/>
      <c r="V247" s="7"/>
    </row>
    <row r="248" ht="15.75" customHeight="1">
      <c r="T248" s="7"/>
      <c r="U248" s="7"/>
      <c r="V248" s="7"/>
    </row>
    <row r="249" ht="15.75" customHeight="1">
      <c r="T249" s="7"/>
      <c r="U249" s="7"/>
      <c r="V249" s="7"/>
    </row>
    <row r="250" ht="15.75" customHeight="1">
      <c r="T250" s="7"/>
      <c r="U250" s="7"/>
      <c r="V250" s="7"/>
    </row>
    <row r="251" ht="15.75" customHeight="1">
      <c r="T251" s="7"/>
      <c r="U251" s="7"/>
      <c r="V251" s="7"/>
    </row>
    <row r="252" ht="15.75" customHeight="1">
      <c r="T252" s="7"/>
      <c r="U252" s="7"/>
      <c r="V252" s="7"/>
    </row>
    <row r="253" ht="15.75" customHeight="1">
      <c r="T253" s="7"/>
      <c r="U253" s="7"/>
      <c r="V253" s="7"/>
    </row>
    <row r="254" ht="15.75" customHeight="1">
      <c r="T254" s="7"/>
      <c r="U254" s="7"/>
      <c r="V254" s="7"/>
    </row>
    <row r="255" ht="15.75" customHeight="1">
      <c r="T255" s="7"/>
      <c r="U255" s="7"/>
      <c r="V255" s="7"/>
    </row>
    <row r="256" ht="15.75" customHeight="1">
      <c r="T256" s="7"/>
      <c r="U256" s="7"/>
      <c r="V256" s="7"/>
    </row>
    <row r="257" ht="15.75" customHeight="1">
      <c r="T257" s="7"/>
      <c r="U257" s="7"/>
      <c r="V257" s="7"/>
    </row>
    <row r="258" ht="15.75" customHeight="1">
      <c r="T258" s="7"/>
      <c r="U258" s="7"/>
      <c r="V258" s="7"/>
    </row>
    <row r="259" ht="15.75" customHeight="1">
      <c r="T259" s="7"/>
      <c r="U259" s="7"/>
      <c r="V259" s="7"/>
    </row>
    <row r="260" ht="15.75" customHeight="1">
      <c r="T260" s="7"/>
      <c r="U260" s="7"/>
      <c r="V260" s="7"/>
    </row>
    <row r="261" ht="15.75" customHeight="1">
      <c r="T261" s="7"/>
      <c r="U261" s="7"/>
      <c r="V261" s="7"/>
    </row>
    <row r="262" ht="15.75" customHeight="1">
      <c r="T262" s="7"/>
      <c r="U262" s="7"/>
      <c r="V262" s="7"/>
    </row>
    <row r="263" ht="15.75" customHeight="1">
      <c r="T263" s="7"/>
      <c r="U263" s="7"/>
      <c r="V263" s="7"/>
    </row>
    <row r="264" ht="15.75" customHeight="1">
      <c r="T264" s="7"/>
      <c r="U264" s="7"/>
      <c r="V264" s="7"/>
    </row>
    <row r="265" ht="15.75" customHeight="1">
      <c r="T265" s="7"/>
      <c r="U265" s="7"/>
      <c r="V265" s="7"/>
    </row>
    <row r="266" ht="15.75" customHeight="1">
      <c r="T266" s="7"/>
      <c r="U266" s="7"/>
      <c r="V266" s="7"/>
    </row>
    <row r="267" ht="15.75" customHeight="1">
      <c r="T267" s="7"/>
      <c r="U267" s="7"/>
      <c r="V267" s="7"/>
    </row>
    <row r="268" ht="15.75" customHeight="1">
      <c r="T268" s="7"/>
      <c r="U268" s="7"/>
      <c r="V268" s="7"/>
    </row>
    <row r="269" ht="15.75" customHeight="1">
      <c r="T269" s="7"/>
      <c r="U269" s="7"/>
      <c r="V269" s="7"/>
    </row>
    <row r="270" ht="15.75" customHeight="1">
      <c r="T270" s="7"/>
      <c r="U270" s="7"/>
      <c r="V270" s="7"/>
    </row>
    <row r="271" ht="15.75" customHeight="1">
      <c r="T271" s="7"/>
      <c r="U271" s="7"/>
      <c r="V271" s="7"/>
    </row>
    <row r="272" ht="15.75" customHeight="1">
      <c r="T272" s="7"/>
      <c r="U272" s="7"/>
      <c r="V272" s="7"/>
    </row>
    <row r="273" ht="15.75" customHeight="1">
      <c r="T273" s="7"/>
      <c r="U273" s="7"/>
      <c r="V273" s="7"/>
    </row>
    <row r="274" ht="15.75" customHeight="1">
      <c r="T274" s="7"/>
      <c r="U274" s="7"/>
      <c r="V274" s="7"/>
    </row>
    <row r="275" ht="15.75" customHeight="1">
      <c r="T275" s="7"/>
      <c r="U275" s="7"/>
      <c r="V275" s="7"/>
    </row>
    <row r="276" ht="15.75" customHeight="1">
      <c r="T276" s="7"/>
      <c r="U276" s="7"/>
      <c r="V276" s="7"/>
    </row>
    <row r="277" ht="15.75" customHeight="1">
      <c r="T277" s="7"/>
      <c r="U277" s="7"/>
      <c r="V277" s="7"/>
    </row>
    <row r="278" ht="15.75" customHeight="1">
      <c r="T278" s="7"/>
      <c r="U278" s="7"/>
      <c r="V278" s="7"/>
    </row>
    <row r="279" ht="15.75" customHeight="1">
      <c r="T279" s="7"/>
      <c r="U279" s="7"/>
      <c r="V279" s="7"/>
    </row>
    <row r="280" ht="15.75" customHeight="1">
      <c r="T280" s="7"/>
      <c r="U280" s="7"/>
      <c r="V280" s="7"/>
    </row>
    <row r="281" ht="15.75" customHeight="1">
      <c r="T281" s="7"/>
      <c r="U281" s="7"/>
      <c r="V281" s="7"/>
    </row>
    <row r="282" ht="15.75" customHeight="1">
      <c r="T282" s="7"/>
      <c r="U282" s="7"/>
      <c r="V282" s="7"/>
    </row>
    <row r="283" ht="15.75" customHeight="1">
      <c r="T283" s="7"/>
      <c r="U283" s="7"/>
      <c r="V283" s="7"/>
    </row>
    <row r="284" ht="15.75" customHeight="1">
      <c r="T284" s="7"/>
      <c r="U284" s="7"/>
      <c r="V284" s="7"/>
    </row>
    <row r="285" ht="15.75" customHeight="1">
      <c r="T285" s="7"/>
      <c r="U285" s="7"/>
      <c r="V285" s="7"/>
    </row>
    <row r="286" ht="15.75" customHeight="1">
      <c r="T286" s="7"/>
      <c r="U286" s="7"/>
      <c r="V286" s="7"/>
    </row>
    <row r="287" ht="15.75" customHeight="1">
      <c r="T287" s="7"/>
      <c r="U287" s="7"/>
      <c r="V287" s="7"/>
    </row>
    <row r="288" ht="15.75" customHeight="1">
      <c r="T288" s="7"/>
      <c r="U288" s="7"/>
      <c r="V288" s="7"/>
    </row>
    <row r="289" ht="15.75" customHeight="1">
      <c r="T289" s="7"/>
      <c r="U289" s="7"/>
      <c r="V289" s="7"/>
    </row>
    <row r="290" ht="15.75" customHeight="1">
      <c r="T290" s="7"/>
      <c r="U290" s="7"/>
      <c r="V290" s="7"/>
    </row>
    <row r="291" ht="15.75" customHeight="1">
      <c r="T291" s="7"/>
      <c r="U291" s="7"/>
      <c r="V291" s="7"/>
    </row>
    <row r="292" ht="15.75" customHeight="1">
      <c r="T292" s="7"/>
      <c r="U292" s="7"/>
      <c r="V292" s="7"/>
    </row>
    <row r="293" ht="15.75" customHeight="1">
      <c r="T293" s="7"/>
      <c r="U293" s="7"/>
      <c r="V293" s="7"/>
    </row>
    <row r="294" ht="15.75" customHeight="1">
      <c r="T294" s="7"/>
      <c r="U294" s="7"/>
      <c r="V294" s="7"/>
    </row>
    <row r="295" ht="15.75" customHeight="1">
      <c r="T295" s="7"/>
      <c r="U295" s="7"/>
      <c r="V295" s="7"/>
    </row>
    <row r="296" ht="15.75" customHeight="1">
      <c r="T296" s="7"/>
      <c r="U296" s="7"/>
      <c r="V296" s="7"/>
    </row>
    <row r="297" ht="15.75" customHeight="1">
      <c r="T297" s="7"/>
      <c r="U297" s="7"/>
      <c r="V297" s="7"/>
    </row>
    <row r="298" ht="15.75" customHeight="1">
      <c r="T298" s="7"/>
      <c r="U298" s="7"/>
      <c r="V298" s="7"/>
    </row>
    <row r="299" ht="15.75" customHeight="1">
      <c r="T299" s="7"/>
      <c r="U299" s="7"/>
      <c r="V299" s="7"/>
    </row>
    <row r="300" ht="15.75" customHeight="1">
      <c r="T300" s="7"/>
      <c r="U300" s="7"/>
      <c r="V300" s="7"/>
    </row>
    <row r="301" ht="15.75" customHeight="1">
      <c r="T301" s="7"/>
      <c r="U301" s="7"/>
      <c r="V301" s="7"/>
    </row>
    <row r="302" ht="15.75" customHeight="1">
      <c r="T302" s="7"/>
      <c r="U302" s="7"/>
      <c r="V302" s="7"/>
    </row>
    <row r="303" ht="15.75" customHeight="1">
      <c r="T303" s="7"/>
      <c r="U303" s="7"/>
      <c r="V303" s="7"/>
    </row>
    <row r="304" ht="15.75" customHeight="1">
      <c r="T304" s="7"/>
      <c r="U304" s="7"/>
      <c r="V304" s="7"/>
    </row>
    <row r="305" ht="15.75" customHeight="1">
      <c r="T305" s="7"/>
      <c r="U305" s="7"/>
      <c r="V305" s="7"/>
    </row>
    <row r="306" ht="15.75" customHeight="1">
      <c r="T306" s="7"/>
      <c r="U306" s="7"/>
      <c r="V306" s="7"/>
    </row>
    <row r="307" ht="15.75" customHeight="1">
      <c r="T307" s="7"/>
      <c r="U307" s="7"/>
      <c r="V307" s="7"/>
    </row>
    <row r="308" ht="15.75" customHeight="1">
      <c r="T308" s="7"/>
      <c r="U308" s="7"/>
      <c r="V308" s="7"/>
    </row>
    <row r="309" ht="15.75" customHeight="1">
      <c r="T309" s="7"/>
      <c r="U309" s="7"/>
      <c r="V309" s="7"/>
    </row>
    <row r="310" ht="15.75" customHeight="1">
      <c r="T310" s="7"/>
      <c r="U310" s="7"/>
      <c r="V310" s="7"/>
    </row>
    <row r="311" ht="15.75" customHeight="1">
      <c r="T311" s="7"/>
      <c r="U311" s="7"/>
      <c r="V311" s="7"/>
    </row>
    <row r="312" ht="15.75" customHeight="1">
      <c r="T312" s="7"/>
      <c r="U312" s="7"/>
      <c r="V312" s="7"/>
    </row>
    <row r="313" ht="15.75" customHeight="1">
      <c r="T313" s="7"/>
      <c r="U313" s="7"/>
      <c r="V313" s="7"/>
    </row>
    <row r="314" ht="15.75" customHeight="1">
      <c r="T314" s="7"/>
      <c r="U314" s="7"/>
      <c r="V314" s="7"/>
    </row>
    <row r="315" ht="15.75" customHeight="1">
      <c r="T315" s="7"/>
      <c r="U315" s="7"/>
      <c r="V315" s="7"/>
    </row>
    <row r="316" ht="15.75" customHeight="1">
      <c r="T316" s="7"/>
      <c r="U316" s="7"/>
      <c r="V316" s="7"/>
    </row>
    <row r="317" ht="15.75" customHeight="1">
      <c r="T317" s="7"/>
      <c r="U317" s="7"/>
      <c r="V317" s="7"/>
    </row>
    <row r="318" ht="15.75" customHeight="1">
      <c r="T318" s="7"/>
      <c r="U318" s="7"/>
      <c r="V318" s="7"/>
    </row>
    <row r="319" ht="15.75" customHeight="1">
      <c r="T319" s="7"/>
      <c r="U319" s="7"/>
      <c r="V319" s="7"/>
    </row>
    <row r="320" ht="15.75" customHeight="1">
      <c r="T320" s="7"/>
      <c r="U320" s="7"/>
      <c r="V320" s="7"/>
    </row>
    <row r="321" ht="15.75" customHeight="1">
      <c r="T321" s="7"/>
      <c r="U321" s="7"/>
      <c r="V321" s="7"/>
    </row>
    <row r="322" ht="15.75" customHeight="1">
      <c r="T322" s="7"/>
      <c r="U322" s="7"/>
      <c r="V322" s="7"/>
    </row>
    <row r="323" ht="15.75" customHeight="1">
      <c r="T323" s="7"/>
      <c r="U323" s="7"/>
      <c r="V323" s="7"/>
    </row>
    <row r="324" ht="15.75" customHeight="1">
      <c r="T324" s="7"/>
      <c r="U324" s="7"/>
      <c r="V324" s="7"/>
    </row>
    <row r="325" ht="15.75" customHeight="1">
      <c r="T325" s="7"/>
      <c r="U325" s="7"/>
      <c r="V325" s="7"/>
    </row>
    <row r="326" ht="15.75" customHeight="1">
      <c r="T326" s="7"/>
      <c r="U326" s="7"/>
      <c r="V326" s="7"/>
    </row>
    <row r="327" ht="15.75" customHeight="1">
      <c r="T327" s="7"/>
      <c r="U327" s="7"/>
      <c r="V327" s="7"/>
    </row>
    <row r="328" ht="15.75" customHeight="1">
      <c r="T328" s="7"/>
      <c r="U328" s="7"/>
      <c r="V328" s="7"/>
    </row>
    <row r="329" ht="15.75" customHeight="1">
      <c r="T329" s="7"/>
      <c r="U329" s="7"/>
      <c r="V329" s="7"/>
    </row>
    <row r="330" ht="15.75" customHeight="1">
      <c r="T330" s="7"/>
      <c r="U330" s="7"/>
      <c r="V330" s="7"/>
    </row>
    <row r="331" ht="15.75" customHeight="1">
      <c r="T331" s="7"/>
      <c r="U331" s="7"/>
      <c r="V331" s="7"/>
    </row>
    <row r="332" ht="15.75" customHeight="1">
      <c r="T332" s="7"/>
      <c r="U332" s="7"/>
      <c r="V332" s="7"/>
    </row>
    <row r="333" ht="15.75" customHeight="1">
      <c r="T333" s="7"/>
      <c r="U333" s="7"/>
      <c r="V333" s="7"/>
    </row>
    <row r="334" ht="15.75" customHeight="1">
      <c r="T334" s="7"/>
      <c r="U334" s="7"/>
      <c r="V334" s="7"/>
    </row>
    <row r="335" ht="15.75" customHeight="1">
      <c r="T335" s="7"/>
      <c r="U335" s="7"/>
      <c r="V335" s="7"/>
    </row>
    <row r="336" ht="15.75" customHeight="1">
      <c r="T336" s="7"/>
      <c r="U336" s="7"/>
      <c r="V336" s="7"/>
    </row>
    <row r="337" ht="15.75" customHeight="1">
      <c r="T337" s="7"/>
      <c r="U337" s="7"/>
      <c r="V337" s="7"/>
    </row>
    <row r="338" ht="15.75" customHeight="1">
      <c r="T338" s="7"/>
      <c r="U338" s="7"/>
      <c r="V338" s="7"/>
    </row>
    <row r="339" ht="15.75" customHeight="1">
      <c r="T339" s="7"/>
      <c r="U339" s="7"/>
      <c r="V339" s="7"/>
    </row>
    <row r="340" ht="15.75" customHeight="1">
      <c r="T340" s="7"/>
      <c r="U340" s="7"/>
      <c r="V340" s="7"/>
    </row>
    <row r="341" ht="15.75" customHeight="1">
      <c r="T341" s="7"/>
      <c r="U341" s="7"/>
      <c r="V341" s="7"/>
    </row>
    <row r="342" ht="15.75" customHeight="1">
      <c r="T342" s="7"/>
      <c r="U342" s="7"/>
      <c r="V342" s="7"/>
    </row>
    <row r="343" ht="15.75" customHeight="1">
      <c r="T343" s="7"/>
      <c r="U343" s="7"/>
      <c r="V343" s="7"/>
    </row>
    <row r="344" ht="15.75" customHeight="1">
      <c r="T344" s="7"/>
      <c r="U344" s="7"/>
      <c r="V344" s="7"/>
    </row>
    <row r="345" ht="15.75" customHeight="1">
      <c r="T345" s="7"/>
      <c r="U345" s="7"/>
      <c r="V345" s="7"/>
    </row>
    <row r="346" ht="15.75" customHeight="1">
      <c r="T346" s="7"/>
      <c r="U346" s="7"/>
      <c r="V346" s="7"/>
    </row>
    <row r="347" ht="15.75" customHeight="1">
      <c r="T347" s="7"/>
      <c r="U347" s="7"/>
      <c r="V347" s="7"/>
    </row>
    <row r="348" ht="15.75" customHeight="1">
      <c r="T348" s="7"/>
      <c r="U348" s="7"/>
      <c r="V348" s="7"/>
    </row>
    <row r="349" ht="15.75" customHeight="1">
      <c r="T349" s="7"/>
      <c r="U349" s="7"/>
      <c r="V349" s="7"/>
    </row>
    <row r="350" ht="15.75" customHeight="1">
      <c r="T350" s="7"/>
      <c r="U350" s="7"/>
      <c r="V350" s="7"/>
    </row>
    <row r="351" ht="15.75" customHeight="1">
      <c r="T351" s="7"/>
      <c r="U351" s="7"/>
      <c r="V351" s="7"/>
    </row>
    <row r="352" ht="15.75" customHeight="1">
      <c r="T352" s="7"/>
      <c r="U352" s="7"/>
      <c r="V352" s="7"/>
    </row>
    <row r="353" ht="15.75" customHeight="1">
      <c r="T353" s="7"/>
      <c r="U353" s="7"/>
      <c r="V353" s="7"/>
    </row>
    <row r="354" ht="15.75" customHeight="1">
      <c r="T354" s="7"/>
      <c r="U354" s="7"/>
      <c r="V354" s="7"/>
    </row>
    <row r="355" ht="15.75" customHeight="1">
      <c r="T355" s="7"/>
      <c r="U355" s="7"/>
      <c r="V355" s="7"/>
    </row>
    <row r="356" ht="15.75" customHeight="1">
      <c r="T356" s="7"/>
      <c r="U356" s="7"/>
      <c r="V356" s="7"/>
    </row>
    <row r="357" ht="15.75" customHeight="1">
      <c r="T357" s="7"/>
      <c r="U357" s="7"/>
      <c r="V357" s="7"/>
    </row>
    <row r="358" ht="15.75" customHeight="1">
      <c r="T358" s="7"/>
      <c r="U358" s="7"/>
      <c r="V358" s="7"/>
    </row>
    <row r="359" ht="15.75" customHeight="1">
      <c r="T359" s="7"/>
      <c r="U359" s="7"/>
      <c r="V359" s="7"/>
    </row>
    <row r="360" ht="15.75" customHeight="1">
      <c r="T360" s="7"/>
      <c r="U360" s="7"/>
      <c r="V360" s="7"/>
    </row>
    <row r="361" ht="15.75" customHeight="1">
      <c r="T361" s="7"/>
      <c r="U361" s="7"/>
      <c r="V361" s="7"/>
    </row>
    <row r="362" ht="15.75" customHeight="1">
      <c r="T362" s="7"/>
      <c r="U362" s="7"/>
      <c r="V362" s="7"/>
    </row>
    <row r="363" ht="15.75" customHeight="1">
      <c r="T363" s="7"/>
      <c r="U363" s="7"/>
      <c r="V363" s="7"/>
    </row>
    <row r="364" ht="15.75" customHeight="1">
      <c r="T364" s="7"/>
      <c r="U364" s="7"/>
      <c r="V364" s="7"/>
    </row>
    <row r="365" ht="15.75" customHeight="1">
      <c r="T365" s="7"/>
      <c r="U365" s="7"/>
      <c r="V365" s="7"/>
    </row>
    <row r="366" ht="15.75" customHeight="1">
      <c r="T366" s="7"/>
      <c r="U366" s="7"/>
      <c r="V366" s="7"/>
    </row>
    <row r="367" ht="15.75" customHeight="1">
      <c r="T367" s="7"/>
      <c r="U367" s="7"/>
      <c r="V367" s="7"/>
    </row>
    <row r="368" ht="15.75" customHeight="1">
      <c r="T368" s="7"/>
      <c r="U368" s="7"/>
      <c r="V368" s="7"/>
    </row>
    <row r="369" ht="15.75" customHeight="1">
      <c r="T369" s="7"/>
      <c r="U369" s="7"/>
      <c r="V369" s="7"/>
    </row>
    <row r="370" ht="15.75" customHeight="1">
      <c r="T370" s="7"/>
      <c r="U370" s="7"/>
      <c r="V370" s="7"/>
    </row>
    <row r="371" ht="15.75" customHeight="1">
      <c r="T371" s="7"/>
      <c r="U371" s="7"/>
      <c r="V371" s="7"/>
    </row>
    <row r="372" ht="15.75" customHeight="1">
      <c r="T372" s="7"/>
      <c r="U372" s="7"/>
      <c r="V372" s="7"/>
    </row>
    <row r="373" ht="15.75" customHeight="1">
      <c r="T373" s="7"/>
      <c r="U373" s="7"/>
      <c r="V373" s="7"/>
    </row>
    <row r="374" ht="15.75" customHeight="1">
      <c r="T374" s="7"/>
      <c r="U374" s="7"/>
      <c r="V374" s="7"/>
    </row>
    <row r="375" ht="15.75" customHeight="1">
      <c r="T375" s="7"/>
      <c r="U375" s="7"/>
      <c r="V375" s="7"/>
    </row>
    <row r="376" ht="15.75" customHeight="1">
      <c r="T376" s="7"/>
      <c r="U376" s="7"/>
      <c r="V376" s="7"/>
    </row>
    <row r="377" ht="15.75" customHeight="1">
      <c r="T377" s="7"/>
      <c r="U377" s="7"/>
      <c r="V377" s="7"/>
    </row>
    <row r="378" ht="15.75" customHeight="1">
      <c r="T378" s="7"/>
      <c r="U378" s="7"/>
      <c r="V378" s="7"/>
    </row>
    <row r="379" ht="15.75" customHeight="1">
      <c r="T379" s="7"/>
      <c r="U379" s="7"/>
      <c r="V379" s="7"/>
    </row>
    <row r="380" ht="15.75" customHeight="1">
      <c r="T380" s="7"/>
      <c r="U380" s="7"/>
      <c r="V380" s="7"/>
    </row>
    <row r="381" ht="15.75" customHeight="1">
      <c r="T381" s="7"/>
      <c r="U381" s="7"/>
      <c r="V381" s="7"/>
    </row>
    <row r="382" ht="15.75" customHeight="1">
      <c r="T382" s="7"/>
      <c r="U382" s="7"/>
      <c r="V382" s="7"/>
    </row>
    <row r="383" ht="15.75" customHeight="1">
      <c r="T383" s="7"/>
      <c r="U383" s="7"/>
      <c r="V383" s="7"/>
    </row>
    <row r="384" ht="15.75" customHeight="1">
      <c r="T384" s="7"/>
      <c r="U384" s="7"/>
      <c r="V384" s="7"/>
    </row>
    <row r="385" ht="15.75" customHeight="1">
      <c r="T385" s="7"/>
      <c r="U385" s="7"/>
      <c r="V385" s="7"/>
    </row>
    <row r="386" ht="15.75" customHeight="1">
      <c r="T386" s="7"/>
      <c r="U386" s="7"/>
      <c r="V386" s="7"/>
    </row>
    <row r="387" ht="15.75" customHeight="1">
      <c r="T387" s="7"/>
      <c r="U387" s="7"/>
      <c r="V387" s="7"/>
    </row>
    <row r="388" ht="15.75" customHeight="1">
      <c r="T388" s="7"/>
      <c r="U388" s="7"/>
      <c r="V388" s="7"/>
    </row>
    <row r="389" ht="15.75" customHeight="1">
      <c r="T389" s="7"/>
      <c r="U389" s="7"/>
      <c r="V389" s="7"/>
    </row>
    <row r="390" ht="15.75" customHeight="1">
      <c r="T390" s="7"/>
      <c r="U390" s="7"/>
      <c r="V390" s="7"/>
    </row>
    <row r="391" ht="15.75" customHeight="1">
      <c r="T391" s="7"/>
      <c r="U391" s="7"/>
      <c r="V391" s="7"/>
    </row>
    <row r="392" ht="15.75" customHeight="1">
      <c r="T392" s="7"/>
      <c r="U392" s="7"/>
      <c r="V392" s="7"/>
    </row>
    <row r="393" ht="15.75" customHeight="1">
      <c r="T393" s="7"/>
      <c r="U393" s="7"/>
      <c r="V393" s="7"/>
    </row>
    <row r="394" ht="15.75" customHeight="1">
      <c r="T394" s="7"/>
      <c r="U394" s="7"/>
      <c r="V394" s="7"/>
    </row>
    <row r="395" ht="15.75" customHeight="1">
      <c r="T395" s="7"/>
      <c r="U395" s="7"/>
      <c r="V395" s="7"/>
    </row>
    <row r="396" ht="15.75" customHeight="1">
      <c r="T396" s="7"/>
      <c r="U396" s="7"/>
      <c r="V396" s="7"/>
    </row>
    <row r="397" ht="15.75" customHeight="1">
      <c r="T397" s="7"/>
      <c r="U397" s="7"/>
      <c r="V397" s="7"/>
    </row>
    <row r="398" ht="15.75" customHeight="1">
      <c r="T398" s="7"/>
      <c r="U398" s="7"/>
      <c r="V398" s="7"/>
    </row>
    <row r="399" ht="15.75" customHeight="1">
      <c r="T399" s="7"/>
      <c r="U399" s="7"/>
      <c r="V399" s="7"/>
    </row>
    <row r="400" ht="15.75" customHeight="1">
      <c r="T400" s="7"/>
      <c r="U400" s="7"/>
      <c r="V400" s="7"/>
    </row>
    <row r="401" ht="15.75" customHeight="1">
      <c r="T401" s="7"/>
      <c r="U401" s="7"/>
      <c r="V401" s="7"/>
    </row>
    <row r="402" ht="15.75" customHeight="1">
      <c r="T402" s="7"/>
      <c r="U402" s="7"/>
      <c r="V402" s="7"/>
    </row>
    <row r="403" ht="15.75" customHeight="1">
      <c r="T403" s="7"/>
      <c r="U403" s="7"/>
      <c r="V403" s="7"/>
    </row>
    <row r="404" ht="15.75" customHeight="1">
      <c r="T404" s="7"/>
      <c r="U404" s="7"/>
      <c r="V404" s="7"/>
    </row>
    <row r="405" ht="15.75" customHeight="1">
      <c r="T405" s="7"/>
      <c r="U405" s="7"/>
      <c r="V405" s="7"/>
    </row>
    <row r="406" ht="15.75" customHeight="1">
      <c r="T406" s="7"/>
      <c r="U406" s="7"/>
      <c r="V406" s="7"/>
    </row>
    <row r="407" ht="15.75" customHeight="1">
      <c r="T407" s="7"/>
      <c r="U407" s="7"/>
      <c r="V407" s="7"/>
    </row>
    <row r="408" ht="15.75" customHeight="1">
      <c r="T408" s="7"/>
      <c r="U408" s="7"/>
      <c r="V408" s="7"/>
    </row>
    <row r="409" ht="15.75" customHeight="1">
      <c r="T409" s="7"/>
      <c r="U409" s="7"/>
      <c r="V409" s="7"/>
    </row>
    <row r="410" ht="15.75" customHeight="1">
      <c r="T410" s="7"/>
      <c r="U410" s="7"/>
      <c r="V410" s="7"/>
    </row>
    <row r="411" ht="15.75" customHeight="1">
      <c r="T411" s="7"/>
      <c r="U411" s="7"/>
      <c r="V411" s="7"/>
    </row>
    <row r="412" ht="15.75" customHeight="1">
      <c r="T412" s="7"/>
      <c r="U412" s="7"/>
      <c r="V412" s="7"/>
    </row>
    <row r="413" ht="15.75" customHeight="1">
      <c r="T413" s="7"/>
      <c r="U413" s="7"/>
      <c r="V413" s="7"/>
    </row>
    <row r="414" ht="15.75" customHeight="1">
      <c r="T414" s="7"/>
      <c r="U414" s="7"/>
      <c r="V414" s="7"/>
    </row>
    <row r="415" ht="15.75" customHeight="1">
      <c r="T415" s="7"/>
      <c r="U415" s="7"/>
      <c r="V415" s="7"/>
    </row>
    <row r="416" ht="15.75" customHeight="1">
      <c r="T416" s="7"/>
      <c r="U416" s="7"/>
      <c r="V416" s="7"/>
    </row>
    <row r="417" ht="15.75" customHeight="1">
      <c r="T417" s="7"/>
      <c r="U417" s="7"/>
      <c r="V417" s="7"/>
    </row>
    <row r="418" ht="15.75" customHeight="1">
      <c r="T418" s="7"/>
      <c r="U418" s="7"/>
      <c r="V418" s="7"/>
    </row>
    <row r="419" ht="15.75" customHeight="1">
      <c r="T419" s="7"/>
      <c r="U419" s="7"/>
      <c r="V419" s="7"/>
    </row>
    <row r="420" ht="15.75" customHeight="1">
      <c r="T420" s="7"/>
      <c r="U420" s="7"/>
      <c r="V420" s="7"/>
    </row>
    <row r="421" ht="15.75" customHeight="1">
      <c r="T421" s="7"/>
      <c r="U421" s="7"/>
      <c r="V421" s="7"/>
    </row>
    <row r="422" ht="15.75" customHeight="1">
      <c r="T422" s="7"/>
      <c r="U422" s="7"/>
      <c r="V422" s="7"/>
    </row>
    <row r="423" ht="15.75" customHeight="1">
      <c r="T423" s="7"/>
      <c r="U423" s="7"/>
      <c r="V423" s="7"/>
    </row>
    <row r="424" ht="15.75" customHeight="1">
      <c r="T424" s="7"/>
      <c r="U424" s="7"/>
      <c r="V424" s="7"/>
    </row>
    <row r="425" ht="15.75" customHeight="1">
      <c r="T425" s="7"/>
      <c r="U425" s="7"/>
      <c r="V425" s="7"/>
    </row>
    <row r="426" ht="15.75" customHeight="1">
      <c r="T426" s="7"/>
      <c r="U426" s="7"/>
      <c r="V426" s="7"/>
    </row>
    <row r="427" ht="15.75" customHeight="1">
      <c r="T427" s="7"/>
      <c r="U427" s="7"/>
      <c r="V427" s="7"/>
    </row>
    <row r="428" ht="15.75" customHeight="1">
      <c r="T428" s="7"/>
      <c r="U428" s="7"/>
      <c r="V428" s="7"/>
    </row>
    <row r="429" ht="15.75" customHeight="1">
      <c r="T429" s="7"/>
      <c r="U429" s="7"/>
      <c r="V429" s="7"/>
    </row>
    <row r="430" ht="15.75" customHeight="1">
      <c r="T430" s="7"/>
      <c r="U430" s="7"/>
      <c r="V430" s="7"/>
    </row>
    <row r="431" ht="15.75" customHeight="1">
      <c r="T431" s="7"/>
      <c r="U431" s="7"/>
      <c r="V431" s="7"/>
    </row>
    <row r="432" ht="15.75" customHeight="1">
      <c r="T432" s="7"/>
      <c r="U432" s="7"/>
      <c r="V432" s="7"/>
    </row>
    <row r="433" ht="15.75" customHeight="1">
      <c r="T433" s="7"/>
      <c r="U433" s="7"/>
      <c r="V433" s="7"/>
    </row>
    <row r="434" ht="15.75" customHeight="1">
      <c r="T434" s="7"/>
      <c r="U434" s="7"/>
      <c r="V434" s="7"/>
    </row>
    <row r="435" ht="15.75" customHeight="1">
      <c r="T435" s="7"/>
      <c r="U435" s="7"/>
      <c r="V435" s="7"/>
    </row>
    <row r="436" ht="15.75" customHeight="1">
      <c r="T436" s="7"/>
      <c r="U436" s="7"/>
      <c r="V436" s="7"/>
    </row>
    <row r="437" ht="15.75" customHeight="1">
      <c r="T437" s="7"/>
      <c r="U437" s="7"/>
      <c r="V437" s="7"/>
    </row>
    <row r="438" ht="15.75" customHeight="1">
      <c r="T438" s="7"/>
      <c r="U438" s="7"/>
      <c r="V438" s="7"/>
    </row>
    <row r="439" ht="15.75" customHeight="1">
      <c r="T439" s="7"/>
      <c r="U439" s="7"/>
      <c r="V439" s="7"/>
    </row>
    <row r="440" ht="15.75" customHeight="1">
      <c r="T440" s="7"/>
      <c r="U440" s="7"/>
      <c r="V440" s="7"/>
    </row>
    <row r="441" ht="15.75" customHeight="1">
      <c r="T441" s="7"/>
      <c r="U441" s="7"/>
      <c r="V441" s="7"/>
    </row>
    <row r="442" ht="15.75" customHeight="1">
      <c r="T442" s="7"/>
      <c r="U442" s="7"/>
      <c r="V442" s="7"/>
    </row>
    <row r="443" ht="15.75" customHeight="1">
      <c r="T443" s="7"/>
      <c r="U443" s="7"/>
      <c r="V443" s="7"/>
    </row>
    <row r="444" ht="15.75" customHeight="1">
      <c r="T444" s="7"/>
      <c r="U444" s="7"/>
      <c r="V444" s="7"/>
    </row>
    <row r="445" ht="15.75" customHeight="1">
      <c r="T445" s="7"/>
      <c r="U445" s="7"/>
      <c r="V445" s="7"/>
    </row>
    <row r="446" ht="15.75" customHeight="1">
      <c r="T446" s="7"/>
      <c r="U446" s="7"/>
      <c r="V446" s="7"/>
    </row>
    <row r="447" ht="15.75" customHeight="1">
      <c r="T447" s="7"/>
      <c r="U447" s="7"/>
      <c r="V447" s="7"/>
    </row>
    <row r="448" ht="15.75" customHeight="1">
      <c r="T448" s="7"/>
      <c r="U448" s="7"/>
      <c r="V448" s="7"/>
    </row>
    <row r="449" ht="15.75" customHeight="1">
      <c r="T449" s="7"/>
      <c r="U449" s="7"/>
      <c r="V449" s="7"/>
    </row>
    <row r="450" ht="15.75" customHeight="1">
      <c r="T450" s="7"/>
      <c r="U450" s="7"/>
      <c r="V450" s="7"/>
    </row>
    <row r="451" ht="15.75" customHeight="1">
      <c r="T451" s="7"/>
      <c r="U451" s="7"/>
      <c r="V451" s="7"/>
    </row>
    <row r="452" ht="15.75" customHeight="1">
      <c r="T452" s="7"/>
      <c r="U452" s="7"/>
      <c r="V452" s="7"/>
    </row>
    <row r="453" ht="15.75" customHeight="1">
      <c r="T453" s="7"/>
      <c r="U453" s="7"/>
      <c r="V453" s="7"/>
    </row>
    <row r="454" ht="15.75" customHeight="1">
      <c r="T454" s="7"/>
      <c r="U454" s="7"/>
      <c r="V454" s="7"/>
    </row>
    <row r="455" ht="15.75" customHeight="1">
      <c r="T455" s="7"/>
      <c r="U455" s="7"/>
      <c r="V455" s="7"/>
    </row>
    <row r="456" ht="15.75" customHeight="1">
      <c r="T456" s="7"/>
      <c r="U456" s="7"/>
      <c r="V456" s="7"/>
    </row>
    <row r="457" ht="15.75" customHeight="1">
      <c r="T457" s="7"/>
      <c r="U457" s="7"/>
      <c r="V457" s="7"/>
    </row>
    <row r="458" ht="15.75" customHeight="1">
      <c r="T458" s="7"/>
      <c r="U458" s="7"/>
      <c r="V458" s="7"/>
    </row>
    <row r="459" ht="15.75" customHeight="1">
      <c r="T459" s="7"/>
      <c r="U459" s="7"/>
      <c r="V459" s="7"/>
    </row>
    <row r="460" ht="15.75" customHeight="1">
      <c r="T460" s="7"/>
      <c r="U460" s="7"/>
      <c r="V460" s="7"/>
    </row>
    <row r="461" ht="15.75" customHeight="1">
      <c r="T461" s="7"/>
      <c r="U461" s="7"/>
      <c r="V461" s="7"/>
    </row>
    <row r="462" ht="15.75" customHeight="1">
      <c r="T462" s="7"/>
      <c r="U462" s="7"/>
      <c r="V462" s="7"/>
    </row>
    <row r="463" ht="15.75" customHeight="1">
      <c r="T463" s="7"/>
      <c r="U463" s="7"/>
      <c r="V463" s="7"/>
    </row>
    <row r="464" ht="15.75" customHeight="1">
      <c r="T464" s="7"/>
      <c r="U464" s="7"/>
      <c r="V464" s="7"/>
    </row>
    <row r="465" ht="15.75" customHeight="1">
      <c r="T465" s="7"/>
      <c r="U465" s="7"/>
      <c r="V465" s="7"/>
    </row>
    <row r="466" ht="15.75" customHeight="1">
      <c r="T466" s="7"/>
      <c r="U466" s="7"/>
      <c r="V466" s="7"/>
    </row>
    <row r="467" ht="15.75" customHeight="1">
      <c r="T467" s="7"/>
      <c r="U467" s="7"/>
      <c r="V467" s="7"/>
    </row>
    <row r="468" ht="15.75" customHeight="1">
      <c r="T468" s="7"/>
      <c r="U468" s="7"/>
      <c r="V468" s="7"/>
    </row>
    <row r="469" ht="15.75" customHeight="1">
      <c r="T469" s="7"/>
      <c r="U469" s="7"/>
      <c r="V469" s="7"/>
    </row>
    <row r="470" ht="15.75" customHeight="1">
      <c r="T470" s="7"/>
      <c r="U470" s="7"/>
      <c r="V470" s="7"/>
    </row>
    <row r="471" ht="15.75" customHeight="1">
      <c r="T471" s="7"/>
      <c r="U471" s="7"/>
      <c r="V471" s="7"/>
    </row>
    <row r="472" ht="15.75" customHeight="1">
      <c r="T472" s="7"/>
      <c r="U472" s="7"/>
      <c r="V472" s="7"/>
    </row>
    <row r="473" ht="15.75" customHeight="1">
      <c r="T473" s="7"/>
      <c r="U473" s="7"/>
      <c r="V473" s="7"/>
    </row>
    <row r="474" ht="15.75" customHeight="1">
      <c r="T474" s="7"/>
      <c r="U474" s="7"/>
      <c r="V474" s="7"/>
    </row>
    <row r="475" ht="15.75" customHeight="1">
      <c r="T475" s="7"/>
      <c r="U475" s="7"/>
      <c r="V475" s="7"/>
    </row>
    <row r="476" ht="15.75" customHeight="1">
      <c r="T476" s="7"/>
      <c r="U476" s="7"/>
      <c r="V476" s="7"/>
    </row>
    <row r="477" ht="15.75" customHeight="1">
      <c r="T477" s="7"/>
      <c r="U477" s="7"/>
      <c r="V477" s="7"/>
    </row>
    <row r="478" ht="15.75" customHeight="1">
      <c r="T478" s="7"/>
      <c r="U478" s="7"/>
      <c r="V478" s="7"/>
    </row>
    <row r="479" ht="15.75" customHeight="1">
      <c r="T479" s="7"/>
      <c r="U479" s="7"/>
      <c r="V479" s="7"/>
    </row>
    <row r="480" ht="15.75" customHeight="1">
      <c r="T480" s="7"/>
      <c r="U480" s="7"/>
      <c r="V480" s="7"/>
    </row>
    <row r="481" ht="15.75" customHeight="1">
      <c r="T481" s="7"/>
      <c r="U481" s="7"/>
      <c r="V481" s="7"/>
    </row>
    <row r="482" ht="15.75" customHeight="1">
      <c r="T482" s="7"/>
      <c r="U482" s="7"/>
      <c r="V482" s="7"/>
    </row>
    <row r="483" ht="15.75" customHeight="1">
      <c r="T483" s="7"/>
      <c r="U483" s="7"/>
      <c r="V483" s="7"/>
    </row>
    <row r="484" ht="15.75" customHeight="1">
      <c r="T484" s="7"/>
      <c r="U484" s="7"/>
      <c r="V484" s="7"/>
    </row>
    <row r="485" ht="15.75" customHeight="1">
      <c r="T485" s="7"/>
      <c r="U485" s="7"/>
      <c r="V485" s="7"/>
    </row>
    <row r="486" ht="15.75" customHeight="1">
      <c r="T486" s="7"/>
      <c r="U486" s="7"/>
      <c r="V486" s="7"/>
    </row>
    <row r="487" ht="15.75" customHeight="1">
      <c r="T487" s="7"/>
      <c r="U487" s="7"/>
      <c r="V487" s="7"/>
    </row>
    <row r="488" ht="15.75" customHeight="1">
      <c r="T488" s="7"/>
      <c r="U488" s="7"/>
      <c r="V488" s="7"/>
    </row>
    <row r="489" ht="15.75" customHeight="1">
      <c r="T489" s="7"/>
      <c r="U489" s="7"/>
      <c r="V489" s="7"/>
    </row>
    <row r="490" ht="15.75" customHeight="1">
      <c r="T490" s="7"/>
      <c r="U490" s="7"/>
      <c r="V490" s="7"/>
    </row>
    <row r="491" ht="15.75" customHeight="1">
      <c r="T491" s="7"/>
      <c r="U491" s="7"/>
      <c r="V491" s="7"/>
    </row>
    <row r="492" ht="15.75" customHeight="1">
      <c r="T492" s="7"/>
      <c r="U492" s="7"/>
      <c r="V492" s="7"/>
    </row>
    <row r="493" ht="15.75" customHeight="1">
      <c r="T493" s="7"/>
      <c r="U493" s="7"/>
      <c r="V493" s="7"/>
    </row>
    <row r="494" ht="15.75" customHeight="1">
      <c r="T494" s="7"/>
      <c r="U494" s="7"/>
      <c r="V494" s="7"/>
    </row>
    <row r="495" ht="15.75" customHeight="1">
      <c r="T495" s="7"/>
      <c r="U495" s="7"/>
      <c r="V495" s="7"/>
    </row>
    <row r="496" ht="15.75" customHeight="1">
      <c r="T496" s="7"/>
      <c r="U496" s="7"/>
      <c r="V496" s="7"/>
    </row>
    <row r="497" ht="15.75" customHeight="1">
      <c r="T497" s="7"/>
      <c r="U497" s="7"/>
      <c r="V497" s="7"/>
    </row>
    <row r="498" ht="15.75" customHeight="1">
      <c r="T498" s="7"/>
      <c r="U498" s="7"/>
      <c r="V498" s="7"/>
    </row>
    <row r="499" ht="15.75" customHeight="1">
      <c r="T499" s="7"/>
      <c r="U499" s="7"/>
      <c r="V499" s="7"/>
    </row>
    <row r="500" ht="15.75" customHeight="1">
      <c r="T500" s="7"/>
      <c r="U500" s="7"/>
      <c r="V500" s="7"/>
    </row>
    <row r="501" ht="15.75" customHeight="1">
      <c r="T501" s="7"/>
      <c r="U501" s="7"/>
      <c r="V501" s="7"/>
    </row>
    <row r="502" ht="15.75" customHeight="1">
      <c r="T502" s="7"/>
      <c r="U502" s="7"/>
      <c r="V502" s="7"/>
    </row>
    <row r="503" ht="15.75" customHeight="1">
      <c r="T503" s="7"/>
      <c r="U503" s="7"/>
      <c r="V503" s="7"/>
    </row>
    <row r="504" ht="15.75" customHeight="1">
      <c r="T504" s="7"/>
      <c r="U504" s="7"/>
      <c r="V504" s="7"/>
    </row>
    <row r="505" ht="15.75" customHeight="1">
      <c r="T505" s="7"/>
      <c r="U505" s="7"/>
      <c r="V505" s="7"/>
    </row>
    <row r="506" ht="15.75" customHeight="1">
      <c r="T506" s="7"/>
      <c r="U506" s="7"/>
      <c r="V506" s="7"/>
    </row>
    <row r="507" ht="15.75" customHeight="1">
      <c r="T507" s="7"/>
      <c r="U507" s="7"/>
      <c r="V507" s="7"/>
    </row>
    <row r="508" ht="15.75" customHeight="1">
      <c r="T508" s="7"/>
      <c r="U508" s="7"/>
      <c r="V508" s="7"/>
    </row>
    <row r="509" ht="15.75" customHeight="1">
      <c r="T509" s="7"/>
      <c r="U509" s="7"/>
      <c r="V509" s="7"/>
    </row>
    <row r="510" ht="15.75" customHeight="1">
      <c r="T510" s="7"/>
      <c r="U510" s="7"/>
      <c r="V510" s="7"/>
    </row>
    <row r="511" ht="15.75" customHeight="1">
      <c r="T511" s="7"/>
      <c r="U511" s="7"/>
      <c r="V511" s="7"/>
    </row>
    <row r="512" ht="15.75" customHeight="1">
      <c r="T512" s="7"/>
      <c r="U512" s="7"/>
      <c r="V512" s="7"/>
    </row>
    <row r="513" ht="15.75" customHeight="1">
      <c r="T513" s="7"/>
      <c r="U513" s="7"/>
      <c r="V513" s="7"/>
    </row>
    <row r="514" ht="15.75" customHeight="1">
      <c r="T514" s="7"/>
      <c r="U514" s="7"/>
      <c r="V514" s="7"/>
    </row>
    <row r="515" ht="15.75" customHeight="1">
      <c r="T515" s="7"/>
      <c r="U515" s="7"/>
      <c r="V515" s="7"/>
    </row>
    <row r="516" ht="15.75" customHeight="1">
      <c r="T516" s="7"/>
      <c r="U516" s="7"/>
      <c r="V516" s="7"/>
    </row>
    <row r="517" ht="15.75" customHeight="1">
      <c r="T517" s="7"/>
      <c r="U517" s="7"/>
      <c r="V517" s="7"/>
    </row>
    <row r="518" ht="15.75" customHeight="1">
      <c r="T518" s="7"/>
      <c r="U518" s="7"/>
      <c r="V518" s="7"/>
    </row>
    <row r="519" ht="15.75" customHeight="1">
      <c r="T519" s="7"/>
      <c r="U519" s="7"/>
      <c r="V519" s="7"/>
    </row>
    <row r="520" ht="15.75" customHeight="1">
      <c r="T520" s="7"/>
      <c r="U520" s="7"/>
      <c r="V520" s="7"/>
    </row>
    <row r="521" ht="15.75" customHeight="1">
      <c r="T521" s="7"/>
      <c r="U521" s="7"/>
      <c r="V521" s="7"/>
    </row>
    <row r="522" ht="15.75" customHeight="1">
      <c r="T522" s="7"/>
      <c r="U522" s="7"/>
      <c r="V522" s="7"/>
    </row>
    <row r="523" ht="15.75" customHeight="1">
      <c r="T523" s="7"/>
      <c r="U523" s="7"/>
      <c r="V523" s="7"/>
    </row>
    <row r="524" ht="15.75" customHeight="1">
      <c r="T524" s="7"/>
      <c r="U524" s="7"/>
      <c r="V524" s="7"/>
    </row>
    <row r="525" ht="15.75" customHeight="1">
      <c r="T525" s="7"/>
      <c r="U525" s="7"/>
      <c r="V525" s="7"/>
    </row>
    <row r="526" ht="15.75" customHeight="1">
      <c r="T526" s="7"/>
      <c r="U526" s="7"/>
      <c r="V526" s="7"/>
    </row>
    <row r="527" ht="15.75" customHeight="1">
      <c r="T527" s="7"/>
      <c r="U527" s="7"/>
      <c r="V527" s="7"/>
    </row>
    <row r="528" ht="15.75" customHeight="1">
      <c r="T528" s="7"/>
      <c r="U528" s="7"/>
      <c r="V528" s="7"/>
    </row>
    <row r="529" ht="15.75" customHeight="1">
      <c r="T529" s="7"/>
      <c r="U529" s="7"/>
      <c r="V529" s="7"/>
    </row>
    <row r="530" ht="15.75" customHeight="1">
      <c r="T530" s="7"/>
      <c r="U530" s="7"/>
      <c r="V530" s="7"/>
    </row>
    <row r="531" ht="15.75" customHeight="1">
      <c r="T531" s="7"/>
      <c r="U531" s="7"/>
      <c r="V531" s="7"/>
    </row>
    <row r="532" ht="15.75" customHeight="1">
      <c r="T532" s="7"/>
      <c r="U532" s="7"/>
      <c r="V532" s="7"/>
    </row>
    <row r="533" ht="15.75" customHeight="1">
      <c r="T533" s="7"/>
      <c r="U533" s="7"/>
      <c r="V533" s="7"/>
    </row>
    <row r="534" ht="15.75" customHeight="1">
      <c r="T534" s="7"/>
      <c r="U534" s="7"/>
      <c r="V534" s="7"/>
    </row>
    <row r="535" ht="15.75" customHeight="1">
      <c r="T535" s="7"/>
      <c r="U535" s="7"/>
      <c r="V535" s="7"/>
    </row>
    <row r="536" ht="15.75" customHeight="1">
      <c r="T536" s="7"/>
      <c r="U536" s="7"/>
      <c r="V536" s="7"/>
    </row>
    <row r="537" ht="15.75" customHeight="1">
      <c r="T537" s="7"/>
      <c r="U537" s="7"/>
      <c r="V537" s="7"/>
    </row>
    <row r="538" ht="15.75" customHeight="1">
      <c r="T538" s="7"/>
      <c r="U538" s="7"/>
      <c r="V538" s="7"/>
    </row>
    <row r="539" ht="15.75" customHeight="1">
      <c r="T539" s="7"/>
      <c r="U539" s="7"/>
      <c r="V539" s="7"/>
    </row>
    <row r="540" ht="15.75" customHeight="1">
      <c r="T540" s="7"/>
      <c r="U540" s="7"/>
      <c r="V540" s="7"/>
    </row>
    <row r="541" ht="15.75" customHeight="1">
      <c r="T541" s="7"/>
      <c r="U541" s="7"/>
      <c r="V541" s="7"/>
    </row>
    <row r="542" ht="15.75" customHeight="1">
      <c r="T542" s="7"/>
      <c r="U542" s="7"/>
      <c r="V542" s="7"/>
    </row>
    <row r="543" ht="15.75" customHeight="1">
      <c r="T543" s="7"/>
      <c r="U543" s="7"/>
      <c r="V543" s="7"/>
    </row>
    <row r="544" ht="15.75" customHeight="1">
      <c r="T544" s="7"/>
      <c r="U544" s="7"/>
      <c r="V544" s="7"/>
    </row>
    <row r="545" ht="15.75" customHeight="1">
      <c r="T545" s="7"/>
      <c r="U545" s="7"/>
      <c r="V545" s="7"/>
    </row>
    <row r="546" ht="15.75" customHeight="1">
      <c r="T546" s="7"/>
      <c r="U546" s="7"/>
      <c r="V546" s="7"/>
    </row>
    <row r="547" ht="15.75" customHeight="1">
      <c r="T547" s="7"/>
      <c r="U547" s="7"/>
      <c r="V547" s="7"/>
    </row>
    <row r="548" ht="15.75" customHeight="1">
      <c r="T548" s="7"/>
      <c r="U548" s="7"/>
      <c r="V548" s="7"/>
    </row>
    <row r="549" ht="15.75" customHeight="1">
      <c r="T549" s="7"/>
      <c r="U549" s="7"/>
      <c r="V549" s="7"/>
    </row>
    <row r="550" ht="15.75" customHeight="1">
      <c r="T550" s="7"/>
      <c r="U550" s="7"/>
      <c r="V550" s="7"/>
    </row>
    <row r="551" ht="15.75" customHeight="1">
      <c r="T551" s="7"/>
      <c r="U551" s="7"/>
      <c r="V551" s="7"/>
    </row>
    <row r="552" ht="15.75" customHeight="1">
      <c r="T552" s="7"/>
      <c r="U552" s="7"/>
      <c r="V552" s="7"/>
    </row>
    <row r="553" ht="15.75" customHeight="1">
      <c r="T553" s="7"/>
      <c r="U553" s="7"/>
      <c r="V553" s="7"/>
    </row>
    <row r="554" ht="15.75" customHeight="1">
      <c r="T554" s="7"/>
      <c r="U554" s="7"/>
      <c r="V554" s="7"/>
    </row>
    <row r="555" ht="15.75" customHeight="1">
      <c r="T555" s="7"/>
      <c r="U555" s="7"/>
      <c r="V555" s="7"/>
    </row>
    <row r="556" ht="15.75" customHeight="1">
      <c r="T556" s="7"/>
      <c r="U556" s="7"/>
      <c r="V556" s="7"/>
    </row>
    <row r="557" ht="15.75" customHeight="1">
      <c r="T557" s="7"/>
      <c r="U557" s="7"/>
      <c r="V557" s="7"/>
    </row>
    <row r="558" ht="15.75" customHeight="1">
      <c r="T558" s="7"/>
      <c r="U558" s="7"/>
      <c r="V558" s="7"/>
    </row>
    <row r="559" ht="15.75" customHeight="1">
      <c r="T559" s="7"/>
      <c r="U559" s="7"/>
      <c r="V559" s="7"/>
    </row>
    <row r="560" ht="15.75" customHeight="1">
      <c r="T560" s="7"/>
      <c r="U560" s="7"/>
      <c r="V560" s="7"/>
    </row>
    <row r="561" ht="15.75" customHeight="1">
      <c r="T561" s="7"/>
      <c r="U561" s="7"/>
      <c r="V561" s="7"/>
    </row>
    <row r="562" ht="15.75" customHeight="1">
      <c r="T562" s="7"/>
      <c r="U562" s="7"/>
      <c r="V562" s="7"/>
    </row>
    <row r="563" ht="15.75" customHeight="1">
      <c r="T563" s="7"/>
      <c r="U563" s="7"/>
      <c r="V563" s="7"/>
    </row>
    <row r="564" ht="15.75" customHeight="1">
      <c r="T564" s="7"/>
      <c r="U564" s="7"/>
      <c r="V564" s="7"/>
    </row>
    <row r="565" ht="15.75" customHeight="1">
      <c r="T565" s="7"/>
      <c r="U565" s="7"/>
      <c r="V565" s="7"/>
    </row>
    <row r="566" ht="15.75" customHeight="1">
      <c r="T566" s="7"/>
      <c r="U566" s="7"/>
      <c r="V566" s="7"/>
    </row>
    <row r="567" ht="15.75" customHeight="1">
      <c r="T567" s="7"/>
      <c r="U567" s="7"/>
      <c r="V567" s="7"/>
    </row>
    <row r="568" ht="15.75" customHeight="1">
      <c r="T568" s="7"/>
      <c r="U568" s="7"/>
      <c r="V568" s="7"/>
    </row>
    <row r="569" ht="15.75" customHeight="1">
      <c r="T569" s="7"/>
      <c r="U569" s="7"/>
      <c r="V569" s="7"/>
    </row>
    <row r="570" ht="15.75" customHeight="1">
      <c r="T570" s="7"/>
      <c r="U570" s="7"/>
      <c r="V570" s="7"/>
    </row>
    <row r="571" ht="15.75" customHeight="1">
      <c r="T571" s="7"/>
      <c r="U571" s="7"/>
      <c r="V571" s="7"/>
    </row>
    <row r="572" ht="15.75" customHeight="1">
      <c r="T572" s="7"/>
      <c r="U572" s="7"/>
      <c r="V572" s="7"/>
    </row>
    <row r="573" ht="15.75" customHeight="1">
      <c r="T573" s="7"/>
      <c r="U573" s="7"/>
      <c r="V573" s="7"/>
    </row>
    <row r="574" ht="15.75" customHeight="1">
      <c r="T574" s="7"/>
      <c r="U574" s="7"/>
      <c r="V574" s="7"/>
    </row>
    <row r="575" ht="15.75" customHeight="1">
      <c r="T575" s="7"/>
      <c r="U575" s="7"/>
      <c r="V575" s="7"/>
    </row>
    <row r="576" ht="15.75" customHeight="1">
      <c r="T576" s="7"/>
      <c r="U576" s="7"/>
      <c r="V576" s="7"/>
    </row>
    <row r="577" ht="15.75" customHeight="1">
      <c r="T577" s="7"/>
      <c r="U577" s="7"/>
      <c r="V577" s="7"/>
    </row>
    <row r="578" ht="15.75" customHeight="1">
      <c r="T578" s="7"/>
      <c r="U578" s="7"/>
      <c r="V578" s="7"/>
    </row>
    <row r="579" ht="15.75" customHeight="1">
      <c r="T579" s="7"/>
      <c r="U579" s="7"/>
      <c r="V579" s="7"/>
    </row>
    <row r="580" ht="15.75" customHeight="1">
      <c r="T580" s="7"/>
      <c r="U580" s="7"/>
      <c r="V580" s="7"/>
    </row>
    <row r="581" ht="15.75" customHeight="1">
      <c r="T581" s="7"/>
      <c r="U581" s="7"/>
      <c r="V581" s="7"/>
    </row>
    <row r="582" ht="15.75" customHeight="1">
      <c r="T582" s="7"/>
      <c r="U582" s="7"/>
      <c r="V582" s="7"/>
    </row>
    <row r="583" ht="15.75" customHeight="1">
      <c r="T583" s="7"/>
      <c r="U583" s="7"/>
      <c r="V583" s="7"/>
    </row>
    <row r="584" ht="15.75" customHeight="1">
      <c r="T584" s="7"/>
      <c r="U584" s="7"/>
      <c r="V584" s="7"/>
    </row>
    <row r="585" ht="15.75" customHeight="1">
      <c r="T585" s="7"/>
      <c r="U585" s="7"/>
      <c r="V585" s="7"/>
    </row>
    <row r="586" ht="15.75" customHeight="1">
      <c r="T586" s="7"/>
      <c r="U586" s="7"/>
      <c r="V586" s="7"/>
    </row>
    <row r="587" ht="15.75" customHeight="1">
      <c r="T587" s="7"/>
      <c r="U587" s="7"/>
      <c r="V587" s="7"/>
    </row>
    <row r="588" ht="15.75" customHeight="1">
      <c r="T588" s="7"/>
      <c r="U588" s="7"/>
      <c r="V588" s="7"/>
    </row>
    <row r="589" ht="15.75" customHeight="1">
      <c r="T589" s="7"/>
      <c r="U589" s="7"/>
      <c r="V589" s="7"/>
    </row>
    <row r="590" ht="15.75" customHeight="1">
      <c r="T590" s="7"/>
      <c r="U590" s="7"/>
      <c r="V590" s="7"/>
    </row>
    <row r="591" ht="15.75" customHeight="1">
      <c r="T591" s="7"/>
      <c r="U591" s="7"/>
      <c r="V591" s="7"/>
    </row>
    <row r="592" ht="15.75" customHeight="1">
      <c r="T592" s="7"/>
      <c r="U592" s="7"/>
      <c r="V592" s="7"/>
    </row>
    <row r="593" ht="15.75" customHeight="1">
      <c r="T593" s="7"/>
      <c r="U593" s="7"/>
      <c r="V593" s="7"/>
    </row>
    <row r="594" ht="15.75" customHeight="1">
      <c r="T594" s="7"/>
      <c r="U594" s="7"/>
      <c r="V594" s="7"/>
    </row>
    <row r="595" ht="15.75" customHeight="1">
      <c r="T595" s="7"/>
      <c r="U595" s="7"/>
      <c r="V595" s="7"/>
    </row>
    <row r="596" ht="15.75" customHeight="1">
      <c r="T596" s="7"/>
      <c r="U596" s="7"/>
      <c r="V596" s="7"/>
    </row>
    <row r="597" ht="15.75" customHeight="1">
      <c r="T597" s="7"/>
      <c r="U597" s="7"/>
      <c r="V597" s="7"/>
    </row>
    <row r="598" ht="15.75" customHeight="1">
      <c r="T598" s="7"/>
      <c r="U598" s="7"/>
      <c r="V598" s="7"/>
    </row>
    <row r="599" ht="15.75" customHeight="1">
      <c r="T599" s="7"/>
      <c r="U599" s="7"/>
      <c r="V599" s="7"/>
    </row>
    <row r="600" ht="15.75" customHeight="1">
      <c r="T600" s="7"/>
      <c r="U600" s="7"/>
      <c r="V600" s="7"/>
    </row>
    <row r="601" ht="15.75" customHeight="1">
      <c r="T601" s="7"/>
      <c r="U601" s="7"/>
      <c r="V601" s="7"/>
    </row>
    <row r="602" ht="15.75" customHeight="1">
      <c r="T602" s="7"/>
      <c r="U602" s="7"/>
      <c r="V602" s="7"/>
    </row>
    <row r="603" ht="15.75" customHeight="1">
      <c r="T603" s="7"/>
      <c r="U603" s="7"/>
      <c r="V603" s="7"/>
    </row>
    <row r="604" ht="15.75" customHeight="1">
      <c r="T604" s="7"/>
      <c r="U604" s="7"/>
      <c r="V604" s="7"/>
    </row>
    <row r="605" ht="15.75" customHeight="1">
      <c r="T605" s="7"/>
      <c r="U605" s="7"/>
      <c r="V605" s="7"/>
    </row>
    <row r="606" ht="15.75" customHeight="1">
      <c r="T606" s="7"/>
      <c r="U606" s="7"/>
      <c r="V606" s="7"/>
    </row>
    <row r="607" ht="15.75" customHeight="1">
      <c r="T607" s="7"/>
      <c r="U607" s="7"/>
      <c r="V607" s="7"/>
    </row>
    <row r="608" ht="15.75" customHeight="1">
      <c r="T608" s="7"/>
      <c r="U608" s="7"/>
      <c r="V608" s="7"/>
    </row>
    <row r="609" ht="15.75" customHeight="1">
      <c r="T609" s="7"/>
      <c r="U609" s="7"/>
      <c r="V609" s="7"/>
    </row>
    <row r="610" ht="15.75" customHeight="1">
      <c r="T610" s="7"/>
      <c r="U610" s="7"/>
      <c r="V610" s="7"/>
    </row>
    <row r="611" ht="15.75" customHeight="1">
      <c r="T611" s="7"/>
      <c r="U611" s="7"/>
      <c r="V611" s="7"/>
    </row>
    <row r="612" ht="15.75" customHeight="1">
      <c r="T612" s="7"/>
      <c r="U612" s="7"/>
      <c r="V612" s="7"/>
    </row>
    <row r="613" ht="15.75" customHeight="1">
      <c r="T613" s="7"/>
      <c r="U613" s="7"/>
      <c r="V613" s="7"/>
    </row>
    <row r="614" ht="15.75" customHeight="1">
      <c r="T614" s="7"/>
      <c r="U614" s="7"/>
      <c r="V614" s="7"/>
    </row>
    <row r="615" ht="15.75" customHeight="1">
      <c r="T615" s="7"/>
      <c r="U615" s="7"/>
      <c r="V615" s="7"/>
    </row>
    <row r="616" ht="15.75" customHeight="1">
      <c r="T616" s="7"/>
      <c r="U616" s="7"/>
      <c r="V616" s="7"/>
    </row>
    <row r="617" ht="15.75" customHeight="1">
      <c r="T617" s="7"/>
      <c r="U617" s="7"/>
      <c r="V617" s="7"/>
    </row>
    <row r="618" ht="15.75" customHeight="1">
      <c r="T618" s="7"/>
      <c r="U618" s="7"/>
      <c r="V618" s="7"/>
    </row>
    <row r="619" ht="15.75" customHeight="1">
      <c r="T619" s="7"/>
      <c r="U619" s="7"/>
      <c r="V619" s="7"/>
    </row>
    <row r="620" ht="15.75" customHeight="1">
      <c r="T620" s="7"/>
      <c r="U620" s="7"/>
      <c r="V620" s="7"/>
    </row>
    <row r="621" ht="15.75" customHeight="1">
      <c r="T621" s="7"/>
      <c r="U621" s="7"/>
      <c r="V621" s="7"/>
    </row>
    <row r="622" ht="15.75" customHeight="1">
      <c r="T622" s="7"/>
      <c r="U622" s="7"/>
      <c r="V622" s="7"/>
    </row>
    <row r="623" ht="15.75" customHeight="1">
      <c r="T623" s="7"/>
      <c r="U623" s="7"/>
      <c r="V623" s="7"/>
    </row>
    <row r="624" ht="15.75" customHeight="1">
      <c r="T624" s="7"/>
      <c r="U624" s="7"/>
      <c r="V624" s="7"/>
    </row>
    <row r="625" ht="15.75" customHeight="1">
      <c r="T625" s="7"/>
      <c r="U625" s="7"/>
      <c r="V625" s="7"/>
    </row>
    <row r="626" ht="15.75" customHeight="1">
      <c r="T626" s="7"/>
      <c r="U626" s="7"/>
      <c r="V626" s="7"/>
    </row>
    <row r="627" ht="15.75" customHeight="1">
      <c r="T627" s="7"/>
      <c r="U627" s="7"/>
      <c r="V627" s="7"/>
    </row>
    <row r="628" ht="15.75" customHeight="1">
      <c r="T628" s="7"/>
      <c r="U628" s="7"/>
      <c r="V628" s="7"/>
    </row>
    <row r="629" ht="15.75" customHeight="1">
      <c r="T629" s="7"/>
      <c r="U629" s="7"/>
      <c r="V629" s="7"/>
    </row>
    <row r="630" ht="15.75" customHeight="1">
      <c r="T630" s="7"/>
      <c r="U630" s="7"/>
      <c r="V630" s="7"/>
    </row>
    <row r="631" ht="15.75" customHeight="1">
      <c r="T631" s="7"/>
      <c r="U631" s="7"/>
      <c r="V631" s="7"/>
    </row>
    <row r="632" ht="15.75" customHeight="1">
      <c r="T632" s="7"/>
      <c r="U632" s="7"/>
      <c r="V632" s="7"/>
    </row>
    <row r="633" ht="15.75" customHeight="1">
      <c r="T633" s="7"/>
      <c r="U633" s="7"/>
      <c r="V633" s="7"/>
    </row>
    <row r="634" ht="15.75" customHeight="1">
      <c r="T634" s="7"/>
      <c r="U634" s="7"/>
      <c r="V634" s="7"/>
    </row>
    <row r="635" ht="15.75" customHeight="1">
      <c r="T635" s="7"/>
      <c r="U635" s="7"/>
      <c r="V635" s="7"/>
    </row>
    <row r="636" ht="15.75" customHeight="1">
      <c r="T636" s="7"/>
      <c r="U636" s="7"/>
      <c r="V636" s="7"/>
    </row>
    <row r="637" ht="15.75" customHeight="1">
      <c r="T637" s="7"/>
      <c r="U637" s="7"/>
      <c r="V637" s="7"/>
    </row>
    <row r="638" ht="15.75" customHeight="1">
      <c r="T638" s="7"/>
      <c r="U638" s="7"/>
      <c r="V638" s="7"/>
    </row>
    <row r="639" ht="15.75" customHeight="1">
      <c r="T639" s="7"/>
      <c r="U639" s="7"/>
      <c r="V639" s="7"/>
    </row>
    <row r="640" ht="15.75" customHeight="1">
      <c r="T640" s="7"/>
      <c r="U640" s="7"/>
      <c r="V640" s="7"/>
    </row>
    <row r="641" ht="15.75" customHeight="1">
      <c r="T641" s="7"/>
      <c r="U641" s="7"/>
      <c r="V641" s="7"/>
    </row>
    <row r="642" ht="15.75" customHeight="1">
      <c r="T642" s="7"/>
      <c r="U642" s="7"/>
      <c r="V642" s="7"/>
    </row>
    <row r="643" ht="15.75" customHeight="1">
      <c r="T643" s="7"/>
      <c r="U643" s="7"/>
      <c r="V643" s="7"/>
    </row>
    <row r="644" ht="15.75" customHeight="1">
      <c r="T644" s="7"/>
      <c r="U644" s="7"/>
      <c r="V644" s="7"/>
    </row>
    <row r="645" ht="15.75" customHeight="1">
      <c r="T645" s="7"/>
      <c r="U645" s="7"/>
      <c r="V645" s="7"/>
    </row>
    <row r="646" ht="15.75" customHeight="1">
      <c r="T646" s="7"/>
      <c r="U646" s="7"/>
      <c r="V646" s="7"/>
    </row>
    <row r="647" ht="15.75" customHeight="1">
      <c r="T647" s="7"/>
      <c r="U647" s="7"/>
      <c r="V647" s="7"/>
    </row>
    <row r="648" ht="15.75" customHeight="1">
      <c r="T648" s="7"/>
      <c r="U648" s="7"/>
      <c r="V648" s="7"/>
    </row>
    <row r="649" ht="15.75" customHeight="1">
      <c r="T649" s="7"/>
      <c r="U649" s="7"/>
      <c r="V649" s="7"/>
    </row>
    <row r="650" ht="15.75" customHeight="1">
      <c r="T650" s="7"/>
      <c r="U650" s="7"/>
      <c r="V650" s="7"/>
    </row>
    <row r="651" ht="15.75" customHeight="1">
      <c r="T651" s="7"/>
      <c r="U651" s="7"/>
      <c r="V651" s="7"/>
    </row>
    <row r="652" ht="15.75" customHeight="1">
      <c r="T652" s="7"/>
      <c r="U652" s="7"/>
      <c r="V652" s="7"/>
    </row>
    <row r="653" ht="15.75" customHeight="1">
      <c r="T653" s="7"/>
      <c r="U653" s="7"/>
      <c r="V653" s="7"/>
    </row>
    <row r="654" ht="15.75" customHeight="1">
      <c r="T654" s="7"/>
      <c r="U654" s="7"/>
      <c r="V654" s="7"/>
    </row>
    <row r="655" ht="15.75" customHeight="1">
      <c r="T655" s="7"/>
      <c r="U655" s="7"/>
      <c r="V655" s="7"/>
    </row>
    <row r="656" ht="15.75" customHeight="1">
      <c r="T656" s="7"/>
      <c r="U656" s="7"/>
      <c r="V656" s="7"/>
    </row>
    <row r="657" ht="15.75" customHeight="1">
      <c r="T657" s="7"/>
      <c r="U657" s="7"/>
      <c r="V657" s="7"/>
    </row>
    <row r="658" ht="15.75" customHeight="1">
      <c r="T658" s="7"/>
      <c r="U658" s="7"/>
      <c r="V658" s="7"/>
    </row>
    <row r="659" ht="15.75" customHeight="1">
      <c r="T659" s="7"/>
      <c r="U659" s="7"/>
      <c r="V659" s="7"/>
    </row>
    <row r="660" ht="15.75" customHeight="1">
      <c r="T660" s="7"/>
      <c r="U660" s="7"/>
      <c r="V660" s="7"/>
    </row>
    <row r="661" ht="15.75" customHeight="1">
      <c r="T661" s="7"/>
      <c r="U661" s="7"/>
      <c r="V661" s="7"/>
    </row>
    <row r="662" ht="15.75" customHeight="1">
      <c r="T662" s="7"/>
      <c r="U662" s="7"/>
      <c r="V662" s="7"/>
    </row>
    <row r="663" ht="15.75" customHeight="1">
      <c r="T663" s="7"/>
      <c r="U663" s="7"/>
      <c r="V663" s="7"/>
    </row>
    <row r="664" ht="15.75" customHeight="1">
      <c r="T664" s="7"/>
      <c r="U664" s="7"/>
      <c r="V664" s="7"/>
    </row>
    <row r="665" ht="15.75" customHeight="1">
      <c r="T665" s="7"/>
      <c r="U665" s="7"/>
      <c r="V665" s="7"/>
    </row>
    <row r="666" ht="15.75" customHeight="1">
      <c r="T666" s="7"/>
      <c r="U666" s="7"/>
      <c r="V666" s="7"/>
    </row>
    <row r="667" ht="15.75" customHeight="1">
      <c r="T667" s="7"/>
      <c r="U667" s="7"/>
      <c r="V667" s="7"/>
    </row>
    <row r="668" ht="15.75" customHeight="1">
      <c r="T668" s="7"/>
      <c r="U668" s="7"/>
      <c r="V668" s="7"/>
    </row>
    <row r="669" ht="15.75" customHeight="1">
      <c r="T669" s="7"/>
      <c r="U669" s="7"/>
      <c r="V669" s="7"/>
    </row>
    <row r="670" ht="15.75" customHeight="1">
      <c r="T670" s="7"/>
      <c r="U670" s="7"/>
      <c r="V670" s="7"/>
    </row>
    <row r="671" ht="15.75" customHeight="1">
      <c r="T671" s="7"/>
      <c r="U671" s="7"/>
      <c r="V671" s="7"/>
    </row>
    <row r="672" ht="15.75" customHeight="1">
      <c r="T672" s="7"/>
      <c r="U672" s="7"/>
      <c r="V672" s="7"/>
    </row>
    <row r="673" ht="15.75" customHeight="1">
      <c r="T673" s="7"/>
      <c r="U673" s="7"/>
      <c r="V673" s="7"/>
    </row>
    <row r="674" ht="15.75" customHeight="1">
      <c r="T674" s="7"/>
      <c r="U674" s="7"/>
      <c r="V674" s="7"/>
    </row>
    <row r="675" ht="15.75" customHeight="1">
      <c r="T675" s="7"/>
      <c r="U675" s="7"/>
      <c r="V675" s="7"/>
    </row>
    <row r="676" ht="15.75" customHeight="1">
      <c r="T676" s="7"/>
      <c r="U676" s="7"/>
      <c r="V676" s="7"/>
    </row>
    <row r="677" ht="15.75" customHeight="1">
      <c r="T677" s="7"/>
      <c r="U677" s="7"/>
      <c r="V677" s="7"/>
    </row>
    <row r="678" ht="15.75" customHeight="1">
      <c r="T678" s="7"/>
      <c r="U678" s="7"/>
      <c r="V678" s="7"/>
    </row>
    <row r="679" ht="15.75" customHeight="1">
      <c r="T679" s="7"/>
      <c r="U679" s="7"/>
      <c r="V679" s="7"/>
    </row>
    <row r="680" ht="15.75" customHeight="1">
      <c r="T680" s="7"/>
      <c r="U680" s="7"/>
      <c r="V680" s="7"/>
    </row>
    <row r="681" ht="15.75" customHeight="1">
      <c r="T681" s="7"/>
      <c r="U681" s="7"/>
      <c r="V681" s="7"/>
    </row>
    <row r="682" ht="15.75" customHeight="1">
      <c r="T682" s="7"/>
      <c r="U682" s="7"/>
      <c r="V682" s="7"/>
    </row>
    <row r="683" ht="15.75" customHeight="1">
      <c r="T683" s="7"/>
      <c r="U683" s="7"/>
      <c r="V683" s="7"/>
    </row>
    <row r="684" ht="15.75" customHeight="1">
      <c r="T684" s="7"/>
      <c r="U684" s="7"/>
      <c r="V684" s="7"/>
    </row>
    <row r="685" ht="15.75" customHeight="1">
      <c r="T685" s="7"/>
      <c r="U685" s="7"/>
      <c r="V685" s="7"/>
    </row>
    <row r="686" ht="15.75" customHeight="1">
      <c r="T686" s="7"/>
      <c r="U686" s="7"/>
      <c r="V686" s="7"/>
    </row>
    <row r="687" ht="15.75" customHeight="1">
      <c r="T687" s="7"/>
      <c r="U687" s="7"/>
      <c r="V687" s="7"/>
    </row>
    <row r="688" ht="15.75" customHeight="1">
      <c r="T688" s="7"/>
      <c r="U688" s="7"/>
      <c r="V688" s="7"/>
    </row>
    <row r="689" ht="15.75" customHeight="1">
      <c r="T689" s="7"/>
      <c r="U689" s="7"/>
      <c r="V689" s="7"/>
    </row>
    <row r="690" ht="15.75" customHeight="1">
      <c r="T690" s="7"/>
      <c r="U690" s="7"/>
      <c r="V690" s="7"/>
    </row>
    <row r="691" ht="15.75" customHeight="1">
      <c r="T691" s="7"/>
      <c r="U691" s="7"/>
      <c r="V691" s="7"/>
    </row>
    <row r="692" ht="15.75" customHeight="1">
      <c r="T692" s="7"/>
      <c r="U692" s="7"/>
      <c r="V692" s="7"/>
    </row>
    <row r="693" ht="15.75" customHeight="1">
      <c r="T693" s="7"/>
      <c r="U693" s="7"/>
      <c r="V693" s="7"/>
    </row>
    <row r="694" ht="15.75" customHeight="1">
      <c r="T694" s="7"/>
      <c r="U694" s="7"/>
      <c r="V694" s="7"/>
    </row>
    <row r="695" ht="15.75" customHeight="1">
      <c r="T695" s="7"/>
      <c r="U695" s="7"/>
      <c r="V695" s="7"/>
    </row>
    <row r="696" ht="15.75" customHeight="1">
      <c r="T696" s="7"/>
      <c r="U696" s="7"/>
      <c r="V696" s="7"/>
    </row>
    <row r="697" ht="15.75" customHeight="1">
      <c r="T697" s="7"/>
      <c r="U697" s="7"/>
      <c r="V697" s="7"/>
    </row>
    <row r="698" ht="15.75" customHeight="1">
      <c r="T698" s="7"/>
      <c r="U698" s="7"/>
      <c r="V698" s="7"/>
    </row>
    <row r="699" ht="15.75" customHeight="1">
      <c r="T699" s="7"/>
      <c r="U699" s="7"/>
      <c r="V699" s="7"/>
    </row>
    <row r="700" ht="15.75" customHeight="1">
      <c r="T700" s="7"/>
      <c r="U700" s="7"/>
      <c r="V700" s="7"/>
    </row>
    <row r="701" ht="15.75" customHeight="1">
      <c r="T701" s="7"/>
      <c r="U701" s="7"/>
      <c r="V701" s="7"/>
    </row>
    <row r="702" ht="15.75" customHeight="1">
      <c r="T702" s="7"/>
      <c r="U702" s="7"/>
      <c r="V702" s="7"/>
    </row>
    <row r="703" ht="15.75" customHeight="1">
      <c r="T703" s="7"/>
      <c r="U703" s="7"/>
      <c r="V703" s="7"/>
    </row>
    <row r="704" ht="15.75" customHeight="1">
      <c r="T704" s="7"/>
      <c r="U704" s="7"/>
      <c r="V704" s="7"/>
    </row>
    <row r="705" ht="15.75" customHeight="1">
      <c r="T705" s="7"/>
      <c r="U705" s="7"/>
      <c r="V705" s="7"/>
    </row>
    <row r="706" ht="15.75" customHeight="1">
      <c r="T706" s="7"/>
      <c r="U706" s="7"/>
      <c r="V706" s="7"/>
    </row>
    <row r="707" ht="15.75" customHeight="1">
      <c r="T707" s="7"/>
      <c r="U707" s="7"/>
      <c r="V707" s="7"/>
    </row>
    <row r="708" ht="15.75" customHeight="1">
      <c r="T708" s="7"/>
      <c r="U708" s="7"/>
      <c r="V708" s="7"/>
    </row>
    <row r="709" ht="15.75" customHeight="1">
      <c r="T709" s="7"/>
      <c r="U709" s="7"/>
      <c r="V709" s="7"/>
    </row>
    <row r="710" ht="15.75" customHeight="1">
      <c r="T710" s="7"/>
      <c r="U710" s="7"/>
      <c r="V710" s="7"/>
    </row>
    <row r="711" ht="15.75" customHeight="1">
      <c r="T711" s="7"/>
      <c r="U711" s="7"/>
      <c r="V711" s="7"/>
    </row>
    <row r="712" ht="15.75" customHeight="1">
      <c r="T712" s="7"/>
      <c r="U712" s="7"/>
      <c r="V712" s="7"/>
    </row>
    <row r="713" ht="15.75" customHeight="1">
      <c r="T713" s="7"/>
      <c r="U713" s="7"/>
      <c r="V713" s="7"/>
    </row>
    <row r="714" ht="15.75" customHeight="1">
      <c r="T714" s="7"/>
      <c r="U714" s="7"/>
      <c r="V714" s="7"/>
    </row>
    <row r="715" ht="15.75" customHeight="1">
      <c r="T715" s="7"/>
      <c r="U715" s="7"/>
      <c r="V715" s="7"/>
    </row>
    <row r="716" ht="15.75" customHeight="1">
      <c r="T716" s="7"/>
      <c r="U716" s="7"/>
      <c r="V716" s="7"/>
    </row>
    <row r="717" ht="15.75" customHeight="1">
      <c r="T717" s="7"/>
      <c r="U717" s="7"/>
      <c r="V717" s="7"/>
    </row>
    <row r="718" ht="15.75" customHeight="1">
      <c r="T718" s="7"/>
      <c r="U718" s="7"/>
      <c r="V718" s="7"/>
    </row>
    <row r="719" ht="15.75" customHeight="1">
      <c r="T719" s="7"/>
      <c r="U719" s="7"/>
      <c r="V719" s="7"/>
    </row>
    <row r="720" ht="15.75" customHeight="1">
      <c r="T720" s="7"/>
      <c r="U720" s="7"/>
      <c r="V720" s="7"/>
    </row>
    <row r="721" ht="15.75" customHeight="1">
      <c r="T721" s="7"/>
      <c r="U721" s="7"/>
      <c r="V721" s="7"/>
    </row>
    <row r="722" ht="15.75" customHeight="1">
      <c r="T722" s="7"/>
      <c r="U722" s="7"/>
      <c r="V722" s="7"/>
    </row>
    <row r="723" ht="15.75" customHeight="1">
      <c r="T723" s="7"/>
      <c r="U723" s="7"/>
      <c r="V723" s="7"/>
    </row>
    <row r="724" ht="15.75" customHeight="1">
      <c r="T724" s="7"/>
      <c r="U724" s="7"/>
      <c r="V724" s="7"/>
    </row>
    <row r="725" ht="15.75" customHeight="1">
      <c r="T725" s="7"/>
      <c r="U725" s="7"/>
      <c r="V725" s="7"/>
    </row>
    <row r="726" ht="15.75" customHeight="1">
      <c r="T726" s="7"/>
      <c r="U726" s="7"/>
      <c r="V726" s="7"/>
    </row>
    <row r="727" ht="15.75" customHeight="1">
      <c r="T727" s="7"/>
      <c r="U727" s="7"/>
      <c r="V727" s="7"/>
    </row>
    <row r="728" ht="15.75" customHeight="1">
      <c r="T728" s="7"/>
      <c r="U728" s="7"/>
      <c r="V728" s="7"/>
    </row>
    <row r="729" ht="15.75" customHeight="1">
      <c r="T729" s="7"/>
      <c r="U729" s="7"/>
      <c r="V729" s="7"/>
    </row>
    <row r="730" ht="15.75" customHeight="1">
      <c r="T730" s="7"/>
      <c r="U730" s="7"/>
      <c r="V730" s="7"/>
    </row>
    <row r="731" ht="15.75" customHeight="1">
      <c r="T731" s="7"/>
      <c r="U731" s="7"/>
      <c r="V731" s="7"/>
    </row>
    <row r="732" ht="15.75" customHeight="1">
      <c r="T732" s="7"/>
      <c r="U732" s="7"/>
      <c r="V732" s="7"/>
    </row>
    <row r="733" ht="15.75" customHeight="1">
      <c r="T733" s="7"/>
      <c r="U733" s="7"/>
      <c r="V733" s="7"/>
    </row>
    <row r="734" ht="15.75" customHeight="1">
      <c r="T734" s="7"/>
      <c r="U734" s="7"/>
      <c r="V734" s="7"/>
    </row>
    <row r="735" ht="15.75" customHeight="1">
      <c r="T735" s="7"/>
      <c r="U735" s="7"/>
      <c r="V735" s="7"/>
    </row>
    <row r="736" ht="15.75" customHeight="1">
      <c r="T736" s="7"/>
      <c r="U736" s="7"/>
      <c r="V736" s="7"/>
    </row>
    <row r="737" ht="15.75" customHeight="1">
      <c r="T737" s="7"/>
      <c r="U737" s="7"/>
      <c r="V737" s="7"/>
    </row>
    <row r="738" ht="15.75" customHeight="1">
      <c r="T738" s="7"/>
      <c r="U738" s="7"/>
      <c r="V738" s="7"/>
    </row>
    <row r="739" ht="15.75" customHeight="1">
      <c r="T739" s="7"/>
      <c r="U739" s="7"/>
      <c r="V739" s="7"/>
    </row>
    <row r="740" ht="15.75" customHeight="1">
      <c r="T740" s="7"/>
      <c r="U740" s="7"/>
      <c r="V740" s="7"/>
    </row>
    <row r="741" ht="15.75" customHeight="1">
      <c r="T741" s="7"/>
      <c r="U741" s="7"/>
      <c r="V741" s="7"/>
    </row>
    <row r="742" ht="15.75" customHeight="1">
      <c r="T742" s="7"/>
      <c r="U742" s="7"/>
      <c r="V742" s="7"/>
    </row>
    <row r="743" ht="15.75" customHeight="1">
      <c r="T743" s="7"/>
      <c r="U743" s="7"/>
      <c r="V743" s="7"/>
    </row>
    <row r="744" ht="15.75" customHeight="1">
      <c r="T744" s="7"/>
      <c r="U744" s="7"/>
      <c r="V744" s="7"/>
    </row>
    <row r="745" ht="15.75" customHeight="1">
      <c r="T745" s="7"/>
      <c r="U745" s="7"/>
      <c r="V745" s="7"/>
    </row>
    <row r="746" ht="15.75" customHeight="1">
      <c r="T746" s="7"/>
      <c r="U746" s="7"/>
      <c r="V746" s="7"/>
    </row>
    <row r="747" ht="15.75" customHeight="1">
      <c r="T747" s="7"/>
      <c r="U747" s="7"/>
      <c r="V747" s="7"/>
    </row>
    <row r="748" ht="15.75" customHeight="1">
      <c r="T748" s="7"/>
      <c r="U748" s="7"/>
      <c r="V748" s="7"/>
    </row>
    <row r="749" ht="15.75" customHeight="1">
      <c r="T749" s="7"/>
      <c r="U749" s="7"/>
      <c r="V749" s="7"/>
    </row>
    <row r="750" ht="15.75" customHeight="1">
      <c r="T750" s="7"/>
      <c r="U750" s="7"/>
      <c r="V750" s="7"/>
    </row>
    <row r="751" ht="15.75" customHeight="1">
      <c r="T751" s="7"/>
      <c r="U751" s="7"/>
      <c r="V751" s="7"/>
    </row>
    <row r="752" ht="15.75" customHeight="1">
      <c r="T752" s="7"/>
      <c r="U752" s="7"/>
      <c r="V752" s="7"/>
    </row>
    <row r="753" ht="15.75" customHeight="1">
      <c r="T753" s="7"/>
      <c r="U753" s="7"/>
      <c r="V753" s="7"/>
    </row>
    <row r="754" ht="15.75" customHeight="1">
      <c r="T754" s="7"/>
      <c r="U754" s="7"/>
      <c r="V754" s="7"/>
    </row>
    <row r="755" ht="15.75" customHeight="1">
      <c r="T755" s="7"/>
      <c r="U755" s="7"/>
      <c r="V755" s="7"/>
    </row>
    <row r="756" ht="15.75" customHeight="1">
      <c r="T756" s="7"/>
      <c r="U756" s="7"/>
      <c r="V756" s="7"/>
    </row>
    <row r="757" ht="15.75" customHeight="1">
      <c r="T757" s="7"/>
      <c r="U757" s="7"/>
      <c r="V757" s="7"/>
    </row>
    <row r="758" ht="15.75" customHeight="1">
      <c r="T758" s="7"/>
      <c r="U758" s="7"/>
      <c r="V758" s="7"/>
    </row>
    <row r="759" ht="15.75" customHeight="1">
      <c r="T759" s="7"/>
      <c r="U759" s="7"/>
      <c r="V759" s="7"/>
    </row>
    <row r="760" ht="15.75" customHeight="1">
      <c r="T760" s="7"/>
      <c r="U760" s="7"/>
      <c r="V760" s="7"/>
    </row>
    <row r="761" ht="15.75" customHeight="1">
      <c r="T761" s="7"/>
      <c r="U761" s="7"/>
      <c r="V761" s="7"/>
    </row>
    <row r="762" ht="15.75" customHeight="1">
      <c r="T762" s="7"/>
      <c r="U762" s="7"/>
      <c r="V762" s="7"/>
    </row>
    <row r="763" ht="15.75" customHeight="1">
      <c r="T763" s="7"/>
      <c r="U763" s="7"/>
      <c r="V763" s="7"/>
    </row>
    <row r="764" ht="15.75" customHeight="1">
      <c r="T764" s="7"/>
      <c r="U764" s="7"/>
      <c r="V764" s="7"/>
    </row>
    <row r="765" ht="15.75" customHeight="1">
      <c r="T765" s="7"/>
      <c r="U765" s="7"/>
      <c r="V765" s="7"/>
    </row>
    <row r="766" ht="15.75" customHeight="1">
      <c r="T766" s="7"/>
      <c r="U766" s="7"/>
      <c r="V766" s="7"/>
    </row>
    <row r="767" ht="15.75" customHeight="1">
      <c r="T767" s="7"/>
      <c r="U767" s="7"/>
      <c r="V767" s="7"/>
    </row>
    <row r="768" ht="15.75" customHeight="1">
      <c r="T768" s="7"/>
      <c r="U768" s="7"/>
      <c r="V768" s="7"/>
    </row>
    <row r="769" ht="15.75" customHeight="1">
      <c r="T769" s="7"/>
      <c r="U769" s="7"/>
      <c r="V769" s="7"/>
    </row>
    <row r="770" ht="15.75" customHeight="1">
      <c r="T770" s="7"/>
      <c r="U770" s="7"/>
      <c r="V770" s="7"/>
    </row>
    <row r="771" ht="15.75" customHeight="1">
      <c r="T771" s="7"/>
      <c r="U771" s="7"/>
      <c r="V771" s="7"/>
    </row>
    <row r="772" ht="15.75" customHeight="1">
      <c r="T772" s="7"/>
      <c r="U772" s="7"/>
      <c r="V772" s="7"/>
    </row>
    <row r="773" ht="15.75" customHeight="1">
      <c r="T773" s="7"/>
      <c r="U773" s="7"/>
      <c r="V773" s="7"/>
    </row>
    <row r="774" ht="15.75" customHeight="1">
      <c r="T774" s="7"/>
      <c r="U774" s="7"/>
      <c r="V774" s="7"/>
    </row>
    <row r="775" ht="15.75" customHeight="1">
      <c r="T775" s="7"/>
      <c r="U775" s="7"/>
      <c r="V775" s="7"/>
    </row>
    <row r="776" ht="15.75" customHeight="1">
      <c r="T776" s="7"/>
      <c r="U776" s="7"/>
      <c r="V776" s="7"/>
    </row>
    <row r="777" ht="15.75" customHeight="1">
      <c r="T777" s="7"/>
      <c r="U777" s="7"/>
      <c r="V777" s="7"/>
    </row>
    <row r="778" ht="15.75" customHeight="1">
      <c r="T778" s="7"/>
      <c r="U778" s="7"/>
      <c r="V778" s="7"/>
    </row>
    <row r="779" ht="15.75" customHeight="1">
      <c r="T779" s="7"/>
      <c r="U779" s="7"/>
      <c r="V779" s="7"/>
    </row>
    <row r="780" ht="15.75" customHeight="1">
      <c r="T780" s="7"/>
      <c r="U780" s="7"/>
      <c r="V780" s="7"/>
    </row>
    <row r="781" ht="15.75" customHeight="1">
      <c r="T781" s="7"/>
      <c r="U781" s="7"/>
      <c r="V781" s="7"/>
    </row>
    <row r="782" ht="15.75" customHeight="1">
      <c r="T782" s="7"/>
      <c r="U782" s="7"/>
      <c r="V782" s="7"/>
    </row>
    <row r="783" ht="15.75" customHeight="1">
      <c r="T783" s="7"/>
      <c r="U783" s="7"/>
      <c r="V783" s="7"/>
    </row>
    <row r="784" ht="15.75" customHeight="1">
      <c r="T784" s="7"/>
      <c r="U784" s="7"/>
      <c r="V784" s="7"/>
    </row>
    <row r="785" ht="15.75" customHeight="1">
      <c r="T785" s="7"/>
      <c r="U785" s="7"/>
      <c r="V785" s="7"/>
    </row>
    <row r="786" ht="15.75" customHeight="1">
      <c r="T786" s="7"/>
      <c r="U786" s="7"/>
      <c r="V786" s="7"/>
    </row>
    <row r="787" ht="15.75" customHeight="1">
      <c r="T787" s="7"/>
      <c r="U787" s="7"/>
      <c r="V787" s="7"/>
    </row>
    <row r="788" ht="15.75" customHeight="1">
      <c r="T788" s="7"/>
      <c r="U788" s="7"/>
      <c r="V788" s="7"/>
    </row>
    <row r="789" ht="15.75" customHeight="1">
      <c r="T789" s="7"/>
      <c r="U789" s="7"/>
      <c r="V789" s="7"/>
    </row>
    <row r="790" ht="15.75" customHeight="1">
      <c r="T790" s="7"/>
      <c r="U790" s="7"/>
      <c r="V790" s="7"/>
    </row>
    <row r="791" ht="15.75" customHeight="1">
      <c r="T791" s="7"/>
      <c r="U791" s="7"/>
      <c r="V791" s="7"/>
    </row>
    <row r="792" ht="15.75" customHeight="1">
      <c r="T792" s="7"/>
      <c r="U792" s="7"/>
      <c r="V792" s="7"/>
    </row>
    <row r="793" ht="15.75" customHeight="1">
      <c r="T793" s="7"/>
      <c r="U793" s="7"/>
      <c r="V793" s="7"/>
    </row>
    <row r="794" ht="15.75" customHeight="1">
      <c r="T794" s="7"/>
      <c r="U794" s="7"/>
      <c r="V794" s="7"/>
    </row>
    <row r="795" ht="15.75" customHeight="1">
      <c r="T795" s="7"/>
      <c r="U795" s="7"/>
      <c r="V795" s="7"/>
    </row>
    <row r="796" ht="15.75" customHeight="1">
      <c r="T796" s="7"/>
      <c r="U796" s="7"/>
      <c r="V796" s="7"/>
    </row>
    <row r="797" ht="15.75" customHeight="1">
      <c r="T797" s="7"/>
      <c r="U797" s="7"/>
      <c r="V797" s="7"/>
    </row>
    <row r="798" ht="15.75" customHeight="1">
      <c r="T798" s="7"/>
      <c r="U798" s="7"/>
      <c r="V798" s="7"/>
    </row>
    <row r="799" ht="15.75" customHeight="1">
      <c r="T799" s="7"/>
      <c r="U799" s="7"/>
      <c r="V799" s="7"/>
    </row>
    <row r="800" ht="15.75" customHeight="1">
      <c r="T800" s="7"/>
      <c r="U800" s="7"/>
      <c r="V800" s="7"/>
    </row>
    <row r="801" ht="15.75" customHeight="1">
      <c r="T801" s="7"/>
      <c r="U801" s="7"/>
      <c r="V801" s="7"/>
    </row>
    <row r="802" ht="15.75" customHeight="1">
      <c r="T802" s="7"/>
      <c r="U802" s="7"/>
      <c r="V802" s="7"/>
    </row>
    <row r="803" ht="15.75" customHeight="1">
      <c r="T803" s="7"/>
      <c r="U803" s="7"/>
      <c r="V803" s="7"/>
    </row>
    <row r="804" ht="15.75" customHeight="1">
      <c r="T804" s="7"/>
      <c r="U804" s="7"/>
      <c r="V804" s="7"/>
    </row>
    <row r="805" ht="15.75" customHeight="1">
      <c r="T805" s="7"/>
      <c r="U805" s="7"/>
      <c r="V805" s="7"/>
    </row>
    <row r="806" ht="15.75" customHeight="1">
      <c r="T806" s="7"/>
      <c r="U806" s="7"/>
      <c r="V806" s="7"/>
    </row>
    <row r="807" ht="15.75" customHeight="1">
      <c r="T807" s="7"/>
      <c r="U807" s="7"/>
      <c r="V807" s="7"/>
    </row>
    <row r="808" ht="15.75" customHeight="1">
      <c r="T808" s="7"/>
      <c r="U808" s="7"/>
      <c r="V808" s="7"/>
    </row>
    <row r="809" ht="15.75" customHeight="1">
      <c r="T809" s="7"/>
      <c r="U809" s="7"/>
      <c r="V809" s="7"/>
    </row>
    <row r="810" ht="15.75" customHeight="1">
      <c r="T810" s="7"/>
      <c r="U810" s="7"/>
      <c r="V810" s="7"/>
    </row>
    <row r="811" ht="15.75" customHeight="1">
      <c r="T811" s="7"/>
      <c r="U811" s="7"/>
      <c r="V811" s="7"/>
    </row>
    <row r="812" ht="15.75" customHeight="1">
      <c r="T812" s="7"/>
      <c r="U812" s="7"/>
      <c r="V812" s="7"/>
    </row>
    <row r="813" ht="15.75" customHeight="1">
      <c r="T813" s="7"/>
      <c r="U813" s="7"/>
      <c r="V813" s="7"/>
    </row>
    <row r="814" ht="15.75" customHeight="1">
      <c r="T814" s="7"/>
      <c r="U814" s="7"/>
      <c r="V814" s="7"/>
    </row>
    <row r="815" ht="15.75" customHeight="1">
      <c r="T815" s="7"/>
      <c r="U815" s="7"/>
      <c r="V815" s="7"/>
    </row>
    <row r="816" ht="15.75" customHeight="1">
      <c r="T816" s="7"/>
      <c r="U816" s="7"/>
      <c r="V816" s="7"/>
    </row>
    <row r="817" ht="15.75" customHeight="1">
      <c r="T817" s="7"/>
      <c r="U817" s="7"/>
      <c r="V817" s="7"/>
    </row>
    <row r="818" ht="15.75" customHeight="1">
      <c r="T818" s="7"/>
      <c r="U818" s="7"/>
      <c r="V818" s="7"/>
    </row>
    <row r="819" ht="15.75" customHeight="1">
      <c r="T819" s="7"/>
      <c r="U819" s="7"/>
      <c r="V819" s="7"/>
    </row>
    <row r="820" ht="15.75" customHeight="1">
      <c r="T820" s="7"/>
      <c r="U820" s="7"/>
      <c r="V820" s="7"/>
    </row>
    <row r="821" ht="15.75" customHeight="1">
      <c r="T821" s="7"/>
      <c r="U821" s="7"/>
      <c r="V821" s="7"/>
    </row>
    <row r="822" ht="15.75" customHeight="1">
      <c r="T822" s="7"/>
      <c r="U822" s="7"/>
      <c r="V822" s="7"/>
    </row>
    <row r="823" ht="15.75" customHeight="1">
      <c r="T823" s="7"/>
      <c r="U823" s="7"/>
      <c r="V823" s="7"/>
    </row>
    <row r="824" ht="15.75" customHeight="1">
      <c r="T824" s="7"/>
      <c r="U824" s="7"/>
      <c r="V824" s="7"/>
    </row>
    <row r="825" ht="15.75" customHeight="1">
      <c r="T825" s="7"/>
      <c r="U825" s="7"/>
      <c r="V825" s="7"/>
    </row>
    <row r="826" ht="15.75" customHeight="1">
      <c r="T826" s="7"/>
      <c r="U826" s="7"/>
      <c r="V826" s="7"/>
    </row>
    <row r="827" ht="15.75" customHeight="1">
      <c r="T827" s="7"/>
      <c r="U827" s="7"/>
      <c r="V827" s="7"/>
    </row>
    <row r="828" ht="15.75" customHeight="1">
      <c r="T828" s="7"/>
      <c r="U828" s="7"/>
      <c r="V828" s="7"/>
    </row>
    <row r="829" ht="15.75" customHeight="1">
      <c r="T829" s="7"/>
      <c r="U829" s="7"/>
      <c r="V829" s="7"/>
    </row>
    <row r="830" ht="15.75" customHeight="1">
      <c r="T830" s="7"/>
      <c r="U830" s="7"/>
      <c r="V830" s="7"/>
    </row>
    <row r="831" ht="15.75" customHeight="1">
      <c r="T831" s="7"/>
      <c r="U831" s="7"/>
      <c r="V831" s="7"/>
    </row>
    <row r="832" ht="15.75" customHeight="1">
      <c r="T832" s="7"/>
      <c r="U832" s="7"/>
      <c r="V832" s="7"/>
    </row>
    <row r="833" ht="15.75" customHeight="1">
      <c r="T833" s="7"/>
      <c r="U833" s="7"/>
      <c r="V833" s="7"/>
    </row>
    <row r="834" ht="15.75" customHeight="1">
      <c r="T834" s="7"/>
      <c r="U834" s="7"/>
      <c r="V834" s="7"/>
    </row>
    <row r="835" ht="15.75" customHeight="1">
      <c r="T835" s="7"/>
      <c r="U835" s="7"/>
      <c r="V835" s="7"/>
    </row>
    <row r="836" ht="15.75" customHeight="1">
      <c r="T836" s="7"/>
      <c r="U836" s="7"/>
      <c r="V836" s="7"/>
    </row>
    <row r="837" ht="15.75" customHeight="1">
      <c r="T837" s="7"/>
      <c r="U837" s="7"/>
      <c r="V837" s="7"/>
    </row>
    <row r="838" ht="15.75" customHeight="1">
      <c r="T838" s="7"/>
      <c r="U838" s="7"/>
      <c r="V838" s="7"/>
    </row>
    <row r="839" ht="15.75" customHeight="1">
      <c r="T839" s="7"/>
      <c r="U839" s="7"/>
      <c r="V839" s="7"/>
    </row>
    <row r="840" ht="15.75" customHeight="1">
      <c r="T840" s="7"/>
      <c r="U840" s="7"/>
      <c r="V840" s="7"/>
    </row>
    <row r="841" ht="15.75" customHeight="1">
      <c r="T841" s="7"/>
      <c r="U841" s="7"/>
      <c r="V841" s="7"/>
    </row>
    <row r="842" ht="15.75" customHeight="1">
      <c r="T842" s="7"/>
      <c r="U842" s="7"/>
      <c r="V842" s="7"/>
    </row>
    <row r="843" ht="15.75" customHeight="1">
      <c r="T843" s="7"/>
      <c r="U843" s="7"/>
      <c r="V843" s="7"/>
    </row>
    <row r="844" ht="15.75" customHeight="1">
      <c r="T844" s="7"/>
      <c r="U844" s="7"/>
      <c r="V844" s="7"/>
    </row>
    <row r="845" ht="15.75" customHeight="1">
      <c r="T845" s="7"/>
      <c r="U845" s="7"/>
      <c r="V845" s="7"/>
    </row>
    <row r="846" ht="15.75" customHeight="1">
      <c r="T846" s="7"/>
      <c r="U846" s="7"/>
      <c r="V846" s="7"/>
    </row>
    <row r="847" ht="15.75" customHeight="1">
      <c r="T847" s="7"/>
      <c r="U847" s="7"/>
      <c r="V847" s="7"/>
    </row>
    <row r="848" ht="15.75" customHeight="1">
      <c r="T848" s="7"/>
      <c r="U848" s="7"/>
      <c r="V848" s="7"/>
    </row>
    <row r="849" ht="15.75" customHeight="1">
      <c r="T849" s="7"/>
      <c r="U849" s="7"/>
      <c r="V849" s="7"/>
    </row>
    <row r="850" ht="15.75" customHeight="1">
      <c r="T850" s="7"/>
      <c r="U850" s="7"/>
      <c r="V850" s="7"/>
    </row>
    <row r="851" ht="15.75" customHeight="1">
      <c r="T851" s="7"/>
      <c r="U851" s="7"/>
      <c r="V851" s="7"/>
    </row>
    <row r="852" ht="15.75" customHeight="1">
      <c r="T852" s="7"/>
      <c r="U852" s="7"/>
      <c r="V852" s="7"/>
    </row>
    <row r="853" ht="15.75" customHeight="1">
      <c r="T853" s="7"/>
      <c r="U853" s="7"/>
      <c r="V853" s="7"/>
    </row>
    <row r="854" ht="15.75" customHeight="1">
      <c r="T854" s="7"/>
      <c r="U854" s="7"/>
      <c r="V854" s="7"/>
    </row>
    <row r="855" ht="15.75" customHeight="1">
      <c r="T855" s="7"/>
      <c r="U855" s="7"/>
      <c r="V855" s="7"/>
    </row>
    <row r="856" ht="15.75" customHeight="1">
      <c r="T856" s="7"/>
      <c r="U856" s="7"/>
      <c r="V856" s="7"/>
    </row>
    <row r="857" ht="15.75" customHeight="1">
      <c r="T857" s="7"/>
      <c r="U857" s="7"/>
      <c r="V857" s="7"/>
    </row>
    <row r="858" ht="15.75" customHeight="1">
      <c r="T858" s="7"/>
      <c r="U858" s="7"/>
      <c r="V858" s="7"/>
    </row>
    <row r="859" ht="15.75" customHeight="1">
      <c r="T859" s="7"/>
      <c r="U859" s="7"/>
      <c r="V859" s="7"/>
    </row>
    <row r="860" ht="15.75" customHeight="1">
      <c r="T860" s="7"/>
      <c r="U860" s="7"/>
      <c r="V860" s="7"/>
    </row>
    <row r="861" ht="15.75" customHeight="1">
      <c r="T861" s="7"/>
      <c r="U861" s="7"/>
      <c r="V861" s="7"/>
    </row>
    <row r="862" ht="15.75" customHeight="1">
      <c r="T862" s="7"/>
      <c r="U862" s="7"/>
      <c r="V862" s="7"/>
    </row>
    <row r="863" ht="15.75" customHeight="1">
      <c r="T863" s="7"/>
      <c r="U863" s="7"/>
      <c r="V863" s="7"/>
    </row>
    <row r="864" ht="15.75" customHeight="1">
      <c r="T864" s="7"/>
      <c r="U864" s="7"/>
      <c r="V864" s="7"/>
    </row>
    <row r="865" ht="15.75" customHeight="1">
      <c r="T865" s="7"/>
      <c r="U865" s="7"/>
      <c r="V865" s="7"/>
    </row>
    <row r="866" ht="15.75" customHeight="1">
      <c r="T866" s="7"/>
      <c r="U866" s="7"/>
      <c r="V866" s="7"/>
    </row>
    <row r="867" ht="15.75" customHeight="1">
      <c r="T867" s="7"/>
      <c r="U867" s="7"/>
      <c r="V867" s="7"/>
    </row>
    <row r="868" ht="15.75" customHeight="1">
      <c r="T868" s="7"/>
      <c r="U868" s="7"/>
      <c r="V868" s="7"/>
    </row>
    <row r="869" ht="15.75" customHeight="1">
      <c r="T869" s="7"/>
      <c r="U869" s="7"/>
      <c r="V869" s="7"/>
    </row>
    <row r="870" ht="15.75" customHeight="1">
      <c r="T870" s="7"/>
      <c r="U870" s="7"/>
      <c r="V870" s="7"/>
    </row>
    <row r="871" ht="15.75" customHeight="1">
      <c r="T871" s="7"/>
      <c r="U871" s="7"/>
      <c r="V871" s="7"/>
    </row>
    <row r="872" ht="15.75" customHeight="1">
      <c r="T872" s="7"/>
      <c r="U872" s="7"/>
      <c r="V872" s="7"/>
    </row>
    <row r="873" ht="15.75" customHeight="1">
      <c r="T873" s="7"/>
      <c r="U873" s="7"/>
      <c r="V873" s="7"/>
    </row>
    <row r="874" ht="15.75" customHeight="1">
      <c r="T874" s="7"/>
      <c r="U874" s="7"/>
      <c r="V874" s="7"/>
    </row>
    <row r="875" ht="15.75" customHeight="1">
      <c r="T875" s="7"/>
      <c r="U875" s="7"/>
      <c r="V875" s="7"/>
    </row>
    <row r="876" ht="15.75" customHeight="1">
      <c r="T876" s="7"/>
      <c r="U876" s="7"/>
      <c r="V876" s="7"/>
    </row>
    <row r="877" ht="15.75" customHeight="1">
      <c r="T877" s="7"/>
      <c r="U877" s="7"/>
      <c r="V877" s="7"/>
    </row>
    <row r="878" ht="15.75" customHeight="1">
      <c r="T878" s="7"/>
      <c r="U878" s="7"/>
      <c r="V878" s="7"/>
    </row>
    <row r="879" ht="15.75" customHeight="1">
      <c r="T879" s="7"/>
      <c r="U879" s="7"/>
      <c r="V879" s="7"/>
    </row>
    <row r="880" ht="15.75" customHeight="1">
      <c r="T880" s="7"/>
      <c r="U880" s="7"/>
      <c r="V880" s="7"/>
    </row>
    <row r="881" ht="15.75" customHeight="1">
      <c r="T881" s="7"/>
      <c r="U881" s="7"/>
      <c r="V881" s="7"/>
    </row>
    <row r="882" ht="15.75" customHeight="1">
      <c r="T882" s="7"/>
      <c r="U882" s="7"/>
      <c r="V882" s="7"/>
    </row>
    <row r="883" ht="15.75" customHeight="1">
      <c r="T883" s="7"/>
      <c r="U883" s="7"/>
      <c r="V883" s="7"/>
    </row>
    <row r="884" ht="15.75" customHeight="1">
      <c r="T884" s="7"/>
      <c r="U884" s="7"/>
      <c r="V884" s="7"/>
    </row>
    <row r="885" ht="15.75" customHeight="1">
      <c r="T885" s="7"/>
      <c r="U885" s="7"/>
      <c r="V885" s="7"/>
    </row>
    <row r="886" ht="15.75" customHeight="1">
      <c r="T886" s="7"/>
      <c r="U886" s="7"/>
      <c r="V886" s="7"/>
    </row>
    <row r="887" ht="15.75" customHeight="1">
      <c r="T887" s="7"/>
      <c r="U887" s="7"/>
      <c r="V887" s="7"/>
    </row>
    <row r="888" ht="15.75" customHeight="1">
      <c r="T888" s="7"/>
      <c r="U888" s="7"/>
      <c r="V888" s="7"/>
    </row>
    <row r="889" ht="15.75" customHeight="1">
      <c r="T889" s="7"/>
      <c r="U889" s="7"/>
      <c r="V889" s="7"/>
    </row>
    <row r="890" ht="15.75" customHeight="1">
      <c r="T890" s="7"/>
      <c r="U890" s="7"/>
      <c r="V890" s="7"/>
    </row>
    <row r="891" ht="15.75" customHeight="1">
      <c r="T891" s="7"/>
      <c r="U891" s="7"/>
      <c r="V891" s="7"/>
    </row>
    <row r="892" ht="15.75" customHeight="1">
      <c r="T892" s="7"/>
      <c r="U892" s="7"/>
      <c r="V892" s="7"/>
    </row>
    <row r="893" ht="15.75" customHeight="1">
      <c r="T893" s="7"/>
      <c r="U893" s="7"/>
      <c r="V893" s="7"/>
    </row>
    <row r="894" ht="15.75" customHeight="1">
      <c r="T894" s="7"/>
      <c r="U894" s="7"/>
      <c r="V894" s="7"/>
    </row>
    <row r="895" ht="15.75" customHeight="1">
      <c r="T895" s="7"/>
      <c r="U895" s="7"/>
      <c r="V895" s="7"/>
    </row>
    <row r="896" ht="15.75" customHeight="1">
      <c r="T896" s="7"/>
      <c r="U896" s="7"/>
      <c r="V896" s="7"/>
    </row>
    <row r="897" ht="15.75" customHeight="1">
      <c r="T897" s="7"/>
      <c r="U897" s="7"/>
      <c r="V897" s="7"/>
    </row>
    <row r="898" ht="15.75" customHeight="1">
      <c r="T898" s="7"/>
      <c r="U898" s="7"/>
      <c r="V898" s="7"/>
    </row>
    <row r="899" ht="15.75" customHeight="1">
      <c r="T899" s="7"/>
      <c r="U899" s="7"/>
      <c r="V899" s="7"/>
    </row>
    <row r="900" ht="15.75" customHeight="1">
      <c r="T900" s="7"/>
      <c r="U900" s="7"/>
      <c r="V900" s="7"/>
    </row>
    <row r="901" ht="15.75" customHeight="1">
      <c r="T901" s="7"/>
      <c r="U901" s="7"/>
      <c r="V901" s="7"/>
    </row>
    <row r="902" ht="15.75" customHeight="1">
      <c r="T902" s="7"/>
      <c r="U902" s="7"/>
      <c r="V902" s="7"/>
    </row>
    <row r="903" ht="15.75" customHeight="1">
      <c r="T903" s="7"/>
      <c r="U903" s="7"/>
      <c r="V903" s="7"/>
    </row>
    <row r="904" ht="15.75" customHeight="1">
      <c r="T904" s="7"/>
      <c r="U904" s="7"/>
      <c r="V904" s="7"/>
    </row>
    <row r="905" ht="15.75" customHeight="1">
      <c r="T905" s="7"/>
      <c r="U905" s="7"/>
      <c r="V905" s="7"/>
    </row>
    <row r="906" ht="15.75" customHeight="1">
      <c r="T906" s="7"/>
      <c r="U906" s="7"/>
      <c r="V906" s="7"/>
    </row>
    <row r="907" ht="15.75" customHeight="1">
      <c r="T907" s="7"/>
      <c r="U907" s="7"/>
      <c r="V907" s="7"/>
    </row>
    <row r="908" ht="15.75" customHeight="1">
      <c r="T908" s="7"/>
      <c r="U908" s="7"/>
      <c r="V908" s="7"/>
    </row>
    <row r="909" ht="15.75" customHeight="1">
      <c r="T909" s="7"/>
      <c r="U909" s="7"/>
      <c r="V909" s="7"/>
    </row>
    <row r="910" ht="15.75" customHeight="1">
      <c r="T910" s="7"/>
      <c r="U910" s="7"/>
      <c r="V910" s="7"/>
    </row>
    <row r="911" ht="15.75" customHeight="1">
      <c r="T911" s="7"/>
      <c r="U911" s="7"/>
      <c r="V911" s="7"/>
    </row>
    <row r="912" ht="15.75" customHeight="1">
      <c r="T912" s="7"/>
      <c r="U912" s="7"/>
      <c r="V912" s="7"/>
    </row>
    <row r="913" ht="15.75" customHeight="1">
      <c r="T913" s="7"/>
      <c r="U913" s="7"/>
      <c r="V913" s="7"/>
    </row>
    <row r="914" ht="15.75" customHeight="1">
      <c r="T914" s="7"/>
      <c r="U914" s="7"/>
      <c r="V914" s="7"/>
    </row>
    <row r="915" ht="15.75" customHeight="1">
      <c r="T915" s="7"/>
      <c r="U915" s="7"/>
      <c r="V915" s="7"/>
    </row>
    <row r="916" ht="15.75" customHeight="1">
      <c r="T916" s="7"/>
      <c r="U916" s="7"/>
      <c r="V916" s="7"/>
    </row>
    <row r="917" ht="15.75" customHeight="1">
      <c r="T917" s="7"/>
      <c r="U917" s="7"/>
      <c r="V917" s="7"/>
    </row>
    <row r="918" ht="15.75" customHeight="1">
      <c r="T918" s="7"/>
      <c r="U918" s="7"/>
      <c r="V918" s="7"/>
    </row>
    <row r="919" ht="15.75" customHeight="1">
      <c r="T919" s="7"/>
      <c r="U919" s="7"/>
      <c r="V919" s="7"/>
    </row>
    <row r="920" ht="15.75" customHeight="1">
      <c r="T920" s="7"/>
      <c r="U920" s="7"/>
      <c r="V920" s="7"/>
    </row>
    <row r="921" ht="15.75" customHeight="1">
      <c r="T921" s="7"/>
      <c r="U921" s="7"/>
      <c r="V921" s="7"/>
    </row>
    <row r="922" ht="15.75" customHeight="1">
      <c r="T922" s="7"/>
      <c r="U922" s="7"/>
      <c r="V922" s="7"/>
    </row>
    <row r="923" ht="15.75" customHeight="1">
      <c r="T923" s="7"/>
      <c r="U923" s="7"/>
      <c r="V923" s="7"/>
    </row>
    <row r="924" ht="15.75" customHeight="1">
      <c r="T924" s="7"/>
      <c r="U924" s="7"/>
      <c r="V924" s="7"/>
    </row>
    <row r="925" ht="15.75" customHeight="1">
      <c r="T925" s="7"/>
      <c r="U925" s="7"/>
      <c r="V925" s="7"/>
    </row>
    <row r="926" ht="15.75" customHeight="1">
      <c r="T926" s="7"/>
      <c r="U926" s="7"/>
      <c r="V926" s="7"/>
    </row>
    <row r="927" ht="15.75" customHeight="1">
      <c r="T927" s="7"/>
      <c r="U927" s="7"/>
      <c r="V927" s="7"/>
    </row>
    <row r="928" ht="15.75" customHeight="1">
      <c r="T928" s="7"/>
      <c r="U928" s="7"/>
      <c r="V928" s="7"/>
    </row>
    <row r="929" ht="15.75" customHeight="1">
      <c r="T929" s="7"/>
      <c r="U929" s="7"/>
      <c r="V929" s="7"/>
    </row>
    <row r="930" ht="15.75" customHeight="1">
      <c r="T930" s="7"/>
      <c r="U930" s="7"/>
      <c r="V930" s="7"/>
    </row>
    <row r="931" ht="15.75" customHeight="1">
      <c r="T931" s="7"/>
      <c r="U931" s="7"/>
      <c r="V931" s="7"/>
    </row>
    <row r="932" ht="15.75" customHeight="1">
      <c r="T932" s="7"/>
      <c r="U932" s="7"/>
      <c r="V932" s="7"/>
    </row>
    <row r="933" ht="15.75" customHeight="1">
      <c r="T933" s="7"/>
      <c r="U933" s="7"/>
      <c r="V933" s="7"/>
    </row>
    <row r="934" ht="15.75" customHeight="1">
      <c r="T934" s="7"/>
      <c r="U934" s="7"/>
      <c r="V934" s="7"/>
    </row>
    <row r="935" ht="15.75" customHeight="1">
      <c r="T935" s="7"/>
      <c r="U935" s="7"/>
      <c r="V935" s="7"/>
    </row>
    <row r="936" ht="15.75" customHeight="1">
      <c r="T936" s="7"/>
      <c r="U936" s="7"/>
      <c r="V936" s="7"/>
    </row>
    <row r="937" ht="15.75" customHeight="1">
      <c r="T937" s="7"/>
      <c r="U937" s="7"/>
      <c r="V937" s="7"/>
    </row>
    <row r="938" ht="15.75" customHeight="1">
      <c r="T938" s="7"/>
      <c r="U938" s="7"/>
      <c r="V938" s="7"/>
    </row>
    <row r="939" ht="15.75" customHeight="1">
      <c r="T939" s="7"/>
      <c r="U939" s="7"/>
      <c r="V939" s="7"/>
    </row>
    <row r="940" ht="15.75" customHeight="1">
      <c r="T940" s="7"/>
      <c r="U940" s="7"/>
      <c r="V940" s="7"/>
    </row>
    <row r="941" ht="15.75" customHeight="1">
      <c r="T941" s="7"/>
      <c r="U941" s="7"/>
      <c r="V941" s="7"/>
    </row>
    <row r="942" ht="15.75" customHeight="1">
      <c r="T942" s="7"/>
      <c r="U942" s="7"/>
      <c r="V942" s="7"/>
    </row>
    <row r="943" ht="15.75" customHeight="1">
      <c r="T943" s="7"/>
      <c r="U943" s="7"/>
      <c r="V943" s="7"/>
    </row>
    <row r="944" ht="15.75" customHeight="1">
      <c r="T944" s="7"/>
      <c r="U944" s="7"/>
      <c r="V944" s="7"/>
    </row>
    <row r="945" ht="15.75" customHeight="1">
      <c r="T945" s="7"/>
      <c r="U945" s="7"/>
      <c r="V945" s="7"/>
    </row>
    <row r="946" ht="15.75" customHeight="1">
      <c r="T946" s="7"/>
      <c r="U946" s="7"/>
      <c r="V946" s="7"/>
    </row>
    <row r="947" ht="15.75" customHeight="1">
      <c r="T947" s="7"/>
      <c r="U947" s="7"/>
      <c r="V947" s="7"/>
    </row>
    <row r="948" ht="15.75" customHeight="1">
      <c r="T948" s="7"/>
      <c r="U948" s="7"/>
      <c r="V948" s="7"/>
    </row>
    <row r="949" ht="15.75" customHeight="1">
      <c r="T949" s="7"/>
      <c r="U949" s="7"/>
      <c r="V949" s="7"/>
    </row>
    <row r="950" ht="15.75" customHeight="1">
      <c r="T950" s="7"/>
      <c r="U950" s="7"/>
      <c r="V950" s="7"/>
    </row>
    <row r="951" ht="15.75" customHeight="1">
      <c r="T951" s="7"/>
      <c r="U951" s="7"/>
      <c r="V951" s="7"/>
    </row>
    <row r="952" ht="15.75" customHeight="1">
      <c r="T952" s="7"/>
      <c r="U952" s="7"/>
      <c r="V952" s="7"/>
    </row>
    <row r="953" ht="15.75" customHeight="1">
      <c r="T953" s="7"/>
      <c r="U953" s="7"/>
      <c r="V953" s="7"/>
    </row>
    <row r="954" ht="15.75" customHeight="1">
      <c r="T954" s="7"/>
      <c r="U954" s="7"/>
      <c r="V954" s="7"/>
    </row>
    <row r="955" ht="15.75" customHeight="1">
      <c r="T955" s="7"/>
      <c r="U955" s="7"/>
      <c r="V955" s="7"/>
    </row>
    <row r="956" ht="15.75" customHeight="1">
      <c r="T956" s="7"/>
      <c r="U956" s="7"/>
      <c r="V956" s="7"/>
    </row>
    <row r="957" ht="15.75" customHeight="1">
      <c r="T957" s="7"/>
      <c r="U957" s="7"/>
      <c r="V957" s="7"/>
    </row>
    <row r="958" ht="15.75" customHeight="1">
      <c r="T958" s="7"/>
      <c r="U958" s="7"/>
      <c r="V958" s="7"/>
    </row>
    <row r="959" ht="15.75" customHeight="1">
      <c r="T959" s="7"/>
      <c r="U959" s="7"/>
      <c r="V959" s="7"/>
    </row>
    <row r="960" ht="15.75" customHeight="1">
      <c r="T960" s="7"/>
      <c r="U960" s="7"/>
      <c r="V960" s="7"/>
    </row>
    <row r="961" ht="15.75" customHeight="1">
      <c r="T961" s="7"/>
      <c r="U961" s="7"/>
      <c r="V961" s="7"/>
    </row>
    <row r="962" ht="15.75" customHeight="1">
      <c r="T962" s="7"/>
      <c r="U962" s="7"/>
      <c r="V962" s="7"/>
    </row>
    <row r="963" ht="15.75" customHeight="1">
      <c r="T963" s="7"/>
      <c r="U963" s="7"/>
      <c r="V963" s="7"/>
    </row>
    <row r="964" ht="15.75" customHeight="1">
      <c r="T964" s="7"/>
      <c r="U964" s="7"/>
      <c r="V964" s="7"/>
    </row>
    <row r="965" ht="15.75" customHeight="1">
      <c r="T965" s="7"/>
      <c r="U965" s="7"/>
      <c r="V965" s="7"/>
    </row>
    <row r="966" ht="15.75" customHeight="1">
      <c r="T966" s="7"/>
      <c r="U966" s="7"/>
      <c r="V966" s="7"/>
    </row>
    <row r="967" ht="15.75" customHeight="1">
      <c r="T967" s="7"/>
      <c r="U967" s="7"/>
      <c r="V967" s="7"/>
    </row>
    <row r="968" ht="15.75" customHeight="1">
      <c r="T968" s="7"/>
      <c r="U968" s="7"/>
      <c r="V968" s="7"/>
    </row>
    <row r="969" ht="15.75" customHeight="1">
      <c r="T969" s="7"/>
      <c r="U969" s="7"/>
      <c r="V969" s="7"/>
    </row>
    <row r="970" ht="15.75" customHeight="1">
      <c r="T970" s="7"/>
      <c r="U970" s="7"/>
      <c r="V970" s="7"/>
    </row>
    <row r="971" ht="15.75" customHeight="1">
      <c r="T971" s="7"/>
      <c r="U971" s="7"/>
      <c r="V971" s="7"/>
    </row>
    <row r="972" ht="15.75" customHeight="1">
      <c r="T972" s="7"/>
      <c r="U972" s="7"/>
      <c r="V972" s="7"/>
    </row>
    <row r="973" ht="15.75" customHeight="1">
      <c r="T973" s="7"/>
      <c r="U973" s="7"/>
      <c r="V973" s="7"/>
    </row>
    <row r="974" ht="15.75" customHeight="1">
      <c r="T974" s="7"/>
      <c r="U974" s="7"/>
      <c r="V974" s="7"/>
    </row>
    <row r="975" ht="15.75" customHeight="1">
      <c r="T975" s="7"/>
      <c r="U975" s="7"/>
      <c r="V975" s="7"/>
    </row>
    <row r="976" ht="15.75" customHeight="1">
      <c r="T976" s="7"/>
      <c r="U976" s="7"/>
      <c r="V976" s="7"/>
    </row>
    <row r="977" ht="15.75" customHeight="1">
      <c r="T977" s="7"/>
      <c r="U977" s="7"/>
      <c r="V977" s="7"/>
    </row>
    <row r="978" ht="15.75" customHeight="1">
      <c r="T978" s="7"/>
      <c r="U978" s="7"/>
      <c r="V978" s="7"/>
    </row>
    <row r="979" ht="15.75" customHeight="1">
      <c r="T979" s="7"/>
      <c r="U979" s="7"/>
      <c r="V979" s="7"/>
    </row>
    <row r="980" ht="15.75" customHeight="1">
      <c r="T980" s="7"/>
      <c r="U980" s="7"/>
      <c r="V980" s="7"/>
    </row>
    <row r="981" ht="15.75" customHeight="1">
      <c r="T981" s="7"/>
      <c r="U981" s="7"/>
      <c r="V981" s="7"/>
    </row>
    <row r="982" ht="15.75" customHeight="1">
      <c r="T982" s="7"/>
      <c r="U982" s="7"/>
      <c r="V982" s="7"/>
    </row>
    <row r="983" ht="15.75" customHeight="1">
      <c r="T983" s="7"/>
      <c r="U983" s="7"/>
      <c r="V983" s="7"/>
    </row>
    <row r="984" ht="15.75" customHeight="1">
      <c r="T984" s="7"/>
      <c r="U984" s="7"/>
      <c r="V984" s="7"/>
    </row>
    <row r="985" ht="15.75" customHeight="1">
      <c r="T985" s="7"/>
      <c r="U985" s="7"/>
      <c r="V985" s="7"/>
    </row>
    <row r="986" ht="15.75" customHeight="1">
      <c r="T986" s="7"/>
      <c r="U986" s="7"/>
      <c r="V986" s="7"/>
    </row>
    <row r="987" ht="15.75" customHeight="1">
      <c r="T987" s="7"/>
      <c r="U987" s="7"/>
      <c r="V987" s="7"/>
    </row>
    <row r="988" ht="15.75" customHeight="1">
      <c r="T988" s="7"/>
      <c r="U988" s="7"/>
      <c r="V988" s="7"/>
    </row>
    <row r="989" ht="15.75" customHeight="1">
      <c r="T989" s="7"/>
      <c r="U989" s="7"/>
      <c r="V989" s="7"/>
    </row>
    <row r="990" ht="15.75" customHeight="1">
      <c r="T990" s="7"/>
      <c r="U990" s="7"/>
      <c r="V990" s="7"/>
    </row>
    <row r="991" ht="15.75" customHeight="1">
      <c r="T991" s="7"/>
      <c r="U991" s="7"/>
      <c r="V991" s="7"/>
    </row>
    <row r="992" ht="15.75" customHeight="1">
      <c r="T992" s="7"/>
      <c r="U992" s="7"/>
      <c r="V992" s="7"/>
    </row>
    <row r="993" ht="15.75" customHeight="1">
      <c r="T993" s="7"/>
      <c r="U993" s="7"/>
      <c r="V993" s="7"/>
    </row>
    <row r="994" ht="15.75" customHeight="1">
      <c r="T994" s="7"/>
      <c r="U994" s="7"/>
      <c r="V994" s="7"/>
    </row>
    <row r="995" ht="15.75" customHeight="1">
      <c r="T995" s="7"/>
      <c r="U995" s="7"/>
      <c r="V995" s="7"/>
    </row>
    <row r="996" ht="15.75" customHeight="1">
      <c r="T996" s="7"/>
      <c r="U996" s="7"/>
      <c r="V996" s="7"/>
    </row>
    <row r="997" ht="15.75" customHeight="1">
      <c r="T997" s="7"/>
      <c r="U997" s="7"/>
      <c r="V997" s="7"/>
    </row>
    <row r="998" ht="15.75" customHeight="1">
      <c r="T998" s="7"/>
      <c r="U998" s="7"/>
      <c r="V998" s="7"/>
    </row>
    <row r="999" ht="15.75" customHeight="1">
      <c r="T999" s="7"/>
      <c r="U999" s="7"/>
      <c r="V999" s="7"/>
    </row>
    <row r="1000" ht="15.75" customHeight="1">
      <c r="T1000" s="7"/>
      <c r="U1000" s="7"/>
      <c r="V1000" s="7"/>
    </row>
  </sheetData>
  <mergeCells count="2">
    <mergeCell ref="H7:I7"/>
    <mergeCell ref="G3:I3"/>
  </mergeCells>
  <dataValidations>
    <dataValidation type="list" allowBlank="1" showErrorMessage="1" sqref="C9:C58">
      <formula1>"Full-Time,Part-Time,Contractor"</formula1>
    </dataValidation>
  </dataValidations>
  <printOptions/>
  <pageMargins bottom="0.75" footer="0.0" header="0.0" left="0.34" right="0.47" top="0.75"/>
  <pageSetup orientation="landscape"/>
  <headerFooter>
    <oddFooter>&amp;CCopyright Protected - Guided Business Plan.com - 888.523.5244</oddFooter>
  </headerFoo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fitToPage="1"/>
  </sheetPr>
  <sheetViews>
    <sheetView showGridLines="0" workbookViewId="0"/>
  </sheetViews>
  <sheetFormatPr customHeight="1" defaultColWidth="12.63" defaultRowHeight="15.0"/>
  <cols>
    <col customWidth="1" min="1" max="1" width="2.5"/>
    <col customWidth="1" min="2" max="2" width="17.0"/>
    <col customWidth="1" min="3" max="3" width="9.75"/>
    <col customWidth="1" min="4" max="4" width="5.5"/>
    <col customWidth="1" min="5" max="5" width="9.0"/>
    <col customWidth="1" min="6" max="6" width="9.5"/>
    <col customWidth="1" min="7" max="7" width="9.63"/>
    <col customWidth="1" min="8" max="12" width="8.5"/>
    <col customWidth="1" min="13" max="13" width="9.63"/>
    <col customWidth="1" min="14" max="14" width="8.5"/>
    <col customWidth="1" min="15" max="15" width="9.13"/>
    <col customWidth="1" min="16" max="16" width="9.38"/>
    <col customWidth="1" min="17" max="17" width="8.5"/>
    <col customWidth="1" min="18" max="18" width="10.0"/>
    <col customWidth="1" min="19" max="19" width="4.13"/>
    <col customWidth="1" min="20" max="20" width="19.0"/>
    <col customWidth="1" hidden="1" min="21" max="21" width="7.75"/>
    <col customWidth="1" min="22" max="22" width="1.63"/>
    <col customWidth="1" min="23" max="34" width="10.0"/>
    <col customWidth="1" min="35" max="35" width="13.5"/>
    <col customWidth="1" min="36" max="36" width="6.75"/>
    <col customWidth="1" min="37" max="46" width="7.75"/>
  </cols>
  <sheetData>
    <row r="1" ht="27.75" customHeight="1">
      <c r="A1" s="1" t="s">
        <v>0</v>
      </c>
      <c r="B1" s="1"/>
      <c r="C1" s="2"/>
      <c r="D1" s="1"/>
      <c r="E1" s="163"/>
      <c r="F1" s="163"/>
      <c r="G1" s="163"/>
      <c r="H1" s="163"/>
      <c r="I1" s="163"/>
      <c r="J1" s="163"/>
      <c r="K1" s="165"/>
      <c r="L1" s="165"/>
      <c r="N1" s="165"/>
      <c r="O1" s="165"/>
      <c r="P1" s="165"/>
      <c r="Q1" s="134"/>
      <c r="R1" s="12"/>
      <c r="AJ1" s="12"/>
    </row>
    <row r="2">
      <c r="A2" s="12"/>
      <c r="B2" s="5" t="str">
        <f>IF(ISBLANK(Company_Name),"Sales Units","Sales Units for "&amp;Company_Name)</f>
        <v>Sales Units for OTW Paints</v>
      </c>
      <c r="C2" s="7"/>
      <c r="D2" s="12"/>
      <c r="E2" s="12"/>
      <c r="F2" s="165"/>
      <c r="G2" s="165"/>
      <c r="H2" s="165"/>
      <c r="I2" s="165"/>
      <c r="J2" s="165"/>
      <c r="K2" s="165"/>
      <c r="L2" s="165"/>
      <c r="M2" s="165"/>
      <c r="N2" s="165"/>
      <c r="O2" s="165"/>
      <c r="P2" s="165"/>
      <c r="Q2" s="134"/>
      <c r="R2" s="12"/>
      <c r="S2" s="12"/>
      <c r="T2" s="5" t="str">
        <f>IF(ISBLANK(Company_Name),"Sales Revenue","Sales Revenue for "&amp;Company_Name)</f>
        <v>Sales Revenue for OTW Paints</v>
      </c>
      <c r="U2" s="12"/>
      <c r="V2" s="12"/>
      <c r="W2" s="12"/>
      <c r="X2" s="12"/>
      <c r="Y2" s="12"/>
      <c r="Z2" s="12"/>
      <c r="AA2" s="12"/>
      <c r="AB2" s="12"/>
      <c r="AC2" s="12"/>
      <c r="AD2" s="12"/>
      <c r="AE2" s="12"/>
      <c r="AF2" s="12"/>
      <c r="AG2" s="12"/>
      <c r="AH2" s="12"/>
      <c r="AI2" s="12"/>
      <c r="AJ2" s="12"/>
      <c r="AK2" s="12"/>
    </row>
    <row r="3">
      <c r="A3" s="167"/>
      <c r="B3" s="11"/>
      <c r="C3" s="11"/>
      <c r="D3" s="11"/>
      <c r="E3" s="11"/>
      <c r="F3" s="11"/>
      <c r="G3" s="11"/>
      <c r="H3" s="11"/>
      <c r="I3" s="11"/>
      <c r="J3" s="11"/>
      <c r="K3" s="11"/>
      <c r="L3" s="167"/>
      <c r="M3" s="11"/>
      <c r="N3" s="11"/>
      <c r="O3" s="11"/>
      <c r="P3" s="11"/>
      <c r="Q3" s="11"/>
      <c r="R3" s="11"/>
      <c r="S3" s="168"/>
      <c r="T3" s="167"/>
      <c r="U3" s="11"/>
      <c r="V3" s="11"/>
      <c r="W3" s="11"/>
      <c r="X3" s="11"/>
      <c r="Y3" s="11"/>
      <c r="Z3" s="11"/>
      <c r="AA3" s="11"/>
      <c r="AB3" s="11"/>
      <c r="AC3" s="11"/>
      <c r="AD3" s="11"/>
      <c r="AE3" s="167"/>
      <c r="AF3" s="11"/>
      <c r="AG3" s="11"/>
      <c r="AH3" s="11"/>
      <c r="AI3" s="11"/>
      <c r="AJ3" s="11"/>
      <c r="AK3" s="12"/>
    </row>
    <row r="4">
      <c r="A4" s="12"/>
      <c r="B4" s="169" t="str">
        <f>"Selling Start Date: "&amp;TEXT(IF(ISBLANK('A. Background'!$D$8),"",'A. Background'!$D$8),"mm/dd/yy")</f>
        <v>Selling Start Date: 01/01/16</v>
      </c>
      <c r="C4" s="7"/>
      <c r="D4" s="12"/>
      <c r="E4" s="165"/>
      <c r="F4" s="165"/>
      <c r="G4" s="165"/>
      <c r="H4" s="165"/>
      <c r="I4" s="165"/>
      <c r="J4" s="165"/>
      <c r="K4" s="165"/>
      <c r="L4" s="165"/>
      <c r="M4" s="165"/>
      <c r="N4" s="165"/>
      <c r="O4" s="165"/>
      <c r="P4" s="165"/>
      <c r="Q4" s="134"/>
      <c r="R4" s="83"/>
      <c r="S4" s="12"/>
      <c r="T4" s="12"/>
      <c r="U4" s="12"/>
      <c r="V4" s="12"/>
      <c r="W4" s="12"/>
      <c r="X4" s="12"/>
      <c r="Y4" s="12"/>
      <c r="Z4" s="12"/>
      <c r="AA4" s="12"/>
      <c r="AB4" s="12"/>
      <c r="AC4" s="12"/>
      <c r="AD4" s="12"/>
      <c r="AE4" s="12"/>
      <c r="AF4" s="12"/>
      <c r="AG4" s="12"/>
      <c r="AH4" s="12"/>
      <c r="AI4" s="12"/>
      <c r="AJ4" s="12"/>
      <c r="AK4" s="12"/>
    </row>
    <row r="5">
      <c r="A5" s="12"/>
      <c r="B5" s="170" t="s">
        <v>258</v>
      </c>
      <c r="C5" s="171"/>
      <c r="D5" s="12"/>
      <c r="E5" s="165"/>
      <c r="F5" s="165"/>
      <c r="G5" s="165"/>
      <c r="H5" s="165"/>
      <c r="I5" s="165"/>
      <c r="J5" s="165"/>
      <c r="K5" s="165"/>
      <c r="L5" s="165"/>
      <c r="M5" s="165"/>
      <c r="N5" s="165"/>
      <c r="O5" s="165"/>
      <c r="P5" s="165"/>
      <c r="Q5" s="134"/>
      <c r="R5" s="83"/>
      <c r="S5" s="12"/>
      <c r="T5" s="12"/>
      <c r="U5" s="12"/>
      <c r="V5" s="12"/>
      <c r="W5" s="12"/>
      <c r="X5" s="12"/>
      <c r="Y5" s="12"/>
      <c r="Z5" s="12"/>
      <c r="AA5" s="12"/>
      <c r="AB5" s="12"/>
      <c r="AC5" s="12"/>
      <c r="AD5" s="12"/>
      <c r="AE5" s="12"/>
      <c r="AF5" s="12"/>
      <c r="AG5" s="12"/>
      <c r="AH5" s="12"/>
      <c r="AI5" s="12"/>
      <c r="AJ5" s="12"/>
      <c r="AK5" s="12"/>
    </row>
    <row r="6">
      <c r="A6" s="172"/>
      <c r="B6" s="173" t="s">
        <v>259</v>
      </c>
      <c r="C6" s="174"/>
      <c r="D6" s="174" t="s">
        <v>260</v>
      </c>
      <c r="E6" s="174"/>
      <c r="F6" s="174"/>
      <c r="G6" s="174"/>
      <c r="H6" s="174"/>
      <c r="I6" s="174"/>
      <c r="J6" s="174"/>
      <c r="K6" s="174"/>
      <c r="L6" s="174"/>
      <c r="M6" s="174"/>
      <c r="N6" s="174"/>
      <c r="O6" s="174"/>
      <c r="P6" s="174"/>
      <c r="Q6" s="174"/>
      <c r="R6" s="174"/>
      <c r="S6" s="168"/>
      <c r="T6" s="175" t="s">
        <v>261</v>
      </c>
      <c r="U6" s="176"/>
      <c r="V6" s="176"/>
      <c r="W6" s="176"/>
      <c r="X6" s="176"/>
      <c r="Y6" s="176"/>
      <c r="Z6" s="176"/>
      <c r="AA6" s="176"/>
      <c r="AB6" s="176"/>
      <c r="AC6" s="176"/>
      <c r="AD6" s="176"/>
      <c r="AE6" s="176"/>
      <c r="AF6" s="176"/>
      <c r="AG6" s="176"/>
      <c r="AH6" s="176"/>
      <c r="AI6" s="176"/>
      <c r="AJ6" s="176"/>
      <c r="AK6" s="12"/>
    </row>
    <row r="7">
      <c r="A7" s="177"/>
      <c r="B7" s="25" t="s">
        <v>37</v>
      </c>
      <c r="C7" s="57" t="s">
        <v>262</v>
      </c>
      <c r="D7" s="12"/>
      <c r="E7" s="178">
        <f>DATE(YEAR(Projected_Start_Date),1,1)</f>
        <v>42370</v>
      </c>
      <c r="F7" s="178">
        <f t="shared" ref="F7:P7" si="1">EDATE(E7,1)</f>
        <v>42401</v>
      </c>
      <c r="G7" s="178">
        <f t="shared" si="1"/>
        <v>42430</v>
      </c>
      <c r="H7" s="178">
        <f t="shared" si="1"/>
        <v>42461</v>
      </c>
      <c r="I7" s="178">
        <f t="shared" si="1"/>
        <v>42491</v>
      </c>
      <c r="J7" s="178">
        <f t="shared" si="1"/>
        <v>42522</v>
      </c>
      <c r="K7" s="178">
        <f t="shared" si="1"/>
        <v>42552</v>
      </c>
      <c r="L7" s="178">
        <f t="shared" si="1"/>
        <v>42583</v>
      </c>
      <c r="M7" s="178">
        <f t="shared" si="1"/>
        <v>42614</v>
      </c>
      <c r="N7" s="178">
        <f t="shared" si="1"/>
        <v>42644</v>
      </c>
      <c r="O7" s="178">
        <f t="shared" si="1"/>
        <v>42675</v>
      </c>
      <c r="P7" s="178">
        <f t="shared" si="1"/>
        <v>42705</v>
      </c>
      <c r="Q7" s="180" t="s">
        <v>263</v>
      </c>
      <c r="R7" s="55" t="s">
        <v>264</v>
      </c>
      <c r="S7" s="12"/>
      <c r="T7" s="25" t="s">
        <v>37</v>
      </c>
      <c r="U7" s="57" t="s">
        <v>262</v>
      </c>
      <c r="V7" s="12"/>
      <c r="W7" s="178">
        <f>DATE(YEAR(Projected_Start_Date),1,1)</f>
        <v>42370</v>
      </c>
      <c r="X7" s="178">
        <f t="shared" ref="X7:AH7" si="2">EDATE(W7,1)</f>
        <v>42401</v>
      </c>
      <c r="Y7" s="178">
        <f t="shared" si="2"/>
        <v>42430</v>
      </c>
      <c r="Z7" s="178">
        <f t="shared" si="2"/>
        <v>42461</v>
      </c>
      <c r="AA7" s="178">
        <f t="shared" si="2"/>
        <v>42491</v>
      </c>
      <c r="AB7" s="178">
        <f t="shared" si="2"/>
        <v>42522</v>
      </c>
      <c r="AC7" s="178">
        <f t="shared" si="2"/>
        <v>42552</v>
      </c>
      <c r="AD7" s="178">
        <f t="shared" si="2"/>
        <v>42583</v>
      </c>
      <c r="AE7" s="178">
        <f t="shared" si="2"/>
        <v>42614</v>
      </c>
      <c r="AF7" s="178">
        <f t="shared" si="2"/>
        <v>42644</v>
      </c>
      <c r="AG7" s="178">
        <f t="shared" si="2"/>
        <v>42675</v>
      </c>
      <c r="AH7" s="178">
        <f t="shared" si="2"/>
        <v>42705</v>
      </c>
      <c r="AI7" s="180" t="s">
        <v>263</v>
      </c>
      <c r="AJ7" s="55" t="s">
        <v>264</v>
      </c>
      <c r="AK7" s="12"/>
    </row>
    <row r="8">
      <c r="A8" s="181">
        <v>1.0</v>
      </c>
      <c r="B8" s="12" t="str">
        <f>IF(OR(ISBLANK(('A. Background'!B15)),'A. Background'!B15="Product/Service"),"",'A. Background'!B15)</f>
        <v>Paint</v>
      </c>
      <c r="C8" s="182">
        <f>IF(B8="",0,'A. Background'!H15)</f>
        <v>100</v>
      </c>
      <c r="D8" s="12"/>
      <c r="E8" s="183">
        <v>20.0</v>
      </c>
      <c r="F8" s="183">
        <v>30.0</v>
      </c>
      <c r="G8" s="183">
        <f>IF(Projected_Start_Date&lt;=$B$4,F8,0)</f>
        <v>30</v>
      </c>
      <c r="H8" s="183">
        <f>IF(Projected_Start_Date&lt;=$B$4,G8,0)</f>
        <v>30</v>
      </c>
      <c r="I8" s="183">
        <v>60.0</v>
      </c>
      <c r="J8" s="183">
        <f>IF(Projected_Start_Date&lt;=$B$4,I8,0)</f>
        <v>60</v>
      </c>
      <c r="K8" s="183">
        <f>IF(Projected_Start_Date&lt;=$B$4,J8,0)</f>
        <v>60</v>
      </c>
      <c r="L8" s="183">
        <f>IF(Projected_Start_Date&lt;=$B$4,K8,0)</f>
        <v>60</v>
      </c>
      <c r="M8" s="183">
        <v>100.0</v>
      </c>
      <c r="N8" s="183">
        <f>IF(Projected_Start_Date&lt;=$B$4,M8,0)</f>
        <v>100</v>
      </c>
      <c r="O8" s="183">
        <f>IF(Projected_Start_Date&lt;=$B$4,N8,0)</f>
        <v>100</v>
      </c>
      <c r="P8" s="183">
        <f>IF(Projected_Start_Date&lt;=$B$4,O8,0)</f>
        <v>100</v>
      </c>
      <c r="Q8" s="184">
        <f t="shared" ref="Q8:Q15" si="3">IF(SUM(E8:P8)=0,"",SUM(E8:P8))</f>
        <v>750</v>
      </c>
      <c r="R8" s="185">
        <f t="shared" ref="R8:R15" si="4">IFERROR(Q8/SUM($Q$8:$Q$17),"")</f>
        <v>0.5</v>
      </c>
      <c r="S8" s="61">
        <v>1.0</v>
      </c>
      <c r="T8" s="12" t="str">
        <f>IF('A. Background'!B15="Product/Service","",'A. Background'!B15)</f>
        <v>Paint</v>
      </c>
      <c r="U8" s="182" t="str">
        <f>IF(T8="","",'A. Background'!H69)</f>
        <v/>
      </c>
      <c r="V8" s="12"/>
      <c r="W8" s="186">
        <f>IF(Projected_Start_Date&lt;=$B$4,(E8*$E47),0)</f>
        <v>1400</v>
      </c>
      <c r="X8" s="186">
        <f>IF(Projected_Start_Date&lt;=$B$4,(F8*$E47),0)</f>
        <v>2100</v>
      </c>
      <c r="Y8" s="186">
        <f>IF(Projected_Start_Date&lt;=$B$4,(G8*$E47),0)</f>
        <v>2100</v>
      </c>
      <c r="Z8" s="186">
        <f>IF(Projected_Start_Date&lt;=$B$4,(H8*$E47),0)</f>
        <v>2100</v>
      </c>
      <c r="AA8" s="186">
        <f>IF(Projected_Start_Date&lt;=$B$4,(I8*$E47),0)</f>
        <v>4200</v>
      </c>
      <c r="AB8" s="186">
        <f>IF(Projected_Start_Date&lt;=$B$4,(J8*$E47),0)</f>
        <v>4200</v>
      </c>
      <c r="AC8" s="186">
        <f>IF(Projected_Start_Date&lt;=$B$4,(K8*$E47),0)</f>
        <v>4200</v>
      </c>
      <c r="AD8" s="186">
        <f>IF(Projected_Start_Date&lt;=$B$4,(L8*$E47),0)</f>
        <v>4200</v>
      </c>
      <c r="AE8" s="186">
        <f>IF(Projected_Start_Date&lt;=$B$4,(M8*$E47),0)</f>
        <v>7000</v>
      </c>
      <c r="AF8" s="186">
        <f>IF(Projected_Start_Date&lt;=$B$4,(N8*$E47),0)</f>
        <v>7000</v>
      </c>
      <c r="AG8" s="186">
        <f>IF(Projected_Start_Date&lt;=$B$4,(O8*$E47),0)</f>
        <v>7000</v>
      </c>
      <c r="AH8" s="186">
        <f>IF(Projected_Start_Date&lt;=$B$4,(P8*$E47),0)</f>
        <v>7000</v>
      </c>
      <c r="AI8" s="187">
        <f t="shared" ref="AI8:AI15" si="5">IF(SUM(W8:AH8)=0,"",SUM(W8:AH8))</f>
        <v>52500</v>
      </c>
      <c r="AJ8" s="185">
        <f t="shared" ref="AJ8:AJ15" si="6">IFERROR(AI8/SUM($AI$8:$AI$15),"")</f>
        <v>0.8235294118</v>
      </c>
      <c r="AK8" s="12"/>
    </row>
    <row r="9">
      <c r="A9" s="181">
        <v>2.0</v>
      </c>
      <c r="B9" s="12" t="str">
        <f>IF(OR(ISBLANK(('A. Background'!B16)),'A. Background'!B16="Product/Service"),"",'A. Background'!B16)</f>
        <v>REMOVER</v>
      </c>
      <c r="C9" s="182">
        <f>IF(B9="",0,'A. Background'!H16)</f>
        <v>100</v>
      </c>
      <c r="D9" s="12"/>
      <c r="E9" s="183">
        <v>20.0</v>
      </c>
      <c r="F9" s="183">
        <v>30.0</v>
      </c>
      <c r="G9" s="183">
        <v>30.0</v>
      </c>
      <c r="H9" s="183">
        <f>IF(Projected_Start_Date&lt;=$B$4,G9,0)</f>
        <v>30</v>
      </c>
      <c r="I9" s="183">
        <v>60.0</v>
      </c>
      <c r="J9" s="183">
        <v>60.0</v>
      </c>
      <c r="K9" s="183">
        <f>IF(Projected_Start_Date&lt;=$B$4,J9,0)</f>
        <v>60</v>
      </c>
      <c r="L9" s="183">
        <f>IF(Projected_Start_Date&lt;=$B$4,K9,0)</f>
        <v>60</v>
      </c>
      <c r="M9" s="183">
        <v>100.0</v>
      </c>
      <c r="N9" s="183">
        <f>IF(Projected_Start_Date&lt;=$B$4,M9,0)</f>
        <v>100</v>
      </c>
      <c r="O9" s="183">
        <f>IF(Projected_Start_Date&lt;=$B$4,N9,0)</f>
        <v>100</v>
      </c>
      <c r="P9" s="183">
        <f>IF(Projected_Start_Date&lt;=$B$4,O9,0)</f>
        <v>100</v>
      </c>
      <c r="Q9" s="184">
        <f t="shared" si="3"/>
        <v>750</v>
      </c>
      <c r="R9" s="185">
        <f t="shared" si="4"/>
        <v>0.5</v>
      </c>
      <c r="S9" s="61">
        <v>2.0</v>
      </c>
      <c r="T9" s="12" t="str">
        <f>IF('A. Background'!B16="Product/Service","",'A. Background'!B16)</f>
        <v>REMOVER</v>
      </c>
      <c r="U9" s="182" t="str">
        <f>IF(T9="","",'A. Background'!H70)</f>
        <v/>
      </c>
      <c r="V9" s="12"/>
      <c r="W9" s="188">
        <f>IF(Projected_Start_Date&lt;=$B$4,(E9*$E48),0)</f>
        <v>300</v>
      </c>
      <c r="X9" s="188">
        <f>IF(Projected_Start_Date&lt;=$B$4,(F9*$E48),0)</f>
        <v>450</v>
      </c>
      <c r="Y9" s="188">
        <f>IF(Projected_Start_Date&lt;=$B$4,(G9*$E48),0)</f>
        <v>450</v>
      </c>
      <c r="Z9" s="188">
        <f>IF(Projected_Start_Date&lt;=$B$4,(H9*$E48),0)</f>
        <v>450</v>
      </c>
      <c r="AA9" s="188">
        <f>IF(Projected_Start_Date&lt;=$B$4,(I9*$E48),0)</f>
        <v>900</v>
      </c>
      <c r="AB9" s="188">
        <f>IF(Projected_Start_Date&lt;=$B$4,(J9*$E48),0)</f>
        <v>900</v>
      </c>
      <c r="AC9" s="188">
        <f>IF(Projected_Start_Date&lt;=$B$4,(K9*$E48),0)</f>
        <v>900</v>
      </c>
      <c r="AD9" s="188">
        <f>IF(Projected_Start_Date&lt;=$B$4,(L9*$E48),0)</f>
        <v>900</v>
      </c>
      <c r="AE9" s="188">
        <f>IF(Projected_Start_Date&lt;=$B$4,(M9*$E48),0)</f>
        <v>1500</v>
      </c>
      <c r="AF9" s="188">
        <f>IF(Projected_Start_Date&lt;=$B$4,(N9*$E48),0)</f>
        <v>1500</v>
      </c>
      <c r="AG9" s="188">
        <f>IF(Projected_Start_Date&lt;=$B$4,(O9*$E48),0)</f>
        <v>1500</v>
      </c>
      <c r="AH9" s="188">
        <f>IF(Projected_Start_Date&lt;=$B$4,(P9*$E48),0)</f>
        <v>1500</v>
      </c>
      <c r="AI9" s="189">
        <f t="shared" si="5"/>
        <v>11250</v>
      </c>
      <c r="AJ9" s="185">
        <f t="shared" si="6"/>
        <v>0.1764705882</v>
      </c>
      <c r="AK9" s="12"/>
    </row>
    <row r="10">
      <c r="A10" s="181">
        <v>3.0</v>
      </c>
      <c r="B10" s="12" t="str">
        <f>IF(OR(ISBLANK(('A. Background'!B17)),'A. Background'!B17="Product/Service"),"",'A. Background'!B17)</f>
        <v/>
      </c>
      <c r="C10" s="182">
        <f>IF(B10="",0,'A. Background'!H17)</f>
        <v>0</v>
      </c>
      <c r="D10" s="12"/>
      <c r="E10" s="183">
        <f>IF(Projected_Start_Date&lt;=$B$4,C10,0)</f>
        <v>0</v>
      </c>
      <c r="F10" s="183">
        <f>IF(Projected_Start_Date&lt;=$B$4,E10,0)</f>
        <v>0</v>
      </c>
      <c r="G10" s="183">
        <f>IF(Projected_Start_Date&lt;=$B$4,F10,0)</f>
        <v>0</v>
      </c>
      <c r="H10" s="183">
        <f>IF(Projected_Start_Date&lt;=$B$4,G10,0)</f>
        <v>0</v>
      </c>
      <c r="I10" s="183">
        <f>IF(Projected_Start_Date&lt;=$B$4,H10,0)</f>
        <v>0</v>
      </c>
      <c r="J10" s="183">
        <f>IF(Projected_Start_Date&lt;=$B$4,I10,0)</f>
        <v>0</v>
      </c>
      <c r="K10" s="183">
        <f>IF(Projected_Start_Date&lt;=$B$4,J10,0)</f>
        <v>0</v>
      </c>
      <c r="L10" s="183">
        <f>IF(Projected_Start_Date&lt;=$B$4,K10,0)</f>
        <v>0</v>
      </c>
      <c r="M10" s="183">
        <f>IF(Projected_Start_Date&lt;=$B$4,L10,0)</f>
        <v>0</v>
      </c>
      <c r="N10" s="183">
        <f>IF(Projected_Start_Date&lt;=$B$4,M10,0)</f>
        <v>0</v>
      </c>
      <c r="O10" s="183">
        <f>IF(Projected_Start_Date&lt;=$B$4,N10,0)</f>
        <v>0</v>
      </c>
      <c r="P10" s="183">
        <f>IF(Projected_Start_Date&lt;=$B$4,O10,0)</f>
        <v>0</v>
      </c>
      <c r="Q10" s="190" t="str">
        <f t="shared" si="3"/>
        <v/>
      </c>
      <c r="R10" s="185">
        <f t="shared" si="4"/>
        <v>0</v>
      </c>
      <c r="S10" s="61">
        <v>3.0</v>
      </c>
      <c r="T10" s="12" t="str">
        <f>IF('A. Background'!B17="Product/Service","",'A. Background'!B17)</f>
        <v/>
      </c>
      <c r="U10" s="182" t="str">
        <f>IF(T10="","",'A. Background'!H71)</f>
        <v/>
      </c>
      <c r="V10" s="12"/>
      <c r="W10" s="188">
        <f>IF(Projected_Start_Date&lt;=$B$4,(E10*$E49),0)</f>
        <v>0</v>
      </c>
      <c r="X10" s="188">
        <f>IF(Projected_Start_Date&lt;=$B$4,(F10*$E49),0)</f>
        <v>0</v>
      </c>
      <c r="Y10" s="188">
        <f>IF(Projected_Start_Date&lt;=$B$4,(G10*$E49),0)</f>
        <v>0</v>
      </c>
      <c r="Z10" s="188">
        <f>IF(Projected_Start_Date&lt;=$B$4,(H10*$E49),0)</f>
        <v>0</v>
      </c>
      <c r="AA10" s="188">
        <f>IF(Projected_Start_Date&lt;=$B$4,(I10*$E49),0)</f>
        <v>0</v>
      </c>
      <c r="AB10" s="188">
        <f>IF(Projected_Start_Date&lt;=$B$4,(J10*$E49),0)</f>
        <v>0</v>
      </c>
      <c r="AC10" s="188">
        <f>IF(Projected_Start_Date&lt;=$B$4,(K10*$E49),0)</f>
        <v>0</v>
      </c>
      <c r="AD10" s="188">
        <f>IF(Projected_Start_Date&lt;=$B$4,(L10*$E49),0)</f>
        <v>0</v>
      </c>
      <c r="AE10" s="188">
        <f>IF(Projected_Start_Date&lt;=$B$4,(M10*$E49),0)</f>
        <v>0</v>
      </c>
      <c r="AF10" s="188">
        <f>IF(Projected_Start_Date&lt;=$B$4,(N10*$E49),0)</f>
        <v>0</v>
      </c>
      <c r="AG10" s="188">
        <f>IF(Projected_Start_Date&lt;=$B$4,(O10*$E49),0)</f>
        <v>0</v>
      </c>
      <c r="AH10" s="188">
        <f>IF(Projected_Start_Date&lt;=$B$4,(P10*$E49),0)</f>
        <v>0</v>
      </c>
      <c r="AI10" s="189" t="str">
        <f t="shared" si="5"/>
        <v/>
      </c>
      <c r="AJ10" s="185">
        <f t="shared" si="6"/>
        <v>0</v>
      </c>
      <c r="AK10" s="12"/>
    </row>
    <row r="11">
      <c r="A11" s="181">
        <v>4.0</v>
      </c>
      <c r="B11" s="12" t="str">
        <f>IF(OR(ISBLANK(('A. Background'!B18)),'A. Background'!B18="Product/Service"),"",'A. Background'!B18)</f>
        <v/>
      </c>
      <c r="C11" s="182">
        <f>IF(B11="",0,'A. Background'!H18)</f>
        <v>0</v>
      </c>
      <c r="D11" s="12"/>
      <c r="E11" s="183">
        <f>IF(Projected_Start_Date&lt;=$B$4,C11,0)</f>
        <v>0</v>
      </c>
      <c r="F11" s="183">
        <f>IF(Projected_Start_Date&lt;=$B$4,E11,0)</f>
        <v>0</v>
      </c>
      <c r="G11" s="183">
        <f>IF(Projected_Start_Date&lt;=$B$4,F11,0)</f>
        <v>0</v>
      </c>
      <c r="H11" s="183">
        <f>IF(Projected_Start_Date&lt;=$B$4,G11,0)</f>
        <v>0</v>
      </c>
      <c r="I11" s="183">
        <f>IF(Projected_Start_Date&lt;=$B$4,H11,0)</f>
        <v>0</v>
      </c>
      <c r="J11" s="183">
        <f>IF(Projected_Start_Date&lt;=$B$4,I11,0)</f>
        <v>0</v>
      </c>
      <c r="K11" s="183">
        <f>IF(Projected_Start_Date&lt;=$B$4,J11,0)</f>
        <v>0</v>
      </c>
      <c r="L11" s="183">
        <f>IF(Projected_Start_Date&lt;=$B$4,K11,0)</f>
        <v>0</v>
      </c>
      <c r="M11" s="183">
        <f>IF(Projected_Start_Date&lt;=$B$4,L11,0)</f>
        <v>0</v>
      </c>
      <c r="N11" s="183">
        <f>IF(Projected_Start_Date&lt;=$B$4,M11,0)</f>
        <v>0</v>
      </c>
      <c r="O11" s="183">
        <f>IF(Projected_Start_Date&lt;=$B$4,N11,0)</f>
        <v>0</v>
      </c>
      <c r="P11" s="183">
        <f>IF(Projected_Start_Date&lt;=$B$4,O11,0)</f>
        <v>0</v>
      </c>
      <c r="Q11" s="190" t="str">
        <f t="shared" si="3"/>
        <v/>
      </c>
      <c r="R11" s="185">
        <f t="shared" si="4"/>
        <v>0</v>
      </c>
      <c r="S11" s="61">
        <v>4.0</v>
      </c>
      <c r="T11" s="12" t="str">
        <f>IF('A. Background'!B18="Product/Service","",'A. Background'!B18)</f>
        <v/>
      </c>
      <c r="U11" s="182" t="str">
        <f>IF(T11="","",'A. Background'!H72)</f>
        <v/>
      </c>
      <c r="V11" s="12"/>
      <c r="W11" s="188">
        <f>IF(Projected_Start_Date&lt;=$B$4,(E11*$E50),0)</f>
        <v>0</v>
      </c>
      <c r="X11" s="188">
        <f>IF(Projected_Start_Date&lt;=$B$4,(F11*$E50),0)</f>
        <v>0</v>
      </c>
      <c r="Y11" s="188">
        <f>IF(Projected_Start_Date&lt;=$B$4,(G11*$E50),0)</f>
        <v>0</v>
      </c>
      <c r="Z11" s="188">
        <f>IF(Projected_Start_Date&lt;=$B$4,(H11*$E50),0)</f>
        <v>0</v>
      </c>
      <c r="AA11" s="188">
        <f>IF(Projected_Start_Date&lt;=$B$4,(I11*$E50),0)</f>
        <v>0</v>
      </c>
      <c r="AB11" s="188">
        <f>IF(Projected_Start_Date&lt;=$B$4,(J11*$E50),0)</f>
        <v>0</v>
      </c>
      <c r="AC11" s="188">
        <f>IF(Projected_Start_Date&lt;=$B$4,(K11*$E50),0)</f>
        <v>0</v>
      </c>
      <c r="AD11" s="188">
        <f>IF(Projected_Start_Date&lt;=$B$4,(L11*$E50),0)</f>
        <v>0</v>
      </c>
      <c r="AE11" s="188">
        <f>IF(Projected_Start_Date&lt;=$B$4,(M11*$E50),0)</f>
        <v>0</v>
      </c>
      <c r="AF11" s="188">
        <f>IF(Projected_Start_Date&lt;=$B$4,(N11*$E50),0)</f>
        <v>0</v>
      </c>
      <c r="AG11" s="188">
        <f>IF(Projected_Start_Date&lt;=$B$4,(O11*$E50),0)</f>
        <v>0</v>
      </c>
      <c r="AH11" s="188">
        <f>IF(Projected_Start_Date&lt;=$B$4,(P11*$E50),0)</f>
        <v>0</v>
      </c>
      <c r="AI11" s="189" t="str">
        <f t="shared" si="5"/>
        <v/>
      </c>
      <c r="AJ11" s="185">
        <f t="shared" si="6"/>
        <v>0</v>
      </c>
      <c r="AK11" s="12"/>
    </row>
    <row r="12">
      <c r="A12" s="181">
        <v>5.0</v>
      </c>
      <c r="B12" s="12" t="str">
        <f>IF(OR(ISBLANK(('A. Background'!B19)),'A. Background'!B19="Product/Service"),"",'A. Background'!B19)</f>
        <v/>
      </c>
      <c r="C12" s="182">
        <f>IF(B12="",0,'A. Background'!H19)</f>
        <v>0</v>
      </c>
      <c r="D12" s="12"/>
      <c r="E12" s="183">
        <f>IF(Projected_Start_Date&lt;=$B$4,C12,0)</f>
        <v>0</v>
      </c>
      <c r="F12" s="183">
        <f>IF(Projected_Start_Date&lt;=$B$4,E12,0)</f>
        <v>0</v>
      </c>
      <c r="G12" s="183">
        <f>IF(Projected_Start_Date&lt;=$B$4,F12,0)</f>
        <v>0</v>
      </c>
      <c r="H12" s="183">
        <f>IF(Projected_Start_Date&lt;=$B$4,G12,0)</f>
        <v>0</v>
      </c>
      <c r="I12" s="183">
        <f>IF(Projected_Start_Date&lt;=$B$4,H12,0)</f>
        <v>0</v>
      </c>
      <c r="J12" s="183">
        <f>IF(Projected_Start_Date&lt;=$B$4,I12,0)</f>
        <v>0</v>
      </c>
      <c r="K12" s="183">
        <f>IF(Projected_Start_Date&lt;=$B$4,J12,0)</f>
        <v>0</v>
      </c>
      <c r="L12" s="183">
        <f>IF(Projected_Start_Date&lt;=$B$4,K12,0)</f>
        <v>0</v>
      </c>
      <c r="M12" s="183">
        <f>IF(Projected_Start_Date&lt;=$B$4,L12,0)</f>
        <v>0</v>
      </c>
      <c r="N12" s="183">
        <f>IF(Projected_Start_Date&lt;=$B$4,M12,0)</f>
        <v>0</v>
      </c>
      <c r="O12" s="183">
        <f>IF(Projected_Start_Date&lt;=$B$4,N12,0)</f>
        <v>0</v>
      </c>
      <c r="P12" s="183">
        <f>IF(Projected_Start_Date&lt;=$B$4,O12,0)</f>
        <v>0</v>
      </c>
      <c r="Q12" s="190" t="str">
        <f t="shared" si="3"/>
        <v/>
      </c>
      <c r="R12" s="185">
        <f t="shared" si="4"/>
        <v>0</v>
      </c>
      <c r="S12" s="61">
        <v>5.0</v>
      </c>
      <c r="T12" s="12" t="str">
        <f>IF('A. Background'!B19="Product/Service","",'A. Background'!B19)</f>
        <v/>
      </c>
      <c r="U12" s="182" t="str">
        <f>IF(T12="","",'A. Background'!H73)</f>
        <v/>
      </c>
      <c r="V12" s="12"/>
      <c r="W12" s="188">
        <f>IF(Projected_Start_Date&lt;=$B$4,(E12*$E51),0)</f>
        <v>0</v>
      </c>
      <c r="X12" s="188">
        <f>IF(Projected_Start_Date&lt;=$B$4,(F12*$E51),0)</f>
        <v>0</v>
      </c>
      <c r="Y12" s="188">
        <f>IF(Projected_Start_Date&lt;=$B$4,(G12*$E51),0)</f>
        <v>0</v>
      </c>
      <c r="Z12" s="188">
        <f>IF(Projected_Start_Date&lt;=$B$4,(H12*$E51),0)</f>
        <v>0</v>
      </c>
      <c r="AA12" s="188">
        <f>IF(Projected_Start_Date&lt;=$B$4,(I12*$E51),0)</f>
        <v>0</v>
      </c>
      <c r="AB12" s="188">
        <f>IF(Projected_Start_Date&lt;=$B$4,(J12*$E51),0)</f>
        <v>0</v>
      </c>
      <c r="AC12" s="188">
        <f>IF(Projected_Start_Date&lt;=$B$4,(K12*$E51),0)</f>
        <v>0</v>
      </c>
      <c r="AD12" s="188">
        <f>IF(Projected_Start_Date&lt;=$B$4,(L12*$E51),0)</f>
        <v>0</v>
      </c>
      <c r="AE12" s="188">
        <f>IF(Projected_Start_Date&lt;=$B$4,(M12*$E51),0)</f>
        <v>0</v>
      </c>
      <c r="AF12" s="188">
        <f>IF(Projected_Start_Date&lt;=$B$4,(N12*$E51),0)</f>
        <v>0</v>
      </c>
      <c r="AG12" s="188">
        <f>IF(Projected_Start_Date&lt;=$B$4,(O12*$E51),0)</f>
        <v>0</v>
      </c>
      <c r="AH12" s="188">
        <f>IF(Projected_Start_Date&lt;=$B$4,(P12*$E51),0)</f>
        <v>0</v>
      </c>
      <c r="AI12" s="191" t="str">
        <f t="shared" si="5"/>
        <v/>
      </c>
      <c r="AJ12" s="185">
        <f t="shared" si="6"/>
        <v>0</v>
      </c>
      <c r="AK12" s="12"/>
    </row>
    <row r="13">
      <c r="A13" s="181">
        <v>6.0</v>
      </c>
      <c r="B13" s="12" t="str">
        <f>IF(OR(ISBLANK(('A. Background'!B20)),'A. Background'!B20="Product/Service"),"",'A. Background'!B20)</f>
        <v/>
      </c>
      <c r="C13" s="182">
        <f>IF(B13="",0,'A. Background'!H20)</f>
        <v>0</v>
      </c>
      <c r="D13" s="12"/>
      <c r="E13" s="183">
        <f>IF(Projected_Start_Date&lt;=$B$4,C13,0)</f>
        <v>0</v>
      </c>
      <c r="F13" s="183">
        <f>IF(Projected_Start_Date&lt;=$B$4,E13,0)</f>
        <v>0</v>
      </c>
      <c r="G13" s="183">
        <f>IF(Projected_Start_Date&lt;=$B$4,F13,0)</f>
        <v>0</v>
      </c>
      <c r="H13" s="183">
        <f>IF(Projected_Start_Date&lt;=$B$4,G13,0)</f>
        <v>0</v>
      </c>
      <c r="I13" s="183">
        <f>IF(Projected_Start_Date&lt;=$B$4,H13,0)</f>
        <v>0</v>
      </c>
      <c r="J13" s="183">
        <f>IF(Projected_Start_Date&lt;=$B$4,I13,0)</f>
        <v>0</v>
      </c>
      <c r="K13" s="183">
        <f>IF(Projected_Start_Date&lt;=$B$4,J13,0)</f>
        <v>0</v>
      </c>
      <c r="L13" s="183">
        <f>IF(Projected_Start_Date&lt;=$B$4,K13,0)</f>
        <v>0</v>
      </c>
      <c r="M13" s="183">
        <f>IF(Projected_Start_Date&lt;=$B$4,L13,0)</f>
        <v>0</v>
      </c>
      <c r="N13" s="183">
        <f>IF(Projected_Start_Date&lt;=$B$4,M13,0)</f>
        <v>0</v>
      </c>
      <c r="O13" s="183">
        <f>IF(Projected_Start_Date&lt;=$B$4,N13,0)</f>
        <v>0</v>
      </c>
      <c r="P13" s="183">
        <f>IF(Projected_Start_Date&lt;=$B$4,O13,0)</f>
        <v>0</v>
      </c>
      <c r="Q13" s="190" t="str">
        <f t="shared" si="3"/>
        <v/>
      </c>
      <c r="R13" s="185">
        <f t="shared" si="4"/>
        <v>0</v>
      </c>
      <c r="S13" s="61">
        <v>6.0</v>
      </c>
      <c r="T13" s="12" t="str">
        <f>IF('A. Background'!B20="Product/Service","",'A. Background'!B20)</f>
        <v/>
      </c>
      <c r="U13" s="182" t="str">
        <f>IF(T13="","",'A. Background'!H74)</f>
        <v/>
      </c>
      <c r="V13" s="12"/>
      <c r="W13" s="188">
        <f>IF(Projected_Start_Date&lt;=$B$4,(E13*$E52),0)</f>
        <v>0</v>
      </c>
      <c r="X13" s="188">
        <f>IF(Projected_Start_Date&lt;=$B$4,(F13*$E52),0)</f>
        <v>0</v>
      </c>
      <c r="Y13" s="188">
        <f>IF(Projected_Start_Date&lt;=$B$4,(G13*$E52),0)</f>
        <v>0</v>
      </c>
      <c r="Z13" s="188">
        <f>IF(Projected_Start_Date&lt;=$B$4,(H13*$E52),0)</f>
        <v>0</v>
      </c>
      <c r="AA13" s="188">
        <f>IF(Projected_Start_Date&lt;=$B$4,(I13*$E52),0)</f>
        <v>0</v>
      </c>
      <c r="AB13" s="188">
        <f>IF(Projected_Start_Date&lt;=$B$4,(J13*$E52),0)</f>
        <v>0</v>
      </c>
      <c r="AC13" s="188">
        <f>IF(Projected_Start_Date&lt;=$B$4,(K13*$E52),0)</f>
        <v>0</v>
      </c>
      <c r="AD13" s="188">
        <f>IF(Projected_Start_Date&lt;=$B$4,(L13*$E52),0)</f>
        <v>0</v>
      </c>
      <c r="AE13" s="188">
        <f>IF(Projected_Start_Date&lt;=$B$4,(M13*$E52),0)</f>
        <v>0</v>
      </c>
      <c r="AF13" s="188">
        <f>IF(Projected_Start_Date&lt;=$B$4,(N13*$E52),0)</f>
        <v>0</v>
      </c>
      <c r="AG13" s="188">
        <f>IF(Projected_Start_Date&lt;=$B$4,(O13*$E52),0)</f>
        <v>0</v>
      </c>
      <c r="AH13" s="188">
        <f>IF(Projected_Start_Date&lt;=$B$4,(P13*$E52),0)</f>
        <v>0</v>
      </c>
      <c r="AI13" s="191" t="str">
        <f t="shared" si="5"/>
        <v/>
      </c>
      <c r="AJ13" s="185">
        <f t="shared" si="6"/>
        <v>0</v>
      </c>
      <c r="AK13" s="12"/>
    </row>
    <row r="14">
      <c r="A14" s="181">
        <v>7.0</v>
      </c>
      <c r="B14" s="12" t="str">
        <f>IF(OR(ISBLANK(('A. Background'!B21)),'A. Background'!B21="Product/Service"),"",'A. Background'!B21)</f>
        <v/>
      </c>
      <c r="C14" s="182">
        <f>IF(B14="",0,'A. Background'!H21)</f>
        <v>0</v>
      </c>
      <c r="D14" s="12"/>
      <c r="E14" s="183">
        <f>IF(Projected_Start_Date&lt;=$B$4,C14,0)</f>
        <v>0</v>
      </c>
      <c r="F14" s="183">
        <f>IF(Projected_Start_Date&lt;=$B$4,E14,0)</f>
        <v>0</v>
      </c>
      <c r="G14" s="183">
        <f>IF(Projected_Start_Date&lt;=$B$4,F14,0)</f>
        <v>0</v>
      </c>
      <c r="H14" s="183">
        <f>IF(Projected_Start_Date&lt;=$B$4,G14,0)</f>
        <v>0</v>
      </c>
      <c r="I14" s="183">
        <f>IF(Projected_Start_Date&lt;=$B$4,H14,0)</f>
        <v>0</v>
      </c>
      <c r="J14" s="183">
        <f>IF(Projected_Start_Date&lt;=$B$4,I14,0)</f>
        <v>0</v>
      </c>
      <c r="K14" s="183">
        <f>IF(Projected_Start_Date&lt;=$B$4,J14,0)</f>
        <v>0</v>
      </c>
      <c r="L14" s="183">
        <f>IF(Projected_Start_Date&lt;=$B$4,K14,0)</f>
        <v>0</v>
      </c>
      <c r="M14" s="183">
        <f>IF(Projected_Start_Date&lt;=$B$4,L14,0)</f>
        <v>0</v>
      </c>
      <c r="N14" s="183">
        <f>IF(Projected_Start_Date&lt;=$B$4,M14,0)</f>
        <v>0</v>
      </c>
      <c r="O14" s="183">
        <f>IF(Projected_Start_Date&lt;=$B$4,N14,0)</f>
        <v>0</v>
      </c>
      <c r="P14" s="183">
        <f>IF(Projected_Start_Date&lt;=$B$4,O14,0)</f>
        <v>0</v>
      </c>
      <c r="Q14" s="190" t="str">
        <f t="shared" si="3"/>
        <v/>
      </c>
      <c r="R14" s="185">
        <f t="shared" si="4"/>
        <v>0</v>
      </c>
      <c r="S14" s="61">
        <v>7.0</v>
      </c>
      <c r="T14" s="12" t="str">
        <f>IF('A. Background'!B21="Product/Service","",'A. Background'!B21)</f>
        <v/>
      </c>
      <c r="U14" s="182" t="str">
        <f>IF(T14="","",'A. Background'!H75)</f>
        <v/>
      </c>
      <c r="V14" s="12"/>
      <c r="W14" s="188">
        <f>IF(Projected_Start_Date&lt;=$B$4,(E14*$E53),0)</f>
        <v>0</v>
      </c>
      <c r="X14" s="188">
        <f>IF(Projected_Start_Date&lt;=$B$4,(F14*$E53),0)</f>
        <v>0</v>
      </c>
      <c r="Y14" s="188">
        <f>IF(Projected_Start_Date&lt;=$B$4,(G14*$E53),0)</f>
        <v>0</v>
      </c>
      <c r="Z14" s="188">
        <f>IF(Projected_Start_Date&lt;=$B$4,(H14*$E53),0)</f>
        <v>0</v>
      </c>
      <c r="AA14" s="188">
        <f>IF(Projected_Start_Date&lt;=$B$4,(I14*$E53),0)</f>
        <v>0</v>
      </c>
      <c r="AB14" s="188">
        <f>IF(Projected_Start_Date&lt;=$B$4,(J14*$E53),0)</f>
        <v>0</v>
      </c>
      <c r="AC14" s="188">
        <f>IF(Projected_Start_Date&lt;=$B$4,(K14*$E53),0)</f>
        <v>0</v>
      </c>
      <c r="AD14" s="188">
        <f>IF(Projected_Start_Date&lt;=$B$4,(L14*$E53),0)</f>
        <v>0</v>
      </c>
      <c r="AE14" s="188">
        <f>IF(Projected_Start_Date&lt;=$B$4,(M14*$E53),0)</f>
        <v>0</v>
      </c>
      <c r="AF14" s="188">
        <f>IF(Projected_Start_Date&lt;=$B$4,(N14*$E53),0)</f>
        <v>0</v>
      </c>
      <c r="AG14" s="188">
        <f>IF(Projected_Start_Date&lt;=$B$4,(O14*$E53),0)</f>
        <v>0</v>
      </c>
      <c r="AH14" s="188">
        <f>IF(Projected_Start_Date&lt;=$B$4,(P14*$E53),0)</f>
        <v>0</v>
      </c>
      <c r="AI14" s="191" t="str">
        <f t="shared" si="5"/>
        <v/>
      </c>
      <c r="AJ14" s="185">
        <f t="shared" si="6"/>
        <v>0</v>
      </c>
      <c r="AK14" s="12"/>
    </row>
    <row r="15">
      <c r="A15" s="181">
        <v>8.0</v>
      </c>
      <c r="B15" s="12" t="str">
        <f>IF(OR(ISBLANK(('A. Background'!B22)),'A. Background'!B22="Product/Service"),"",'A. Background'!B22)</f>
        <v/>
      </c>
      <c r="C15" s="182">
        <f>IF(B15="",0,'A. Background'!H22)</f>
        <v>0</v>
      </c>
      <c r="D15" s="12"/>
      <c r="E15" s="183">
        <f>IF(Projected_Start_Date&lt;=$B$4,C15,0)</f>
        <v>0</v>
      </c>
      <c r="F15" s="183">
        <f>IF(Projected_Start_Date&lt;=$B$4,E15,0)</f>
        <v>0</v>
      </c>
      <c r="G15" s="183">
        <f>IF(Projected_Start_Date&lt;=$B$4,F15,0)</f>
        <v>0</v>
      </c>
      <c r="H15" s="183">
        <f>IF(Projected_Start_Date&lt;=$B$4,G15,0)</f>
        <v>0</v>
      </c>
      <c r="I15" s="183">
        <f>IF(Projected_Start_Date&lt;=$B$4,H15,0)</f>
        <v>0</v>
      </c>
      <c r="J15" s="183">
        <f>IF(Projected_Start_Date&lt;=$B$4,I15,0)</f>
        <v>0</v>
      </c>
      <c r="K15" s="183">
        <f>IF(Projected_Start_Date&lt;=$B$4,J15,0)</f>
        <v>0</v>
      </c>
      <c r="L15" s="183">
        <f>IF(Projected_Start_Date&lt;=$B$4,K15,0)</f>
        <v>0</v>
      </c>
      <c r="M15" s="183">
        <f>IF(Projected_Start_Date&lt;=$B$4,L15,0)</f>
        <v>0</v>
      </c>
      <c r="N15" s="183">
        <f>IF(Projected_Start_Date&lt;=$B$4,M15,0)</f>
        <v>0</v>
      </c>
      <c r="O15" s="183">
        <f>IF(Projected_Start_Date&lt;=$B$4,N15,0)</f>
        <v>0</v>
      </c>
      <c r="P15" s="183">
        <f>IF(Projected_Start_Date&lt;=$B$4,O15,0)</f>
        <v>0</v>
      </c>
      <c r="Q15" s="190" t="str">
        <f t="shared" si="3"/>
        <v/>
      </c>
      <c r="R15" s="185">
        <f t="shared" si="4"/>
        <v>0</v>
      </c>
      <c r="S15" s="61">
        <v>8.0</v>
      </c>
      <c r="T15" s="12" t="str">
        <f>IF('A. Background'!B22="Product/Service","",'A. Background'!B22)</f>
        <v/>
      </c>
      <c r="U15" s="182" t="str">
        <f>IF(T15="","",'A. Background'!H76)</f>
        <v/>
      </c>
      <c r="V15" s="12"/>
      <c r="W15" s="188">
        <f>IF(Projected_Start_Date&lt;=$B$4,(E15*$E54),0)</f>
        <v>0</v>
      </c>
      <c r="X15" s="188">
        <f>IF(Projected_Start_Date&lt;=$B$4,(F15*$E54),0)</f>
        <v>0</v>
      </c>
      <c r="Y15" s="188">
        <f>IF(Projected_Start_Date&lt;=$B$4,(G15*$E54),0)</f>
        <v>0</v>
      </c>
      <c r="Z15" s="188">
        <f>IF(Projected_Start_Date&lt;=$B$4,(H15*$E54),0)</f>
        <v>0</v>
      </c>
      <c r="AA15" s="188">
        <f>IF(Projected_Start_Date&lt;=$B$4,(I15*$E54),0)</f>
        <v>0</v>
      </c>
      <c r="AB15" s="188">
        <f>IF(Projected_Start_Date&lt;=$B$4,(J15*$E54),0)</f>
        <v>0</v>
      </c>
      <c r="AC15" s="188">
        <f>IF(Projected_Start_Date&lt;=$B$4,(K15*$E54),0)</f>
        <v>0</v>
      </c>
      <c r="AD15" s="188">
        <f>IF(Projected_Start_Date&lt;=$B$4,(L15*$E54),0)</f>
        <v>0</v>
      </c>
      <c r="AE15" s="188">
        <f>IF(Projected_Start_Date&lt;=$B$4,(M15*$E54),0)</f>
        <v>0</v>
      </c>
      <c r="AF15" s="188">
        <f>IF(Projected_Start_Date&lt;=$B$4,(N15*$E54),0)</f>
        <v>0</v>
      </c>
      <c r="AG15" s="188">
        <f>IF(Projected_Start_Date&lt;=$B$4,(O15*$E54),0)</f>
        <v>0</v>
      </c>
      <c r="AH15" s="188">
        <f>IF(Projected_Start_Date&lt;=$B$4,(P15*$E54),0)</f>
        <v>0</v>
      </c>
      <c r="AI15" s="191" t="str">
        <f t="shared" si="5"/>
        <v/>
      </c>
      <c r="AJ15" s="185">
        <f t="shared" si="6"/>
        <v>0</v>
      </c>
      <c r="AK15" s="12"/>
    </row>
    <row r="16">
      <c r="A16" s="12"/>
      <c r="B16" s="12"/>
      <c r="C16" s="12"/>
      <c r="D16" s="12"/>
      <c r="E16" s="12"/>
      <c r="F16" s="12"/>
      <c r="G16" s="12"/>
      <c r="H16" s="12"/>
      <c r="I16" s="12"/>
      <c r="J16" s="12"/>
      <c r="K16" s="12"/>
      <c r="L16" s="12"/>
      <c r="M16" s="12"/>
      <c r="N16" s="12"/>
      <c r="O16" s="12"/>
      <c r="P16" s="12"/>
      <c r="Q16" s="12"/>
      <c r="R16" s="12"/>
      <c r="S16" s="61"/>
      <c r="T16" s="12"/>
      <c r="U16" s="182"/>
      <c r="V16" s="12"/>
      <c r="W16" s="188"/>
      <c r="X16" s="188"/>
      <c r="Y16" s="188"/>
      <c r="Z16" s="188"/>
      <c r="AA16" s="188"/>
      <c r="AB16" s="188"/>
      <c r="AC16" s="188"/>
      <c r="AD16" s="188"/>
      <c r="AE16" s="188"/>
      <c r="AF16" s="188"/>
      <c r="AG16" s="188"/>
      <c r="AH16" s="188"/>
      <c r="AI16" s="192"/>
      <c r="AJ16" s="185"/>
      <c r="AK16" s="12"/>
    </row>
    <row r="17">
      <c r="A17" s="193"/>
      <c r="B17" s="173" t="s">
        <v>265</v>
      </c>
      <c r="C17" s="194"/>
      <c r="D17" s="174" t="s">
        <v>260</v>
      </c>
      <c r="E17" s="195"/>
      <c r="F17" s="195"/>
      <c r="G17" s="195"/>
      <c r="H17" s="195"/>
      <c r="I17" s="195"/>
      <c r="J17" s="195"/>
      <c r="K17" s="195"/>
      <c r="L17" s="195"/>
      <c r="M17" s="195"/>
      <c r="N17" s="195"/>
      <c r="O17" s="195"/>
      <c r="P17" s="195"/>
      <c r="Q17" s="196"/>
      <c r="R17" s="196"/>
      <c r="S17" s="168"/>
      <c r="T17" s="175" t="s">
        <v>266</v>
      </c>
      <c r="U17" s="197"/>
      <c r="V17" s="198"/>
      <c r="W17" s="199"/>
      <c r="X17" s="199"/>
      <c r="Y17" s="199"/>
      <c r="Z17" s="199"/>
      <c r="AA17" s="199"/>
      <c r="AB17" s="199"/>
      <c r="AC17" s="199"/>
      <c r="AD17" s="199"/>
      <c r="AE17" s="199"/>
      <c r="AF17" s="199"/>
      <c r="AG17" s="199"/>
      <c r="AH17" s="199"/>
      <c r="AI17" s="200"/>
      <c r="AJ17" s="201"/>
      <c r="AK17" s="12"/>
    </row>
    <row r="18">
      <c r="A18" s="177"/>
      <c r="B18" s="25" t="s">
        <v>37</v>
      </c>
      <c r="C18" s="57" t="s">
        <v>262</v>
      </c>
      <c r="D18" s="12"/>
      <c r="E18" s="178">
        <f t="shared" ref="E18:P18" si="7">E7</f>
        <v>42370</v>
      </c>
      <c r="F18" s="178">
        <f t="shared" si="7"/>
        <v>42401</v>
      </c>
      <c r="G18" s="178">
        <f t="shared" si="7"/>
        <v>42430</v>
      </c>
      <c r="H18" s="178">
        <f t="shared" si="7"/>
        <v>42461</v>
      </c>
      <c r="I18" s="178">
        <f t="shared" si="7"/>
        <v>42491</v>
      </c>
      <c r="J18" s="178">
        <f t="shared" si="7"/>
        <v>42522</v>
      </c>
      <c r="K18" s="178">
        <f t="shared" si="7"/>
        <v>42552</v>
      </c>
      <c r="L18" s="178">
        <f t="shared" si="7"/>
        <v>42583</v>
      </c>
      <c r="M18" s="178">
        <f t="shared" si="7"/>
        <v>42614</v>
      </c>
      <c r="N18" s="178">
        <f t="shared" si="7"/>
        <v>42644</v>
      </c>
      <c r="O18" s="178">
        <f t="shared" si="7"/>
        <v>42675</v>
      </c>
      <c r="P18" s="178">
        <f t="shared" si="7"/>
        <v>42705</v>
      </c>
      <c r="Q18" s="180" t="s">
        <v>263</v>
      </c>
      <c r="R18" s="25" t="s">
        <v>264</v>
      </c>
      <c r="S18" s="12"/>
      <c r="T18" s="25" t="s">
        <v>37</v>
      </c>
      <c r="U18" s="57" t="s">
        <v>262</v>
      </c>
      <c r="V18" s="12"/>
      <c r="W18" s="178">
        <f>DATE(YEAR(Projected_Start_Date),1,1)</f>
        <v>42370</v>
      </c>
      <c r="X18" s="178">
        <f t="shared" ref="X18:AH18" si="8">EDATE(W18,1)</f>
        <v>42401</v>
      </c>
      <c r="Y18" s="178">
        <f t="shared" si="8"/>
        <v>42430</v>
      </c>
      <c r="Z18" s="178">
        <f t="shared" si="8"/>
        <v>42461</v>
      </c>
      <c r="AA18" s="178">
        <f t="shared" si="8"/>
        <v>42491</v>
      </c>
      <c r="AB18" s="178">
        <f t="shared" si="8"/>
        <v>42522</v>
      </c>
      <c r="AC18" s="178">
        <f t="shared" si="8"/>
        <v>42552</v>
      </c>
      <c r="AD18" s="178">
        <f t="shared" si="8"/>
        <v>42583</v>
      </c>
      <c r="AE18" s="178">
        <f t="shared" si="8"/>
        <v>42614</v>
      </c>
      <c r="AF18" s="178">
        <f t="shared" si="8"/>
        <v>42644</v>
      </c>
      <c r="AG18" s="178">
        <f t="shared" si="8"/>
        <v>42675</v>
      </c>
      <c r="AH18" s="178">
        <f t="shared" si="8"/>
        <v>42705</v>
      </c>
      <c r="AI18" s="180" t="s">
        <v>263</v>
      </c>
      <c r="AJ18" s="55" t="s">
        <v>264</v>
      </c>
      <c r="AK18" s="12"/>
    </row>
    <row r="19">
      <c r="A19" s="181">
        <v>1.0</v>
      </c>
      <c r="B19" s="12" t="str">
        <f t="shared" ref="B19:B26" si="10">B8</f>
        <v>Paint</v>
      </c>
      <c r="C19" s="182">
        <f>IF(B19="","",(P8*(1+YR2_Sales_Increase)))</f>
        <v>175</v>
      </c>
      <c r="D19" s="202">
        <f>YR2_Sales_Increase</f>
        <v>0.75</v>
      </c>
      <c r="E19" s="183">
        <f t="shared" ref="E19:E26" si="11">P8*(1+D19)</f>
        <v>175</v>
      </c>
      <c r="F19" s="183">
        <f t="shared" ref="F19:P19" si="9">E19</f>
        <v>175</v>
      </c>
      <c r="G19" s="183">
        <f t="shared" si="9"/>
        <v>175</v>
      </c>
      <c r="H19" s="183">
        <f t="shared" si="9"/>
        <v>175</v>
      </c>
      <c r="I19" s="183">
        <f t="shared" si="9"/>
        <v>175</v>
      </c>
      <c r="J19" s="183">
        <f t="shared" si="9"/>
        <v>175</v>
      </c>
      <c r="K19" s="183">
        <f t="shared" si="9"/>
        <v>175</v>
      </c>
      <c r="L19" s="183">
        <f t="shared" si="9"/>
        <v>175</v>
      </c>
      <c r="M19" s="183">
        <f t="shared" si="9"/>
        <v>175</v>
      </c>
      <c r="N19" s="183">
        <f t="shared" si="9"/>
        <v>175</v>
      </c>
      <c r="O19" s="183">
        <f t="shared" si="9"/>
        <v>175</v>
      </c>
      <c r="P19" s="183">
        <f t="shared" si="9"/>
        <v>175</v>
      </c>
      <c r="Q19" s="184">
        <f t="shared" ref="Q19:Q26" si="13">IF(SUM(E19:P19)=0,"",SUM(E19:P19))</f>
        <v>2100</v>
      </c>
      <c r="R19" s="185">
        <f t="shared" ref="R19:R26" si="14">IFERROR(Q19/SUM($Q$19:$Q$26),"")</f>
        <v>0.5</v>
      </c>
      <c r="S19" s="61">
        <v>1.0</v>
      </c>
      <c r="T19" s="12" t="str">
        <f>IF('A. Background'!B15="Product/Service","",'A. Background'!B15)</f>
        <v>Paint</v>
      </c>
      <c r="U19" s="182" t="str">
        <f>IF(T19="","",'A. Background'!H81)</f>
        <v/>
      </c>
      <c r="V19" s="12"/>
      <c r="W19" s="186">
        <f>IF(Projected_Start_Date&lt;=$B$4,(E19*$E47),0)</f>
        <v>12250</v>
      </c>
      <c r="X19" s="186">
        <f>IF(Projected_Start_Date&lt;=$B$4,(F19*$E47),0)</f>
        <v>12250</v>
      </c>
      <c r="Y19" s="186">
        <f>IF(Projected_Start_Date&lt;=$B$4,(G19*$E47),0)</f>
        <v>12250</v>
      </c>
      <c r="Z19" s="186">
        <f>IF(Projected_Start_Date&lt;=$B$4,(H19*$E47),0)</f>
        <v>12250</v>
      </c>
      <c r="AA19" s="186">
        <f>IF(Projected_Start_Date&lt;=$B$4,(I19*$E47),0)</f>
        <v>12250</v>
      </c>
      <c r="AB19" s="186">
        <f>IF(Projected_Start_Date&lt;=$B$4,(J19*$E47),0)</f>
        <v>12250</v>
      </c>
      <c r="AC19" s="186">
        <f>IF(Projected_Start_Date&lt;=$B$4,(K19*$E47),0)</f>
        <v>12250</v>
      </c>
      <c r="AD19" s="186">
        <f>IF(Projected_Start_Date&lt;=$B$4,(L19*$E47),0)</f>
        <v>12250</v>
      </c>
      <c r="AE19" s="186">
        <f>IF(Projected_Start_Date&lt;=$B$4,(M19*$E47),0)</f>
        <v>12250</v>
      </c>
      <c r="AF19" s="186">
        <f>IF(Projected_Start_Date&lt;=$B$4,(N19*$E47),0)</f>
        <v>12250</v>
      </c>
      <c r="AG19" s="186">
        <f>IF(Projected_Start_Date&lt;=$B$4,(O19*$E47),0)</f>
        <v>12250</v>
      </c>
      <c r="AH19" s="186">
        <f>IF(Projected_Start_Date&lt;=$B$4,(P19*$E47),0)</f>
        <v>12250</v>
      </c>
      <c r="AI19" s="187">
        <f t="shared" ref="AI19:AI26" si="15">IF(SUM(W19:AH19)=0,"",SUM(W19:AH19))</f>
        <v>147000</v>
      </c>
      <c r="AJ19" s="185">
        <f t="shared" ref="AJ19:AJ26" si="16">IFERROR(AI19/SUM($AI$19:$AI$26),"")</f>
        <v>0.8235294118</v>
      </c>
      <c r="AK19" s="12"/>
    </row>
    <row r="20">
      <c r="A20" s="181">
        <v>2.0</v>
      </c>
      <c r="B20" s="12" t="str">
        <f t="shared" si="10"/>
        <v>REMOVER</v>
      </c>
      <c r="C20" s="182">
        <f>IF(B20="","",(P9*(1+YR2_Sales_Increase)))</f>
        <v>175</v>
      </c>
      <c r="D20" s="202">
        <f>YR2_Sales_Increase</f>
        <v>0.75</v>
      </c>
      <c r="E20" s="183">
        <f t="shared" si="11"/>
        <v>175</v>
      </c>
      <c r="F20" s="183">
        <f t="shared" ref="F20:P20" si="12">E20</f>
        <v>175</v>
      </c>
      <c r="G20" s="183">
        <f t="shared" si="12"/>
        <v>175</v>
      </c>
      <c r="H20" s="183">
        <f t="shared" si="12"/>
        <v>175</v>
      </c>
      <c r="I20" s="183">
        <f t="shared" si="12"/>
        <v>175</v>
      </c>
      <c r="J20" s="183">
        <f t="shared" si="12"/>
        <v>175</v>
      </c>
      <c r="K20" s="183">
        <f t="shared" si="12"/>
        <v>175</v>
      </c>
      <c r="L20" s="183">
        <f t="shared" si="12"/>
        <v>175</v>
      </c>
      <c r="M20" s="183">
        <f t="shared" si="12"/>
        <v>175</v>
      </c>
      <c r="N20" s="183">
        <f t="shared" si="12"/>
        <v>175</v>
      </c>
      <c r="O20" s="183">
        <f t="shared" si="12"/>
        <v>175</v>
      </c>
      <c r="P20" s="183">
        <f t="shared" si="12"/>
        <v>175</v>
      </c>
      <c r="Q20" s="184">
        <f t="shared" si="13"/>
        <v>2100</v>
      </c>
      <c r="R20" s="185">
        <f t="shared" si="14"/>
        <v>0.5</v>
      </c>
      <c r="S20" s="61">
        <v>2.0</v>
      </c>
      <c r="T20" s="12" t="str">
        <f>IF('A. Background'!B16="Product/Service","",'A. Background'!B16)</f>
        <v>REMOVER</v>
      </c>
      <c r="U20" s="182" t="str">
        <f>IF(T20="","",'A. Background'!H82)</f>
        <v/>
      </c>
      <c r="V20" s="12"/>
      <c r="W20" s="188">
        <f>IF(Projected_Start_Date&lt;=$B$4,(E20*$E48),0)</f>
        <v>2625</v>
      </c>
      <c r="X20" s="188">
        <f>IF(Projected_Start_Date&lt;=$B$4,(F20*$E48),0)</f>
        <v>2625</v>
      </c>
      <c r="Y20" s="188">
        <f>IF(Projected_Start_Date&lt;=$B$4,(G20*$E48),0)</f>
        <v>2625</v>
      </c>
      <c r="Z20" s="188">
        <f>IF(Projected_Start_Date&lt;=$B$4,(H20*$E48),0)</f>
        <v>2625</v>
      </c>
      <c r="AA20" s="188">
        <f>IF(Projected_Start_Date&lt;=$B$4,(I20*$E48),0)</f>
        <v>2625</v>
      </c>
      <c r="AB20" s="188">
        <f>IF(Projected_Start_Date&lt;=$B$4,(J20*$E48),0)</f>
        <v>2625</v>
      </c>
      <c r="AC20" s="188">
        <f>IF(Projected_Start_Date&lt;=$B$4,(K20*$E48),0)</f>
        <v>2625</v>
      </c>
      <c r="AD20" s="188">
        <f>IF(Projected_Start_Date&lt;=$B$4,(L20*$E48),0)</f>
        <v>2625</v>
      </c>
      <c r="AE20" s="188">
        <f>IF(Projected_Start_Date&lt;=$B$4,(M20*$E48),0)</f>
        <v>2625</v>
      </c>
      <c r="AF20" s="188">
        <f>IF(Projected_Start_Date&lt;=$B$4,(N20*$E48),0)</f>
        <v>2625</v>
      </c>
      <c r="AG20" s="188">
        <f>IF(Projected_Start_Date&lt;=$B$4,(O20*$E48),0)</f>
        <v>2625</v>
      </c>
      <c r="AH20" s="188">
        <f>IF(Projected_Start_Date&lt;=$B$4,(P20*$E48),0)</f>
        <v>2625</v>
      </c>
      <c r="AI20" s="189">
        <f t="shared" si="15"/>
        <v>31500</v>
      </c>
      <c r="AJ20" s="185">
        <f t="shared" si="16"/>
        <v>0.1764705882</v>
      </c>
      <c r="AK20" s="12"/>
    </row>
    <row r="21" ht="15.75" customHeight="1">
      <c r="A21" s="181">
        <v>3.0</v>
      </c>
      <c r="B21" s="12" t="str">
        <f t="shared" si="10"/>
        <v/>
      </c>
      <c r="C21" s="182" t="str">
        <f>IF(B21="","",(P10*(1+YR2_Sales_Increase)))</f>
        <v/>
      </c>
      <c r="D21" s="202">
        <f>YR2_Sales_Increase</f>
        <v>0.75</v>
      </c>
      <c r="E21" s="183">
        <f t="shared" si="11"/>
        <v>0</v>
      </c>
      <c r="F21" s="183">
        <f t="shared" ref="F21:P21" si="17">E21</f>
        <v>0</v>
      </c>
      <c r="G21" s="183">
        <f t="shared" si="17"/>
        <v>0</v>
      </c>
      <c r="H21" s="183">
        <f t="shared" si="17"/>
        <v>0</v>
      </c>
      <c r="I21" s="183">
        <f t="shared" si="17"/>
        <v>0</v>
      </c>
      <c r="J21" s="183">
        <f t="shared" si="17"/>
        <v>0</v>
      </c>
      <c r="K21" s="183">
        <f t="shared" si="17"/>
        <v>0</v>
      </c>
      <c r="L21" s="183">
        <f t="shared" si="17"/>
        <v>0</v>
      </c>
      <c r="M21" s="183">
        <f t="shared" si="17"/>
        <v>0</v>
      </c>
      <c r="N21" s="183">
        <f t="shared" si="17"/>
        <v>0</v>
      </c>
      <c r="O21" s="183">
        <f t="shared" si="17"/>
        <v>0</v>
      </c>
      <c r="P21" s="183">
        <f t="shared" si="17"/>
        <v>0</v>
      </c>
      <c r="Q21" s="190" t="str">
        <f t="shared" si="13"/>
        <v/>
      </c>
      <c r="R21" s="185">
        <f t="shared" si="14"/>
        <v>0</v>
      </c>
      <c r="S21" s="61">
        <v>3.0</v>
      </c>
      <c r="T21" s="12" t="str">
        <f>IF('A. Background'!B17="Product/Service","",'A. Background'!B17)</f>
        <v/>
      </c>
      <c r="U21" s="182" t="str">
        <f>IF(T21="","",'A. Background'!H83)</f>
        <v/>
      </c>
      <c r="V21" s="12"/>
      <c r="W21" s="188">
        <f>IF(Projected_Start_Date&lt;=$B$4,(E21*$E49),0)</f>
        <v>0</v>
      </c>
      <c r="X21" s="188">
        <f>IF(Projected_Start_Date&lt;=$B$4,(F21*$E49),0)</f>
        <v>0</v>
      </c>
      <c r="Y21" s="188">
        <f>IF(Projected_Start_Date&lt;=$B$4,(G21*$E49),0)</f>
        <v>0</v>
      </c>
      <c r="Z21" s="188">
        <f>IF(Projected_Start_Date&lt;=$B$4,(H21*$E49),0)</f>
        <v>0</v>
      </c>
      <c r="AA21" s="188">
        <f>IF(Projected_Start_Date&lt;=$B$4,(I21*$E49),0)</f>
        <v>0</v>
      </c>
      <c r="AB21" s="188">
        <f>IF(Projected_Start_Date&lt;=$B$4,(J21*$E49),0)</f>
        <v>0</v>
      </c>
      <c r="AC21" s="188">
        <f>IF(Projected_Start_Date&lt;=$B$4,(K21*$E49),0)</f>
        <v>0</v>
      </c>
      <c r="AD21" s="188">
        <f>IF(Projected_Start_Date&lt;=$B$4,(L21*$E49),0)</f>
        <v>0</v>
      </c>
      <c r="AE21" s="188">
        <f>IF(Projected_Start_Date&lt;=$B$4,(M21*$E49),0)</f>
        <v>0</v>
      </c>
      <c r="AF21" s="188">
        <f>IF(Projected_Start_Date&lt;=$B$4,(N21*$E49),0)</f>
        <v>0</v>
      </c>
      <c r="AG21" s="188">
        <f>IF(Projected_Start_Date&lt;=$B$4,(O21*$E49),0)</f>
        <v>0</v>
      </c>
      <c r="AH21" s="188">
        <f>IF(Projected_Start_Date&lt;=$B$4,(P21*$E49),0)</f>
        <v>0</v>
      </c>
      <c r="AI21" s="189" t="str">
        <f t="shared" si="15"/>
        <v/>
      </c>
      <c r="AJ21" s="185">
        <f t="shared" si="16"/>
        <v>0</v>
      </c>
      <c r="AK21" s="12"/>
    </row>
    <row r="22" ht="15.75" customHeight="1">
      <c r="A22" s="181">
        <v>4.0</v>
      </c>
      <c r="B22" s="12" t="str">
        <f t="shared" si="10"/>
        <v/>
      </c>
      <c r="C22" s="182" t="str">
        <f>IF(B22="","",(P11*(1+YR2_Sales_Increase)))</f>
        <v/>
      </c>
      <c r="D22" s="202">
        <f>YR2_Sales_Increase</f>
        <v>0.75</v>
      </c>
      <c r="E22" s="183">
        <f t="shared" si="11"/>
        <v>0</v>
      </c>
      <c r="F22" s="183">
        <f t="shared" ref="F22:P22" si="18">E22</f>
        <v>0</v>
      </c>
      <c r="G22" s="183">
        <f t="shared" si="18"/>
        <v>0</v>
      </c>
      <c r="H22" s="183">
        <f t="shared" si="18"/>
        <v>0</v>
      </c>
      <c r="I22" s="183">
        <f t="shared" si="18"/>
        <v>0</v>
      </c>
      <c r="J22" s="183">
        <f t="shared" si="18"/>
        <v>0</v>
      </c>
      <c r="K22" s="183">
        <f t="shared" si="18"/>
        <v>0</v>
      </c>
      <c r="L22" s="183">
        <f t="shared" si="18"/>
        <v>0</v>
      </c>
      <c r="M22" s="183">
        <f t="shared" si="18"/>
        <v>0</v>
      </c>
      <c r="N22" s="183">
        <f t="shared" si="18"/>
        <v>0</v>
      </c>
      <c r="O22" s="183">
        <f t="shared" si="18"/>
        <v>0</v>
      </c>
      <c r="P22" s="183">
        <f t="shared" si="18"/>
        <v>0</v>
      </c>
      <c r="Q22" s="190" t="str">
        <f t="shared" si="13"/>
        <v/>
      </c>
      <c r="R22" s="185">
        <f t="shared" si="14"/>
        <v>0</v>
      </c>
      <c r="S22" s="61">
        <v>4.0</v>
      </c>
      <c r="T22" s="12" t="str">
        <f>IF('A. Background'!B18="Product/Service","",'A. Background'!B18)</f>
        <v/>
      </c>
      <c r="U22" s="182" t="str">
        <f>IF(T22="","",'A. Background'!H84)</f>
        <v/>
      </c>
      <c r="V22" s="12"/>
      <c r="W22" s="188">
        <f>IF(Projected_Start_Date&lt;=$B$4,(E22*$E50),0)</f>
        <v>0</v>
      </c>
      <c r="X22" s="188">
        <f>IF(Projected_Start_Date&lt;=$B$4,(F22*$E50),0)</f>
        <v>0</v>
      </c>
      <c r="Y22" s="188">
        <f>IF(Projected_Start_Date&lt;=$B$4,(G22*$E50),0)</f>
        <v>0</v>
      </c>
      <c r="Z22" s="188">
        <f>IF(Projected_Start_Date&lt;=$B$4,(H22*$E50),0)</f>
        <v>0</v>
      </c>
      <c r="AA22" s="188">
        <f>IF(Projected_Start_Date&lt;=$B$4,(I22*$E50),0)</f>
        <v>0</v>
      </c>
      <c r="AB22" s="188">
        <f>IF(Projected_Start_Date&lt;=$B$4,(J22*$E50),0)</f>
        <v>0</v>
      </c>
      <c r="AC22" s="188">
        <f>IF(Projected_Start_Date&lt;=$B$4,(K22*$E50),0)</f>
        <v>0</v>
      </c>
      <c r="AD22" s="188">
        <f>IF(Projected_Start_Date&lt;=$B$4,(L22*$E50),0)</f>
        <v>0</v>
      </c>
      <c r="AE22" s="188">
        <f>IF(Projected_Start_Date&lt;=$B$4,(M22*$E50),0)</f>
        <v>0</v>
      </c>
      <c r="AF22" s="188">
        <f>IF(Projected_Start_Date&lt;=$B$4,(N22*$E50),0)</f>
        <v>0</v>
      </c>
      <c r="AG22" s="188">
        <f>IF(Projected_Start_Date&lt;=$B$4,(O22*$E50),0)</f>
        <v>0</v>
      </c>
      <c r="AH22" s="188">
        <f>IF(Projected_Start_Date&lt;=$B$4,(P22*$E50),0)</f>
        <v>0</v>
      </c>
      <c r="AI22" s="189" t="str">
        <f t="shared" si="15"/>
        <v/>
      </c>
      <c r="AJ22" s="185">
        <f t="shared" si="16"/>
        <v>0</v>
      </c>
      <c r="AK22" s="12"/>
    </row>
    <row r="23" ht="15.75" customHeight="1">
      <c r="A23" s="181">
        <v>5.0</v>
      </c>
      <c r="B23" s="12" t="str">
        <f t="shared" si="10"/>
        <v/>
      </c>
      <c r="C23" s="182" t="str">
        <f>IF(B23="","",(P12*(1+YR2_Sales_Increase)))</f>
        <v/>
      </c>
      <c r="D23" s="202">
        <f>YR2_Sales_Increase</f>
        <v>0.75</v>
      </c>
      <c r="E23" s="183">
        <f t="shared" si="11"/>
        <v>0</v>
      </c>
      <c r="F23" s="183">
        <f t="shared" ref="F23:P23" si="19">E23</f>
        <v>0</v>
      </c>
      <c r="G23" s="183">
        <f t="shared" si="19"/>
        <v>0</v>
      </c>
      <c r="H23" s="183">
        <f t="shared" si="19"/>
        <v>0</v>
      </c>
      <c r="I23" s="183">
        <f t="shared" si="19"/>
        <v>0</v>
      </c>
      <c r="J23" s="183">
        <f t="shared" si="19"/>
        <v>0</v>
      </c>
      <c r="K23" s="183">
        <f t="shared" si="19"/>
        <v>0</v>
      </c>
      <c r="L23" s="183">
        <f t="shared" si="19"/>
        <v>0</v>
      </c>
      <c r="M23" s="183">
        <f t="shared" si="19"/>
        <v>0</v>
      </c>
      <c r="N23" s="183">
        <f t="shared" si="19"/>
        <v>0</v>
      </c>
      <c r="O23" s="183">
        <f t="shared" si="19"/>
        <v>0</v>
      </c>
      <c r="P23" s="183">
        <f t="shared" si="19"/>
        <v>0</v>
      </c>
      <c r="Q23" s="190" t="str">
        <f t="shared" si="13"/>
        <v/>
      </c>
      <c r="R23" s="185">
        <f t="shared" si="14"/>
        <v>0</v>
      </c>
      <c r="S23" s="61">
        <v>5.0</v>
      </c>
      <c r="T23" s="12" t="str">
        <f>IF('A. Background'!B19="Product/Service","",'A. Background'!B19)</f>
        <v/>
      </c>
      <c r="U23" s="182" t="str">
        <f>IF(T23="","",'A. Background'!H85)</f>
        <v/>
      </c>
      <c r="V23" s="12"/>
      <c r="W23" s="188">
        <f>IF(Projected_Start_Date&lt;=$B$4,(E23*$E51),0)</f>
        <v>0</v>
      </c>
      <c r="X23" s="188">
        <f>IF(Projected_Start_Date&lt;=$B$4,(F23*$E51),0)</f>
        <v>0</v>
      </c>
      <c r="Y23" s="188">
        <f>IF(Projected_Start_Date&lt;=$B$4,(G23*$E51),0)</f>
        <v>0</v>
      </c>
      <c r="Z23" s="188">
        <f>IF(Projected_Start_Date&lt;=$B$4,(H23*$E51),0)</f>
        <v>0</v>
      </c>
      <c r="AA23" s="188">
        <f>IF(Projected_Start_Date&lt;=$B$4,(I23*$E51),0)</f>
        <v>0</v>
      </c>
      <c r="AB23" s="188">
        <f>IF(Projected_Start_Date&lt;=$B$4,(J23*$E51),0)</f>
        <v>0</v>
      </c>
      <c r="AC23" s="188">
        <f>IF(Projected_Start_Date&lt;=$B$4,(K23*$E51),0)</f>
        <v>0</v>
      </c>
      <c r="AD23" s="188">
        <f>IF(Projected_Start_Date&lt;=$B$4,(L23*$E51),0)</f>
        <v>0</v>
      </c>
      <c r="AE23" s="188">
        <f>IF(Projected_Start_Date&lt;=$B$4,(M23*$E51),0)</f>
        <v>0</v>
      </c>
      <c r="AF23" s="188">
        <f>IF(Projected_Start_Date&lt;=$B$4,(N23*$E51),0)</f>
        <v>0</v>
      </c>
      <c r="AG23" s="188">
        <f>IF(Projected_Start_Date&lt;=$B$4,(O23*$E51),0)</f>
        <v>0</v>
      </c>
      <c r="AH23" s="188">
        <f>IF(Projected_Start_Date&lt;=$B$4,(P23*$E51),0)</f>
        <v>0</v>
      </c>
      <c r="AI23" s="191" t="str">
        <f t="shared" si="15"/>
        <v/>
      </c>
      <c r="AJ23" s="185">
        <f t="shared" si="16"/>
        <v>0</v>
      </c>
      <c r="AK23" s="12"/>
    </row>
    <row r="24" ht="15.75" customHeight="1">
      <c r="A24" s="181">
        <v>6.0</v>
      </c>
      <c r="B24" s="12" t="str">
        <f t="shared" si="10"/>
        <v/>
      </c>
      <c r="C24" s="182" t="str">
        <f>IF(B24="","",(P13*(1+YR2_Sales_Increase)))</f>
        <v/>
      </c>
      <c r="D24" s="202">
        <f>YR2_Sales_Increase</f>
        <v>0.75</v>
      </c>
      <c r="E24" s="183">
        <f t="shared" si="11"/>
        <v>0</v>
      </c>
      <c r="F24" s="183">
        <f t="shared" ref="F24:P24" si="20">E24</f>
        <v>0</v>
      </c>
      <c r="G24" s="183">
        <f t="shared" si="20"/>
        <v>0</v>
      </c>
      <c r="H24" s="183">
        <f t="shared" si="20"/>
        <v>0</v>
      </c>
      <c r="I24" s="183">
        <f t="shared" si="20"/>
        <v>0</v>
      </c>
      <c r="J24" s="183">
        <f t="shared" si="20"/>
        <v>0</v>
      </c>
      <c r="K24" s="183">
        <f t="shared" si="20"/>
        <v>0</v>
      </c>
      <c r="L24" s="183">
        <f t="shared" si="20"/>
        <v>0</v>
      </c>
      <c r="M24" s="183">
        <f t="shared" si="20"/>
        <v>0</v>
      </c>
      <c r="N24" s="183">
        <f t="shared" si="20"/>
        <v>0</v>
      </c>
      <c r="O24" s="183">
        <f t="shared" si="20"/>
        <v>0</v>
      </c>
      <c r="P24" s="183">
        <f t="shared" si="20"/>
        <v>0</v>
      </c>
      <c r="Q24" s="190" t="str">
        <f t="shared" si="13"/>
        <v/>
      </c>
      <c r="R24" s="185">
        <f t="shared" si="14"/>
        <v>0</v>
      </c>
      <c r="S24" s="61">
        <v>6.0</v>
      </c>
      <c r="T24" s="12" t="str">
        <f>IF('A. Background'!B20="Product/Service","",'A. Background'!B20)</f>
        <v/>
      </c>
      <c r="U24" s="182" t="str">
        <f>IF(T24="","",'A. Background'!H86)</f>
        <v/>
      </c>
      <c r="V24" s="12"/>
      <c r="W24" s="188">
        <f>IF(Projected_Start_Date&lt;=$B$4,(E24*$E52),0)</f>
        <v>0</v>
      </c>
      <c r="X24" s="188">
        <f>IF(Projected_Start_Date&lt;=$B$4,(F24*$E52),0)</f>
        <v>0</v>
      </c>
      <c r="Y24" s="188">
        <f>IF(Projected_Start_Date&lt;=$B$4,(G24*$E52),0)</f>
        <v>0</v>
      </c>
      <c r="Z24" s="188">
        <f>IF(Projected_Start_Date&lt;=$B$4,(H24*$E52),0)</f>
        <v>0</v>
      </c>
      <c r="AA24" s="188">
        <f>IF(Projected_Start_Date&lt;=$B$4,(I24*$E52),0)</f>
        <v>0</v>
      </c>
      <c r="AB24" s="188">
        <f>IF(Projected_Start_Date&lt;=$B$4,(J24*$E52),0)</f>
        <v>0</v>
      </c>
      <c r="AC24" s="188">
        <f>IF(Projected_Start_Date&lt;=$B$4,(K24*$E52),0)</f>
        <v>0</v>
      </c>
      <c r="AD24" s="188">
        <f>IF(Projected_Start_Date&lt;=$B$4,(L24*$E52),0)</f>
        <v>0</v>
      </c>
      <c r="AE24" s="188">
        <f>IF(Projected_Start_Date&lt;=$B$4,(M24*$E52),0)</f>
        <v>0</v>
      </c>
      <c r="AF24" s="188">
        <f>IF(Projected_Start_Date&lt;=$B$4,(N24*$E52),0)</f>
        <v>0</v>
      </c>
      <c r="AG24" s="188">
        <f>IF(Projected_Start_Date&lt;=$B$4,(O24*$E52),0)</f>
        <v>0</v>
      </c>
      <c r="AH24" s="188">
        <f>IF(Projected_Start_Date&lt;=$B$4,(P24*$E52),0)</f>
        <v>0</v>
      </c>
      <c r="AI24" s="191" t="str">
        <f t="shared" si="15"/>
        <v/>
      </c>
      <c r="AJ24" s="185">
        <f t="shared" si="16"/>
        <v>0</v>
      </c>
      <c r="AK24" s="12"/>
    </row>
    <row r="25" ht="15.75" customHeight="1">
      <c r="A25" s="181">
        <v>7.0</v>
      </c>
      <c r="B25" s="12" t="str">
        <f t="shared" si="10"/>
        <v/>
      </c>
      <c r="C25" s="182" t="str">
        <f>IF(B25="","",(P14*(1+YR2_Sales_Increase)))</f>
        <v/>
      </c>
      <c r="D25" s="202">
        <f>YR2_Sales_Increase</f>
        <v>0.75</v>
      </c>
      <c r="E25" s="183">
        <f t="shared" si="11"/>
        <v>0</v>
      </c>
      <c r="F25" s="183">
        <f t="shared" ref="F25:P25" si="21">E25</f>
        <v>0</v>
      </c>
      <c r="G25" s="183">
        <f t="shared" si="21"/>
        <v>0</v>
      </c>
      <c r="H25" s="183">
        <f t="shared" si="21"/>
        <v>0</v>
      </c>
      <c r="I25" s="183">
        <f t="shared" si="21"/>
        <v>0</v>
      </c>
      <c r="J25" s="183">
        <f t="shared" si="21"/>
        <v>0</v>
      </c>
      <c r="K25" s="183">
        <f t="shared" si="21"/>
        <v>0</v>
      </c>
      <c r="L25" s="183">
        <f t="shared" si="21"/>
        <v>0</v>
      </c>
      <c r="M25" s="183">
        <f t="shared" si="21"/>
        <v>0</v>
      </c>
      <c r="N25" s="183">
        <f t="shared" si="21"/>
        <v>0</v>
      </c>
      <c r="O25" s="183">
        <f t="shared" si="21"/>
        <v>0</v>
      </c>
      <c r="P25" s="183">
        <f t="shared" si="21"/>
        <v>0</v>
      </c>
      <c r="Q25" s="190" t="str">
        <f t="shared" si="13"/>
        <v/>
      </c>
      <c r="R25" s="185">
        <f t="shared" si="14"/>
        <v>0</v>
      </c>
      <c r="S25" s="61">
        <v>7.0</v>
      </c>
      <c r="T25" s="12" t="str">
        <f>IF('A. Background'!B21="Product/Service","",'A. Background'!B21)</f>
        <v/>
      </c>
      <c r="U25" s="182" t="str">
        <f>IF(T25="","",'A. Background'!H87)</f>
        <v/>
      </c>
      <c r="V25" s="12"/>
      <c r="W25" s="188">
        <f>IF(Projected_Start_Date&lt;=$B$4,(E25*$E53),0)</f>
        <v>0</v>
      </c>
      <c r="X25" s="188">
        <f>IF(Projected_Start_Date&lt;=$B$4,(F25*$E53),0)</f>
        <v>0</v>
      </c>
      <c r="Y25" s="188">
        <f>IF(Projected_Start_Date&lt;=$B$4,(G25*$E53),0)</f>
        <v>0</v>
      </c>
      <c r="Z25" s="188">
        <f>IF(Projected_Start_Date&lt;=$B$4,(H25*$E53),0)</f>
        <v>0</v>
      </c>
      <c r="AA25" s="188">
        <f>IF(Projected_Start_Date&lt;=$B$4,(I25*$E53),0)</f>
        <v>0</v>
      </c>
      <c r="AB25" s="188">
        <f>IF(Projected_Start_Date&lt;=$B$4,(J25*$E53),0)</f>
        <v>0</v>
      </c>
      <c r="AC25" s="188">
        <f>IF(Projected_Start_Date&lt;=$B$4,(K25*$E53),0)</f>
        <v>0</v>
      </c>
      <c r="AD25" s="188">
        <f>IF(Projected_Start_Date&lt;=$B$4,(L25*$E53),0)</f>
        <v>0</v>
      </c>
      <c r="AE25" s="188">
        <f>IF(Projected_Start_Date&lt;=$B$4,(M25*$E53),0)</f>
        <v>0</v>
      </c>
      <c r="AF25" s="188">
        <f>IF(Projected_Start_Date&lt;=$B$4,(N25*$E53),0)</f>
        <v>0</v>
      </c>
      <c r="AG25" s="188">
        <f>IF(Projected_Start_Date&lt;=$B$4,(O25*$E53),0)</f>
        <v>0</v>
      </c>
      <c r="AH25" s="188">
        <f>IF(Projected_Start_Date&lt;=$B$4,(P25*$E53),0)</f>
        <v>0</v>
      </c>
      <c r="AI25" s="191" t="str">
        <f t="shared" si="15"/>
        <v/>
      </c>
      <c r="AJ25" s="185">
        <f t="shared" si="16"/>
        <v>0</v>
      </c>
      <c r="AK25" s="12"/>
    </row>
    <row r="26" ht="15.75" customHeight="1">
      <c r="A26" s="181">
        <v>8.0</v>
      </c>
      <c r="B26" s="12" t="str">
        <f t="shared" si="10"/>
        <v/>
      </c>
      <c r="C26" s="182" t="str">
        <f>IF(B26="","",(P15*(1+YR2_Sales_Increase)))</f>
        <v/>
      </c>
      <c r="D26" s="202">
        <f>YR2_Sales_Increase</f>
        <v>0.75</v>
      </c>
      <c r="E26" s="183">
        <f t="shared" si="11"/>
        <v>0</v>
      </c>
      <c r="F26" s="183">
        <f t="shared" ref="F26:P26" si="22">E26</f>
        <v>0</v>
      </c>
      <c r="G26" s="183">
        <f t="shared" si="22"/>
        <v>0</v>
      </c>
      <c r="H26" s="183">
        <f t="shared" si="22"/>
        <v>0</v>
      </c>
      <c r="I26" s="183">
        <f t="shared" si="22"/>
        <v>0</v>
      </c>
      <c r="J26" s="183">
        <f t="shared" si="22"/>
        <v>0</v>
      </c>
      <c r="K26" s="183">
        <f t="shared" si="22"/>
        <v>0</v>
      </c>
      <c r="L26" s="183">
        <f t="shared" si="22"/>
        <v>0</v>
      </c>
      <c r="M26" s="183">
        <f t="shared" si="22"/>
        <v>0</v>
      </c>
      <c r="N26" s="183">
        <f t="shared" si="22"/>
        <v>0</v>
      </c>
      <c r="O26" s="183">
        <f t="shared" si="22"/>
        <v>0</v>
      </c>
      <c r="P26" s="183">
        <f t="shared" si="22"/>
        <v>0</v>
      </c>
      <c r="Q26" s="190" t="str">
        <f t="shared" si="13"/>
        <v/>
      </c>
      <c r="R26" s="185">
        <f t="shared" si="14"/>
        <v>0</v>
      </c>
      <c r="S26" s="61">
        <v>8.0</v>
      </c>
      <c r="T26" s="12" t="str">
        <f>IF('A. Background'!B22="Product/Service","",'A. Background'!B22)</f>
        <v/>
      </c>
      <c r="U26" s="182" t="str">
        <f>IF(T26="","",'A. Background'!H88)</f>
        <v/>
      </c>
      <c r="V26" s="12"/>
      <c r="W26" s="188">
        <f>IF(Projected_Start_Date&lt;=$B$4,(E26*$E54),0)</f>
        <v>0</v>
      </c>
      <c r="X26" s="188">
        <f>IF(Projected_Start_Date&lt;=$B$4,(F26*$E54),0)</f>
        <v>0</v>
      </c>
      <c r="Y26" s="188">
        <f>IF(Projected_Start_Date&lt;=$B$4,(G26*$E54),0)</f>
        <v>0</v>
      </c>
      <c r="Z26" s="188">
        <f>IF(Projected_Start_Date&lt;=$B$4,(H26*$E54),0)</f>
        <v>0</v>
      </c>
      <c r="AA26" s="188">
        <f>IF(Projected_Start_Date&lt;=$B$4,(I26*$E54),0)</f>
        <v>0</v>
      </c>
      <c r="AB26" s="188">
        <f>IF(Projected_Start_Date&lt;=$B$4,(J26*$E54),0)</f>
        <v>0</v>
      </c>
      <c r="AC26" s="188">
        <f>IF(Projected_Start_Date&lt;=$B$4,(K26*$E54),0)</f>
        <v>0</v>
      </c>
      <c r="AD26" s="188">
        <f>IF(Projected_Start_Date&lt;=$B$4,(L26*$E54),0)</f>
        <v>0</v>
      </c>
      <c r="AE26" s="188">
        <f>IF(Projected_Start_Date&lt;=$B$4,(M26*$E54),0)</f>
        <v>0</v>
      </c>
      <c r="AF26" s="188">
        <f>IF(Projected_Start_Date&lt;=$B$4,(N26*$E54),0)</f>
        <v>0</v>
      </c>
      <c r="AG26" s="188">
        <f>IF(Projected_Start_Date&lt;=$B$4,(O26*$E54),0)</f>
        <v>0</v>
      </c>
      <c r="AH26" s="188">
        <f>IF(Projected_Start_Date&lt;=$B$4,(P26*$E54),0)</f>
        <v>0</v>
      </c>
      <c r="AI26" s="191" t="str">
        <f t="shared" si="15"/>
        <v/>
      </c>
      <c r="AJ26" s="185">
        <f t="shared" si="16"/>
        <v>0</v>
      </c>
      <c r="AK26" s="12"/>
    </row>
    <row r="27" ht="15.75" customHeight="1">
      <c r="A27" s="12"/>
      <c r="B27" s="12"/>
      <c r="C27" s="12"/>
      <c r="D27" s="12"/>
      <c r="E27" s="12"/>
      <c r="F27" s="12"/>
      <c r="G27" s="12"/>
      <c r="H27" s="12"/>
      <c r="I27" s="12"/>
      <c r="J27" s="12"/>
      <c r="K27" s="12"/>
      <c r="L27" s="12"/>
      <c r="M27" s="12"/>
      <c r="N27" s="12"/>
      <c r="O27" s="12"/>
      <c r="P27" s="12"/>
      <c r="Q27" s="12"/>
      <c r="R27" s="12"/>
      <c r="S27" s="61"/>
      <c r="T27" s="12"/>
      <c r="U27" s="182"/>
      <c r="V27" s="12"/>
      <c r="W27" s="12"/>
      <c r="X27" s="12"/>
      <c r="Y27" s="12"/>
      <c r="Z27" s="12"/>
      <c r="AA27" s="12"/>
      <c r="AB27" s="12"/>
      <c r="AC27" s="12"/>
      <c r="AD27" s="12"/>
      <c r="AE27" s="12"/>
      <c r="AF27" s="12"/>
      <c r="AG27" s="12"/>
      <c r="AH27" s="12"/>
      <c r="AI27" s="192"/>
      <c r="AJ27" s="185"/>
      <c r="AK27" s="12"/>
    </row>
    <row r="28" ht="15.75" customHeight="1">
      <c r="A28" s="207"/>
      <c r="B28" s="173" t="s">
        <v>267</v>
      </c>
      <c r="C28" s="194"/>
      <c r="D28" s="174" t="s">
        <v>260</v>
      </c>
      <c r="E28" s="195"/>
      <c r="F28" s="195"/>
      <c r="G28" s="195"/>
      <c r="H28" s="195"/>
      <c r="I28" s="195"/>
      <c r="J28" s="195"/>
      <c r="K28" s="195"/>
      <c r="L28" s="195"/>
      <c r="M28" s="195"/>
      <c r="N28" s="195"/>
      <c r="O28" s="195"/>
      <c r="P28" s="195"/>
      <c r="Q28" s="196"/>
      <c r="R28" s="208"/>
      <c r="S28" s="168"/>
      <c r="T28" s="175" t="s">
        <v>268</v>
      </c>
      <c r="U28" s="197"/>
      <c r="V28" s="198"/>
      <c r="W28" s="199"/>
      <c r="X28" s="199"/>
      <c r="Y28" s="199"/>
      <c r="Z28" s="199"/>
      <c r="AA28" s="199"/>
      <c r="AB28" s="199"/>
      <c r="AC28" s="199"/>
      <c r="AD28" s="199"/>
      <c r="AE28" s="199"/>
      <c r="AF28" s="199"/>
      <c r="AG28" s="199"/>
      <c r="AH28" s="199"/>
      <c r="AI28" s="200"/>
      <c r="AJ28" s="198"/>
      <c r="AK28" s="12"/>
    </row>
    <row r="29" ht="15.75" customHeight="1">
      <c r="A29" s="177"/>
      <c r="B29" s="25" t="s">
        <v>37</v>
      </c>
      <c r="C29" s="57" t="s">
        <v>262</v>
      </c>
      <c r="D29" s="12"/>
      <c r="E29" s="178">
        <f t="shared" ref="E29:P29" si="23">E18</f>
        <v>42370</v>
      </c>
      <c r="F29" s="178">
        <f t="shared" si="23"/>
        <v>42401</v>
      </c>
      <c r="G29" s="178">
        <f t="shared" si="23"/>
        <v>42430</v>
      </c>
      <c r="H29" s="178">
        <f t="shared" si="23"/>
        <v>42461</v>
      </c>
      <c r="I29" s="178">
        <f t="shared" si="23"/>
        <v>42491</v>
      </c>
      <c r="J29" s="178">
        <f t="shared" si="23"/>
        <v>42522</v>
      </c>
      <c r="K29" s="178">
        <f t="shared" si="23"/>
        <v>42552</v>
      </c>
      <c r="L29" s="178">
        <f t="shared" si="23"/>
        <v>42583</v>
      </c>
      <c r="M29" s="178">
        <f t="shared" si="23"/>
        <v>42614</v>
      </c>
      <c r="N29" s="178">
        <f t="shared" si="23"/>
        <v>42644</v>
      </c>
      <c r="O29" s="178">
        <f t="shared" si="23"/>
        <v>42675</v>
      </c>
      <c r="P29" s="178">
        <f t="shared" si="23"/>
        <v>42705</v>
      </c>
      <c r="Q29" s="180" t="s">
        <v>263</v>
      </c>
      <c r="R29" s="55" t="s">
        <v>264</v>
      </c>
      <c r="S29" s="12"/>
      <c r="T29" s="25" t="s">
        <v>37</v>
      </c>
      <c r="U29" s="57" t="s">
        <v>262</v>
      </c>
      <c r="V29" s="12"/>
      <c r="W29" s="178">
        <f>DATE(YEAR(Projected_Start_Date),1,1)</f>
        <v>42370</v>
      </c>
      <c r="X29" s="178">
        <f t="shared" ref="X29:AH29" si="24">EDATE(W29,1)</f>
        <v>42401</v>
      </c>
      <c r="Y29" s="178">
        <f t="shared" si="24"/>
        <v>42430</v>
      </c>
      <c r="Z29" s="178">
        <f t="shared" si="24"/>
        <v>42461</v>
      </c>
      <c r="AA29" s="178">
        <f t="shared" si="24"/>
        <v>42491</v>
      </c>
      <c r="AB29" s="178">
        <f t="shared" si="24"/>
        <v>42522</v>
      </c>
      <c r="AC29" s="178">
        <f t="shared" si="24"/>
        <v>42552</v>
      </c>
      <c r="AD29" s="178">
        <f t="shared" si="24"/>
        <v>42583</v>
      </c>
      <c r="AE29" s="178">
        <f t="shared" si="24"/>
        <v>42614</v>
      </c>
      <c r="AF29" s="178">
        <f t="shared" si="24"/>
        <v>42644</v>
      </c>
      <c r="AG29" s="178">
        <f t="shared" si="24"/>
        <v>42675</v>
      </c>
      <c r="AH29" s="178">
        <f t="shared" si="24"/>
        <v>42705</v>
      </c>
      <c r="AI29" s="180" t="s">
        <v>263</v>
      </c>
      <c r="AJ29" s="55" t="s">
        <v>264</v>
      </c>
      <c r="AK29" s="12"/>
    </row>
    <row r="30" ht="15.75" customHeight="1">
      <c r="A30" s="181">
        <v>1.0</v>
      </c>
      <c r="B30" s="12" t="str">
        <f t="shared" ref="B30:B37" si="26">B19</f>
        <v>Paint</v>
      </c>
      <c r="C30" s="182">
        <f>IF(B30="","",(P19*(1+YR3_Sales_Increase)))</f>
        <v>367.5</v>
      </c>
      <c r="D30" s="202">
        <f>YR3_Sales_Increase</f>
        <v>1.1</v>
      </c>
      <c r="E30" s="183">
        <f t="shared" ref="E30:E37" si="27">P19*(1+D30)</f>
        <v>367.5</v>
      </c>
      <c r="F30" s="183">
        <f t="shared" ref="F30:P30" si="25">E30</f>
        <v>367.5</v>
      </c>
      <c r="G30" s="183">
        <f t="shared" si="25"/>
        <v>367.5</v>
      </c>
      <c r="H30" s="183">
        <f t="shared" si="25"/>
        <v>367.5</v>
      </c>
      <c r="I30" s="183">
        <f t="shared" si="25"/>
        <v>367.5</v>
      </c>
      <c r="J30" s="183">
        <f t="shared" si="25"/>
        <v>367.5</v>
      </c>
      <c r="K30" s="183">
        <f t="shared" si="25"/>
        <v>367.5</v>
      </c>
      <c r="L30" s="183">
        <f t="shared" si="25"/>
        <v>367.5</v>
      </c>
      <c r="M30" s="183">
        <f t="shared" si="25"/>
        <v>367.5</v>
      </c>
      <c r="N30" s="183">
        <f t="shared" si="25"/>
        <v>367.5</v>
      </c>
      <c r="O30" s="183">
        <f t="shared" si="25"/>
        <v>367.5</v>
      </c>
      <c r="P30" s="183">
        <f t="shared" si="25"/>
        <v>367.5</v>
      </c>
      <c r="Q30" s="184">
        <f t="shared" ref="Q30:Q37" si="29">IF(SUM(E30:P30)=0,"",SUM(E30:P30))</f>
        <v>4410</v>
      </c>
      <c r="R30" s="185">
        <f t="shared" ref="R30:R37" si="30">IFERROR(Q30/SUM($Q$30:$Q$37),"")</f>
        <v>0.5</v>
      </c>
      <c r="S30" s="61">
        <v>1.0</v>
      </c>
      <c r="T30" s="12" t="str">
        <f>IF('A. Background'!B15="Product/Service","",'A. Background'!B15)</f>
        <v>Paint</v>
      </c>
      <c r="U30" s="182" t="str">
        <f>IF(T30="","",'A. Background'!H92)</f>
        <v/>
      </c>
      <c r="V30" s="12"/>
      <c r="W30" s="186">
        <f>IF(Projected_Start_Date&lt;=$B$4,(E30*$E47),0)</f>
        <v>25725</v>
      </c>
      <c r="X30" s="186">
        <f>IF(Projected_Start_Date&lt;=$B$4,(F30*$E47),0)</f>
        <v>25725</v>
      </c>
      <c r="Y30" s="186">
        <f>IF(Projected_Start_Date&lt;=$B$4,(G30*$E47),0)</f>
        <v>25725</v>
      </c>
      <c r="Z30" s="186">
        <f>IF(Projected_Start_Date&lt;=$B$4,(H30*$E47),0)</f>
        <v>25725</v>
      </c>
      <c r="AA30" s="186">
        <f>IF(Projected_Start_Date&lt;=$B$4,(I30*$E47),0)</f>
        <v>25725</v>
      </c>
      <c r="AB30" s="186">
        <f>IF(Projected_Start_Date&lt;=$B$4,(J30*$E47),0)</f>
        <v>25725</v>
      </c>
      <c r="AC30" s="186">
        <f>IF(Projected_Start_Date&lt;=$B$4,(K30*$E47),0)</f>
        <v>25725</v>
      </c>
      <c r="AD30" s="186">
        <f>IF(Projected_Start_Date&lt;=$B$4,(L30*$E47),0)</f>
        <v>25725</v>
      </c>
      <c r="AE30" s="186">
        <f>IF(Projected_Start_Date&lt;=$B$4,(M30*$E47),0)</f>
        <v>25725</v>
      </c>
      <c r="AF30" s="186">
        <f>IF(Projected_Start_Date&lt;=$B$4,(N30*$E47),0)</f>
        <v>25725</v>
      </c>
      <c r="AG30" s="186">
        <f>IF(Projected_Start_Date&lt;=$B$4,(O30*$E47),0)</f>
        <v>25725</v>
      </c>
      <c r="AH30" s="186">
        <f>IF(Projected_Start_Date&lt;=$B$4,(P30*$E47),0)</f>
        <v>25725</v>
      </c>
      <c r="AI30" s="187">
        <f t="shared" ref="AI30:AI37" si="31">IF(SUM(W30:AH30)=0,"",SUM(W30:AH30))</f>
        <v>308700</v>
      </c>
      <c r="AJ30" s="185">
        <f t="shared" ref="AJ30:AJ37" si="32">IFERROR(AI30/SUM($AI$30:$AI$37),"")</f>
        <v>0.8235294118</v>
      </c>
      <c r="AK30" s="12"/>
    </row>
    <row r="31" ht="15.75" customHeight="1">
      <c r="A31" s="181">
        <v>2.0</v>
      </c>
      <c r="B31" s="12" t="str">
        <f t="shared" si="26"/>
        <v>REMOVER</v>
      </c>
      <c r="C31" s="182">
        <f>IF(B31="","",(P20*(1+YR3_Sales_Increase)))</f>
        <v>367.5</v>
      </c>
      <c r="D31" s="202">
        <f>YR3_Sales_Increase</f>
        <v>1.1</v>
      </c>
      <c r="E31" s="183">
        <f t="shared" si="27"/>
        <v>367.5</v>
      </c>
      <c r="F31" s="183">
        <f t="shared" ref="F31:P31" si="28">E31</f>
        <v>367.5</v>
      </c>
      <c r="G31" s="183">
        <f t="shared" si="28"/>
        <v>367.5</v>
      </c>
      <c r="H31" s="183">
        <f t="shared" si="28"/>
        <v>367.5</v>
      </c>
      <c r="I31" s="183">
        <f t="shared" si="28"/>
        <v>367.5</v>
      </c>
      <c r="J31" s="183">
        <f t="shared" si="28"/>
        <v>367.5</v>
      </c>
      <c r="K31" s="183">
        <f t="shared" si="28"/>
        <v>367.5</v>
      </c>
      <c r="L31" s="183">
        <f t="shared" si="28"/>
        <v>367.5</v>
      </c>
      <c r="M31" s="183">
        <f t="shared" si="28"/>
        <v>367.5</v>
      </c>
      <c r="N31" s="183">
        <f t="shared" si="28"/>
        <v>367.5</v>
      </c>
      <c r="O31" s="183">
        <f t="shared" si="28"/>
        <v>367.5</v>
      </c>
      <c r="P31" s="183">
        <f t="shared" si="28"/>
        <v>367.5</v>
      </c>
      <c r="Q31" s="184">
        <f t="shared" si="29"/>
        <v>4410</v>
      </c>
      <c r="R31" s="185">
        <f t="shared" si="30"/>
        <v>0.5</v>
      </c>
      <c r="S31" s="61">
        <v>2.0</v>
      </c>
      <c r="T31" s="12" t="str">
        <f>IF('A. Background'!B16="Product/Service","",'A. Background'!B16)</f>
        <v>REMOVER</v>
      </c>
      <c r="U31" s="182" t="str">
        <f>IF(T31="","",'A. Background'!H93)</f>
        <v/>
      </c>
      <c r="V31" s="12"/>
      <c r="W31" s="188">
        <f>IF(Projected_Start_Date&lt;=$B$4,(E31*$E48),0)</f>
        <v>5512.5</v>
      </c>
      <c r="X31" s="188">
        <f>IF(Projected_Start_Date&lt;=$B$4,(F31*$E48),0)</f>
        <v>5512.5</v>
      </c>
      <c r="Y31" s="188">
        <f>IF(Projected_Start_Date&lt;=$B$4,(G31*$E48),0)</f>
        <v>5512.5</v>
      </c>
      <c r="Z31" s="188">
        <f>IF(Projected_Start_Date&lt;=$B$4,(H31*$E48),0)</f>
        <v>5512.5</v>
      </c>
      <c r="AA31" s="188">
        <f>IF(Projected_Start_Date&lt;=$B$4,(I31*$E48),0)</f>
        <v>5512.5</v>
      </c>
      <c r="AB31" s="188">
        <f>IF(Projected_Start_Date&lt;=$B$4,(J31*$E48),0)</f>
        <v>5512.5</v>
      </c>
      <c r="AC31" s="188">
        <f>IF(Projected_Start_Date&lt;=$B$4,(K31*$E48),0)</f>
        <v>5512.5</v>
      </c>
      <c r="AD31" s="188">
        <f>IF(Projected_Start_Date&lt;=$B$4,(L31*$E48),0)</f>
        <v>5512.5</v>
      </c>
      <c r="AE31" s="188">
        <f>IF(Projected_Start_Date&lt;=$B$4,(M31*$E48),0)</f>
        <v>5512.5</v>
      </c>
      <c r="AF31" s="188">
        <f>IF(Projected_Start_Date&lt;=$B$4,(N31*$E48),0)</f>
        <v>5512.5</v>
      </c>
      <c r="AG31" s="188">
        <f>IF(Projected_Start_Date&lt;=$B$4,(O31*$E48),0)</f>
        <v>5512.5</v>
      </c>
      <c r="AH31" s="188">
        <f>IF(Projected_Start_Date&lt;=$B$4,(P31*$E48),0)</f>
        <v>5512.5</v>
      </c>
      <c r="AI31" s="189">
        <f t="shared" si="31"/>
        <v>66150</v>
      </c>
      <c r="AJ31" s="185">
        <f t="shared" si="32"/>
        <v>0.1764705882</v>
      </c>
      <c r="AK31" s="12"/>
    </row>
    <row r="32" ht="15.75" customHeight="1">
      <c r="A32" s="181">
        <v>3.0</v>
      </c>
      <c r="B32" s="12" t="str">
        <f t="shared" si="26"/>
        <v/>
      </c>
      <c r="C32" s="182" t="str">
        <f>IF(B32="","",(P21*(1+YR3_Sales_Increase)))</f>
        <v/>
      </c>
      <c r="D32" s="202">
        <f>YR3_Sales_Increase</f>
        <v>1.1</v>
      </c>
      <c r="E32" s="183">
        <f t="shared" si="27"/>
        <v>0</v>
      </c>
      <c r="F32" s="183">
        <f t="shared" ref="F32:P32" si="33">E32</f>
        <v>0</v>
      </c>
      <c r="G32" s="183">
        <f t="shared" si="33"/>
        <v>0</v>
      </c>
      <c r="H32" s="183">
        <f t="shared" si="33"/>
        <v>0</v>
      </c>
      <c r="I32" s="183">
        <f t="shared" si="33"/>
        <v>0</v>
      </c>
      <c r="J32" s="183">
        <f t="shared" si="33"/>
        <v>0</v>
      </c>
      <c r="K32" s="183">
        <f t="shared" si="33"/>
        <v>0</v>
      </c>
      <c r="L32" s="183">
        <f t="shared" si="33"/>
        <v>0</v>
      </c>
      <c r="M32" s="183">
        <f t="shared" si="33"/>
        <v>0</v>
      </c>
      <c r="N32" s="183">
        <f t="shared" si="33"/>
        <v>0</v>
      </c>
      <c r="O32" s="183">
        <f t="shared" si="33"/>
        <v>0</v>
      </c>
      <c r="P32" s="183">
        <f t="shared" si="33"/>
        <v>0</v>
      </c>
      <c r="Q32" s="190" t="str">
        <f t="shared" si="29"/>
        <v/>
      </c>
      <c r="R32" s="185">
        <f t="shared" si="30"/>
        <v>0</v>
      </c>
      <c r="S32" s="61">
        <v>3.0</v>
      </c>
      <c r="T32" s="12" t="str">
        <f>IF('A. Background'!B17="Product/Service","",'A. Background'!B17)</f>
        <v/>
      </c>
      <c r="U32" s="182" t="str">
        <f>IF(T32="","",'A. Background'!H94)</f>
        <v/>
      </c>
      <c r="V32" s="12"/>
      <c r="W32" s="188">
        <f>IF(Projected_Start_Date&lt;=$B$4,(E32*$E49),0)</f>
        <v>0</v>
      </c>
      <c r="X32" s="188">
        <f>IF(Projected_Start_Date&lt;=$B$4,(F32*$E49),0)</f>
        <v>0</v>
      </c>
      <c r="Y32" s="188">
        <f>IF(Projected_Start_Date&lt;=$B$4,(G32*$E49),0)</f>
        <v>0</v>
      </c>
      <c r="Z32" s="188">
        <f>IF(Projected_Start_Date&lt;=$B$4,(H32*$E49),0)</f>
        <v>0</v>
      </c>
      <c r="AA32" s="188">
        <f>IF(Projected_Start_Date&lt;=$B$4,(I32*$E49),0)</f>
        <v>0</v>
      </c>
      <c r="AB32" s="188">
        <f>IF(Projected_Start_Date&lt;=$B$4,(J32*$E49),0)</f>
        <v>0</v>
      </c>
      <c r="AC32" s="188">
        <f>IF(Projected_Start_Date&lt;=$B$4,(K32*$E49),0)</f>
        <v>0</v>
      </c>
      <c r="AD32" s="188">
        <f>IF(Projected_Start_Date&lt;=$B$4,(L32*$E49),0)</f>
        <v>0</v>
      </c>
      <c r="AE32" s="188">
        <f>IF(Projected_Start_Date&lt;=$B$4,(M32*$E49),0)</f>
        <v>0</v>
      </c>
      <c r="AF32" s="188">
        <f>IF(Projected_Start_Date&lt;=$B$4,(N32*$E49),0)</f>
        <v>0</v>
      </c>
      <c r="AG32" s="188">
        <f>IF(Projected_Start_Date&lt;=$B$4,(O32*$E49),0)</f>
        <v>0</v>
      </c>
      <c r="AH32" s="188">
        <f>IF(Projected_Start_Date&lt;=$B$4,(P32*$E49),0)</f>
        <v>0</v>
      </c>
      <c r="AI32" s="189" t="str">
        <f t="shared" si="31"/>
        <v/>
      </c>
      <c r="AJ32" s="185">
        <f t="shared" si="32"/>
        <v>0</v>
      </c>
      <c r="AK32" s="12"/>
    </row>
    <row r="33" ht="15.75" customHeight="1">
      <c r="A33" s="181">
        <v>4.0</v>
      </c>
      <c r="B33" s="12" t="str">
        <f t="shared" si="26"/>
        <v/>
      </c>
      <c r="C33" s="182" t="str">
        <f>IF(B33="","",(P22*(1+YR3_Sales_Increase)))</f>
        <v/>
      </c>
      <c r="D33" s="202">
        <f>YR3_Sales_Increase</f>
        <v>1.1</v>
      </c>
      <c r="E33" s="183">
        <f t="shared" si="27"/>
        <v>0</v>
      </c>
      <c r="F33" s="183">
        <f t="shared" ref="F33:P33" si="34">E33</f>
        <v>0</v>
      </c>
      <c r="G33" s="183">
        <f t="shared" si="34"/>
        <v>0</v>
      </c>
      <c r="H33" s="183">
        <f t="shared" si="34"/>
        <v>0</v>
      </c>
      <c r="I33" s="183">
        <f t="shared" si="34"/>
        <v>0</v>
      </c>
      <c r="J33" s="183">
        <f t="shared" si="34"/>
        <v>0</v>
      </c>
      <c r="K33" s="183">
        <f t="shared" si="34"/>
        <v>0</v>
      </c>
      <c r="L33" s="183">
        <f t="shared" si="34"/>
        <v>0</v>
      </c>
      <c r="M33" s="183">
        <f t="shared" si="34"/>
        <v>0</v>
      </c>
      <c r="N33" s="183">
        <f t="shared" si="34"/>
        <v>0</v>
      </c>
      <c r="O33" s="183">
        <f t="shared" si="34"/>
        <v>0</v>
      </c>
      <c r="P33" s="183">
        <f t="shared" si="34"/>
        <v>0</v>
      </c>
      <c r="Q33" s="190" t="str">
        <f t="shared" si="29"/>
        <v/>
      </c>
      <c r="R33" s="185">
        <f t="shared" si="30"/>
        <v>0</v>
      </c>
      <c r="S33" s="61">
        <v>4.0</v>
      </c>
      <c r="T33" s="12" t="str">
        <f>IF('A. Background'!B18="Product/Service","",'A. Background'!B18)</f>
        <v/>
      </c>
      <c r="U33" s="182" t="str">
        <f>IF(T33="","",'A. Background'!H95)</f>
        <v/>
      </c>
      <c r="V33" s="12"/>
      <c r="W33" s="188">
        <f>IF(Projected_Start_Date&lt;=$B$4,(E33*$E50),0)</f>
        <v>0</v>
      </c>
      <c r="X33" s="188">
        <f>IF(Projected_Start_Date&lt;=$B$4,(F33*$E50),0)</f>
        <v>0</v>
      </c>
      <c r="Y33" s="188">
        <f>IF(Projected_Start_Date&lt;=$B$4,(G33*$E50),0)</f>
        <v>0</v>
      </c>
      <c r="Z33" s="188">
        <f>IF(Projected_Start_Date&lt;=$B$4,(H33*$E50),0)</f>
        <v>0</v>
      </c>
      <c r="AA33" s="188">
        <f>IF(Projected_Start_Date&lt;=$B$4,(I33*$E50),0)</f>
        <v>0</v>
      </c>
      <c r="AB33" s="188">
        <f>IF(Projected_Start_Date&lt;=$B$4,(J33*$E50),0)</f>
        <v>0</v>
      </c>
      <c r="AC33" s="188">
        <f>IF(Projected_Start_Date&lt;=$B$4,(K33*$E50),0)</f>
        <v>0</v>
      </c>
      <c r="AD33" s="188">
        <f>IF(Projected_Start_Date&lt;=$B$4,(L33*$E50),0)</f>
        <v>0</v>
      </c>
      <c r="AE33" s="188">
        <f>IF(Projected_Start_Date&lt;=$B$4,(M33*$E50),0)</f>
        <v>0</v>
      </c>
      <c r="AF33" s="188">
        <f>IF(Projected_Start_Date&lt;=$B$4,(N33*$E50),0)</f>
        <v>0</v>
      </c>
      <c r="AG33" s="188">
        <f>IF(Projected_Start_Date&lt;=$B$4,(O33*$E50),0)</f>
        <v>0</v>
      </c>
      <c r="AH33" s="188">
        <f>IF(Projected_Start_Date&lt;=$B$4,(P33*$E50),0)</f>
        <v>0</v>
      </c>
      <c r="AI33" s="189" t="str">
        <f t="shared" si="31"/>
        <v/>
      </c>
      <c r="AJ33" s="185">
        <f t="shared" si="32"/>
        <v>0</v>
      </c>
      <c r="AK33" s="12"/>
    </row>
    <row r="34" ht="15.75" customHeight="1">
      <c r="A34" s="181">
        <v>5.0</v>
      </c>
      <c r="B34" s="12" t="str">
        <f t="shared" si="26"/>
        <v/>
      </c>
      <c r="C34" s="182" t="str">
        <f>IF(B34="","",(P23*(1+YR3_Sales_Increase)))</f>
        <v/>
      </c>
      <c r="D34" s="202">
        <f>YR3_Sales_Increase</f>
        <v>1.1</v>
      </c>
      <c r="E34" s="183">
        <f t="shared" si="27"/>
        <v>0</v>
      </c>
      <c r="F34" s="183">
        <f t="shared" ref="F34:P34" si="35">E34</f>
        <v>0</v>
      </c>
      <c r="G34" s="183">
        <f t="shared" si="35"/>
        <v>0</v>
      </c>
      <c r="H34" s="183">
        <f t="shared" si="35"/>
        <v>0</v>
      </c>
      <c r="I34" s="183">
        <f t="shared" si="35"/>
        <v>0</v>
      </c>
      <c r="J34" s="183">
        <f t="shared" si="35"/>
        <v>0</v>
      </c>
      <c r="K34" s="183">
        <f t="shared" si="35"/>
        <v>0</v>
      </c>
      <c r="L34" s="183">
        <f t="shared" si="35"/>
        <v>0</v>
      </c>
      <c r="M34" s="183">
        <f t="shared" si="35"/>
        <v>0</v>
      </c>
      <c r="N34" s="183">
        <f t="shared" si="35"/>
        <v>0</v>
      </c>
      <c r="O34" s="183">
        <f t="shared" si="35"/>
        <v>0</v>
      </c>
      <c r="P34" s="183">
        <f t="shared" si="35"/>
        <v>0</v>
      </c>
      <c r="Q34" s="190" t="str">
        <f t="shared" si="29"/>
        <v/>
      </c>
      <c r="R34" s="185">
        <f t="shared" si="30"/>
        <v>0</v>
      </c>
      <c r="S34" s="61">
        <v>5.0</v>
      </c>
      <c r="T34" s="12" t="str">
        <f>IF('A. Background'!B19="Product/Service","",'A. Background'!B19)</f>
        <v/>
      </c>
      <c r="U34" s="182" t="str">
        <f>IF(T34="","",'A. Background'!H96)</f>
        <v/>
      </c>
      <c r="V34" s="12"/>
      <c r="W34" s="188">
        <f>IF(Projected_Start_Date&lt;=$B$4,(E34*$E51),0)</f>
        <v>0</v>
      </c>
      <c r="X34" s="188">
        <f>IF(Projected_Start_Date&lt;=$B$4,(F34*$E51),0)</f>
        <v>0</v>
      </c>
      <c r="Y34" s="188">
        <f>IF(Projected_Start_Date&lt;=$B$4,(G34*$E51),0)</f>
        <v>0</v>
      </c>
      <c r="Z34" s="188">
        <f>IF(Projected_Start_Date&lt;=$B$4,(H34*$E51),0)</f>
        <v>0</v>
      </c>
      <c r="AA34" s="188">
        <f>IF(Projected_Start_Date&lt;=$B$4,(I34*$E51),0)</f>
        <v>0</v>
      </c>
      <c r="AB34" s="188">
        <f>IF(Projected_Start_Date&lt;=$B$4,(J34*$E51),0)</f>
        <v>0</v>
      </c>
      <c r="AC34" s="188">
        <f>IF(Projected_Start_Date&lt;=$B$4,(K34*$E51),0)</f>
        <v>0</v>
      </c>
      <c r="AD34" s="188">
        <f>IF(Projected_Start_Date&lt;=$B$4,(L34*$E51),0)</f>
        <v>0</v>
      </c>
      <c r="AE34" s="188">
        <f>IF(Projected_Start_Date&lt;=$B$4,(M34*$E51),0)</f>
        <v>0</v>
      </c>
      <c r="AF34" s="188">
        <f>IF(Projected_Start_Date&lt;=$B$4,(N34*$E51),0)</f>
        <v>0</v>
      </c>
      <c r="AG34" s="188">
        <f>IF(Projected_Start_Date&lt;=$B$4,(O34*$E51),0)</f>
        <v>0</v>
      </c>
      <c r="AH34" s="188">
        <f>IF(Projected_Start_Date&lt;=$B$4,(P34*$E51),0)</f>
        <v>0</v>
      </c>
      <c r="AI34" s="191" t="str">
        <f t="shared" si="31"/>
        <v/>
      </c>
      <c r="AJ34" s="185">
        <f t="shared" si="32"/>
        <v>0</v>
      </c>
      <c r="AK34" s="12"/>
    </row>
    <row r="35" ht="15.75" customHeight="1">
      <c r="A35" s="181">
        <v>6.0</v>
      </c>
      <c r="B35" s="12" t="str">
        <f t="shared" si="26"/>
        <v/>
      </c>
      <c r="C35" s="182" t="str">
        <f>IF(B35="","",(P24*(1+YR3_Sales_Increase)))</f>
        <v/>
      </c>
      <c r="D35" s="202">
        <f>YR3_Sales_Increase</f>
        <v>1.1</v>
      </c>
      <c r="E35" s="183">
        <f t="shared" si="27"/>
        <v>0</v>
      </c>
      <c r="F35" s="183">
        <f t="shared" ref="F35:P35" si="36">E35</f>
        <v>0</v>
      </c>
      <c r="G35" s="183">
        <f t="shared" si="36"/>
        <v>0</v>
      </c>
      <c r="H35" s="183">
        <f t="shared" si="36"/>
        <v>0</v>
      </c>
      <c r="I35" s="183">
        <f t="shared" si="36"/>
        <v>0</v>
      </c>
      <c r="J35" s="183">
        <f t="shared" si="36"/>
        <v>0</v>
      </c>
      <c r="K35" s="183">
        <f t="shared" si="36"/>
        <v>0</v>
      </c>
      <c r="L35" s="183">
        <f t="shared" si="36"/>
        <v>0</v>
      </c>
      <c r="M35" s="183">
        <f t="shared" si="36"/>
        <v>0</v>
      </c>
      <c r="N35" s="183">
        <f t="shared" si="36"/>
        <v>0</v>
      </c>
      <c r="O35" s="183">
        <f t="shared" si="36"/>
        <v>0</v>
      </c>
      <c r="P35" s="183">
        <f t="shared" si="36"/>
        <v>0</v>
      </c>
      <c r="Q35" s="190" t="str">
        <f t="shared" si="29"/>
        <v/>
      </c>
      <c r="R35" s="185">
        <f t="shared" si="30"/>
        <v>0</v>
      </c>
      <c r="S35" s="61">
        <v>6.0</v>
      </c>
      <c r="T35" s="12" t="str">
        <f>IF('A. Background'!B20="Product/Service","",'A. Background'!B20)</f>
        <v/>
      </c>
      <c r="U35" s="182" t="str">
        <f>IF(T35="","",'A. Background'!H97)</f>
        <v/>
      </c>
      <c r="V35" s="12"/>
      <c r="W35" s="188">
        <f>IF(Projected_Start_Date&lt;=$B$4,(E35*$E52),0)</f>
        <v>0</v>
      </c>
      <c r="X35" s="188">
        <f>IF(Projected_Start_Date&lt;=$B$4,(F35*$E52),0)</f>
        <v>0</v>
      </c>
      <c r="Y35" s="188">
        <f>IF(Projected_Start_Date&lt;=$B$4,(G35*$E52),0)</f>
        <v>0</v>
      </c>
      <c r="Z35" s="188">
        <f>IF(Projected_Start_Date&lt;=$B$4,(H35*$E52),0)</f>
        <v>0</v>
      </c>
      <c r="AA35" s="188">
        <f>IF(Projected_Start_Date&lt;=$B$4,(I35*$E52),0)</f>
        <v>0</v>
      </c>
      <c r="AB35" s="188">
        <f>IF(Projected_Start_Date&lt;=$B$4,(J35*$E52),0)</f>
        <v>0</v>
      </c>
      <c r="AC35" s="188">
        <f>IF(Projected_Start_Date&lt;=$B$4,(K35*$E52),0)</f>
        <v>0</v>
      </c>
      <c r="AD35" s="188">
        <f>IF(Projected_Start_Date&lt;=$B$4,(L35*$E52),0)</f>
        <v>0</v>
      </c>
      <c r="AE35" s="188">
        <f>IF(Projected_Start_Date&lt;=$B$4,(M35*$E52),0)</f>
        <v>0</v>
      </c>
      <c r="AF35" s="188">
        <f>IF(Projected_Start_Date&lt;=$B$4,(N35*$E52),0)</f>
        <v>0</v>
      </c>
      <c r="AG35" s="188">
        <f>IF(Projected_Start_Date&lt;=$B$4,(O35*$E52),0)</f>
        <v>0</v>
      </c>
      <c r="AH35" s="188">
        <f>IF(Projected_Start_Date&lt;=$B$4,(P35*$E52),0)</f>
        <v>0</v>
      </c>
      <c r="AI35" s="191" t="str">
        <f t="shared" si="31"/>
        <v/>
      </c>
      <c r="AJ35" s="185">
        <f t="shared" si="32"/>
        <v>0</v>
      </c>
      <c r="AK35" s="12"/>
    </row>
    <row r="36" ht="15.75" customHeight="1">
      <c r="A36" s="181">
        <v>7.0</v>
      </c>
      <c r="B36" s="12" t="str">
        <f t="shared" si="26"/>
        <v/>
      </c>
      <c r="C36" s="182" t="str">
        <f>IF(B36="","",(P25*(1+YR3_Sales_Increase)))</f>
        <v/>
      </c>
      <c r="D36" s="202">
        <f>YR3_Sales_Increase</f>
        <v>1.1</v>
      </c>
      <c r="E36" s="183">
        <f t="shared" si="27"/>
        <v>0</v>
      </c>
      <c r="F36" s="183">
        <f t="shared" ref="F36:P36" si="37">E36</f>
        <v>0</v>
      </c>
      <c r="G36" s="183">
        <f t="shared" si="37"/>
        <v>0</v>
      </c>
      <c r="H36" s="183">
        <f t="shared" si="37"/>
        <v>0</v>
      </c>
      <c r="I36" s="183">
        <f t="shared" si="37"/>
        <v>0</v>
      </c>
      <c r="J36" s="183">
        <f t="shared" si="37"/>
        <v>0</v>
      </c>
      <c r="K36" s="183">
        <f t="shared" si="37"/>
        <v>0</v>
      </c>
      <c r="L36" s="183">
        <f t="shared" si="37"/>
        <v>0</v>
      </c>
      <c r="M36" s="183">
        <f t="shared" si="37"/>
        <v>0</v>
      </c>
      <c r="N36" s="183">
        <f t="shared" si="37"/>
        <v>0</v>
      </c>
      <c r="O36" s="183">
        <f t="shared" si="37"/>
        <v>0</v>
      </c>
      <c r="P36" s="183">
        <f t="shared" si="37"/>
        <v>0</v>
      </c>
      <c r="Q36" s="190" t="str">
        <f t="shared" si="29"/>
        <v/>
      </c>
      <c r="R36" s="185">
        <f t="shared" si="30"/>
        <v>0</v>
      </c>
      <c r="S36" s="61">
        <v>7.0</v>
      </c>
      <c r="T36" s="12" t="str">
        <f>IF('A. Background'!B21="Product/Service","",'A. Background'!B21)</f>
        <v/>
      </c>
      <c r="U36" s="182" t="str">
        <f>IF(T36="","",'A. Background'!H98)</f>
        <v/>
      </c>
      <c r="V36" s="12"/>
      <c r="W36" s="188">
        <f>IF(Projected_Start_Date&lt;=$B$4,(E36*$E53),0)</f>
        <v>0</v>
      </c>
      <c r="X36" s="188">
        <f>IF(Projected_Start_Date&lt;=$B$4,(F36*$E53),0)</f>
        <v>0</v>
      </c>
      <c r="Y36" s="188">
        <f>IF(Projected_Start_Date&lt;=$B$4,(G36*$E53),0)</f>
        <v>0</v>
      </c>
      <c r="Z36" s="188">
        <f>IF(Projected_Start_Date&lt;=$B$4,(H36*$E53),0)</f>
        <v>0</v>
      </c>
      <c r="AA36" s="188">
        <f>IF(Projected_Start_Date&lt;=$B$4,(I36*$E53),0)</f>
        <v>0</v>
      </c>
      <c r="AB36" s="188">
        <f>IF(Projected_Start_Date&lt;=$B$4,(J36*$E53),0)</f>
        <v>0</v>
      </c>
      <c r="AC36" s="188">
        <f>IF(Projected_Start_Date&lt;=$B$4,(K36*$E53),0)</f>
        <v>0</v>
      </c>
      <c r="AD36" s="188">
        <f>IF(Projected_Start_Date&lt;=$B$4,(L36*$E53),0)</f>
        <v>0</v>
      </c>
      <c r="AE36" s="188">
        <f>IF(Projected_Start_Date&lt;=$B$4,(M36*$E53),0)</f>
        <v>0</v>
      </c>
      <c r="AF36" s="188">
        <f>IF(Projected_Start_Date&lt;=$B$4,(N36*$E53),0)</f>
        <v>0</v>
      </c>
      <c r="AG36" s="188">
        <f>IF(Projected_Start_Date&lt;=$B$4,(O36*$E53),0)</f>
        <v>0</v>
      </c>
      <c r="AH36" s="188">
        <f>IF(Projected_Start_Date&lt;=$B$4,(P36*$E53),0)</f>
        <v>0</v>
      </c>
      <c r="AI36" s="191" t="str">
        <f t="shared" si="31"/>
        <v/>
      </c>
      <c r="AJ36" s="185">
        <f t="shared" si="32"/>
        <v>0</v>
      </c>
      <c r="AK36" s="12"/>
    </row>
    <row r="37" ht="15.75" customHeight="1">
      <c r="A37" s="181">
        <v>8.0</v>
      </c>
      <c r="B37" s="12" t="str">
        <f t="shared" si="26"/>
        <v/>
      </c>
      <c r="C37" s="182" t="str">
        <f>IF(B37="","",(P26*(1+YR3_Sales_Increase)))</f>
        <v/>
      </c>
      <c r="D37" s="202">
        <f>YR3_Sales_Increase</f>
        <v>1.1</v>
      </c>
      <c r="E37" s="183">
        <f t="shared" si="27"/>
        <v>0</v>
      </c>
      <c r="F37" s="183">
        <f t="shared" ref="F37:P37" si="38">E37</f>
        <v>0</v>
      </c>
      <c r="G37" s="183">
        <f t="shared" si="38"/>
        <v>0</v>
      </c>
      <c r="H37" s="183">
        <f t="shared" si="38"/>
        <v>0</v>
      </c>
      <c r="I37" s="183">
        <f t="shared" si="38"/>
        <v>0</v>
      </c>
      <c r="J37" s="183">
        <f t="shared" si="38"/>
        <v>0</v>
      </c>
      <c r="K37" s="183">
        <f t="shared" si="38"/>
        <v>0</v>
      </c>
      <c r="L37" s="183">
        <f t="shared" si="38"/>
        <v>0</v>
      </c>
      <c r="M37" s="183">
        <f t="shared" si="38"/>
        <v>0</v>
      </c>
      <c r="N37" s="183">
        <f t="shared" si="38"/>
        <v>0</v>
      </c>
      <c r="O37" s="183">
        <f t="shared" si="38"/>
        <v>0</v>
      </c>
      <c r="P37" s="183">
        <f t="shared" si="38"/>
        <v>0</v>
      </c>
      <c r="Q37" s="190" t="str">
        <f t="shared" si="29"/>
        <v/>
      </c>
      <c r="R37" s="185">
        <f t="shared" si="30"/>
        <v>0</v>
      </c>
      <c r="S37" s="61">
        <v>8.0</v>
      </c>
      <c r="T37" s="12" t="str">
        <f>IF('A. Background'!B22="Product/Service","",'A. Background'!B22)</f>
        <v/>
      </c>
      <c r="U37" s="182" t="str">
        <f>IF(T37="","",'A. Background'!H99)</f>
        <v/>
      </c>
      <c r="V37" s="12"/>
      <c r="W37" s="188">
        <f>IF(Projected_Start_Date&lt;=$B$4,(E37*$E54),0)</f>
        <v>0</v>
      </c>
      <c r="X37" s="188">
        <f>IF(Projected_Start_Date&lt;=$B$4,(F37*$E54),0)</f>
        <v>0</v>
      </c>
      <c r="Y37" s="188">
        <f>IF(Projected_Start_Date&lt;=$B$4,(G37*$E54),0)</f>
        <v>0</v>
      </c>
      <c r="Z37" s="188">
        <f>IF(Projected_Start_Date&lt;=$B$4,(H37*$E54),0)</f>
        <v>0</v>
      </c>
      <c r="AA37" s="188">
        <f>IF(Projected_Start_Date&lt;=$B$4,(I37*$E54),0)</f>
        <v>0</v>
      </c>
      <c r="AB37" s="188">
        <f>IF(Projected_Start_Date&lt;=$B$4,(J37*$E54),0)</f>
        <v>0</v>
      </c>
      <c r="AC37" s="188">
        <f>IF(Projected_Start_Date&lt;=$B$4,(K37*$E54),0)</f>
        <v>0</v>
      </c>
      <c r="AD37" s="188">
        <f>IF(Projected_Start_Date&lt;=$B$4,(L37*$E54),0)</f>
        <v>0</v>
      </c>
      <c r="AE37" s="188">
        <f>IF(Projected_Start_Date&lt;=$B$4,(M37*$E54),0)</f>
        <v>0</v>
      </c>
      <c r="AF37" s="188">
        <f>IF(Projected_Start_Date&lt;=$B$4,(N37*$E54),0)</f>
        <v>0</v>
      </c>
      <c r="AG37" s="188">
        <f>IF(Projected_Start_Date&lt;=$B$4,(O37*$E54),0)</f>
        <v>0</v>
      </c>
      <c r="AH37" s="188">
        <f>IF(Projected_Start_Date&lt;=$B$4,(P37*$E54),0)</f>
        <v>0</v>
      </c>
      <c r="AI37" s="191" t="str">
        <f t="shared" si="31"/>
        <v/>
      </c>
      <c r="AJ37" s="185">
        <f t="shared" si="32"/>
        <v>0</v>
      </c>
      <c r="AK37" s="12"/>
    </row>
    <row r="38" ht="15.75" customHeight="1">
      <c r="A38" s="61"/>
      <c r="B38" s="12"/>
      <c r="C38" s="182"/>
      <c r="D38" s="83"/>
      <c r="E38" s="257"/>
      <c r="F38" s="188"/>
      <c r="G38" s="188"/>
      <c r="H38" s="188"/>
      <c r="I38" s="188"/>
      <c r="J38" s="188"/>
      <c r="K38" s="188"/>
      <c r="L38" s="188"/>
      <c r="M38" s="188"/>
      <c r="N38" s="188"/>
      <c r="O38" s="188"/>
      <c r="P38" s="188"/>
      <c r="Q38" s="192"/>
      <c r="R38" s="185"/>
      <c r="S38" s="61"/>
      <c r="T38" s="12"/>
      <c r="U38" s="182"/>
      <c r="V38" s="12"/>
      <c r="W38" s="188"/>
      <c r="X38" s="188"/>
      <c r="Y38" s="188"/>
      <c r="Z38" s="188"/>
      <c r="AA38" s="188"/>
      <c r="AB38" s="188"/>
      <c r="AC38" s="188"/>
      <c r="AD38" s="188"/>
      <c r="AE38" s="188"/>
      <c r="AF38" s="188"/>
      <c r="AG38" s="188"/>
      <c r="AH38" s="188"/>
      <c r="AI38" s="191"/>
      <c r="AJ38" s="185"/>
      <c r="AK38" s="12"/>
    </row>
    <row r="39" ht="15.75" customHeight="1">
      <c r="A39" s="193"/>
      <c r="B39" s="208"/>
      <c r="C39" s="194"/>
      <c r="D39" s="208"/>
      <c r="E39" s="195"/>
      <c r="F39" s="195"/>
      <c r="G39" s="195"/>
      <c r="H39" s="195"/>
      <c r="I39" s="195"/>
      <c r="J39" s="195"/>
      <c r="K39" s="195"/>
      <c r="L39" s="195"/>
      <c r="M39" s="195"/>
      <c r="N39" s="195"/>
      <c r="O39" s="195"/>
      <c r="P39" s="195"/>
      <c r="Q39" s="196"/>
      <c r="R39" s="208"/>
      <c r="S39" s="168"/>
      <c r="T39" s="208"/>
      <c r="U39" s="194"/>
      <c r="V39" s="208"/>
      <c r="W39" s="195"/>
      <c r="X39" s="195"/>
      <c r="Y39" s="195"/>
      <c r="Z39" s="195"/>
      <c r="AA39" s="195"/>
      <c r="AB39" s="195"/>
      <c r="AC39" s="195"/>
      <c r="AD39" s="195"/>
      <c r="AE39" s="195"/>
      <c r="AF39" s="195"/>
      <c r="AG39" s="195"/>
      <c r="AH39" s="195"/>
      <c r="AI39" s="196"/>
      <c r="AJ39" s="208"/>
      <c r="AK39" s="12"/>
    </row>
    <row r="40" ht="15.75" customHeight="1">
      <c r="A40" s="12"/>
      <c r="B40" s="12"/>
      <c r="C40" s="7"/>
      <c r="D40" s="12"/>
      <c r="E40" s="165"/>
      <c r="F40" s="165"/>
      <c r="G40" s="165"/>
      <c r="H40" s="165"/>
      <c r="I40" s="165"/>
      <c r="J40" s="165"/>
      <c r="K40" s="165"/>
      <c r="L40" s="165"/>
      <c r="M40" s="165"/>
      <c r="N40" s="165"/>
      <c r="O40" s="165"/>
      <c r="P40" s="165"/>
      <c r="Q40" s="134"/>
      <c r="R40" s="12"/>
      <c r="S40" s="12"/>
      <c r="T40" s="12"/>
      <c r="U40" s="12"/>
      <c r="V40" s="12"/>
      <c r="W40" s="12"/>
      <c r="X40" s="12"/>
      <c r="Y40" s="12"/>
      <c r="Z40" s="12"/>
      <c r="AA40" s="12"/>
      <c r="AB40" s="12"/>
      <c r="AC40" s="12"/>
      <c r="AD40" s="12"/>
      <c r="AE40" s="12"/>
      <c r="AF40" s="12"/>
      <c r="AG40" s="12"/>
      <c r="AH40" s="12"/>
      <c r="AI40" s="12"/>
      <c r="AJ40" s="12"/>
      <c r="AK40" s="12"/>
    </row>
    <row r="41" ht="15.75" customHeight="1">
      <c r="A41" s="12"/>
      <c r="B41" s="12"/>
      <c r="C41" s="7"/>
      <c r="D41" s="12"/>
      <c r="E41" s="165"/>
      <c r="F41" s="165"/>
      <c r="G41" s="165"/>
      <c r="H41" s="165"/>
      <c r="I41" s="165"/>
      <c r="J41" s="165"/>
      <c r="K41" s="165"/>
      <c r="L41" s="165"/>
      <c r="M41" s="165"/>
      <c r="N41" s="165"/>
      <c r="O41" s="165"/>
      <c r="P41" s="165"/>
      <c r="Q41" s="134"/>
      <c r="R41" s="12"/>
      <c r="S41" s="12"/>
      <c r="T41" s="5" t="str">
        <f>IF(ISBLANK(Company_Name),"Cost of Goods Sold","COGS for "&amp;Company_Name)</f>
        <v>COGS for OTW Paints</v>
      </c>
      <c r="U41" s="12"/>
      <c r="V41" s="12"/>
      <c r="W41" s="12"/>
      <c r="X41" s="12"/>
      <c r="Y41" s="12"/>
      <c r="Z41" s="12"/>
      <c r="AA41" s="12"/>
      <c r="AB41" s="12"/>
      <c r="AC41" s="12"/>
      <c r="AD41" s="12"/>
      <c r="AE41" s="12"/>
      <c r="AF41" s="12"/>
      <c r="AG41" s="12"/>
      <c r="AH41" s="12"/>
      <c r="AI41" s="12"/>
      <c r="AJ41" s="12"/>
      <c r="AK41" s="12"/>
    </row>
    <row r="42" ht="15.75" customHeight="1">
      <c r="A42" s="12"/>
      <c r="B42" s="12"/>
      <c r="C42" s="7"/>
      <c r="D42" s="12"/>
      <c r="E42" s="165"/>
      <c r="F42" s="165"/>
      <c r="G42" s="165"/>
      <c r="H42" s="165"/>
      <c r="I42" s="165"/>
      <c r="J42" s="165"/>
      <c r="K42" s="165"/>
      <c r="L42" s="165"/>
      <c r="M42" s="165"/>
      <c r="N42" s="165"/>
      <c r="O42" s="165"/>
      <c r="P42" s="165"/>
      <c r="Q42" s="134"/>
      <c r="R42" s="12"/>
      <c r="S42" s="12"/>
      <c r="T42" s="12"/>
      <c r="U42" s="12"/>
      <c r="V42" s="12"/>
      <c r="W42" s="12"/>
      <c r="X42" s="12"/>
      <c r="Y42" s="12"/>
      <c r="Z42" s="12"/>
      <c r="AA42" s="12"/>
      <c r="AB42" s="12"/>
      <c r="AC42" s="12"/>
      <c r="AD42" s="12"/>
      <c r="AE42" s="12"/>
      <c r="AF42" s="12"/>
      <c r="AG42" s="12"/>
      <c r="AH42" s="12"/>
      <c r="AI42" s="12"/>
      <c r="AJ42" s="12"/>
      <c r="AK42" s="12"/>
    </row>
    <row r="43" ht="15.75" customHeight="1">
      <c r="A43" s="12"/>
      <c r="B43" s="260" t="s">
        <v>310</v>
      </c>
      <c r="C43" s="174"/>
      <c r="D43" s="174"/>
      <c r="E43" s="174"/>
      <c r="F43" s="174"/>
      <c r="G43" s="174"/>
      <c r="H43" s="174"/>
      <c r="I43" s="174"/>
      <c r="J43" s="174"/>
      <c r="K43" s="174"/>
      <c r="L43" s="174"/>
      <c r="M43" s="174"/>
      <c r="N43" s="174"/>
      <c r="O43" s="174"/>
      <c r="P43" s="174"/>
      <c r="Q43" s="174"/>
      <c r="R43" s="174"/>
      <c r="S43" s="12"/>
      <c r="T43" s="262" t="s">
        <v>311</v>
      </c>
      <c r="U43" s="263"/>
      <c r="V43" s="263"/>
      <c r="W43" s="263"/>
      <c r="X43" s="263"/>
      <c r="Y43" s="263"/>
      <c r="Z43" s="263"/>
      <c r="AA43" s="263"/>
      <c r="AB43" s="263"/>
      <c r="AC43" s="263"/>
      <c r="AD43" s="263"/>
      <c r="AE43" s="263"/>
      <c r="AF43" s="263"/>
      <c r="AG43" s="263"/>
      <c r="AH43" s="263"/>
      <c r="AI43" s="263"/>
      <c r="AJ43" s="263"/>
      <c r="AK43" s="12"/>
    </row>
    <row r="44" ht="15.75" customHeight="1">
      <c r="A44" s="12"/>
      <c r="B44" s="266"/>
      <c r="C44" s="104"/>
      <c r="D44" s="104"/>
      <c r="E44" s="104"/>
      <c r="F44" s="104"/>
      <c r="G44" s="104"/>
      <c r="H44" s="104"/>
      <c r="I44" s="104"/>
      <c r="J44" s="104"/>
      <c r="K44" s="104"/>
      <c r="L44" s="104"/>
      <c r="M44" s="104"/>
      <c r="N44" s="268"/>
      <c r="O44" s="268"/>
      <c r="P44" s="268"/>
      <c r="Q44" s="268"/>
      <c r="R44" s="268"/>
      <c r="S44" s="12"/>
      <c r="T44" s="25" t="s">
        <v>37</v>
      </c>
      <c r="U44" s="57" t="s">
        <v>262</v>
      </c>
      <c r="V44" s="12"/>
      <c r="W44" s="178">
        <f>DATE(YEAR(Projected_Start_Date),1,1)</f>
        <v>42370</v>
      </c>
      <c r="X44" s="178">
        <f t="shared" ref="X44:AH44" si="39">EDATE(W44,1)</f>
        <v>42401</v>
      </c>
      <c r="Y44" s="178">
        <f t="shared" si="39"/>
        <v>42430</v>
      </c>
      <c r="Z44" s="178">
        <f t="shared" si="39"/>
        <v>42461</v>
      </c>
      <c r="AA44" s="178">
        <f t="shared" si="39"/>
        <v>42491</v>
      </c>
      <c r="AB44" s="178">
        <f t="shared" si="39"/>
        <v>42522</v>
      </c>
      <c r="AC44" s="178">
        <f t="shared" si="39"/>
        <v>42552</v>
      </c>
      <c r="AD44" s="178">
        <f t="shared" si="39"/>
        <v>42583</v>
      </c>
      <c r="AE44" s="178">
        <f t="shared" si="39"/>
        <v>42614</v>
      </c>
      <c r="AF44" s="178">
        <f t="shared" si="39"/>
        <v>42644</v>
      </c>
      <c r="AG44" s="178">
        <f t="shared" si="39"/>
        <v>42675</v>
      </c>
      <c r="AH44" s="178">
        <f t="shared" si="39"/>
        <v>42705</v>
      </c>
      <c r="AI44" s="180" t="s">
        <v>263</v>
      </c>
      <c r="AJ44" s="55" t="s">
        <v>264</v>
      </c>
      <c r="AK44" s="12"/>
    </row>
    <row r="45" ht="15.75" customHeight="1">
      <c r="A45" s="12"/>
      <c r="B45" s="172"/>
      <c r="C45" s="275"/>
      <c r="D45" s="278"/>
      <c r="E45" s="280" t="s">
        <v>316</v>
      </c>
      <c r="F45" s="281"/>
      <c r="G45" s="282"/>
      <c r="H45" s="284"/>
      <c r="I45" s="285" t="s">
        <v>176</v>
      </c>
      <c r="J45" s="281"/>
      <c r="K45" s="281"/>
      <c r="L45" s="286"/>
      <c r="M45" s="287"/>
      <c r="N45" s="289" t="s">
        <v>320</v>
      </c>
      <c r="O45" s="281"/>
      <c r="P45" s="281"/>
      <c r="Q45" s="281"/>
      <c r="R45" s="282"/>
      <c r="S45" s="12"/>
      <c r="T45" s="12" t="str">
        <f>IF('A. Background'!B15="Product/Service","",'A. Background'!B15)</f>
        <v>Paint</v>
      </c>
      <c r="U45" s="182" t="str">
        <f>IF(T45="","",'A. Background'!H106)</f>
        <v/>
      </c>
      <c r="V45" s="12"/>
      <c r="W45" s="186">
        <f>IF(Projected_Start_Date&lt;=$B$4,(E8*$F47),0)</f>
        <v>450</v>
      </c>
      <c r="X45" s="186">
        <f>IF(Projected_Start_Date&lt;=$B$4,(F8*$F47),0)</f>
        <v>675</v>
      </c>
      <c r="Y45" s="186">
        <f>IF(Projected_Start_Date&lt;=$B$4,(G8*$F47),0)</f>
        <v>675</v>
      </c>
      <c r="Z45" s="186">
        <f>IF(Projected_Start_Date&lt;=$B$4,(H8*$F47),0)</f>
        <v>675</v>
      </c>
      <c r="AA45" s="186">
        <f>IF(Projected_Start_Date&lt;=$B$4,(I8*$F47),0)</f>
        <v>1350</v>
      </c>
      <c r="AB45" s="186">
        <f>IF(Projected_Start_Date&lt;=$B$4,(J8*$F47),0)</f>
        <v>1350</v>
      </c>
      <c r="AC45" s="186">
        <f>IF(Projected_Start_Date&lt;=$B$4,(K8*$F47),0)</f>
        <v>1350</v>
      </c>
      <c r="AD45" s="186">
        <f>IF(Projected_Start_Date&lt;=$B$4,(L8*$F47),0)</f>
        <v>1350</v>
      </c>
      <c r="AE45" s="186">
        <f>IF(Projected_Start_Date&lt;=$B$4,(M8*$F47),0)</f>
        <v>2250</v>
      </c>
      <c r="AF45" s="186">
        <f>IF(Projected_Start_Date&lt;=$B$4,(N8*$F47),0)</f>
        <v>2250</v>
      </c>
      <c r="AG45" s="186">
        <f>IF(Projected_Start_Date&lt;=$B$4,(O8*$F47),0)</f>
        <v>2250</v>
      </c>
      <c r="AH45" s="186">
        <f>IF(Projected_Start_Date&lt;=$B$4,(P8*$F47),0)</f>
        <v>2250</v>
      </c>
      <c r="AI45" s="187">
        <f t="shared" ref="AI45:AI52" si="40">IF(SUM(W45:AH45)=0,"",SUM(W45:AH45))</f>
        <v>16875</v>
      </c>
      <c r="AJ45" s="185">
        <f t="shared" ref="AJ45:AJ52" si="41">IFERROR(AI45/SUM($AI$8:$AI$15),"")</f>
        <v>0.2647058824</v>
      </c>
      <c r="AK45" s="12"/>
    </row>
    <row r="46" ht="15.75" customHeight="1">
      <c r="A46" s="12"/>
      <c r="B46" s="297" t="s">
        <v>37</v>
      </c>
      <c r="C46" s="7"/>
      <c r="D46" s="299"/>
      <c r="E46" s="300" t="s">
        <v>40</v>
      </c>
      <c r="F46" s="301" t="s">
        <v>41</v>
      </c>
      <c r="G46" s="303" t="s">
        <v>327</v>
      </c>
      <c r="H46" s="134" t="s">
        <v>328</v>
      </c>
      <c r="I46" s="134" t="s">
        <v>329</v>
      </c>
      <c r="J46" s="304"/>
      <c r="K46" s="165"/>
      <c r="L46" s="165"/>
      <c r="M46" s="305"/>
      <c r="N46" s="306" t="s">
        <v>315</v>
      </c>
      <c r="O46" s="307" t="s">
        <v>107</v>
      </c>
      <c r="P46" s="307" t="s">
        <v>109</v>
      </c>
      <c r="Q46" s="307" t="s">
        <v>110</v>
      </c>
      <c r="R46" s="308" t="s">
        <v>111</v>
      </c>
      <c r="S46" s="12"/>
      <c r="T46" s="12" t="str">
        <f>IF('A. Background'!B16="Product/Service","",'A. Background'!B16)</f>
        <v>REMOVER</v>
      </c>
      <c r="U46" s="182" t="str">
        <f>IF(T46="","",'A. Background'!H107)</f>
        <v/>
      </c>
      <c r="V46" s="12"/>
      <c r="W46" s="310">
        <f>IF(Projected_Start_Date&lt;=$B$4,(E9*$F48),0)</f>
        <v>60</v>
      </c>
      <c r="X46" s="310">
        <f>IF(Projected_Start_Date&lt;=$B$4,(F9*$F48),0)</f>
        <v>90</v>
      </c>
      <c r="Y46" s="310">
        <f>IF(Projected_Start_Date&lt;=$B$4,(G9*$F48),0)</f>
        <v>90</v>
      </c>
      <c r="Z46" s="310">
        <f>IF(Projected_Start_Date&lt;=$B$4,(H9*$F48),0)</f>
        <v>90</v>
      </c>
      <c r="AA46" s="310">
        <f>IF(Projected_Start_Date&lt;=$B$4,(I9*$F48),0)</f>
        <v>180</v>
      </c>
      <c r="AB46" s="310">
        <f>IF(Projected_Start_Date&lt;=$B$4,(J9*$F48),0)</f>
        <v>180</v>
      </c>
      <c r="AC46" s="310">
        <f>IF(Projected_Start_Date&lt;=$B$4,(K9*$F48),0)</f>
        <v>180</v>
      </c>
      <c r="AD46" s="310">
        <f>IF(Projected_Start_Date&lt;=$B$4,(L9*$F48),0)</f>
        <v>180</v>
      </c>
      <c r="AE46" s="310">
        <f>IF(Projected_Start_Date&lt;=$B$4,(M9*$F48),0)</f>
        <v>300</v>
      </c>
      <c r="AF46" s="310">
        <f>IF(Projected_Start_Date&lt;=$B$4,(N9*$F48),0)</f>
        <v>300</v>
      </c>
      <c r="AG46" s="310">
        <f>IF(Projected_Start_Date&lt;=$B$4,(O9*$F48),0)</f>
        <v>300</v>
      </c>
      <c r="AH46" s="310">
        <f>IF(Projected_Start_Date&lt;=$B$4,(P9*$F48),0)</f>
        <v>300</v>
      </c>
      <c r="AI46" s="189">
        <f t="shared" si="40"/>
        <v>2250</v>
      </c>
      <c r="AJ46" s="185">
        <f t="shared" si="41"/>
        <v>0.03529411765</v>
      </c>
      <c r="AK46" s="12"/>
    </row>
    <row r="47" ht="15.75" customHeight="1">
      <c r="A47" s="12"/>
      <c r="B47" s="311" t="str">
        <f t="shared" ref="B47:B53" si="42">IF(ISBLANK(B8),"",B8)</f>
        <v>Paint</v>
      </c>
      <c r="C47" s="312"/>
      <c r="D47" s="313"/>
      <c r="E47" s="315">
        <f>IF('A. Background'!B15="Product/Service","",'A. Background'!D15)</f>
        <v>70</v>
      </c>
      <c r="F47" s="316">
        <f>IF('A. Background'!B15="Product/Service","",'A. Background'!E15)</f>
        <v>22.5</v>
      </c>
      <c r="G47" s="317">
        <f t="shared" ref="G47:G54" si="43">IFERROR(E47-F47,"")</f>
        <v>47.5</v>
      </c>
      <c r="H47" s="318">
        <f t="shared" ref="H47:H54" si="44">IFERROR(F47/E47,"")</f>
        <v>0.3214285714</v>
      </c>
      <c r="I47" s="318">
        <f t="shared" ref="I47:I54" si="45">IFERROR(G47/E47,"")</f>
        <v>0.6785714286</v>
      </c>
      <c r="J47" s="318"/>
      <c r="K47" s="318"/>
      <c r="L47" s="318"/>
      <c r="M47" s="318"/>
      <c r="N47" s="319">
        <f t="shared" ref="N47:N54" si="46">AI8</f>
        <v>52500</v>
      </c>
      <c r="O47" s="67">
        <f t="shared" ref="O47:O54" si="47">AI19</f>
        <v>147000</v>
      </c>
      <c r="P47" s="67">
        <f t="shared" ref="P47:P54" si="48">AI30</f>
        <v>308700</v>
      </c>
      <c r="Q47" s="67">
        <f>IFERROR(IF(YR4_Sales_Increase=0,P47,P47*(1+YR4_Sales_Increase)),0)</f>
        <v>771750</v>
      </c>
      <c r="R47" s="320">
        <f>IFERROR(IF(YR5_Sales_Increase=0,Q47,Q47*(1+YR5_Sales_Increase)),0)</f>
        <v>2508187.5</v>
      </c>
      <c r="S47" s="12"/>
      <c r="T47" s="12" t="str">
        <f>IF('A. Background'!B17="Product/Service","",'A. Background'!B17)</f>
        <v/>
      </c>
      <c r="U47" s="182" t="str">
        <f>IF(T47="","",'A. Background'!H108)</f>
        <v/>
      </c>
      <c r="V47" s="12"/>
      <c r="W47" s="310">
        <f>IF(Projected_Start_Date&lt;=$B$4,(E10*$F49),0)</f>
        <v>0</v>
      </c>
      <c r="X47" s="310">
        <f>IF(Projected_Start_Date&lt;=$B$4,(F10*$F49),0)</f>
        <v>0</v>
      </c>
      <c r="Y47" s="310">
        <f>IF(Projected_Start_Date&lt;=$B$4,(G10*$F49),0)</f>
        <v>0</v>
      </c>
      <c r="Z47" s="310">
        <f>IF(Projected_Start_Date&lt;=$B$4,(H10*$F49),0)</f>
        <v>0</v>
      </c>
      <c r="AA47" s="310">
        <f>IF(Projected_Start_Date&lt;=$B$4,(I10*$F49),0)</f>
        <v>0</v>
      </c>
      <c r="AB47" s="310">
        <f>IF(Projected_Start_Date&lt;=$B$4,(J10*$F49),0)</f>
        <v>0</v>
      </c>
      <c r="AC47" s="310">
        <f>IF(Projected_Start_Date&lt;=$B$4,(K10*$F49),0)</f>
        <v>0</v>
      </c>
      <c r="AD47" s="310">
        <f>IF(Projected_Start_Date&lt;=$B$4,(L10*$F49),0)</f>
        <v>0</v>
      </c>
      <c r="AE47" s="310">
        <f>IF(Projected_Start_Date&lt;=$B$4,(M10*$F49),0)</f>
        <v>0</v>
      </c>
      <c r="AF47" s="310">
        <f>IF(Projected_Start_Date&lt;=$B$4,(N10*$F49),0)</f>
        <v>0</v>
      </c>
      <c r="AG47" s="310">
        <f>IF(Projected_Start_Date&lt;=$B$4,(O10*$F49),0)</f>
        <v>0</v>
      </c>
      <c r="AH47" s="310">
        <f>IF(Projected_Start_Date&lt;=$B$4,(P10*$F49),0)</f>
        <v>0</v>
      </c>
      <c r="AI47" s="189" t="str">
        <f t="shared" si="40"/>
        <v/>
      </c>
      <c r="AJ47" s="185">
        <f t="shared" si="41"/>
        <v>0</v>
      </c>
      <c r="AK47" s="12"/>
    </row>
    <row r="48" ht="15.75" customHeight="1">
      <c r="A48" s="12"/>
      <c r="B48" s="322" t="str">
        <f t="shared" si="42"/>
        <v>REMOVER</v>
      </c>
      <c r="C48" s="7"/>
      <c r="D48" s="299"/>
      <c r="E48" s="323">
        <f>IF('A. Background'!B16="Product/Service","",'A. Background'!D16)</f>
        <v>15</v>
      </c>
      <c r="F48" s="324">
        <f>IF('A. Background'!B16="Product/Service","",'A. Background'!E16)</f>
        <v>3</v>
      </c>
      <c r="G48" s="325">
        <f t="shared" si="43"/>
        <v>12</v>
      </c>
      <c r="H48" s="326">
        <f t="shared" si="44"/>
        <v>0.2</v>
      </c>
      <c r="I48" s="326">
        <f t="shared" si="45"/>
        <v>0.8</v>
      </c>
      <c r="J48" s="326"/>
      <c r="K48" s="326"/>
      <c r="L48" s="134"/>
      <c r="M48" s="305"/>
      <c r="N48" s="327">
        <f t="shared" si="46"/>
        <v>11250</v>
      </c>
      <c r="O48" s="302">
        <f t="shared" si="47"/>
        <v>31500</v>
      </c>
      <c r="P48" s="302">
        <f t="shared" si="48"/>
        <v>66150</v>
      </c>
      <c r="Q48" s="67">
        <f>IFERROR(IF(YR4_Sales_Increase=0,P48,P48*(1+YR4_Sales_Increase)),0)</f>
        <v>165375</v>
      </c>
      <c r="R48" s="320">
        <f>IFERROR(IF(YR5_Sales_Increase=0,Q48,Q48*(1+YR5_Sales_Increase)),0)</f>
        <v>537468.75</v>
      </c>
      <c r="S48" s="12"/>
      <c r="T48" s="12" t="str">
        <f>IF('A. Background'!B18="Product/Service","",'A. Background'!B18)</f>
        <v/>
      </c>
      <c r="U48" s="182" t="str">
        <f>IF(T48="","",'A. Background'!H109)</f>
        <v/>
      </c>
      <c r="V48" s="12"/>
      <c r="W48" s="310">
        <f>IF(Projected_Start_Date&lt;=$B$4,(E11*$F50),0)</f>
        <v>0</v>
      </c>
      <c r="X48" s="310">
        <f>IF(Projected_Start_Date&lt;=$B$4,(F11*$F50),0)</f>
        <v>0</v>
      </c>
      <c r="Y48" s="310">
        <f>IF(Projected_Start_Date&lt;=$B$4,(G11*$F50),0)</f>
        <v>0</v>
      </c>
      <c r="Z48" s="310">
        <f>IF(Projected_Start_Date&lt;=$B$4,(H11*$F50),0)</f>
        <v>0</v>
      </c>
      <c r="AA48" s="310">
        <f>IF(Projected_Start_Date&lt;=$B$4,(I11*$F50),0)</f>
        <v>0</v>
      </c>
      <c r="AB48" s="310">
        <f>IF(Projected_Start_Date&lt;=$B$4,(J11*$F50),0)</f>
        <v>0</v>
      </c>
      <c r="AC48" s="310">
        <f>IF(Projected_Start_Date&lt;=$B$4,(K11*$F50),0)</f>
        <v>0</v>
      </c>
      <c r="AD48" s="310">
        <f>IF(Projected_Start_Date&lt;=$B$4,(L11*$F50),0)</f>
        <v>0</v>
      </c>
      <c r="AE48" s="310">
        <f>IF(Projected_Start_Date&lt;=$B$4,(M11*$F50),0)</f>
        <v>0</v>
      </c>
      <c r="AF48" s="310">
        <f>IF(Projected_Start_Date&lt;=$B$4,(N11*$F50),0)</f>
        <v>0</v>
      </c>
      <c r="AG48" s="310">
        <f>IF(Projected_Start_Date&lt;=$B$4,(O11*$F50),0)</f>
        <v>0</v>
      </c>
      <c r="AH48" s="310">
        <f>IF(Projected_Start_Date&lt;=$B$4,(P11*$F50),0)</f>
        <v>0</v>
      </c>
      <c r="AI48" s="189" t="str">
        <f t="shared" si="40"/>
        <v/>
      </c>
      <c r="AJ48" s="185">
        <f t="shared" si="41"/>
        <v>0</v>
      </c>
      <c r="AK48" s="12"/>
    </row>
    <row r="49" ht="15.75" customHeight="1">
      <c r="A49" s="12"/>
      <c r="B49" s="311" t="str">
        <f t="shared" si="42"/>
        <v/>
      </c>
      <c r="C49" s="312"/>
      <c r="D49" s="313"/>
      <c r="E49" s="329">
        <f>IF('A. Background'!B17="Product/Service","",'A. Background'!D17)</f>
        <v>0</v>
      </c>
      <c r="F49" s="330">
        <f>IF('A. Background'!B17="Product/Service","",'A. Background'!E17)</f>
        <v>0</v>
      </c>
      <c r="G49" s="331">
        <f t="shared" si="43"/>
        <v>0</v>
      </c>
      <c r="H49" s="318" t="str">
        <f t="shared" si="44"/>
        <v/>
      </c>
      <c r="I49" s="318" t="str">
        <f t="shared" si="45"/>
        <v/>
      </c>
      <c r="J49" s="318"/>
      <c r="K49" s="318"/>
      <c r="L49" s="318"/>
      <c r="M49" s="332"/>
      <c r="N49" s="327" t="str">
        <f t="shared" si="46"/>
        <v/>
      </c>
      <c r="O49" s="302" t="str">
        <f t="shared" si="47"/>
        <v/>
      </c>
      <c r="P49" s="302" t="str">
        <f t="shared" si="48"/>
        <v/>
      </c>
      <c r="Q49" s="67">
        <f>IFERROR(IF(YR4_Sales_Increase=0,P49,P49*(1+YR4_Sales_Increase)),0)</f>
        <v>0</v>
      </c>
      <c r="R49" s="320">
        <f>IFERROR(IF(YR5_Sales_Increase=0,Q49,Q49*(1+YR5_Sales_Increase)),0)</f>
        <v>0</v>
      </c>
      <c r="S49" s="12"/>
      <c r="T49" s="12" t="str">
        <f>IF('A. Background'!B19="Product/Service","",'A. Background'!B19)</f>
        <v/>
      </c>
      <c r="U49" s="182" t="str">
        <f>IF(T49="","",'A. Background'!H110)</f>
        <v/>
      </c>
      <c r="V49" s="12"/>
      <c r="W49" s="310">
        <f>IF(Projected_Start_Date&lt;=$B$4,(E12*$F51),0)</f>
        <v>0</v>
      </c>
      <c r="X49" s="310">
        <f>IF(Projected_Start_Date&lt;=$B$4,(F12*$F51),0)</f>
        <v>0</v>
      </c>
      <c r="Y49" s="310">
        <f>IF(Projected_Start_Date&lt;=$B$4,(G12*$F51),0)</f>
        <v>0</v>
      </c>
      <c r="Z49" s="310">
        <f>IF(Projected_Start_Date&lt;=$B$4,(H12*$F51),0)</f>
        <v>0</v>
      </c>
      <c r="AA49" s="310">
        <f>IF(Projected_Start_Date&lt;=$B$4,(I12*$F51),0)</f>
        <v>0</v>
      </c>
      <c r="AB49" s="310">
        <f>IF(Projected_Start_Date&lt;=$B$4,(J12*$F51),0)</f>
        <v>0</v>
      </c>
      <c r="AC49" s="310">
        <f>IF(Projected_Start_Date&lt;=$B$4,(K12*$F51),0)</f>
        <v>0</v>
      </c>
      <c r="AD49" s="310">
        <f>IF(Projected_Start_Date&lt;=$B$4,(L12*$F51),0)</f>
        <v>0</v>
      </c>
      <c r="AE49" s="310">
        <f>IF(Projected_Start_Date&lt;=$B$4,(M12*$F51),0)</f>
        <v>0</v>
      </c>
      <c r="AF49" s="310">
        <f>IF(Projected_Start_Date&lt;=$B$4,(N12*$F51),0)</f>
        <v>0</v>
      </c>
      <c r="AG49" s="310">
        <f>IF(Projected_Start_Date&lt;=$B$4,(O12*$F51),0)</f>
        <v>0</v>
      </c>
      <c r="AH49" s="310">
        <f>IF(Projected_Start_Date&lt;=$B$4,(P12*$F51),0)</f>
        <v>0</v>
      </c>
      <c r="AI49" s="191" t="str">
        <f t="shared" si="40"/>
        <v/>
      </c>
      <c r="AJ49" s="185">
        <f t="shared" si="41"/>
        <v>0</v>
      </c>
      <c r="AK49" s="12"/>
    </row>
    <row r="50" ht="15.75" customHeight="1">
      <c r="A50" s="12"/>
      <c r="B50" s="322" t="str">
        <f t="shared" si="42"/>
        <v/>
      </c>
      <c r="C50" s="7"/>
      <c r="D50" s="299"/>
      <c r="E50" s="323">
        <f>IF('A. Background'!B18="Product/Service","",'A. Background'!D18)</f>
        <v>0</v>
      </c>
      <c r="F50" s="324">
        <f>IF('A. Background'!B18="Product/Service","",'A. Background'!E18)</f>
        <v>0</v>
      </c>
      <c r="G50" s="325">
        <f t="shared" si="43"/>
        <v>0</v>
      </c>
      <c r="H50" s="326" t="str">
        <f t="shared" si="44"/>
        <v/>
      </c>
      <c r="I50" s="326" t="str">
        <f t="shared" si="45"/>
        <v/>
      </c>
      <c r="J50" s="326"/>
      <c r="K50" s="326"/>
      <c r="L50" s="134"/>
      <c r="M50" s="305"/>
      <c r="N50" s="327" t="str">
        <f t="shared" si="46"/>
        <v/>
      </c>
      <c r="O50" s="302" t="str">
        <f t="shared" si="47"/>
        <v/>
      </c>
      <c r="P50" s="302" t="str">
        <f t="shared" si="48"/>
        <v/>
      </c>
      <c r="Q50" s="67">
        <f>IFERROR(IF(YR4_Sales_Increase=0,P50,P50*(1+YR4_Sales_Increase)),0)</f>
        <v>0</v>
      </c>
      <c r="R50" s="320">
        <f>IFERROR(IF(YR5_Sales_Increase=0,Q50,Q50*(1+YR5_Sales_Increase)),0)</f>
        <v>0</v>
      </c>
      <c r="S50" s="12"/>
      <c r="T50" s="12" t="str">
        <f>IF('A. Background'!B20="Product/Service","",'A. Background'!B20)</f>
        <v/>
      </c>
      <c r="U50" s="182" t="str">
        <f>IF(T50="","",'A. Background'!H111)</f>
        <v/>
      </c>
      <c r="V50" s="12"/>
      <c r="W50" s="310">
        <f>IF(Projected_Start_Date&lt;=$B$4,(E13*$F52),0)</f>
        <v>0</v>
      </c>
      <c r="X50" s="310">
        <f>IF(Projected_Start_Date&lt;=$B$4,(F13*$F52),0)</f>
        <v>0</v>
      </c>
      <c r="Y50" s="310">
        <f>IF(Projected_Start_Date&lt;=$B$4,(G13*$F52),0)</f>
        <v>0</v>
      </c>
      <c r="Z50" s="310">
        <f>IF(Projected_Start_Date&lt;=$B$4,(H13*$F52),0)</f>
        <v>0</v>
      </c>
      <c r="AA50" s="310">
        <f>IF(Projected_Start_Date&lt;=$B$4,(I13*$F52),0)</f>
        <v>0</v>
      </c>
      <c r="AB50" s="310">
        <f>IF(Projected_Start_Date&lt;=$B$4,(J13*$F52),0)</f>
        <v>0</v>
      </c>
      <c r="AC50" s="310">
        <f>IF(Projected_Start_Date&lt;=$B$4,(K13*$F52),0)</f>
        <v>0</v>
      </c>
      <c r="AD50" s="310">
        <f>IF(Projected_Start_Date&lt;=$B$4,(L13*$F52),0)</f>
        <v>0</v>
      </c>
      <c r="AE50" s="310">
        <f>IF(Projected_Start_Date&lt;=$B$4,(M13*$F52),0)</f>
        <v>0</v>
      </c>
      <c r="AF50" s="310">
        <f>IF(Projected_Start_Date&lt;=$B$4,(N13*$F52),0)</f>
        <v>0</v>
      </c>
      <c r="AG50" s="310">
        <f>IF(Projected_Start_Date&lt;=$B$4,(O13*$F52),0)</f>
        <v>0</v>
      </c>
      <c r="AH50" s="310">
        <f>IF(Projected_Start_Date&lt;=$B$4,(P13*$F52),0)</f>
        <v>0</v>
      </c>
      <c r="AI50" s="191" t="str">
        <f t="shared" si="40"/>
        <v/>
      </c>
      <c r="AJ50" s="185">
        <f t="shared" si="41"/>
        <v>0</v>
      </c>
      <c r="AK50" s="12"/>
    </row>
    <row r="51" ht="15.75" customHeight="1">
      <c r="A51" s="12"/>
      <c r="B51" s="311" t="str">
        <f t="shared" si="42"/>
        <v/>
      </c>
      <c r="C51" s="312"/>
      <c r="D51" s="313"/>
      <c r="E51" s="329">
        <f>IF('A. Background'!B19="Product/Service","",'A. Background'!D19)</f>
        <v>0</v>
      </c>
      <c r="F51" s="330">
        <f>IF('A. Background'!B19="Product/Service","",'A. Background'!E19)</f>
        <v>0</v>
      </c>
      <c r="G51" s="331">
        <f t="shared" si="43"/>
        <v>0</v>
      </c>
      <c r="H51" s="318" t="str">
        <f t="shared" si="44"/>
        <v/>
      </c>
      <c r="I51" s="318" t="str">
        <f t="shared" si="45"/>
        <v/>
      </c>
      <c r="J51" s="318"/>
      <c r="K51" s="318"/>
      <c r="L51" s="318"/>
      <c r="M51" s="318"/>
      <c r="N51" s="327" t="str">
        <f t="shared" si="46"/>
        <v/>
      </c>
      <c r="O51" s="302" t="str">
        <f t="shared" si="47"/>
        <v/>
      </c>
      <c r="P51" s="302" t="str">
        <f t="shared" si="48"/>
        <v/>
      </c>
      <c r="Q51" s="67">
        <f>IFERROR(IF(YR4_Sales_Increase=0,P51,P51*(1+YR4_Sales_Increase)),0)</f>
        <v>0</v>
      </c>
      <c r="R51" s="320">
        <f>IFERROR(IF(YR5_Sales_Increase=0,Q51,Q51*(1+YR5_Sales_Increase)),0)</f>
        <v>0</v>
      </c>
      <c r="S51" s="12"/>
      <c r="T51" s="12" t="str">
        <f>IF('A. Background'!B21="Product/Service","",'A. Background'!B21)</f>
        <v/>
      </c>
      <c r="U51" s="182" t="str">
        <f>IF(T51="","",'A. Background'!H112)</f>
        <v/>
      </c>
      <c r="V51" s="12"/>
      <c r="W51" s="310">
        <f>IF(Projected_Start_Date&lt;=$B$4,(E14*$F53),0)</f>
        <v>0</v>
      </c>
      <c r="X51" s="310">
        <f>IF(Projected_Start_Date&lt;=$B$4,(F14*$F53),0)</f>
        <v>0</v>
      </c>
      <c r="Y51" s="310">
        <f>IF(Projected_Start_Date&lt;=$B$4,(G14*$F53),0)</f>
        <v>0</v>
      </c>
      <c r="Z51" s="310">
        <f>IF(Projected_Start_Date&lt;=$B$4,(H14*$F53),0)</f>
        <v>0</v>
      </c>
      <c r="AA51" s="310">
        <f>IF(Projected_Start_Date&lt;=$B$4,(I14*$F53),0)</f>
        <v>0</v>
      </c>
      <c r="AB51" s="310">
        <f>IF(Projected_Start_Date&lt;=$B$4,(J14*$F53),0)</f>
        <v>0</v>
      </c>
      <c r="AC51" s="310">
        <f>IF(Projected_Start_Date&lt;=$B$4,(K14*$F53),0)</f>
        <v>0</v>
      </c>
      <c r="AD51" s="310">
        <f>IF(Projected_Start_Date&lt;=$B$4,(L14*$F53),0)</f>
        <v>0</v>
      </c>
      <c r="AE51" s="310">
        <f>IF(Projected_Start_Date&lt;=$B$4,(M14*$F53),0)</f>
        <v>0</v>
      </c>
      <c r="AF51" s="310">
        <f>IF(Projected_Start_Date&lt;=$B$4,(N14*$F53),0)</f>
        <v>0</v>
      </c>
      <c r="AG51" s="310">
        <f>IF(Projected_Start_Date&lt;=$B$4,(O14*$F53),0)</f>
        <v>0</v>
      </c>
      <c r="AH51" s="310">
        <f>IF(Projected_Start_Date&lt;=$B$4,(P14*$F53),0)</f>
        <v>0</v>
      </c>
      <c r="AI51" s="191" t="str">
        <f t="shared" si="40"/>
        <v/>
      </c>
      <c r="AJ51" s="185">
        <f t="shared" si="41"/>
        <v>0</v>
      </c>
      <c r="AK51" s="12"/>
    </row>
    <row r="52" ht="15.75" customHeight="1">
      <c r="A52" s="12"/>
      <c r="B52" s="322" t="str">
        <f t="shared" si="42"/>
        <v/>
      </c>
      <c r="C52" s="7"/>
      <c r="D52" s="299"/>
      <c r="E52" s="323">
        <f>IF('A. Background'!B20="Product/Service","",'A. Background'!D20)</f>
        <v>0</v>
      </c>
      <c r="F52" s="324">
        <f>IF('A. Background'!B20="Product/Service","",'A. Background'!E20)</f>
        <v>0</v>
      </c>
      <c r="G52" s="325">
        <f t="shared" si="43"/>
        <v>0</v>
      </c>
      <c r="H52" s="326" t="str">
        <f t="shared" si="44"/>
        <v/>
      </c>
      <c r="I52" s="326" t="str">
        <f t="shared" si="45"/>
        <v/>
      </c>
      <c r="J52" s="326"/>
      <c r="K52" s="326"/>
      <c r="L52" s="165"/>
      <c r="M52" s="305"/>
      <c r="N52" s="327" t="str">
        <f t="shared" si="46"/>
        <v/>
      </c>
      <c r="O52" s="302" t="str">
        <f t="shared" si="47"/>
        <v/>
      </c>
      <c r="P52" s="302" t="str">
        <f t="shared" si="48"/>
        <v/>
      </c>
      <c r="Q52" s="67">
        <f>IFERROR(IF(YR4_Sales_Increase=0,P52,P52*(1+YR4_Sales_Increase)),0)</f>
        <v>0</v>
      </c>
      <c r="R52" s="320">
        <f>IFERROR(IF(YR5_Sales_Increase=0,Q52,Q52*(1+YR5_Sales_Increase)),0)</f>
        <v>0</v>
      </c>
      <c r="S52" s="12"/>
      <c r="T52" s="12" t="str">
        <f>IF('A. Background'!B22="Product/Service","",'A. Background'!B22)</f>
        <v/>
      </c>
      <c r="U52" s="182" t="str">
        <f>IF(T52="","",'A. Background'!H113)</f>
        <v/>
      </c>
      <c r="V52" s="12"/>
      <c r="W52" s="310">
        <f>IF(Projected_Start_Date&lt;=$B$4,(E15*$F54),0)</f>
        <v>0</v>
      </c>
      <c r="X52" s="310">
        <f>IF(Projected_Start_Date&lt;=$B$4,(F15*$F54),0)</f>
        <v>0</v>
      </c>
      <c r="Y52" s="310">
        <f>IF(Projected_Start_Date&lt;=$B$4,(G15*$F54),0)</f>
        <v>0</v>
      </c>
      <c r="Z52" s="310">
        <f>IF(Projected_Start_Date&lt;=$B$4,(H15*$F54),0)</f>
        <v>0</v>
      </c>
      <c r="AA52" s="310">
        <f>IF(Projected_Start_Date&lt;=$B$4,(I15*$F54),0)</f>
        <v>0</v>
      </c>
      <c r="AB52" s="310">
        <f>IF(Projected_Start_Date&lt;=$B$4,(J15*$F54),0)</f>
        <v>0</v>
      </c>
      <c r="AC52" s="310">
        <f>IF(Projected_Start_Date&lt;=$B$4,(K15*$F54),0)</f>
        <v>0</v>
      </c>
      <c r="AD52" s="310">
        <f>IF(Projected_Start_Date&lt;=$B$4,(L15*$F54),0)</f>
        <v>0</v>
      </c>
      <c r="AE52" s="310">
        <f>IF(Projected_Start_Date&lt;=$B$4,(M15*$F54),0)</f>
        <v>0</v>
      </c>
      <c r="AF52" s="310">
        <f>IF(Projected_Start_Date&lt;=$B$4,(N15*$F54),0)</f>
        <v>0</v>
      </c>
      <c r="AG52" s="310">
        <f>IF(Projected_Start_Date&lt;=$B$4,(O15*$F54),0)</f>
        <v>0</v>
      </c>
      <c r="AH52" s="310">
        <f>IF(Projected_Start_Date&lt;=$B$4,(P15*$F54),0)</f>
        <v>0</v>
      </c>
      <c r="AI52" s="191" t="str">
        <f t="shared" si="40"/>
        <v/>
      </c>
      <c r="AJ52" s="185">
        <f t="shared" si="41"/>
        <v>0</v>
      </c>
      <c r="AK52" s="12"/>
    </row>
    <row r="53" ht="15.75" customHeight="1">
      <c r="A53" s="12"/>
      <c r="B53" s="311" t="str">
        <f t="shared" si="42"/>
        <v/>
      </c>
      <c r="C53" s="312"/>
      <c r="D53" s="313"/>
      <c r="E53" s="329">
        <f>IF('A. Background'!B21="Product/Service","",'A. Background'!D21)</f>
        <v>0</v>
      </c>
      <c r="F53" s="330">
        <f>IF('A. Background'!B21="Product/Service","",'A. Background'!E21)</f>
        <v>0</v>
      </c>
      <c r="G53" s="331">
        <f t="shared" si="43"/>
        <v>0</v>
      </c>
      <c r="H53" s="318" t="str">
        <f t="shared" si="44"/>
        <v/>
      </c>
      <c r="I53" s="318" t="str">
        <f t="shared" si="45"/>
        <v/>
      </c>
      <c r="J53" s="318"/>
      <c r="K53" s="318"/>
      <c r="L53" s="318"/>
      <c r="M53" s="318"/>
      <c r="N53" s="327" t="str">
        <f t="shared" si="46"/>
        <v/>
      </c>
      <c r="O53" s="302" t="str">
        <f t="shared" si="47"/>
        <v/>
      </c>
      <c r="P53" s="302" t="str">
        <f t="shared" si="48"/>
        <v/>
      </c>
      <c r="Q53" s="67">
        <f>IFERROR(IF(YR4_Sales_Increase=0,P53,P53*(1+YR4_Sales_Increase)),0)</f>
        <v>0</v>
      </c>
      <c r="R53" s="320">
        <f>IFERROR(IF(YR5_Sales_Increase=0,Q53,Q53*(1+YR5_Sales_Increase)),0)</f>
        <v>0</v>
      </c>
      <c r="S53" s="12"/>
      <c r="T53" s="12"/>
      <c r="U53" s="182"/>
      <c r="V53" s="12"/>
      <c r="W53" s="188"/>
      <c r="X53" s="188"/>
      <c r="Y53" s="188"/>
      <c r="Z53" s="188"/>
      <c r="AA53" s="188"/>
      <c r="AB53" s="188"/>
      <c r="AC53" s="188"/>
      <c r="AD53" s="188"/>
      <c r="AE53" s="188"/>
      <c r="AF53" s="188"/>
      <c r="AG53" s="188"/>
      <c r="AH53" s="188"/>
      <c r="AI53" s="192"/>
      <c r="AJ53" s="185"/>
      <c r="AK53" s="12"/>
    </row>
    <row r="54" ht="15.75" customHeight="1">
      <c r="A54" s="12"/>
      <c r="B54" s="334" t="str">
        <f>B15</f>
        <v/>
      </c>
      <c r="C54" s="335"/>
      <c r="D54" s="336"/>
      <c r="E54" s="337">
        <f>IF('A. Background'!B22="Product/Service","",'A. Background'!D22)</f>
        <v>0</v>
      </c>
      <c r="F54" s="338">
        <f>IF('A. Background'!B22="Product/Service","",'A. Background'!E22)</f>
        <v>0</v>
      </c>
      <c r="G54" s="339">
        <f t="shared" si="43"/>
        <v>0</v>
      </c>
      <c r="H54" s="340" t="str">
        <f t="shared" si="44"/>
        <v/>
      </c>
      <c r="I54" s="341" t="str">
        <f t="shared" si="45"/>
        <v/>
      </c>
      <c r="J54" s="341" t="str">
        <f>IFERROR(F54/E54,"")</f>
        <v/>
      </c>
      <c r="K54" s="341" t="str">
        <f>IFERROR(G54/E54,"")</f>
        <v/>
      </c>
      <c r="L54" s="342"/>
      <c r="M54" s="343"/>
      <c r="N54" s="344" t="str">
        <f t="shared" si="46"/>
        <v/>
      </c>
      <c r="O54" s="345" t="str">
        <f t="shared" si="47"/>
        <v/>
      </c>
      <c r="P54" s="345" t="str">
        <f t="shared" si="48"/>
        <v/>
      </c>
      <c r="Q54" s="346">
        <f>IFERROR(IF(YR4_Sales_Increase=0,P54,P54*(1+YR4_Sales_Increase)),0)</f>
        <v>0</v>
      </c>
      <c r="R54" s="347">
        <f>IFERROR(IF(YR5_Sales_Increase=0,Q54,Q54*(1+YR5_Sales_Increase)),0)</f>
        <v>0</v>
      </c>
      <c r="S54" s="12"/>
      <c r="T54" s="262" t="s">
        <v>350</v>
      </c>
      <c r="U54" s="348"/>
      <c r="V54" s="349"/>
      <c r="W54" s="350"/>
      <c r="X54" s="350"/>
      <c r="Y54" s="350"/>
      <c r="Z54" s="350"/>
      <c r="AA54" s="350"/>
      <c r="AB54" s="350"/>
      <c r="AC54" s="350"/>
      <c r="AD54" s="350"/>
      <c r="AE54" s="350"/>
      <c r="AF54" s="350"/>
      <c r="AG54" s="350"/>
      <c r="AH54" s="350"/>
      <c r="AI54" s="351"/>
      <c r="AJ54" s="352"/>
      <c r="AK54" s="12"/>
    </row>
    <row r="55" ht="15.75" customHeight="1">
      <c r="A55" s="12"/>
      <c r="B55" s="12"/>
      <c r="C55" s="7"/>
      <c r="D55" s="12"/>
      <c r="E55" s="165"/>
      <c r="F55" s="165"/>
      <c r="G55" s="165"/>
      <c r="H55" s="165"/>
      <c r="I55" s="165"/>
      <c r="J55" s="165"/>
      <c r="K55" s="165"/>
      <c r="L55" s="165"/>
      <c r="M55" s="165"/>
      <c r="N55" s="165"/>
      <c r="O55" s="12"/>
      <c r="P55" s="12"/>
      <c r="Q55" s="12"/>
      <c r="R55" s="12"/>
      <c r="S55" s="12"/>
      <c r="T55" s="25" t="s">
        <v>37</v>
      </c>
      <c r="U55" s="57" t="s">
        <v>262</v>
      </c>
      <c r="V55" s="12"/>
      <c r="W55" s="178">
        <f>DATE(YEAR(Projected_Start_Date),1,1)</f>
        <v>42370</v>
      </c>
      <c r="X55" s="178">
        <f t="shared" ref="X55:AH55" si="49">EDATE(W55,1)</f>
        <v>42401</v>
      </c>
      <c r="Y55" s="178">
        <f t="shared" si="49"/>
        <v>42430</v>
      </c>
      <c r="Z55" s="178">
        <f t="shared" si="49"/>
        <v>42461</v>
      </c>
      <c r="AA55" s="178">
        <f t="shared" si="49"/>
        <v>42491</v>
      </c>
      <c r="AB55" s="178">
        <f t="shared" si="49"/>
        <v>42522</v>
      </c>
      <c r="AC55" s="178">
        <f t="shared" si="49"/>
        <v>42552</v>
      </c>
      <c r="AD55" s="178">
        <f t="shared" si="49"/>
        <v>42583</v>
      </c>
      <c r="AE55" s="178">
        <f t="shared" si="49"/>
        <v>42614</v>
      </c>
      <c r="AF55" s="178">
        <f t="shared" si="49"/>
        <v>42644</v>
      </c>
      <c r="AG55" s="178">
        <f t="shared" si="49"/>
        <v>42675</v>
      </c>
      <c r="AH55" s="178">
        <f t="shared" si="49"/>
        <v>42705</v>
      </c>
      <c r="AI55" s="180" t="s">
        <v>263</v>
      </c>
      <c r="AJ55" s="55" t="s">
        <v>264</v>
      </c>
      <c r="AK55" s="12"/>
    </row>
    <row r="56" ht="15.75" customHeight="1">
      <c r="A56" s="12"/>
      <c r="B56" s="12"/>
      <c r="C56" s="7"/>
      <c r="D56" s="12"/>
      <c r="E56" s="12"/>
      <c r="F56" s="12"/>
      <c r="G56" s="12"/>
      <c r="H56" s="12"/>
      <c r="I56" s="12"/>
      <c r="J56" s="12"/>
      <c r="K56" s="172"/>
      <c r="L56" s="275"/>
      <c r="M56" s="275"/>
      <c r="N56" s="289" t="s">
        <v>354</v>
      </c>
      <c r="O56" s="281"/>
      <c r="P56" s="281"/>
      <c r="Q56" s="281"/>
      <c r="R56" s="282"/>
      <c r="S56" s="12"/>
      <c r="T56" s="12" t="str">
        <f>IF('A. Background'!B15="Product/Service","",'A. Background'!B15)</f>
        <v>Paint</v>
      </c>
      <c r="U56" s="182" t="str">
        <f>IF(T56="","",'A. Background'!H118)</f>
        <v/>
      </c>
      <c r="V56" s="12"/>
      <c r="W56" s="186">
        <f>IF(Projected_Start_Date&lt;=$B$4,(E19*$F47),0)</f>
        <v>3937.5</v>
      </c>
      <c r="X56" s="186">
        <f>IF(Projected_Start_Date&lt;=$B$4,(F19*$F47),0)</f>
        <v>3937.5</v>
      </c>
      <c r="Y56" s="186">
        <f>IF(Projected_Start_Date&lt;=$B$4,(G19*$F47),0)</f>
        <v>3937.5</v>
      </c>
      <c r="Z56" s="186">
        <f>IF(Projected_Start_Date&lt;=$B$4,(H19*$F47),0)</f>
        <v>3937.5</v>
      </c>
      <c r="AA56" s="186">
        <f>IF(Projected_Start_Date&lt;=$B$4,(I19*$F47),0)</f>
        <v>3937.5</v>
      </c>
      <c r="AB56" s="186">
        <f>IF(Projected_Start_Date&lt;=$B$4,(J19*$F47),0)</f>
        <v>3937.5</v>
      </c>
      <c r="AC56" s="186">
        <f>IF(Projected_Start_Date&lt;=$B$4,(K19*$F47),0)</f>
        <v>3937.5</v>
      </c>
      <c r="AD56" s="186">
        <f>IF(Projected_Start_Date&lt;=$B$4,(L19*$F47),0)</f>
        <v>3937.5</v>
      </c>
      <c r="AE56" s="186">
        <f>IF(Projected_Start_Date&lt;=$B$4,(M19*$F47),0)</f>
        <v>3937.5</v>
      </c>
      <c r="AF56" s="186">
        <f>IF(Projected_Start_Date&lt;=$B$4,(N19*$F47),0)</f>
        <v>3937.5</v>
      </c>
      <c r="AG56" s="186">
        <f>IF(Projected_Start_Date&lt;=$B$4,(O19*$F47),0)</f>
        <v>3937.5</v>
      </c>
      <c r="AH56" s="186">
        <f>IF(Projected_Start_Date&lt;=$B$4,(P19*$F47),0)</f>
        <v>3937.5</v>
      </c>
      <c r="AI56" s="187">
        <f t="shared" ref="AI56:AI63" si="50">IF(SUM(W56:AH56)=0,"",SUM(W56:AH56))</f>
        <v>47250</v>
      </c>
      <c r="AJ56" s="185">
        <f t="shared" ref="AJ56:AJ63" si="51">IFERROR(AI56/SUM($AI$19:$AI$26),"")</f>
        <v>0.2647058824</v>
      </c>
      <c r="AK56" s="12"/>
    </row>
    <row r="57" ht="15.75" customHeight="1">
      <c r="A57" s="12"/>
      <c r="B57" s="12"/>
      <c r="C57" s="7"/>
      <c r="D57" s="12"/>
      <c r="E57" s="12"/>
      <c r="F57" s="12"/>
      <c r="G57" s="12"/>
      <c r="H57" s="12"/>
      <c r="I57" s="12"/>
      <c r="J57" s="12"/>
      <c r="K57" s="365" t="s">
        <v>37</v>
      </c>
      <c r="L57" s="366"/>
      <c r="M57" s="366"/>
      <c r="N57" s="306" t="s">
        <v>315</v>
      </c>
      <c r="O57" s="307" t="s">
        <v>107</v>
      </c>
      <c r="P57" s="307" t="s">
        <v>109</v>
      </c>
      <c r="Q57" s="307"/>
      <c r="R57" s="308"/>
      <c r="S57" s="12"/>
      <c r="T57" s="12" t="str">
        <f>IF('A. Background'!B16="Product/Service","",'A. Background'!B16)</f>
        <v>REMOVER</v>
      </c>
      <c r="U57" s="182" t="str">
        <f>IF(T57="","",'A. Background'!H119)</f>
        <v/>
      </c>
      <c r="V57" s="12"/>
      <c r="W57" s="310">
        <f>IF(Projected_Start_Date&lt;=$B$4,(E20*$F48),0)</f>
        <v>525</v>
      </c>
      <c r="X57" s="310">
        <f>IF(Projected_Start_Date&lt;=$B$4,(F20*$F48),0)</f>
        <v>525</v>
      </c>
      <c r="Y57" s="310">
        <f>IF(Projected_Start_Date&lt;=$B$4,(G20*$F48),0)</f>
        <v>525</v>
      </c>
      <c r="Z57" s="310">
        <f>IF(Projected_Start_Date&lt;=$B$4,(H20*$F48),0)</f>
        <v>525</v>
      </c>
      <c r="AA57" s="310">
        <f>IF(Projected_Start_Date&lt;=$B$4,(I20*$F48),0)</f>
        <v>525</v>
      </c>
      <c r="AB57" s="310">
        <f>IF(Projected_Start_Date&lt;=$B$4,(J20*$F48),0)</f>
        <v>525</v>
      </c>
      <c r="AC57" s="310">
        <f>IF(Projected_Start_Date&lt;=$B$4,(K20*$F48),0)</f>
        <v>525</v>
      </c>
      <c r="AD57" s="310">
        <f>IF(Projected_Start_Date&lt;=$B$4,(L20*$F48),0)</f>
        <v>525</v>
      </c>
      <c r="AE57" s="310">
        <f>IF(Projected_Start_Date&lt;=$B$4,(M20*$F48),0)</f>
        <v>525</v>
      </c>
      <c r="AF57" s="310">
        <f>IF(Projected_Start_Date&lt;=$B$4,(N20*$F48),0)</f>
        <v>525</v>
      </c>
      <c r="AG57" s="310">
        <f>IF(Projected_Start_Date&lt;=$B$4,(O20*$F48),0)</f>
        <v>525</v>
      </c>
      <c r="AH57" s="310">
        <f>IF(Projected_Start_Date&lt;=$B$4,(P20*$F48),0)</f>
        <v>525</v>
      </c>
      <c r="AI57" s="189">
        <f t="shared" si="50"/>
        <v>6300</v>
      </c>
      <c r="AJ57" s="185">
        <f t="shared" si="51"/>
        <v>0.03529411765</v>
      </c>
      <c r="AK57" s="12"/>
    </row>
    <row r="58" ht="15.75" customHeight="1">
      <c r="A58" s="12"/>
      <c r="B58" s="12"/>
      <c r="C58" s="7"/>
      <c r="D58" s="12"/>
      <c r="E58" s="12"/>
      <c r="F58" s="12"/>
      <c r="G58" s="12"/>
      <c r="H58" s="12"/>
      <c r="I58" s="12"/>
      <c r="J58" s="12"/>
      <c r="K58" s="311" t="str">
        <f t="shared" ref="K58:K64" si="52">IF(ISBLANK(B19),"",B19)</f>
        <v>Paint</v>
      </c>
      <c r="L58" s="312"/>
      <c r="M58" s="312"/>
      <c r="N58" s="373">
        <f t="shared" ref="N58:N65" si="53">Q8</f>
        <v>750</v>
      </c>
      <c r="O58" s="134">
        <f t="shared" ref="O58:O65" si="54">Q19</f>
        <v>2100</v>
      </c>
      <c r="P58" s="134">
        <f t="shared" ref="P58:P65" si="55">Q30</f>
        <v>4410</v>
      </c>
      <c r="Q58" s="312"/>
      <c r="R58" s="313"/>
      <c r="S58" s="12"/>
      <c r="T58" s="12" t="str">
        <f>IF('A. Background'!B17="Product/Service","",'A. Background'!B17)</f>
        <v/>
      </c>
      <c r="U58" s="182" t="str">
        <f>IF(T58="","",'A. Background'!H120)</f>
        <v/>
      </c>
      <c r="V58" s="12"/>
      <c r="W58" s="310">
        <f>IF(Projected_Start_Date&lt;=$B$4,(E21*$F49),0)</f>
        <v>0</v>
      </c>
      <c r="X58" s="310">
        <f>IF(Projected_Start_Date&lt;=$B$4,(F21*$F49),0)</f>
        <v>0</v>
      </c>
      <c r="Y58" s="310">
        <f>IF(Projected_Start_Date&lt;=$B$4,(G21*$F49),0)</f>
        <v>0</v>
      </c>
      <c r="Z58" s="310">
        <f>IF(Projected_Start_Date&lt;=$B$4,(H21*$F49),0)</f>
        <v>0</v>
      </c>
      <c r="AA58" s="310">
        <f>IF(Projected_Start_Date&lt;=$B$4,(I21*$F49),0)</f>
        <v>0</v>
      </c>
      <c r="AB58" s="310">
        <f>IF(Projected_Start_Date&lt;=$B$4,(J21*$F49),0)</f>
        <v>0</v>
      </c>
      <c r="AC58" s="310">
        <f>IF(Projected_Start_Date&lt;=$B$4,(K21*$F49),0)</f>
        <v>0</v>
      </c>
      <c r="AD58" s="310">
        <f>IF(Projected_Start_Date&lt;=$B$4,(L21*$F49),0)</f>
        <v>0</v>
      </c>
      <c r="AE58" s="310">
        <f>IF(Projected_Start_Date&lt;=$B$4,(M21*$F49),0)</f>
        <v>0</v>
      </c>
      <c r="AF58" s="310">
        <f>IF(Projected_Start_Date&lt;=$B$4,(N21*$F49),0)</f>
        <v>0</v>
      </c>
      <c r="AG58" s="310">
        <f>IF(Projected_Start_Date&lt;=$B$4,(O21*$F49),0)</f>
        <v>0</v>
      </c>
      <c r="AH58" s="310">
        <f>IF(Projected_Start_Date&lt;=$B$4,(P21*$F49),0)</f>
        <v>0</v>
      </c>
      <c r="AI58" s="189" t="str">
        <f t="shared" si="50"/>
        <v/>
      </c>
      <c r="AJ58" s="185">
        <f t="shared" si="51"/>
        <v>0</v>
      </c>
      <c r="AK58" s="12"/>
    </row>
    <row r="59" ht="15.75" customHeight="1">
      <c r="A59" s="12"/>
      <c r="B59" s="12"/>
      <c r="C59" s="7"/>
      <c r="D59" s="12"/>
      <c r="E59" s="12"/>
      <c r="F59" s="12"/>
      <c r="G59" s="12"/>
      <c r="H59" s="12"/>
      <c r="I59" s="12"/>
      <c r="J59" s="12"/>
      <c r="K59" s="322" t="str">
        <f t="shared" si="52"/>
        <v>REMOVER</v>
      </c>
      <c r="L59" s="7"/>
      <c r="M59" s="7"/>
      <c r="N59" s="373">
        <f t="shared" si="53"/>
        <v>750</v>
      </c>
      <c r="O59" s="134">
        <f t="shared" si="54"/>
        <v>2100</v>
      </c>
      <c r="P59" s="134">
        <f t="shared" si="55"/>
        <v>4410</v>
      </c>
      <c r="Q59" s="7"/>
      <c r="R59" s="299"/>
      <c r="S59" s="12"/>
      <c r="T59" s="12" t="str">
        <f>IF('A. Background'!B18="Product/Service","",'A. Background'!B18)</f>
        <v/>
      </c>
      <c r="U59" s="182" t="str">
        <f>IF(T59="","",'A. Background'!H121)</f>
        <v/>
      </c>
      <c r="V59" s="12"/>
      <c r="W59" s="310">
        <f>IF(Projected_Start_Date&lt;=$B$4,(E22*$F50),0)</f>
        <v>0</v>
      </c>
      <c r="X59" s="310">
        <f>IF(Projected_Start_Date&lt;=$B$4,(F22*$F50),0)</f>
        <v>0</v>
      </c>
      <c r="Y59" s="310">
        <f>IF(Projected_Start_Date&lt;=$B$4,(G22*$F50),0)</f>
        <v>0</v>
      </c>
      <c r="Z59" s="310">
        <f>IF(Projected_Start_Date&lt;=$B$4,(H22*$F50),0)</f>
        <v>0</v>
      </c>
      <c r="AA59" s="310">
        <f>IF(Projected_Start_Date&lt;=$B$4,(I22*$F50),0)</f>
        <v>0</v>
      </c>
      <c r="AB59" s="310">
        <f>IF(Projected_Start_Date&lt;=$B$4,(J22*$F50),0)</f>
        <v>0</v>
      </c>
      <c r="AC59" s="310">
        <f>IF(Projected_Start_Date&lt;=$B$4,(K22*$F50),0)</f>
        <v>0</v>
      </c>
      <c r="AD59" s="310">
        <f>IF(Projected_Start_Date&lt;=$B$4,(L22*$F50),0)</f>
        <v>0</v>
      </c>
      <c r="AE59" s="310">
        <f>IF(Projected_Start_Date&lt;=$B$4,(M22*$F50),0)</f>
        <v>0</v>
      </c>
      <c r="AF59" s="310">
        <f>IF(Projected_Start_Date&lt;=$B$4,(N22*$F50),0)</f>
        <v>0</v>
      </c>
      <c r="AG59" s="310">
        <f>IF(Projected_Start_Date&lt;=$B$4,(O22*$F50),0)</f>
        <v>0</v>
      </c>
      <c r="AH59" s="310">
        <f>IF(Projected_Start_Date&lt;=$B$4,(P22*$F50),0)</f>
        <v>0</v>
      </c>
      <c r="AI59" s="189" t="str">
        <f t="shared" si="50"/>
        <v/>
      </c>
      <c r="AJ59" s="185">
        <f t="shared" si="51"/>
        <v>0</v>
      </c>
      <c r="AK59" s="12"/>
    </row>
    <row r="60" ht="15.75" customHeight="1">
      <c r="A60" s="12"/>
      <c r="B60" s="12"/>
      <c r="C60" s="7"/>
      <c r="D60" s="12"/>
      <c r="E60" s="12"/>
      <c r="F60" s="12"/>
      <c r="G60" s="12"/>
      <c r="H60" s="12"/>
      <c r="I60" s="12"/>
      <c r="J60" s="12"/>
      <c r="K60" s="311" t="str">
        <f t="shared" si="52"/>
        <v/>
      </c>
      <c r="L60" s="312"/>
      <c r="M60" s="312"/>
      <c r="N60" s="373" t="str">
        <f t="shared" si="53"/>
        <v/>
      </c>
      <c r="O60" s="134" t="str">
        <f t="shared" si="54"/>
        <v/>
      </c>
      <c r="P60" s="134" t="str">
        <f t="shared" si="55"/>
        <v/>
      </c>
      <c r="Q60" s="312"/>
      <c r="R60" s="313"/>
      <c r="S60" s="12"/>
      <c r="T60" s="12" t="str">
        <f>IF('A. Background'!B19="Product/Service","",'A. Background'!B19)</f>
        <v/>
      </c>
      <c r="U60" s="182" t="str">
        <f>IF(T60="","",'A. Background'!H122)</f>
        <v/>
      </c>
      <c r="V60" s="12"/>
      <c r="W60" s="310">
        <f>IF(Projected_Start_Date&lt;=$B$4,(E23*$F51),0)</f>
        <v>0</v>
      </c>
      <c r="X60" s="310">
        <f>IF(Projected_Start_Date&lt;=$B$4,(F23*$F51),0)</f>
        <v>0</v>
      </c>
      <c r="Y60" s="310">
        <f>IF(Projected_Start_Date&lt;=$B$4,(G23*$F51),0)</f>
        <v>0</v>
      </c>
      <c r="Z60" s="310">
        <f>IF(Projected_Start_Date&lt;=$B$4,(H23*$F51),0)</f>
        <v>0</v>
      </c>
      <c r="AA60" s="310">
        <f>IF(Projected_Start_Date&lt;=$B$4,(I23*$F51),0)</f>
        <v>0</v>
      </c>
      <c r="AB60" s="310">
        <f>IF(Projected_Start_Date&lt;=$B$4,(J23*$F51),0)</f>
        <v>0</v>
      </c>
      <c r="AC60" s="310">
        <f>IF(Projected_Start_Date&lt;=$B$4,(K23*$F51),0)</f>
        <v>0</v>
      </c>
      <c r="AD60" s="310">
        <f>IF(Projected_Start_Date&lt;=$B$4,(L23*$F51),0)</f>
        <v>0</v>
      </c>
      <c r="AE60" s="310">
        <f>IF(Projected_Start_Date&lt;=$B$4,(M23*$F51),0)</f>
        <v>0</v>
      </c>
      <c r="AF60" s="310">
        <f>IF(Projected_Start_Date&lt;=$B$4,(N23*$F51),0)</f>
        <v>0</v>
      </c>
      <c r="AG60" s="310">
        <f>IF(Projected_Start_Date&lt;=$B$4,(O23*$F51),0)</f>
        <v>0</v>
      </c>
      <c r="AH60" s="310">
        <f>IF(Projected_Start_Date&lt;=$B$4,(P23*$F51),0)</f>
        <v>0</v>
      </c>
      <c r="AI60" s="191" t="str">
        <f t="shared" si="50"/>
        <v/>
      </c>
      <c r="AJ60" s="185">
        <f t="shared" si="51"/>
        <v>0</v>
      </c>
      <c r="AK60" s="12"/>
    </row>
    <row r="61" ht="15.75" customHeight="1">
      <c r="A61" s="12"/>
      <c r="B61" s="12"/>
      <c r="C61" s="7"/>
      <c r="D61" s="12"/>
      <c r="E61" s="12"/>
      <c r="F61" s="12"/>
      <c r="G61" s="12"/>
      <c r="H61" s="12"/>
      <c r="I61" s="12"/>
      <c r="J61" s="12"/>
      <c r="K61" s="322" t="str">
        <f t="shared" si="52"/>
        <v/>
      </c>
      <c r="L61" s="7"/>
      <c r="M61" s="7"/>
      <c r="N61" s="373" t="str">
        <f t="shared" si="53"/>
        <v/>
      </c>
      <c r="O61" s="134" t="str">
        <f t="shared" si="54"/>
        <v/>
      </c>
      <c r="P61" s="134" t="str">
        <f t="shared" si="55"/>
        <v/>
      </c>
      <c r="Q61" s="7"/>
      <c r="R61" s="299"/>
      <c r="S61" s="12"/>
      <c r="T61" s="12" t="str">
        <f>IF('A. Background'!B20="Product/Service","",'A. Background'!B20)</f>
        <v/>
      </c>
      <c r="U61" s="182" t="str">
        <f>IF(T61="","",'A. Background'!H123)</f>
        <v/>
      </c>
      <c r="V61" s="12"/>
      <c r="W61" s="310">
        <f>IF(Projected_Start_Date&lt;=$B$4,(E24*$F52),0)</f>
        <v>0</v>
      </c>
      <c r="X61" s="310">
        <f>IF(Projected_Start_Date&lt;=$B$4,(F24*$F52),0)</f>
        <v>0</v>
      </c>
      <c r="Y61" s="310">
        <f>IF(Projected_Start_Date&lt;=$B$4,(G24*$F52),0)</f>
        <v>0</v>
      </c>
      <c r="Z61" s="310">
        <f>IF(Projected_Start_Date&lt;=$B$4,(H24*$F52),0)</f>
        <v>0</v>
      </c>
      <c r="AA61" s="310">
        <f>IF(Projected_Start_Date&lt;=$B$4,(I24*$F52),0)</f>
        <v>0</v>
      </c>
      <c r="AB61" s="310">
        <f>IF(Projected_Start_Date&lt;=$B$4,(J24*$F52),0)</f>
        <v>0</v>
      </c>
      <c r="AC61" s="310">
        <f>IF(Projected_Start_Date&lt;=$B$4,(K24*$F52),0)</f>
        <v>0</v>
      </c>
      <c r="AD61" s="310">
        <f>IF(Projected_Start_Date&lt;=$B$4,(L24*$F52),0)</f>
        <v>0</v>
      </c>
      <c r="AE61" s="310">
        <f>IF(Projected_Start_Date&lt;=$B$4,(M24*$F52),0)</f>
        <v>0</v>
      </c>
      <c r="AF61" s="310">
        <f>IF(Projected_Start_Date&lt;=$B$4,(N24*$F52),0)</f>
        <v>0</v>
      </c>
      <c r="AG61" s="310">
        <f>IF(Projected_Start_Date&lt;=$B$4,(O24*$F52),0)</f>
        <v>0</v>
      </c>
      <c r="AH61" s="310">
        <f>IF(Projected_Start_Date&lt;=$B$4,(P24*$F52),0)</f>
        <v>0</v>
      </c>
      <c r="AI61" s="191" t="str">
        <f t="shared" si="50"/>
        <v/>
      </c>
      <c r="AJ61" s="185">
        <f t="shared" si="51"/>
        <v>0</v>
      </c>
      <c r="AK61" s="12"/>
    </row>
    <row r="62" ht="15.75" customHeight="1">
      <c r="A62" s="12"/>
      <c r="B62" s="12"/>
      <c r="C62" s="7"/>
      <c r="D62" s="12"/>
      <c r="E62" s="12"/>
      <c r="F62" s="12"/>
      <c r="G62" s="12"/>
      <c r="H62" s="12"/>
      <c r="I62" s="12"/>
      <c r="J62" s="12"/>
      <c r="K62" s="311" t="str">
        <f t="shared" si="52"/>
        <v/>
      </c>
      <c r="L62" s="312"/>
      <c r="M62" s="312"/>
      <c r="N62" s="373" t="str">
        <f t="shared" si="53"/>
        <v/>
      </c>
      <c r="O62" s="134" t="str">
        <f t="shared" si="54"/>
        <v/>
      </c>
      <c r="P62" s="134" t="str">
        <f t="shared" si="55"/>
        <v/>
      </c>
      <c r="Q62" s="312"/>
      <c r="R62" s="313"/>
      <c r="S62" s="12"/>
      <c r="T62" s="12" t="str">
        <f>IF('A. Background'!B21="Product/Service","",'A. Background'!B21)</f>
        <v/>
      </c>
      <c r="U62" s="182" t="str">
        <f>IF(T62="","",'A. Background'!H124)</f>
        <v/>
      </c>
      <c r="V62" s="12"/>
      <c r="W62" s="310">
        <f>IF(Projected_Start_Date&lt;=$B$4,(E25*$F53),0)</f>
        <v>0</v>
      </c>
      <c r="X62" s="310">
        <f>IF(Projected_Start_Date&lt;=$B$4,(F25*$F53),0)</f>
        <v>0</v>
      </c>
      <c r="Y62" s="310">
        <f>IF(Projected_Start_Date&lt;=$B$4,(G25*$F53),0)</f>
        <v>0</v>
      </c>
      <c r="Z62" s="310">
        <f>IF(Projected_Start_Date&lt;=$B$4,(H25*$F53),0)</f>
        <v>0</v>
      </c>
      <c r="AA62" s="310">
        <f>IF(Projected_Start_Date&lt;=$B$4,(I25*$F53),0)</f>
        <v>0</v>
      </c>
      <c r="AB62" s="310">
        <f>IF(Projected_Start_Date&lt;=$B$4,(J25*$F53),0)</f>
        <v>0</v>
      </c>
      <c r="AC62" s="310">
        <f>IF(Projected_Start_Date&lt;=$B$4,(K25*$F53),0)</f>
        <v>0</v>
      </c>
      <c r="AD62" s="310">
        <f>IF(Projected_Start_Date&lt;=$B$4,(L25*$F53),0)</f>
        <v>0</v>
      </c>
      <c r="AE62" s="310">
        <f>IF(Projected_Start_Date&lt;=$B$4,(M25*$F53),0)</f>
        <v>0</v>
      </c>
      <c r="AF62" s="310">
        <f>IF(Projected_Start_Date&lt;=$B$4,(N25*$F53),0)</f>
        <v>0</v>
      </c>
      <c r="AG62" s="310">
        <f>IF(Projected_Start_Date&lt;=$B$4,(O25*$F53),0)</f>
        <v>0</v>
      </c>
      <c r="AH62" s="310">
        <f>IF(Projected_Start_Date&lt;=$B$4,(P25*$F53),0)</f>
        <v>0</v>
      </c>
      <c r="AI62" s="191" t="str">
        <f t="shared" si="50"/>
        <v/>
      </c>
      <c r="AJ62" s="185">
        <f t="shared" si="51"/>
        <v>0</v>
      </c>
      <c r="AK62" s="12"/>
    </row>
    <row r="63" ht="15.75" customHeight="1">
      <c r="A63" s="12"/>
      <c r="B63" s="12"/>
      <c r="C63" s="7"/>
      <c r="D63" s="12"/>
      <c r="E63" s="12"/>
      <c r="F63" s="12"/>
      <c r="G63" s="12"/>
      <c r="H63" s="12"/>
      <c r="I63" s="12"/>
      <c r="J63" s="12"/>
      <c r="K63" s="322" t="str">
        <f t="shared" si="52"/>
        <v/>
      </c>
      <c r="L63" s="7"/>
      <c r="M63" s="7"/>
      <c r="N63" s="373" t="str">
        <f t="shared" si="53"/>
        <v/>
      </c>
      <c r="O63" s="134" t="str">
        <f t="shared" si="54"/>
        <v/>
      </c>
      <c r="P63" s="134" t="str">
        <f t="shared" si="55"/>
        <v/>
      </c>
      <c r="Q63" s="7"/>
      <c r="R63" s="299"/>
      <c r="S63" s="12"/>
      <c r="T63" s="12" t="str">
        <f>IF('A. Background'!B22="Product/Service","",'A. Background'!B22)</f>
        <v/>
      </c>
      <c r="U63" s="182" t="str">
        <f>IF(T63="","",'A. Background'!H125)</f>
        <v/>
      </c>
      <c r="V63" s="12"/>
      <c r="W63" s="310">
        <f>IF(Projected_Start_Date&lt;=$B$4,(E26*$F54),0)</f>
        <v>0</v>
      </c>
      <c r="X63" s="310">
        <f>IF(Projected_Start_Date&lt;=$B$4,(F26*$F54),0)</f>
        <v>0</v>
      </c>
      <c r="Y63" s="310">
        <f>IF(Projected_Start_Date&lt;=$B$4,(G26*$F54),0)</f>
        <v>0</v>
      </c>
      <c r="Z63" s="310">
        <f>IF(Projected_Start_Date&lt;=$B$4,(H26*$F54),0)</f>
        <v>0</v>
      </c>
      <c r="AA63" s="310">
        <f>IF(Projected_Start_Date&lt;=$B$4,(I26*$F54),0)</f>
        <v>0</v>
      </c>
      <c r="AB63" s="310">
        <f>IF(Projected_Start_Date&lt;=$B$4,(J26*$F54),0)</f>
        <v>0</v>
      </c>
      <c r="AC63" s="310">
        <f>IF(Projected_Start_Date&lt;=$B$4,(K26*$F54),0)</f>
        <v>0</v>
      </c>
      <c r="AD63" s="310">
        <f>IF(Projected_Start_Date&lt;=$B$4,(L26*$F54),0)</f>
        <v>0</v>
      </c>
      <c r="AE63" s="310">
        <f>IF(Projected_Start_Date&lt;=$B$4,(M26*$F54),0)</f>
        <v>0</v>
      </c>
      <c r="AF63" s="310">
        <f>IF(Projected_Start_Date&lt;=$B$4,(N26*$F54),0)</f>
        <v>0</v>
      </c>
      <c r="AG63" s="310">
        <f>IF(Projected_Start_Date&lt;=$B$4,(O26*$F54),0)</f>
        <v>0</v>
      </c>
      <c r="AH63" s="310">
        <f>IF(Projected_Start_Date&lt;=$B$4,(P26*$F54),0)</f>
        <v>0</v>
      </c>
      <c r="AI63" s="191" t="str">
        <f t="shared" si="50"/>
        <v/>
      </c>
      <c r="AJ63" s="185">
        <f t="shared" si="51"/>
        <v>0</v>
      </c>
      <c r="AK63" s="12"/>
    </row>
    <row r="64" ht="15.75" customHeight="1">
      <c r="A64" s="12"/>
      <c r="B64" s="12"/>
      <c r="C64" s="7"/>
      <c r="D64" s="12"/>
      <c r="E64" s="12"/>
      <c r="F64" s="12"/>
      <c r="G64" s="12"/>
      <c r="H64" s="12"/>
      <c r="I64" s="12"/>
      <c r="J64" s="12"/>
      <c r="K64" s="311" t="str">
        <f t="shared" si="52"/>
        <v/>
      </c>
      <c r="L64" s="312"/>
      <c r="M64" s="312"/>
      <c r="N64" s="373" t="str">
        <f t="shared" si="53"/>
        <v/>
      </c>
      <c r="O64" s="134" t="str">
        <f t="shared" si="54"/>
        <v/>
      </c>
      <c r="P64" s="134" t="str">
        <f t="shared" si="55"/>
        <v/>
      </c>
      <c r="Q64" s="312"/>
      <c r="R64" s="313"/>
      <c r="S64" s="12"/>
      <c r="T64" s="12"/>
      <c r="U64" s="182"/>
      <c r="V64" s="12"/>
      <c r="W64" s="12"/>
      <c r="X64" s="12"/>
      <c r="Y64" s="12"/>
      <c r="Z64" s="12"/>
      <c r="AA64" s="12"/>
      <c r="AB64" s="12"/>
      <c r="AC64" s="12"/>
      <c r="AD64" s="12"/>
      <c r="AE64" s="12"/>
      <c r="AF64" s="12"/>
      <c r="AG64" s="12"/>
      <c r="AH64" s="12"/>
      <c r="AI64" s="192"/>
      <c r="AJ64" s="185"/>
      <c r="AK64" s="12"/>
    </row>
    <row r="65" ht="15.75" customHeight="1">
      <c r="A65" s="12"/>
      <c r="B65" s="12"/>
      <c r="C65" s="7"/>
      <c r="D65" s="12"/>
      <c r="E65" s="12"/>
      <c r="F65" s="12"/>
      <c r="G65" s="12"/>
      <c r="H65" s="12"/>
      <c r="I65" s="12"/>
      <c r="J65" s="12"/>
      <c r="K65" s="334" t="str">
        <f>B26</f>
        <v/>
      </c>
      <c r="L65" s="335"/>
      <c r="M65" s="335"/>
      <c r="N65" s="390" t="str">
        <f t="shared" si="53"/>
        <v/>
      </c>
      <c r="O65" s="393" t="str">
        <f t="shared" si="54"/>
        <v/>
      </c>
      <c r="P65" s="393" t="str">
        <f t="shared" si="55"/>
        <v/>
      </c>
      <c r="Q65" s="335"/>
      <c r="R65" s="336"/>
      <c r="S65" s="12"/>
      <c r="T65" s="262" t="s">
        <v>364</v>
      </c>
      <c r="U65" s="348"/>
      <c r="V65" s="349"/>
      <c r="W65" s="350"/>
      <c r="X65" s="350"/>
      <c r="Y65" s="350"/>
      <c r="Z65" s="350"/>
      <c r="AA65" s="350"/>
      <c r="AB65" s="350"/>
      <c r="AC65" s="350"/>
      <c r="AD65" s="350"/>
      <c r="AE65" s="350"/>
      <c r="AF65" s="350"/>
      <c r="AG65" s="350"/>
      <c r="AH65" s="350"/>
      <c r="AI65" s="351"/>
      <c r="AJ65" s="349"/>
      <c r="AK65" s="12"/>
    </row>
    <row r="66" ht="15.75" customHeight="1">
      <c r="A66" s="12"/>
      <c r="B66" s="12"/>
      <c r="C66" s="7"/>
      <c r="D66" s="12"/>
      <c r="E66" s="165"/>
      <c r="F66" s="165"/>
      <c r="G66" s="165"/>
      <c r="H66" s="165"/>
      <c r="I66" s="165"/>
      <c r="J66" s="165"/>
      <c r="K66" s="165"/>
      <c r="L66" s="165"/>
      <c r="M66" s="165"/>
      <c r="N66" s="165"/>
      <c r="O66" s="165"/>
      <c r="P66" s="165"/>
      <c r="Q66" s="134"/>
      <c r="R66" s="12"/>
      <c r="S66" s="12"/>
      <c r="T66" s="25" t="s">
        <v>37</v>
      </c>
      <c r="U66" s="57" t="s">
        <v>262</v>
      </c>
      <c r="V66" s="12"/>
      <c r="W66" s="178">
        <f>DATE(YEAR(Projected_Start_Date),1,1)</f>
        <v>42370</v>
      </c>
      <c r="X66" s="178">
        <f t="shared" ref="X66:AH66" si="56">EDATE(W66,1)</f>
        <v>42401</v>
      </c>
      <c r="Y66" s="178">
        <f t="shared" si="56"/>
        <v>42430</v>
      </c>
      <c r="Z66" s="178">
        <f t="shared" si="56"/>
        <v>42461</v>
      </c>
      <c r="AA66" s="178">
        <f t="shared" si="56"/>
        <v>42491</v>
      </c>
      <c r="AB66" s="178">
        <f t="shared" si="56"/>
        <v>42522</v>
      </c>
      <c r="AC66" s="178">
        <f t="shared" si="56"/>
        <v>42552</v>
      </c>
      <c r="AD66" s="178">
        <f t="shared" si="56"/>
        <v>42583</v>
      </c>
      <c r="AE66" s="178">
        <f t="shared" si="56"/>
        <v>42614</v>
      </c>
      <c r="AF66" s="178">
        <f t="shared" si="56"/>
        <v>42644</v>
      </c>
      <c r="AG66" s="178">
        <f t="shared" si="56"/>
        <v>42675</v>
      </c>
      <c r="AH66" s="178">
        <f t="shared" si="56"/>
        <v>42705</v>
      </c>
      <c r="AI66" s="180" t="s">
        <v>263</v>
      </c>
      <c r="AJ66" s="55" t="s">
        <v>264</v>
      </c>
      <c r="AK66" s="12"/>
    </row>
    <row r="67" ht="15.75" customHeight="1">
      <c r="A67" s="12"/>
      <c r="B67" s="12"/>
      <c r="C67" s="7"/>
      <c r="D67" s="12"/>
      <c r="E67" s="165"/>
      <c r="F67" s="165"/>
      <c r="G67" s="165"/>
      <c r="H67" s="165"/>
      <c r="I67" s="165"/>
      <c r="J67" s="165"/>
      <c r="K67" s="165"/>
      <c r="L67" s="165"/>
      <c r="M67" s="165"/>
      <c r="N67" s="165"/>
      <c r="O67" s="165"/>
      <c r="P67" s="165"/>
      <c r="Q67" s="134"/>
      <c r="R67" s="12"/>
      <c r="S67" s="12"/>
      <c r="T67" s="12" t="str">
        <f>IF('A. Background'!B15="Product/Service","",'A. Background'!B15)</f>
        <v>Paint</v>
      </c>
      <c r="U67" s="182" t="str">
        <f>IF(T67="","",'A. Background'!H129)</f>
        <v/>
      </c>
      <c r="V67" s="12"/>
      <c r="W67" s="186">
        <f>IF(Projected_Start_Date&lt;=$B$4,(E30*$F47),0)</f>
        <v>8268.75</v>
      </c>
      <c r="X67" s="186">
        <f>IF(Projected_Start_Date&lt;=$B$4,(F30*$F47),0)</f>
        <v>8268.75</v>
      </c>
      <c r="Y67" s="186">
        <f>IF(Projected_Start_Date&lt;=$B$4,(G30*$F47),0)</f>
        <v>8268.75</v>
      </c>
      <c r="Z67" s="186">
        <f>IF(Projected_Start_Date&lt;=$B$4,(H30*$F47),0)</f>
        <v>8268.75</v>
      </c>
      <c r="AA67" s="186">
        <f>IF(Projected_Start_Date&lt;=$B$4,(I30*$F47),0)</f>
        <v>8268.75</v>
      </c>
      <c r="AB67" s="186">
        <f>IF(Projected_Start_Date&lt;=$B$4,(J30*$F47),0)</f>
        <v>8268.75</v>
      </c>
      <c r="AC67" s="186">
        <f>IF(Projected_Start_Date&lt;=$B$4,(K30*$F47),0)</f>
        <v>8268.75</v>
      </c>
      <c r="AD67" s="186">
        <f>IF(Projected_Start_Date&lt;=$B$4,(L30*$F47),0)</f>
        <v>8268.75</v>
      </c>
      <c r="AE67" s="186">
        <f>IF(Projected_Start_Date&lt;=$B$4,(M30*$F47),0)</f>
        <v>8268.75</v>
      </c>
      <c r="AF67" s="186">
        <f>IF(Projected_Start_Date&lt;=$B$4,(N30*$F47),0)</f>
        <v>8268.75</v>
      </c>
      <c r="AG67" s="186">
        <f>IF(Projected_Start_Date&lt;=$B$4,(O30*$F47),0)</f>
        <v>8268.75</v>
      </c>
      <c r="AH67" s="186">
        <f>IF(Projected_Start_Date&lt;=$B$4,(P30*$F47),0)</f>
        <v>8268.75</v>
      </c>
      <c r="AI67" s="187">
        <f t="shared" ref="AI67:AI74" si="57">IF(SUM(W67:AH67)=0,"",SUM(W67:AH67))</f>
        <v>99225</v>
      </c>
      <c r="AJ67" s="185">
        <f t="shared" ref="AJ67:AJ74" si="58">IFERROR(AI67/SUM($AI$30:$AI$37),"")</f>
        <v>0.2647058824</v>
      </c>
      <c r="AK67" s="12"/>
    </row>
    <row r="68" ht="15.75" customHeight="1">
      <c r="A68" s="12"/>
      <c r="B68" s="12"/>
      <c r="C68" s="7"/>
      <c r="D68" s="12"/>
      <c r="E68" s="165"/>
      <c r="F68" s="165"/>
      <c r="G68" s="165"/>
      <c r="H68" s="165"/>
      <c r="I68" s="165"/>
      <c r="J68" s="165"/>
      <c r="K68" s="165"/>
      <c r="L68" s="165"/>
      <c r="M68" s="165"/>
      <c r="N68" s="165"/>
      <c r="O68" s="165"/>
      <c r="P68" s="165"/>
      <c r="Q68" s="134"/>
      <c r="R68" s="12"/>
      <c r="S68" s="12"/>
      <c r="T68" s="12" t="str">
        <f>IF('A. Background'!B16="Product/Service","",'A. Background'!B16)</f>
        <v>REMOVER</v>
      </c>
      <c r="U68" s="182" t="str">
        <f>IF(T68="","",'A. Background'!H130)</f>
        <v/>
      </c>
      <c r="V68" s="12"/>
      <c r="W68" s="310">
        <f>IF(Projected_Start_Date&lt;=$B$4,(E31*$F48),0)</f>
        <v>1102.5</v>
      </c>
      <c r="X68" s="310">
        <f>IF(Projected_Start_Date&lt;=$B$4,(F31*$F48),0)</f>
        <v>1102.5</v>
      </c>
      <c r="Y68" s="310">
        <f>IF(Projected_Start_Date&lt;=$B$4,(G31*$F48),0)</f>
        <v>1102.5</v>
      </c>
      <c r="Z68" s="310">
        <f>IF(Projected_Start_Date&lt;=$B$4,(H31*$F48),0)</f>
        <v>1102.5</v>
      </c>
      <c r="AA68" s="310">
        <f>IF(Projected_Start_Date&lt;=$B$4,(I31*$F48),0)</f>
        <v>1102.5</v>
      </c>
      <c r="AB68" s="310">
        <f>IF(Projected_Start_Date&lt;=$B$4,(J31*$F48),0)</f>
        <v>1102.5</v>
      </c>
      <c r="AC68" s="310">
        <f>IF(Projected_Start_Date&lt;=$B$4,(K31*$F48),0)</f>
        <v>1102.5</v>
      </c>
      <c r="AD68" s="310">
        <f>IF(Projected_Start_Date&lt;=$B$4,(L31*$F48),0)</f>
        <v>1102.5</v>
      </c>
      <c r="AE68" s="310">
        <f>IF(Projected_Start_Date&lt;=$B$4,(M31*$F48),0)</f>
        <v>1102.5</v>
      </c>
      <c r="AF68" s="310">
        <f>IF(Projected_Start_Date&lt;=$B$4,(N31*$F48),0)</f>
        <v>1102.5</v>
      </c>
      <c r="AG68" s="310">
        <f>IF(Projected_Start_Date&lt;=$B$4,(O31*$F48),0)</f>
        <v>1102.5</v>
      </c>
      <c r="AH68" s="310">
        <f>IF(Projected_Start_Date&lt;=$B$4,(P31*$F48),0)</f>
        <v>1102.5</v>
      </c>
      <c r="AI68" s="189">
        <f t="shared" si="57"/>
        <v>13230</v>
      </c>
      <c r="AJ68" s="185">
        <f t="shared" si="58"/>
        <v>0.03529411765</v>
      </c>
      <c r="AK68" s="12"/>
    </row>
    <row r="69" ht="15.75" customHeight="1">
      <c r="A69" s="12"/>
      <c r="B69" s="12"/>
      <c r="C69" s="7"/>
      <c r="D69" s="12"/>
      <c r="E69" s="165"/>
      <c r="F69" s="165"/>
      <c r="G69" s="165"/>
      <c r="H69" s="165"/>
      <c r="I69" s="165"/>
      <c r="J69" s="165"/>
      <c r="K69" s="165"/>
      <c r="L69" s="165"/>
      <c r="M69" s="165"/>
      <c r="N69" s="165"/>
      <c r="O69" s="165"/>
      <c r="P69" s="165"/>
      <c r="Q69" s="134"/>
      <c r="R69" s="12"/>
      <c r="S69" s="12"/>
      <c r="T69" s="12" t="str">
        <f>IF('A. Background'!B17="Product/Service","",'A. Background'!B17)</f>
        <v/>
      </c>
      <c r="U69" s="182" t="str">
        <f>IF(T69="","",'A. Background'!H131)</f>
        <v/>
      </c>
      <c r="V69" s="12"/>
      <c r="W69" s="310">
        <f>IF(Projected_Start_Date&lt;=$B$4,(E32*$F49),0)</f>
        <v>0</v>
      </c>
      <c r="X69" s="310">
        <f>IF(Projected_Start_Date&lt;=$B$4,(F32*$F49),0)</f>
        <v>0</v>
      </c>
      <c r="Y69" s="310">
        <f>IF(Projected_Start_Date&lt;=$B$4,(G32*$F49),0)</f>
        <v>0</v>
      </c>
      <c r="Z69" s="310">
        <f>IF(Projected_Start_Date&lt;=$B$4,(H32*$F49),0)</f>
        <v>0</v>
      </c>
      <c r="AA69" s="310">
        <f>IF(Projected_Start_Date&lt;=$B$4,(I32*$F49),0)</f>
        <v>0</v>
      </c>
      <c r="AB69" s="310">
        <f>IF(Projected_Start_Date&lt;=$B$4,(J32*$F49),0)</f>
        <v>0</v>
      </c>
      <c r="AC69" s="310">
        <f>IF(Projected_Start_Date&lt;=$B$4,(K32*$F49),0)</f>
        <v>0</v>
      </c>
      <c r="AD69" s="310">
        <f>IF(Projected_Start_Date&lt;=$B$4,(L32*$F49),0)</f>
        <v>0</v>
      </c>
      <c r="AE69" s="310">
        <f>IF(Projected_Start_Date&lt;=$B$4,(M32*$F49),0)</f>
        <v>0</v>
      </c>
      <c r="AF69" s="310">
        <f>IF(Projected_Start_Date&lt;=$B$4,(N32*$F49),0)</f>
        <v>0</v>
      </c>
      <c r="AG69" s="310">
        <f>IF(Projected_Start_Date&lt;=$B$4,(O32*$F49),0)</f>
        <v>0</v>
      </c>
      <c r="AH69" s="310">
        <f>IF(Projected_Start_Date&lt;=$B$4,(P32*$F49),0)</f>
        <v>0</v>
      </c>
      <c r="AI69" s="189" t="str">
        <f t="shared" si="57"/>
        <v/>
      </c>
      <c r="AJ69" s="185">
        <f t="shared" si="58"/>
        <v>0</v>
      </c>
      <c r="AK69" s="12"/>
    </row>
    <row r="70" ht="15.75" customHeight="1">
      <c r="A70" s="12"/>
      <c r="B70" s="12"/>
      <c r="C70" s="7"/>
      <c r="D70" s="12"/>
      <c r="E70" s="165"/>
      <c r="F70" s="165"/>
      <c r="G70" s="165"/>
      <c r="H70" s="165"/>
      <c r="I70" s="165"/>
      <c r="J70" s="165"/>
      <c r="K70" s="165"/>
      <c r="L70" s="165"/>
      <c r="M70" s="165"/>
      <c r="N70" s="165"/>
      <c r="O70" s="165"/>
      <c r="P70" s="165"/>
      <c r="Q70" s="134"/>
      <c r="R70" s="12"/>
      <c r="S70" s="12"/>
      <c r="T70" s="12" t="str">
        <f>IF('A. Background'!B18="Product/Service","",'A. Background'!B18)</f>
        <v/>
      </c>
      <c r="U70" s="182" t="str">
        <f>IF(T70="","",'A. Background'!H132)</f>
        <v/>
      </c>
      <c r="V70" s="12"/>
      <c r="W70" s="310">
        <f>IF(Projected_Start_Date&lt;=$B$4,(E33*$F50),0)</f>
        <v>0</v>
      </c>
      <c r="X70" s="310">
        <f>IF(Projected_Start_Date&lt;=$B$4,(F33*$F50),0)</f>
        <v>0</v>
      </c>
      <c r="Y70" s="310">
        <f>IF(Projected_Start_Date&lt;=$B$4,(G33*$F50),0)</f>
        <v>0</v>
      </c>
      <c r="Z70" s="310">
        <f>IF(Projected_Start_Date&lt;=$B$4,(H33*$F50),0)</f>
        <v>0</v>
      </c>
      <c r="AA70" s="310">
        <f>IF(Projected_Start_Date&lt;=$B$4,(I33*$F50),0)</f>
        <v>0</v>
      </c>
      <c r="AB70" s="310">
        <f>IF(Projected_Start_Date&lt;=$B$4,(J33*$F50),0)</f>
        <v>0</v>
      </c>
      <c r="AC70" s="310">
        <f>IF(Projected_Start_Date&lt;=$B$4,(K33*$F50),0)</f>
        <v>0</v>
      </c>
      <c r="AD70" s="310">
        <f>IF(Projected_Start_Date&lt;=$B$4,(L33*$F50),0)</f>
        <v>0</v>
      </c>
      <c r="AE70" s="310">
        <f>IF(Projected_Start_Date&lt;=$B$4,(M33*$F50),0)</f>
        <v>0</v>
      </c>
      <c r="AF70" s="310">
        <f>IF(Projected_Start_Date&lt;=$B$4,(N33*$F50),0)</f>
        <v>0</v>
      </c>
      <c r="AG70" s="310">
        <f>IF(Projected_Start_Date&lt;=$B$4,(O33*$F50),0)</f>
        <v>0</v>
      </c>
      <c r="AH70" s="310">
        <f>IF(Projected_Start_Date&lt;=$B$4,(P33*$F50),0)</f>
        <v>0</v>
      </c>
      <c r="AI70" s="189" t="str">
        <f t="shared" si="57"/>
        <v/>
      </c>
      <c r="AJ70" s="185">
        <f t="shared" si="58"/>
        <v>0</v>
      </c>
      <c r="AK70" s="12"/>
    </row>
    <row r="71" ht="15.75" customHeight="1">
      <c r="A71" s="12"/>
      <c r="B71" s="12"/>
      <c r="C71" s="7"/>
      <c r="D71" s="12"/>
      <c r="E71" s="165"/>
      <c r="F71" s="165"/>
      <c r="G71" s="165"/>
      <c r="H71" s="165"/>
      <c r="I71" s="165"/>
      <c r="J71" s="165"/>
      <c r="K71" s="165"/>
      <c r="L71" s="165"/>
      <c r="M71" s="165"/>
      <c r="N71" s="165"/>
      <c r="O71" s="165"/>
      <c r="P71" s="165"/>
      <c r="Q71" s="134"/>
      <c r="R71" s="12"/>
      <c r="S71" s="12"/>
      <c r="T71" s="12" t="str">
        <f>IF('A. Background'!B19="Product/Service","",'A. Background'!B19)</f>
        <v/>
      </c>
      <c r="U71" s="182" t="str">
        <f>IF(T71="","",'A. Background'!H133)</f>
        <v/>
      </c>
      <c r="V71" s="12"/>
      <c r="W71" s="310">
        <f>IF(Projected_Start_Date&lt;=$B$4,(E34*$F51),0)</f>
        <v>0</v>
      </c>
      <c r="X71" s="310">
        <f>IF(Projected_Start_Date&lt;=$B$4,(F34*$F51),0)</f>
        <v>0</v>
      </c>
      <c r="Y71" s="310">
        <f>IF(Projected_Start_Date&lt;=$B$4,(G34*$F51),0)</f>
        <v>0</v>
      </c>
      <c r="Z71" s="310">
        <f>IF(Projected_Start_Date&lt;=$B$4,(H34*$F51),0)</f>
        <v>0</v>
      </c>
      <c r="AA71" s="310">
        <f>IF(Projected_Start_Date&lt;=$B$4,(I34*$F51),0)</f>
        <v>0</v>
      </c>
      <c r="AB71" s="310">
        <f>IF(Projected_Start_Date&lt;=$B$4,(J34*$F51),0)</f>
        <v>0</v>
      </c>
      <c r="AC71" s="310">
        <f>IF(Projected_Start_Date&lt;=$B$4,(K34*$F51),0)</f>
        <v>0</v>
      </c>
      <c r="AD71" s="310">
        <f>IF(Projected_Start_Date&lt;=$B$4,(L34*$F51),0)</f>
        <v>0</v>
      </c>
      <c r="AE71" s="310">
        <f>IF(Projected_Start_Date&lt;=$B$4,(M34*$F51),0)</f>
        <v>0</v>
      </c>
      <c r="AF71" s="310">
        <f>IF(Projected_Start_Date&lt;=$B$4,(N34*$F51),0)</f>
        <v>0</v>
      </c>
      <c r="AG71" s="310">
        <f>IF(Projected_Start_Date&lt;=$B$4,(O34*$F51),0)</f>
        <v>0</v>
      </c>
      <c r="AH71" s="310">
        <f>IF(Projected_Start_Date&lt;=$B$4,(P34*$F51),0)</f>
        <v>0</v>
      </c>
      <c r="AI71" s="191" t="str">
        <f t="shared" si="57"/>
        <v/>
      </c>
      <c r="AJ71" s="185">
        <f t="shared" si="58"/>
        <v>0</v>
      </c>
      <c r="AK71" s="12"/>
    </row>
    <row r="72" ht="15.75" customHeight="1">
      <c r="A72" s="12"/>
      <c r="B72" s="12"/>
      <c r="C72" s="7"/>
      <c r="D72" s="12"/>
      <c r="E72" s="165"/>
      <c r="F72" s="165"/>
      <c r="G72" s="165"/>
      <c r="H72" s="165"/>
      <c r="I72" s="165"/>
      <c r="J72" s="165"/>
      <c r="K72" s="165"/>
      <c r="L72" s="165"/>
      <c r="M72" s="165"/>
      <c r="N72" s="165"/>
      <c r="O72" s="165"/>
      <c r="P72" s="165"/>
      <c r="Q72" s="134"/>
      <c r="R72" s="12"/>
      <c r="S72" s="12"/>
      <c r="T72" s="12" t="str">
        <f>IF('A. Background'!B20="Product/Service","",'A. Background'!B20)</f>
        <v/>
      </c>
      <c r="U72" s="182" t="str">
        <f>IF(T72="","",'A. Background'!H134)</f>
        <v/>
      </c>
      <c r="V72" s="12"/>
      <c r="W72" s="310">
        <f>IF(Projected_Start_Date&lt;=$B$4,(E35*$F52),0)</f>
        <v>0</v>
      </c>
      <c r="X72" s="310">
        <f>IF(Projected_Start_Date&lt;=$B$4,(F35*$F52),0)</f>
        <v>0</v>
      </c>
      <c r="Y72" s="310">
        <f>IF(Projected_Start_Date&lt;=$B$4,(G35*$F52),0)</f>
        <v>0</v>
      </c>
      <c r="Z72" s="310">
        <f>IF(Projected_Start_Date&lt;=$B$4,(H35*$F52),0)</f>
        <v>0</v>
      </c>
      <c r="AA72" s="310">
        <f>IF(Projected_Start_Date&lt;=$B$4,(I35*$F52),0)</f>
        <v>0</v>
      </c>
      <c r="AB72" s="310">
        <f>IF(Projected_Start_Date&lt;=$B$4,(J35*$F52),0)</f>
        <v>0</v>
      </c>
      <c r="AC72" s="310">
        <f>IF(Projected_Start_Date&lt;=$B$4,(K35*$F52),0)</f>
        <v>0</v>
      </c>
      <c r="AD72" s="310">
        <f>IF(Projected_Start_Date&lt;=$B$4,(L35*$F52),0)</f>
        <v>0</v>
      </c>
      <c r="AE72" s="310">
        <f>IF(Projected_Start_Date&lt;=$B$4,(M35*$F52),0)</f>
        <v>0</v>
      </c>
      <c r="AF72" s="310">
        <f>IF(Projected_Start_Date&lt;=$B$4,(N35*$F52),0)</f>
        <v>0</v>
      </c>
      <c r="AG72" s="310">
        <f>IF(Projected_Start_Date&lt;=$B$4,(O35*$F52),0)</f>
        <v>0</v>
      </c>
      <c r="AH72" s="310">
        <f>IF(Projected_Start_Date&lt;=$B$4,(P35*$F52),0)</f>
        <v>0</v>
      </c>
      <c r="AI72" s="191" t="str">
        <f t="shared" si="57"/>
        <v/>
      </c>
      <c r="AJ72" s="185">
        <f t="shared" si="58"/>
        <v>0</v>
      </c>
      <c r="AK72" s="12"/>
    </row>
    <row r="73" ht="15.75" customHeight="1">
      <c r="A73" s="12"/>
      <c r="B73" s="12"/>
      <c r="C73" s="7"/>
      <c r="D73" s="12"/>
      <c r="E73" s="165"/>
      <c r="F73" s="165"/>
      <c r="G73" s="165"/>
      <c r="H73" s="165"/>
      <c r="I73" s="165"/>
      <c r="J73" s="165"/>
      <c r="K73" s="165"/>
      <c r="L73" s="165"/>
      <c r="M73" s="165"/>
      <c r="N73" s="165"/>
      <c r="O73" s="165"/>
      <c r="P73" s="165"/>
      <c r="Q73" s="134"/>
      <c r="R73" s="12"/>
      <c r="S73" s="12"/>
      <c r="T73" s="12" t="str">
        <f>IF('A. Background'!B21="Product/Service","",'A. Background'!B21)</f>
        <v/>
      </c>
      <c r="U73" s="182" t="str">
        <f>IF(T73="","",'A. Background'!H135)</f>
        <v/>
      </c>
      <c r="V73" s="12"/>
      <c r="W73" s="310">
        <f>IF(Projected_Start_Date&lt;=$B$4,(E36*$F53),0)</f>
        <v>0</v>
      </c>
      <c r="X73" s="310">
        <f>IF(Projected_Start_Date&lt;=$B$4,(F36*$F53),0)</f>
        <v>0</v>
      </c>
      <c r="Y73" s="310">
        <f>IF(Projected_Start_Date&lt;=$B$4,(G36*$F53),0)</f>
        <v>0</v>
      </c>
      <c r="Z73" s="310">
        <f>IF(Projected_Start_Date&lt;=$B$4,(H36*$F53),0)</f>
        <v>0</v>
      </c>
      <c r="AA73" s="310">
        <f>IF(Projected_Start_Date&lt;=$B$4,(I36*$F53),0)</f>
        <v>0</v>
      </c>
      <c r="AB73" s="310">
        <f>IF(Projected_Start_Date&lt;=$B$4,(J36*$F53),0)</f>
        <v>0</v>
      </c>
      <c r="AC73" s="310">
        <f>IF(Projected_Start_Date&lt;=$B$4,(K36*$F53),0)</f>
        <v>0</v>
      </c>
      <c r="AD73" s="310">
        <f>IF(Projected_Start_Date&lt;=$B$4,(L36*$F53),0)</f>
        <v>0</v>
      </c>
      <c r="AE73" s="310">
        <f>IF(Projected_Start_Date&lt;=$B$4,(M36*$F53),0)</f>
        <v>0</v>
      </c>
      <c r="AF73" s="310">
        <f>IF(Projected_Start_Date&lt;=$B$4,(N36*$F53),0)</f>
        <v>0</v>
      </c>
      <c r="AG73" s="310">
        <f>IF(Projected_Start_Date&lt;=$B$4,(O36*$F53),0)</f>
        <v>0</v>
      </c>
      <c r="AH73" s="310">
        <f>IF(Projected_Start_Date&lt;=$B$4,(P36*$F53),0)</f>
        <v>0</v>
      </c>
      <c r="AI73" s="191" t="str">
        <f t="shared" si="57"/>
        <v/>
      </c>
      <c r="AJ73" s="185">
        <f t="shared" si="58"/>
        <v>0</v>
      </c>
      <c r="AK73" s="12"/>
    </row>
    <row r="74" ht="15.75" customHeight="1">
      <c r="A74" s="12"/>
      <c r="B74" s="12"/>
      <c r="C74" s="7"/>
      <c r="D74" s="12"/>
      <c r="E74" s="165"/>
      <c r="F74" s="165"/>
      <c r="G74" s="165"/>
      <c r="H74" s="165"/>
      <c r="I74" s="165"/>
      <c r="J74" s="165"/>
      <c r="K74" s="165"/>
      <c r="L74" s="165"/>
      <c r="M74" s="165"/>
      <c r="N74" s="165"/>
      <c r="O74" s="165"/>
      <c r="P74" s="165"/>
      <c r="Q74" s="134"/>
      <c r="R74" s="12"/>
      <c r="S74" s="12"/>
      <c r="T74" s="12" t="str">
        <f>IF('A. Background'!B22="Product/Service","",'A. Background'!B22)</f>
        <v/>
      </c>
      <c r="U74" s="182" t="str">
        <f>IF(T74="","",'A. Background'!H136)</f>
        <v/>
      </c>
      <c r="V74" s="12"/>
      <c r="W74" s="310">
        <f>IF(Projected_Start_Date&lt;=$B$4,(E37*$F54),0)</f>
        <v>0</v>
      </c>
      <c r="X74" s="310">
        <f>IF(Projected_Start_Date&lt;=$B$4,(F37*$F54),0)</f>
        <v>0</v>
      </c>
      <c r="Y74" s="310">
        <f>IF(Projected_Start_Date&lt;=$B$4,(G37*$F54),0)</f>
        <v>0</v>
      </c>
      <c r="Z74" s="310">
        <f>IF(Projected_Start_Date&lt;=$B$4,(H37*$F54),0)</f>
        <v>0</v>
      </c>
      <c r="AA74" s="310">
        <f>IF(Projected_Start_Date&lt;=$B$4,(I37*$F54),0)</f>
        <v>0</v>
      </c>
      <c r="AB74" s="310">
        <f>IF(Projected_Start_Date&lt;=$B$4,(J37*$F54),0)</f>
        <v>0</v>
      </c>
      <c r="AC74" s="310">
        <f>IF(Projected_Start_Date&lt;=$B$4,(K37*$F54),0)</f>
        <v>0</v>
      </c>
      <c r="AD74" s="310">
        <f>IF(Projected_Start_Date&lt;=$B$4,(L37*$F54),0)</f>
        <v>0</v>
      </c>
      <c r="AE74" s="310">
        <f>IF(Projected_Start_Date&lt;=$B$4,(M37*$F54),0)</f>
        <v>0</v>
      </c>
      <c r="AF74" s="310">
        <f>IF(Projected_Start_Date&lt;=$B$4,(N37*$F54),0)</f>
        <v>0</v>
      </c>
      <c r="AG74" s="310">
        <f>IF(Projected_Start_Date&lt;=$B$4,(O37*$F54),0)</f>
        <v>0</v>
      </c>
      <c r="AH74" s="310">
        <f>IF(Projected_Start_Date&lt;=$B$4,(P37*$F54),0)</f>
        <v>0</v>
      </c>
      <c r="AI74" s="191" t="str">
        <f t="shared" si="57"/>
        <v/>
      </c>
      <c r="AJ74" s="185">
        <f t="shared" si="58"/>
        <v>0</v>
      </c>
      <c r="AK74" s="12"/>
    </row>
    <row r="75" ht="15.75" customHeight="1">
      <c r="A75" s="12"/>
      <c r="B75" s="12"/>
      <c r="C75" s="7"/>
      <c r="D75" s="12"/>
      <c r="E75" s="165"/>
      <c r="F75" s="165"/>
      <c r="G75" s="165"/>
      <c r="H75" s="165"/>
      <c r="I75" s="165"/>
      <c r="J75" s="165"/>
      <c r="K75" s="165"/>
      <c r="L75" s="165"/>
      <c r="M75" s="165"/>
      <c r="N75" s="165"/>
      <c r="O75" s="165"/>
      <c r="P75" s="165"/>
      <c r="Q75" s="134"/>
      <c r="R75" s="12"/>
      <c r="S75" s="12"/>
      <c r="T75" s="12"/>
      <c r="U75" s="182"/>
      <c r="V75" s="12"/>
      <c r="W75" s="188"/>
      <c r="X75" s="188"/>
      <c r="Y75" s="188"/>
      <c r="Z75" s="188"/>
      <c r="AA75" s="188"/>
      <c r="AB75" s="188"/>
      <c r="AC75" s="188"/>
      <c r="AD75" s="188"/>
      <c r="AE75" s="188"/>
      <c r="AF75" s="188"/>
      <c r="AG75" s="188"/>
      <c r="AH75" s="188"/>
      <c r="AI75" s="191"/>
      <c r="AJ75" s="185"/>
      <c r="AK75" s="12"/>
    </row>
    <row r="76" ht="15.75" customHeight="1">
      <c r="A76" s="12"/>
      <c r="B76" s="12"/>
      <c r="C76" s="7"/>
      <c r="D76" s="12"/>
      <c r="E76" s="165"/>
      <c r="F76" s="165"/>
      <c r="G76" s="165"/>
      <c r="H76" s="165"/>
      <c r="I76" s="165"/>
      <c r="J76" s="165"/>
      <c r="K76" s="165"/>
      <c r="L76" s="165"/>
      <c r="M76" s="165"/>
      <c r="N76" s="165"/>
      <c r="O76" s="165"/>
      <c r="P76" s="165"/>
      <c r="Q76" s="134"/>
      <c r="R76" s="12"/>
      <c r="S76" s="12"/>
      <c r="T76" s="418"/>
      <c r="U76" s="419"/>
      <c r="V76" s="418"/>
      <c r="W76" s="421"/>
      <c r="X76" s="421"/>
      <c r="Y76" s="421"/>
      <c r="Z76" s="421"/>
      <c r="AA76" s="421"/>
      <c r="AB76" s="421"/>
      <c r="AC76" s="421"/>
      <c r="AD76" s="421"/>
      <c r="AE76" s="421"/>
      <c r="AF76" s="421"/>
      <c r="AG76" s="421"/>
      <c r="AH76" s="421"/>
      <c r="AI76" s="423"/>
      <c r="AJ76" s="424"/>
      <c r="AK76" s="12"/>
    </row>
    <row r="77" ht="15.75" customHeight="1">
      <c r="A77" s="12"/>
      <c r="B77" s="12"/>
      <c r="C77" s="7"/>
      <c r="D77" s="12"/>
      <c r="E77" s="165"/>
      <c r="F77" s="165"/>
      <c r="G77" s="165"/>
      <c r="H77" s="165"/>
      <c r="I77" s="165"/>
      <c r="J77" s="165"/>
      <c r="K77" s="165"/>
      <c r="L77" s="165"/>
      <c r="M77" s="165"/>
      <c r="N77" s="165"/>
      <c r="O77" s="165"/>
      <c r="P77" s="165"/>
      <c r="Q77" s="134"/>
      <c r="R77" s="12"/>
      <c r="S77" s="12"/>
      <c r="T77" s="12"/>
      <c r="U77" s="12"/>
      <c r="V77" s="12"/>
      <c r="W77" s="12"/>
      <c r="X77" s="12"/>
      <c r="Y77" s="12"/>
      <c r="Z77" s="12"/>
      <c r="AA77" s="12"/>
      <c r="AB77" s="12"/>
      <c r="AC77" s="12"/>
      <c r="AD77" s="12"/>
      <c r="AE77" s="12"/>
      <c r="AF77" s="12"/>
      <c r="AG77" s="12"/>
      <c r="AH77" s="12"/>
      <c r="AI77" s="12"/>
      <c r="AJ77" s="12"/>
      <c r="AK77" s="12"/>
    </row>
    <row r="78" ht="15.75" customHeight="1">
      <c r="B78" s="12"/>
      <c r="C78" s="7"/>
      <c r="E78" s="165"/>
      <c r="F78" s="165"/>
      <c r="G78" s="165"/>
      <c r="H78" s="165"/>
      <c r="I78" s="165"/>
      <c r="J78" s="165"/>
      <c r="K78" s="165"/>
      <c r="L78" s="165"/>
      <c r="M78" s="165"/>
      <c r="N78" s="165"/>
      <c r="O78" s="165"/>
      <c r="P78" s="165"/>
      <c r="Q78" s="134"/>
      <c r="R78" s="12"/>
      <c r="AJ78" s="12"/>
    </row>
    <row r="79" ht="15.75" customHeight="1">
      <c r="B79" s="12"/>
      <c r="C79" s="7"/>
      <c r="E79" s="165"/>
      <c r="F79" s="165"/>
      <c r="G79" s="165"/>
      <c r="H79" s="165"/>
      <c r="I79" s="165"/>
      <c r="J79" s="165"/>
      <c r="K79" s="165"/>
      <c r="L79" s="165"/>
      <c r="M79" s="165"/>
      <c r="N79" s="165"/>
      <c r="O79" s="165"/>
      <c r="P79" s="165"/>
      <c r="Q79" s="134"/>
      <c r="R79" s="12"/>
      <c r="AJ79" s="12"/>
    </row>
    <row r="80" ht="15.75" customHeight="1">
      <c r="B80" s="12"/>
      <c r="C80" s="7"/>
      <c r="E80" s="165"/>
      <c r="F80" s="165"/>
      <c r="G80" s="165"/>
      <c r="H80" s="165"/>
      <c r="I80" s="165"/>
      <c r="J80" s="165"/>
      <c r="K80" s="165"/>
      <c r="L80" s="165"/>
      <c r="M80" s="165"/>
      <c r="N80" s="165"/>
      <c r="O80" s="165"/>
      <c r="P80" s="165"/>
      <c r="Q80" s="134"/>
      <c r="R80" s="12"/>
      <c r="AJ80" s="12"/>
    </row>
    <row r="81" ht="15.75" customHeight="1">
      <c r="B81" s="12"/>
      <c r="C81" s="7"/>
      <c r="E81" s="165"/>
      <c r="F81" s="165"/>
      <c r="G81" s="165"/>
      <c r="H81" s="165"/>
      <c r="I81" s="165"/>
      <c r="J81" s="165"/>
      <c r="K81" s="165"/>
      <c r="L81" s="165"/>
      <c r="M81" s="165"/>
      <c r="N81" s="165"/>
      <c r="O81" s="165"/>
      <c r="P81" s="165"/>
      <c r="Q81" s="134"/>
      <c r="R81" s="12"/>
      <c r="AJ81" s="12"/>
    </row>
    <row r="82" ht="15.75" customHeight="1">
      <c r="B82" s="12"/>
      <c r="C82" s="7"/>
      <c r="E82" s="165"/>
      <c r="F82" s="165"/>
      <c r="G82" s="165"/>
      <c r="H82" s="165"/>
      <c r="I82" s="165"/>
      <c r="J82" s="165"/>
      <c r="K82" s="165"/>
      <c r="L82" s="165"/>
      <c r="M82" s="165"/>
      <c r="N82" s="165"/>
      <c r="O82" s="165"/>
      <c r="P82" s="165"/>
      <c r="Q82" s="134"/>
      <c r="R82" s="12"/>
      <c r="AJ82" s="12"/>
    </row>
    <row r="83" ht="15.75" customHeight="1">
      <c r="B83" s="12"/>
      <c r="C83" s="7"/>
      <c r="E83" s="165"/>
      <c r="F83" s="165"/>
      <c r="G83" s="165"/>
      <c r="H83" s="165"/>
      <c r="I83" s="165"/>
      <c r="J83" s="165"/>
      <c r="K83" s="165"/>
      <c r="L83" s="165"/>
      <c r="M83" s="165"/>
      <c r="N83" s="165"/>
      <c r="O83" s="165"/>
      <c r="P83" s="165"/>
      <c r="Q83" s="134"/>
      <c r="R83" s="12"/>
      <c r="AJ83" s="12"/>
    </row>
    <row r="84" ht="15.75" customHeight="1">
      <c r="B84" s="12"/>
      <c r="C84" s="7"/>
      <c r="E84" s="165"/>
      <c r="F84" s="165"/>
      <c r="G84" s="165"/>
      <c r="H84" s="165"/>
      <c r="I84" s="165"/>
      <c r="J84" s="165"/>
      <c r="K84" s="165"/>
      <c r="L84" s="165"/>
      <c r="M84" s="165"/>
      <c r="N84" s="165"/>
      <c r="O84" s="165"/>
      <c r="P84" s="165"/>
      <c r="Q84" s="134"/>
      <c r="R84" s="12"/>
      <c r="AJ84" s="12"/>
    </row>
    <row r="85" ht="15.75" customHeight="1">
      <c r="B85" s="12"/>
      <c r="C85" s="7"/>
      <c r="E85" s="165"/>
      <c r="F85" s="165"/>
      <c r="G85" s="165"/>
      <c r="H85" s="165"/>
      <c r="I85" s="165"/>
      <c r="J85" s="165"/>
      <c r="K85" s="165"/>
      <c r="L85" s="165"/>
      <c r="M85" s="165"/>
      <c r="N85" s="165"/>
      <c r="O85" s="165"/>
      <c r="P85" s="165"/>
      <c r="Q85" s="134"/>
      <c r="R85" s="12"/>
      <c r="AJ85" s="12"/>
    </row>
    <row r="86" ht="15.75" customHeight="1">
      <c r="B86" s="12"/>
      <c r="C86" s="7"/>
      <c r="E86" s="165"/>
      <c r="F86" s="165"/>
      <c r="G86" s="165"/>
      <c r="H86" s="165"/>
      <c r="I86" s="165"/>
      <c r="J86" s="165"/>
      <c r="K86" s="165"/>
      <c r="L86" s="165"/>
      <c r="M86" s="165"/>
      <c r="N86" s="165"/>
      <c r="O86" s="165"/>
      <c r="P86" s="165"/>
      <c r="Q86" s="134"/>
      <c r="R86" s="12"/>
      <c r="AJ86" s="12"/>
    </row>
    <row r="87" ht="15.75" customHeight="1">
      <c r="B87" s="12"/>
      <c r="C87" s="7"/>
      <c r="E87" s="165"/>
      <c r="F87" s="165"/>
      <c r="G87" s="165"/>
      <c r="H87" s="165"/>
      <c r="I87" s="165"/>
      <c r="J87" s="165"/>
      <c r="K87" s="165"/>
      <c r="L87" s="165"/>
      <c r="M87" s="165"/>
      <c r="N87" s="165"/>
      <c r="O87" s="165"/>
      <c r="P87" s="165"/>
      <c r="Q87" s="134"/>
      <c r="R87" s="12"/>
      <c r="AJ87" s="12"/>
    </row>
    <row r="88" ht="15.75" customHeight="1">
      <c r="B88" s="12"/>
      <c r="C88" s="7"/>
      <c r="E88" s="165"/>
      <c r="F88" s="165"/>
      <c r="G88" s="165"/>
      <c r="H88" s="165"/>
      <c r="I88" s="165"/>
      <c r="J88" s="165"/>
      <c r="K88" s="165"/>
      <c r="L88" s="165"/>
      <c r="M88" s="165"/>
      <c r="N88" s="165"/>
      <c r="O88" s="165"/>
      <c r="P88" s="165"/>
      <c r="Q88" s="134"/>
      <c r="R88" s="12"/>
      <c r="AJ88" s="12"/>
    </row>
    <row r="89" ht="15.75" customHeight="1">
      <c r="B89" s="12"/>
      <c r="C89" s="7"/>
      <c r="E89" s="165"/>
      <c r="F89" s="165"/>
      <c r="G89" s="165"/>
      <c r="H89" s="165"/>
      <c r="I89" s="165"/>
      <c r="J89" s="165"/>
      <c r="K89" s="165"/>
      <c r="L89" s="165"/>
      <c r="M89" s="165"/>
      <c r="N89" s="165"/>
      <c r="O89" s="165"/>
      <c r="P89" s="165"/>
      <c r="Q89" s="134"/>
      <c r="R89" s="12"/>
      <c r="AJ89" s="12"/>
    </row>
    <row r="90" ht="15.75" customHeight="1">
      <c r="B90" s="12"/>
      <c r="C90" s="7"/>
      <c r="E90" s="165"/>
      <c r="F90" s="165"/>
      <c r="G90" s="165"/>
      <c r="H90" s="165"/>
      <c r="I90" s="165"/>
      <c r="J90" s="165"/>
      <c r="K90" s="165"/>
      <c r="L90" s="165"/>
      <c r="M90" s="165"/>
      <c r="N90" s="165"/>
      <c r="O90" s="165"/>
      <c r="P90" s="165"/>
      <c r="Q90" s="134"/>
      <c r="R90" s="12"/>
      <c r="AJ90" s="12"/>
    </row>
    <row r="91" ht="15.75" customHeight="1">
      <c r="B91" s="12"/>
      <c r="C91" s="7"/>
      <c r="E91" s="165"/>
      <c r="F91" s="165"/>
      <c r="G91" s="165"/>
      <c r="H91" s="165"/>
      <c r="I91" s="165"/>
      <c r="J91" s="165"/>
      <c r="K91" s="165"/>
      <c r="L91" s="165"/>
      <c r="M91" s="165"/>
      <c r="N91" s="165"/>
      <c r="O91" s="165"/>
      <c r="P91" s="165"/>
      <c r="Q91" s="134"/>
      <c r="R91" s="12"/>
      <c r="AJ91" s="12"/>
    </row>
    <row r="92" ht="15.75" customHeight="1">
      <c r="B92" s="12"/>
      <c r="C92" s="7"/>
      <c r="E92" s="165"/>
      <c r="F92" s="165"/>
      <c r="G92" s="165"/>
      <c r="H92" s="165"/>
      <c r="I92" s="165"/>
      <c r="J92" s="165"/>
      <c r="K92" s="165"/>
      <c r="L92" s="165"/>
      <c r="M92" s="165"/>
      <c r="N92" s="165"/>
      <c r="O92" s="165"/>
      <c r="P92" s="165"/>
      <c r="Q92" s="134"/>
      <c r="R92" s="12"/>
      <c r="AJ92" s="12"/>
    </row>
    <row r="93" ht="15.75" customHeight="1">
      <c r="B93" s="12"/>
      <c r="C93" s="7"/>
      <c r="E93" s="165"/>
      <c r="F93" s="165"/>
      <c r="G93" s="165"/>
      <c r="H93" s="165"/>
      <c r="I93" s="165"/>
      <c r="J93" s="165"/>
      <c r="K93" s="165"/>
      <c r="L93" s="165"/>
      <c r="M93" s="165"/>
      <c r="N93" s="165"/>
      <c r="O93" s="165"/>
      <c r="P93" s="165"/>
      <c r="Q93" s="134"/>
      <c r="R93" s="12"/>
      <c r="AJ93" s="12"/>
    </row>
    <row r="94" ht="15.75" customHeight="1">
      <c r="B94" s="12"/>
      <c r="C94" s="7"/>
      <c r="E94" s="165"/>
      <c r="F94" s="165"/>
      <c r="G94" s="165"/>
      <c r="H94" s="165"/>
      <c r="I94" s="165"/>
      <c r="J94" s="165"/>
      <c r="K94" s="165"/>
      <c r="L94" s="165"/>
      <c r="M94" s="165"/>
      <c r="N94" s="165"/>
      <c r="O94" s="165"/>
      <c r="P94" s="165"/>
      <c r="Q94" s="134"/>
      <c r="R94" s="12"/>
      <c r="AJ94" s="12"/>
    </row>
    <row r="95" ht="15.75" customHeight="1">
      <c r="B95" s="12"/>
      <c r="C95" s="7"/>
      <c r="E95" s="165"/>
      <c r="F95" s="165"/>
      <c r="G95" s="165"/>
      <c r="H95" s="165"/>
      <c r="I95" s="165"/>
      <c r="J95" s="165"/>
      <c r="K95" s="165"/>
      <c r="L95" s="165"/>
      <c r="M95" s="165"/>
      <c r="N95" s="165"/>
      <c r="O95" s="165"/>
      <c r="P95" s="165"/>
      <c r="Q95" s="134"/>
      <c r="R95" s="12"/>
      <c r="AJ95" s="12"/>
    </row>
    <row r="96" ht="15.75" customHeight="1">
      <c r="B96" s="12"/>
      <c r="C96" s="7"/>
      <c r="E96" s="165"/>
      <c r="F96" s="165"/>
      <c r="G96" s="165"/>
      <c r="H96" s="165"/>
      <c r="I96" s="165"/>
      <c r="J96" s="165"/>
      <c r="K96" s="165"/>
      <c r="L96" s="165"/>
      <c r="M96" s="165"/>
      <c r="N96" s="165"/>
      <c r="O96" s="165"/>
      <c r="P96" s="165"/>
      <c r="Q96" s="134"/>
      <c r="R96" s="12"/>
      <c r="AJ96" s="12"/>
    </row>
    <row r="97" ht="15.75" customHeight="1">
      <c r="B97" s="12"/>
      <c r="C97" s="7"/>
      <c r="E97" s="165"/>
      <c r="F97" s="165"/>
      <c r="G97" s="165"/>
      <c r="H97" s="165"/>
      <c r="I97" s="165"/>
      <c r="J97" s="165"/>
      <c r="K97" s="165"/>
      <c r="L97" s="165"/>
      <c r="M97" s="165"/>
      <c r="N97" s="165"/>
      <c r="O97" s="165"/>
      <c r="P97" s="165"/>
      <c r="Q97" s="134"/>
      <c r="R97" s="12"/>
      <c r="AJ97" s="12"/>
    </row>
    <row r="98" ht="15.75" customHeight="1">
      <c r="B98" s="12"/>
      <c r="C98" s="7"/>
      <c r="E98" s="165"/>
      <c r="F98" s="165"/>
      <c r="G98" s="165"/>
      <c r="H98" s="165"/>
      <c r="I98" s="165"/>
      <c r="J98" s="165"/>
      <c r="K98" s="165"/>
      <c r="L98" s="165"/>
      <c r="M98" s="165"/>
      <c r="N98" s="165"/>
      <c r="O98" s="165"/>
      <c r="P98" s="165"/>
      <c r="Q98" s="134"/>
      <c r="R98" s="12"/>
      <c r="AJ98" s="12"/>
    </row>
    <row r="99" ht="15.75" customHeight="1">
      <c r="B99" s="12"/>
      <c r="C99" s="7"/>
      <c r="E99" s="165"/>
      <c r="F99" s="165"/>
      <c r="G99" s="165"/>
      <c r="H99" s="165"/>
      <c r="I99" s="165"/>
      <c r="J99" s="165"/>
      <c r="K99" s="165"/>
      <c r="L99" s="165"/>
      <c r="M99" s="165"/>
      <c r="N99" s="165"/>
      <c r="O99" s="165"/>
      <c r="P99" s="165"/>
      <c r="Q99" s="134"/>
      <c r="R99" s="12"/>
      <c r="AJ99" s="12"/>
    </row>
    <row r="100" ht="15.75" customHeight="1">
      <c r="B100" s="12"/>
      <c r="C100" s="7"/>
      <c r="E100" s="165"/>
      <c r="F100" s="165"/>
      <c r="G100" s="165"/>
      <c r="H100" s="165"/>
      <c r="I100" s="165"/>
      <c r="J100" s="165"/>
      <c r="K100" s="165"/>
      <c r="L100" s="165"/>
      <c r="M100" s="165"/>
      <c r="N100" s="165"/>
      <c r="O100" s="165"/>
      <c r="P100" s="165"/>
      <c r="Q100" s="134"/>
      <c r="R100" s="12"/>
      <c r="AJ100" s="12"/>
    </row>
    <row r="101" ht="15.75" customHeight="1">
      <c r="B101" s="12"/>
      <c r="C101" s="7"/>
      <c r="E101" s="165"/>
      <c r="F101" s="165"/>
      <c r="G101" s="165"/>
      <c r="H101" s="165"/>
      <c r="I101" s="165"/>
      <c r="J101" s="165"/>
      <c r="K101" s="165"/>
      <c r="L101" s="165"/>
      <c r="M101" s="165"/>
      <c r="N101" s="165"/>
      <c r="O101" s="165"/>
      <c r="P101" s="165"/>
      <c r="Q101" s="134"/>
      <c r="R101" s="12"/>
      <c r="AJ101" s="12"/>
    </row>
    <row r="102" ht="15.75" customHeight="1">
      <c r="B102" s="12"/>
      <c r="C102" s="7"/>
      <c r="E102" s="165"/>
      <c r="F102" s="165"/>
      <c r="G102" s="165"/>
      <c r="H102" s="165"/>
      <c r="I102" s="165"/>
      <c r="J102" s="165"/>
      <c r="K102" s="165"/>
      <c r="L102" s="165"/>
      <c r="M102" s="165"/>
      <c r="N102" s="165"/>
      <c r="O102" s="165"/>
      <c r="P102" s="165"/>
      <c r="Q102" s="134"/>
      <c r="R102" s="12"/>
      <c r="AJ102" s="12"/>
    </row>
    <row r="103" ht="15.75" customHeight="1">
      <c r="B103" s="12"/>
      <c r="C103" s="7"/>
      <c r="E103" s="165"/>
      <c r="F103" s="165"/>
      <c r="G103" s="165"/>
      <c r="H103" s="165"/>
      <c r="I103" s="165"/>
      <c r="J103" s="165"/>
      <c r="K103" s="165"/>
      <c r="L103" s="165"/>
      <c r="M103" s="165"/>
      <c r="N103" s="165"/>
      <c r="O103" s="165"/>
      <c r="P103" s="165"/>
      <c r="Q103" s="134"/>
      <c r="R103" s="12"/>
      <c r="AJ103" s="12"/>
    </row>
    <row r="104" ht="15.75" customHeight="1">
      <c r="B104" s="12"/>
      <c r="C104" s="7"/>
      <c r="E104" s="165"/>
      <c r="F104" s="165"/>
      <c r="G104" s="165"/>
      <c r="H104" s="165"/>
      <c r="I104" s="165"/>
      <c r="J104" s="165"/>
      <c r="K104" s="165"/>
      <c r="L104" s="165"/>
      <c r="M104" s="165"/>
      <c r="N104" s="165"/>
      <c r="O104" s="165"/>
      <c r="P104" s="165"/>
      <c r="Q104" s="134"/>
      <c r="R104" s="12"/>
      <c r="AJ104" s="12"/>
    </row>
    <row r="105" ht="15.75" customHeight="1">
      <c r="B105" s="12"/>
      <c r="C105" s="7"/>
      <c r="E105" s="165"/>
      <c r="F105" s="165"/>
      <c r="G105" s="165"/>
      <c r="H105" s="165"/>
      <c r="I105" s="165"/>
      <c r="J105" s="165"/>
      <c r="K105" s="165"/>
      <c r="L105" s="165"/>
      <c r="M105" s="165"/>
      <c r="N105" s="165"/>
      <c r="O105" s="165"/>
      <c r="P105" s="165"/>
      <c r="Q105" s="134"/>
      <c r="R105" s="12"/>
      <c r="AJ105" s="12"/>
    </row>
    <row r="106" ht="15.75" customHeight="1">
      <c r="B106" s="12"/>
      <c r="C106" s="7"/>
      <c r="E106" s="165"/>
      <c r="F106" s="165"/>
      <c r="G106" s="165"/>
      <c r="H106" s="165"/>
      <c r="I106" s="165"/>
      <c r="J106" s="165"/>
      <c r="K106" s="165"/>
      <c r="L106" s="165"/>
      <c r="M106" s="165"/>
      <c r="N106" s="165"/>
      <c r="O106" s="165"/>
      <c r="P106" s="165"/>
      <c r="Q106" s="134"/>
      <c r="R106" s="12"/>
      <c r="AJ106" s="12"/>
    </row>
    <row r="107" ht="15.75" customHeight="1">
      <c r="B107" s="12"/>
      <c r="C107" s="7"/>
      <c r="E107" s="165"/>
      <c r="F107" s="165"/>
      <c r="G107" s="165"/>
      <c r="H107" s="165"/>
      <c r="I107" s="165"/>
      <c r="J107" s="165"/>
      <c r="K107" s="165"/>
      <c r="L107" s="165"/>
      <c r="M107" s="165"/>
      <c r="N107" s="165"/>
      <c r="O107" s="165"/>
      <c r="P107" s="165"/>
      <c r="Q107" s="134"/>
      <c r="R107" s="12"/>
      <c r="AJ107" s="12"/>
    </row>
    <row r="108" ht="15.75" customHeight="1">
      <c r="B108" s="12"/>
      <c r="C108" s="7"/>
      <c r="E108" s="165"/>
      <c r="F108" s="165"/>
      <c r="G108" s="165"/>
      <c r="H108" s="165"/>
      <c r="I108" s="165"/>
      <c r="J108" s="165"/>
      <c r="K108" s="165"/>
      <c r="L108" s="165"/>
      <c r="M108" s="165"/>
      <c r="N108" s="165"/>
      <c r="O108" s="165"/>
      <c r="P108" s="165"/>
      <c r="Q108" s="134"/>
      <c r="R108" s="12"/>
      <c r="AJ108" s="12"/>
    </row>
    <row r="109" ht="15.75" customHeight="1">
      <c r="B109" s="12"/>
      <c r="C109" s="7"/>
      <c r="E109" s="165"/>
      <c r="F109" s="165"/>
      <c r="G109" s="165"/>
      <c r="H109" s="165"/>
      <c r="I109" s="165"/>
      <c r="J109" s="165"/>
      <c r="K109" s="165"/>
      <c r="L109" s="165"/>
      <c r="M109" s="165"/>
      <c r="N109" s="165"/>
      <c r="O109" s="165"/>
      <c r="P109" s="165"/>
      <c r="Q109" s="134"/>
      <c r="R109" s="12"/>
      <c r="AJ109" s="12"/>
    </row>
    <row r="110" ht="15.75" customHeight="1">
      <c r="B110" s="12"/>
      <c r="C110" s="7"/>
      <c r="E110" s="165"/>
      <c r="F110" s="165"/>
      <c r="G110" s="165"/>
      <c r="H110" s="165"/>
      <c r="I110" s="165"/>
      <c r="J110" s="165"/>
      <c r="K110" s="165"/>
      <c r="L110" s="165"/>
      <c r="M110" s="165"/>
      <c r="N110" s="165"/>
      <c r="O110" s="165"/>
      <c r="P110" s="165"/>
      <c r="Q110" s="134"/>
      <c r="R110" s="12"/>
      <c r="AJ110" s="12"/>
    </row>
    <row r="111" ht="15.75" customHeight="1">
      <c r="B111" s="12"/>
      <c r="C111" s="7"/>
      <c r="E111" s="165"/>
      <c r="F111" s="165"/>
      <c r="G111" s="165"/>
      <c r="H111" s="165"/>
      <c r="I111" s="165"/>
      <c r="J111" s="165"/>
      <c r="K111" s="165"/>
      <c r="L111" s="165"/>
      <c r="M111" s="165"/>
      <c r="N111" s="165"/>
      <c r="O111" s="165"/>
      <c r="P111" s="165"/>
      <c r="Q111" s="134"/>
      <c r="R111" s="12"/>
      <c r="AJ111" s="12"/>
    </row>
    <row r="112" ht="15.75" customHeight="1">
      <c r="B112" s="12"/>
      <c r="C112" s="7"/>
      <c r="E112" s="165"/>
      <c r="F112" s="165"/>
      <c r="G112" s="165"/>
      <c r="H112" s="165"/>
      <c r="I112" s="165"/>
      <c r="J112" s="165"/>
      <c r="K112" s="165"/>
      <c r="L112" s="165"/>
      <c r="M112" s="165"/>
      <c r="N112" s="165"/>
      <c r="O112" s="165"/>
      <c r="P112" s="165"/>
      <c r="Q112" s="134"/>
      <c r="R112" s="12"/>
      <c r="AJ112" s="12"/>
    </row>
    <row r="113" ht="15.75" customHeight="1">
      <c r="B113" s="12"/>
      <c r="C113" s="7"/>
      <c r="E113" s="165"/>
      <c r="F113" s="165"/>
      <c r="G113" s="165"/>
      <c r="H113" s="165"/>
      <c r="I113" s="165"/>
      <c r="J113" s="165"/>
      <c r="K113" s="165"/>
      <c r="L113" s="165"/>
      <c r="M113" s="165"/>
      <c r="N113" s="165"/>
      <c r="O113" s="165"/>
      <c r="P113" s="165"/>
      <c r="Q113" s="134"/>
      <c r="R113" s="12"/>
      <c r="AJ113" s="12"/>
    </row>
    <row r="114" ht="15.75" customHeight="1">
      <c r="B114" s="12"/>
      <c r="C114" s="7"/>
      <c r="E114" s="165"/>
      <c r="F114" s="165"/>
      <c r="G114" s="165"/>
      <c r="H114" s="165"/>
      <c r="I114" s="165"/>
      <c r="J114" s="165"/>
      <c r="K114" s="165"/>
      <c r="L114" s="165"/>
      <c r="M114" s="165"/>
      <c r="N114" s="165"/>
      <c r="O114" s="165"/>
      <c r="P114" s="165"/>
      <c r="Q114" s="134"/>
      <c r="R114" s="12"/>
      <c r="AJ114" s="12"/>
    </row>
    <row r="115" ht="15.75" customHeight="1">
      <c r="B115" s="12"/>
      <c r="C115" s="7"/>
      <c r="E115" s="165"/>
      <c r="F115" s="165"/>
      <c r="G115" s="165"/>
      <c r="H115" s="165"/>
      <c r="I115" s="165"/>
      <c r="J115" s="165"/>
      <c r="K115" s="165"/>
      <c r="L115" s="165"/>
      <c r="M115" s="165"/>
      <c r="N115" s="165"/>
      <c r="O115" s="165"/>
      <c r="P115" s="165"/>
      <c r="Q115" s="134"/>
      <c r="R115" s="12"/>
      <c r="AJ115" s="12"/>
    </row>
    <row r="116" ht="15.75" customHeight="1">
      <c r="B116" s="12"/>
      <c r="C116" s="7"/>
      <c r="E116" s="165"/>
      <c r="F116" s="165"/>
      <c r="G116" s="165"/>
      <c r="H116" s="165"/>
      <c r="I116" s="165"/>
      <c r="J116" s="165"/>
      <c r="K116" s="165"/>
      <c r="L116" s="165"/>
      <c r="M116" s="165"/>
      <c r="N116" s="165"/>
      <c r="O116" s="165"/>
      <c r="P116" s="165"/>
      <c r="Q116" s="134"/>
      <c r="R116" s="12"/>
      <c r="AJ116" s="12"/>
    </row>
    <row r="117" ht="15.75" customHeight="1">
      <c r="B117" s="12"/>
      <c r="C117" s="7"/>
      <c r="E117" s="165"/>
      <c r="F117" s="165"/>
      <c r="G117" s="165"/>
      <c r="H117" s="165"/>
      <c r="I117" s="165"/>
      <c r="J117" s="165"/>
      <c r="K117" s="165"/>
      <c r="L117" s="165"/>
      <c r="M117" s="165"/>
      <c r="N117" s="165"/>
      <c r="O117" s="165"/>
      <c r="P117" s="165"/>
      <c r="Q117" s="134"/>
      <c r="R117" s="12"/>
      <c r="AJ117" s="12"/>
    </row>
    <row r="118" ht="15.75" customHeight="1">
      <c r="B118" s="12"/>
      <c r="C118" s="7"/>
      <c r="E118" s="165"/>
      <c r="F118" s="165"/>
      <c r="G118" s="165"/>
      <c r="H118" s="165"/>
      <c r="I118" s="165"/>
      <c r="J118" s="165"/>
      <c r="K118" s="165"/>
      <c r="L118" s="165"/>
      <c r="M118" s="165"/>
      <c r="N118" s="165"/>
      <c r="O118" s="165"/>
      <c r="P118" s="165"/>
      <c r="Q118" s="134"/>
      <c r="R118" s="12"/>
      <c r="AJ118" s="12"/>
    </row>
    <row r="119" ht="15.75" customHeight="1">
      <c r="B119" s="12"/>
      <c r="C119" s="7"/>
      <c r="E119" s="165"/>
      <c r="F119" s="165"/>
      <c r="G119" s="165"/>
      <c r="H119" s="165"/>
      <c r="I119" s="165"/>
      <c r="J119" s="165"/>
      <c r="K119" s="165"/>
      <c r="L119" s="165"/>
      <c r="M119" s="165"/>
      <c r="N119" s="165"/>
      <c r="O119" s="165"/>
      <c r="P119" s="165"/>
      <c r="Q119" s="134"/>
      <c r="R119" s="12"/>
      <c r="AJ119" s="12"/>
    </row>
    <row r="120" ht="15.75" customHeight="1">
      <c r="B120" s="12"/>
      <c r="C120" s="7"/>
      <c r="E120" s="165"/>
      <c r="F120" s="165"/>
      <c r="G120" s="165"/>
      <c r="H120" s="165"/>
      <c r="I120" s="165"/>
      <c r="J120" s="165"/>
      <c r="K120" s="165"/>
      <c r="L120" s="165"/>
      <c r="M120" s="165"/>
      <c r="N120" s="165"/>
      <c r="O120" s="165"/>
      <c r="P120" s="165"/>
      <c r="Q120" s="134"/>
      <c r="R120" s="12"/>
      <c r="AJ120" s="12"/>
    </row>
    <row r="121" ht="15.75" customHeight="1">
      <c r="B121" s="12"/>
      <c r="C121" s="7"/>
      <c r="E121" s="165"/>
      <c r="F121" s="165"/>
      <c r="G121" s="165"/>
      <c r="H121" s="165"/>
      <c r="I121" s="165"/>
      <c r="J121" s="165"/>
      <c r="K121" s="165"/>
      <c r="L121" s="165"/>
      <c r="M121" s="165"/>
      <c r="N121" s="165"/>
      <c r="O121" s="165"/>
      <c r="P121" s="165"/>
      <c r="Q121" s="134"/>
      <c r="R121" s="12"/>
      <c r="AJ121" s="12"/>
    </row>
    <row r="122" ht="15.75" customHeight="1">
      <c r="B122" s="12"/>
      <c r="C122" s="7"/>
      <c r="E122" s="165"/>
      <c r="F122" s="165"/>
      <c r="G122" s="165"/>
      <c r="H122" s="165"/>
      <c r="I122" s="165"/>
      <c r="J122" s="165"/>
      <c r="K122" s="165"/>
      <c r="L122" s="165"/>
      <c r="M122" s="165"/>
      <c r="N122" s="165"/>
      <c r="O122" s="165"/>
      <c r="P122" s="165"/>
      <c r="Q122" s="134"/>
      <c r="R122" s="12"/>
      <c r="AJ122" s="12"/>
    </row>
    <row r="123" ht="15.75" customHeight="1">
      <c r="B123" s="12"/>
      <c r="C123" s="7"/>
      <c r="E123" s="165"/>
      <c r="F123" s="165"/>
      <c r="G123" s="165"/>
      <c r="H123" s="165"/>
      <c r="I123" s="165"/>
      <c r="J123" s="165"/>
      <c r="K123" s="165"/>
      <c r="L123" s="165"/>
      <c r="M123" s="165"/>
      <c r="N123" s="165"/>
      <c r="O123" s="165"/>
      <c r="P123" s="165"/>
      <c r="Q123" s="134"/>
      <c r="R123" s="12"/>
      <c r="AJ123" s="12"/>
    </row>
    <row r="124" ht="15.75" customHeight="1">
      <c r="B124" s="12"/>
      <c r="C124" s="7"/>
      <c r="E124" s="165"/>
      <c r="F124" s="165"/>
      <c r="G124" s="165"/>
      <c r="H124" s="165"/>
      <c r="I124" s="165"/>
      <c r="J124" s="165"/>
      <c r="K124" s="165"/>
      <c r="L124" s="165"/>
      <c r="M124" s="165"/>
      <c r="N124" s="165"/>
      <c r="O124" s="165"/>
      <c r="P124" s="165"/>
      <c r="Q124" s="134"/>
      <c r="R124" s="12"/>
      <c r="AJ124" s="12"/>
    </row>
    <row r="125" ht="15.75" customHeight="1">
      <c r="B125" s="12"/>
      <c r="C125" s="7"/>
      <c r="E125" s="165"/>
      <c r="F125" s="165"/>
      <c r="G125" s="165"/>
      <c r="H125" s="165"/>
      <c r="I125" s="165"/>
      <c r="J125" s="165"/>
      <c r="K125" s="165"/>
      <c r="L125" s="165"/>
      <c r="M125" s="165"/>
      <c r="N125" s="165"/>
      <c r="O125" s="165"/>
      <c r="P125" s="165"/>
      <c r="Q125" s="134"/>
      <c r="R125" s="12"/>
      <c r="AJ125" s="12"/>
    </row>
    <row r="126" ht="15.75" customHeight="1">
      <c r="B126" s="12"/>
      <c r="C126" s="7"/>
      <c r="E126" s="165"/>
      <c r="F126" s="165"/>
      <c r="G126" s="165"/>
      <c r="H126" s="165"/>
      <c r="I126" s="165"/>
      <c r="J126" s="165"/>
      <c r="K126" s="165"/>
      <c r="L126" s="165"/>
      <c r="M126" s="165"/>
      <c r="N126" s="165"/>
      <c r="O126" s="165"/>
      <c r="P126" s="165"/>
      <c r="Q126" s="134"/>
      <c r="R126" s="12"/>
      <c r="AJ126" s="12"/>
    </row>
    <row r="127" ht="15.75" customHeight="1">
      <c r="B127" s="12"/>
      <c r="C127" s="7"/>
      <c r="E127" s="165"/>
      <c r="F127" s="165"/>
      <c r="G127" s="165"/>
      <c r="H127" s="165"/>
      <c r="I127" s="165"/>
      <c r="J127" s="165"/>
      <c r="K127" s="165"/>
      <c r="L127" s="165"/>
      <c r="M127" s="165"/>
      <c r="N127" s="165"/>
      <c r="O127" s="165"/>
      <c r="P127" s="165"/>
      <c r="Q127" s="134"/>
      <c r="R127" s="12"/>
      <c r="AJ127" s="12"/>
    </row>
    <row r="128" ht="15.75" customHeight="1">
      <c r="B128" s="12"/>
      <c r="C128" s="7"/>
      <c r="E128" s="165"/>
      <c r="F128" s="165"/>
      <c r="G128" s="165"/>
      <c r="H128" s="165"/>
      <c r="I128" s="165"/>
      <c r="J128" s="165"/>
      <c r="K128" s="165"/>
      <c r="L128" s="165"/>
      <c r="M128" s="165"/>
      <c r="N128" s="165"/>
      <c r="O128" s="165"/>
      <c r="P128" s="165"/>
      <c r="Q128" s="134"/>
      <c r="R128" s="12"/>
      <c r="AJ128" s="12"/>
    </row>
    <row r="129" ht="15.75" customHeight="1">
      <c r="B129" s="12"/>
      <c r="C129" s="7"/>
      <c r="E129" s="165"/>
      <c r="F129" s="165"/>
      <c r="G129" s="165"/>
      <c r="H129" s="165"/>
      <c r="I129" s="165"/>
      <c r="J129" s="165"/>
      <c r="K129" s="165"/>
      <c r="L129" s="165"/>
      <c r="M129" s="165"/>
      <c r="N129" s="165"/>
      <c r="O129" s="165"/>
      <c r="P129" s="165"/>
      <c r="Q129" s="134"/>
      <c r="R129" s="12"/>
      <c r="AJ129" s="12"/>
    </row>
    <row r="130" ht="15.75" customHeight="1">
      <c r="B130" s="12"/>
      <c r="C130" s="7"/>
      <c r="E130" s="165"/>
      <c r="F130" s="165"/>
      <c r="G130" s="165"/>
      <c r="H130" s="165"/>
      <c r="I130" s="165"/>
      <c r="J130" s="165"/>
      <c r="K130" s="165"/>
      <c r="L130" s="165"/>
      <c r="M130" s="165"/>
      <c r="N130" s="165"/>
      <c r="O130" s="165"/>
      <c r="P130" s="165"/>
      <c r="Q130" s="134"/>
      <c r="R130" s="12"/>
      <c r="AJ130" s="12"/>
    </row>
    <row r="131" ht="15.75" customHeight="1">
      <c r="B131" s="12"/>
      <c r="C131" s="7"/>
      <c r="E131" s="165"/>
      <c r="F131" s="165"/>
      <c r="G131" s="165"/>
      <c r="H131" s="165"/>
      <c r="I131" s="165"/>
      <c r="J131" s="165"/>
      <c r="K131" s="165"/>
      <c r="L131" s="165"/>
      <c r="M131" s="165"/>
      <c r="N131" s="165"/>
      <c r="O131" s="165"/>
      <c r="P131" s="165"/>
      <c r="Q131" s="134"/>
      <c r="R131" s="12"/>
      <c r="AJ131" s="12"/>
    </row>
    <row r="132" ht="15.75" customHeight="1">
      <c r="B132" s="12"/>
      <c r="C132" s="7"/>
      <c r="E132" s="165"/>
      <c r="F132" s="165"/>
      <c r="G132" s="165"/>
      <c r="H132" s="165"/>
      <c r="I132" s="165"/>
      <c r="J132" s="165"/>
      <c r="K132" s="165"/>
      <c r="L132" s="165"/>
      <c r="M132" s="165"/>
      <c r="N132" s="165"/>
      <c r="O132" s="165"/>
      <c r="P132" s="165"/>
      <c r="Q132" s="134"/>
      <c r="R132" s="12"/>
      <c r="AJ132" s="12"/>
    </row>
    <row r="133" ht="15.75" customHeight="1">
      <c r="B133" s="12"/>
      <c r="C133" s="7"/>
      <c r="E133" s="165"/>
      <c r="F133" s="165"/>
      <c r="G133" s="165"/>
      <c r="H133" s="165"/>
      <c r="I133" s="165"/>
      <c r="J133" s="165"/>
      <c r="K133" s="165"/>
      <c r="L133" s="165"/>
      <c r="M133" s="165"/>
      <c r="N133" s="165"/>
      <c r="O133" s="165"/>
      <c r="P133" s="165"/>
      <c r="Q133" s="134"/>
      <c r="R133" s="12"/>
      <c r="AJ133" s="12"/>
    </row>
    <row r="134" ht="15.75" customHeight="1">
      <c r="B134" s="12"/>
      <c r="C134" s="7"/>
      <c r="E134" s="165"/>
      <c r="F134" s="165"/>
      <c r="G134" s="165"/>
      <c r="H134" s="165"/>
      <c r="I134" s="165"/>
      <c r="J134" s="165"/>
      <c r="K134" s="165"/>
      <c r="L134" s="165"/>
      <c r="M134" s="165"/>
      <c r="N134" s="165"/>
      <c r="O134" s="165"/>
      <c r="P134" s="165"/>
      <c r="Q134" s="134"/>
      <c r="R134" s="12"/>
      <c r="AJ134" s="12"/>
    </row>
    <row r="135" ht="15.75" customHeight="1">
      <c r="B135" s="12"/>
      <c r="C135" s="7"/>
      <c r="E135" s="165"/>
      <c r="F135" s="165"/>
      <c r="G135" s="165"/>
      <c r="H135" s="165"/>
      <c r="I135" s="165"/>
      <c r="J135" s="165"/>
      <c r="K135" s="165"/>
      <c r="L135" s="165"/>
      <c r="M135" s="165"/>
      <c r="N135" s="165"/>
      <c r="O135" s="165"/>
      <c r="P135" s="165"/>
      <c r="Q135" s="134"/>
      <c r="R135" s="12"/>
      <c r="AJ135" s="12"/>
    </row>
    <row r="136" ht="15.75" customHeight="1">
      <c r="B136" s="12"/>
      <c r="C136" s="7"/>
      <c r="E136" s="165"/>
      <c r="F136" s="165"/>
      <c r="G136" s="165"/>
      <c r="H136" s="165"/>
      <c r="I136" s="165"/>
      <c r="J136" s="165"/>
      <c r="K136" s="165"/>
      <c r="L136" s="165"/>
      <c r="M136" s="165"/>
      <c r="N136" s="165"/>
      <c r="O136" s="165"/>
      <c r="P136" s="165"/>
      <c r="Q136" s="134"/>
      <c r="R136" s="12"/>
      <c r="AJ136" s="12"/>
    </row>
    <row r="137" ht="15.75" customHeight="1">
      <c r="B137" s="12"/>
      <c r="C137" s="7"/>
      <c r="E137" s="165"/>
      <c r="F137" s="165"/>
      <c r="G137" s="165"/>
      <c r="H137" s="165"/>
      <c r="I137" s="165"/>
      <c r="J137" s="165"/>
      <c r="K137" s="165"/>
      <c r="L137" s="165"/>
      <c r="M137" s="165"/>
      <c r="N137" s="165"/>
      <c r="O137" s="165"/>
      <c r="P137" s="165"/>
      <c r="Q137" s="134"/>
      <c r="R137" s="12"/>
      <c r="AJ137" s="12"/>
    </row>
    <row r="138" ht="15.75" customHeight="1">
      <c r="B138" s="12"/>
      <c r="C138" s="7"/>
      <c r="E138" s="165"/>
      <c r="F138" s="165"/>
      <c r="G138" s="165"/>
      <c r="H138" s="165"/>
      <c r="I138" s="165"/>
      <c r="J138" s="165"/>
      <c r="K138" s="165"/>
      <c r="L138" s="165"/>
      <c r="M138" s="165"/>
      <c r="N138" s="165"/>
      <c r="O138" s="165"/>
      <c r="P138" s="165"/>
      <c r="Q138" s="134"/>
      <c r="R138" s="12"/>
      <c r="AJ138" s="12"/>
    </row>
    <row r="139" ht="15.75" customHeight="1">
      <c r="B139" s="12"/>
      <c r="C139" s="7"/>
      <c r="E139" s="165"/>
      <c r="F139" s="165"/>
      <c r="G139" s="165"/>
      <c r="H139" s="165"/>
      <c r="I139" s="165"/>
      <c r="J139" s="165"/>
      <c r="K139" s="165"/>
      <c r="L139" s="165"/>
      <c r="M139" s="165"/>
      <c r="N139" s="165"/>
      <c r="O139" s="165"/>
      <c r="P139" s="165"/>
      <c r="Q139" s="134"/>
      <c r="R139" s="12"/>
      <c r="AJ139" s="12"/>
    </row>
    <row r="140" ht="15.75" customHeight="1">
      <c r="B140" s="12"/>
      <c r="C140" s="7"/>
      <c r="E140" s="165"/>
      <c r="F140" s="165"/>
      <c r="G140" s="165"/>
      <c r="H140" s="165"/>
      <c r="I140" s="165"/>
      <c r="J140" s="165"/>
      <c r="K140" s="165"/>
      <c r="L140" s="165"/>
      <c r="M140" s="165"/>
      <c r="N140" s="165"/>
      <c r="O140" s="165"/>
      <c r="P140" s="165"/>
      <c r="Q140" s="134"/>
      <c r="R140" s="12"/>
      <c r="AJ140" s="12"/>
    </row>
    <row r="141" ht="15.75" customHeight="1">
      <c r="B141" s="12"/>
      <c r="C141" s="7"/>
      <c r="E141" s="165"/>
      <c r="F141" s="165"/>
      <c r="G141" s="165"/>
      <c r="H141" s="165"/>
      <c r="I141" s="165"/>
      <c r="J141" s="165"/>
      <c r="K141" s="165"/>
      <c r="L141" s="165"/>
      <c r="M141" s="165"/>
      <c r="N141" s="165"/>
      <c r="O141" s="165"/>
      <c r="P141" s="165"/>
      <c r="Q141" s="134"/>
      <c r="R141" s="12"/>
      <c r="AJ141" s="12"/>
    </row>
    <row r="142" ht="15.75" customHeight="1">
      <c r="B142" s="12"/>
      <c r="C142" s="7"/>
      <c r="E142" s="165"/>
      <c r="F142" s="165"/>
      <c r="G142" s="165"/>
      <c r="H142" s="165"/>
      <c r="I142" s="165"/>
      <c r="J142" s="165"/>
      <c r="K142" s="165"/>
      <c r="L142" s="165"/>
      <c r="M142" s="165"/>
      <c r="N142" s="165"/>
      <c r="O142" s="165"/>
      <c r="P142" s="165"/>
      <c r="Q142" s="134"/>
      <c r="R142" s="12"/>
      <c r="AJ142" s="12"/>
    </row>
    <row r="143" ht="15.75" customHeight="1">
      <c r="B143" s="12"/>
      <c r="C143" s="7"/>
      <c r="E143" s="165"/>
      <c r="F143" s="165"/>
      <c r="G143" s="165"/>
      <c r="H143" s="165"/>
      <c r="I143" s="165"/>
      <c r="J143" s="165"/>
      <c r="K143" s="165"/>
      <c r="L143" s="165"/>
      <c r="M143" s="165"/>
      <c r="N143" s="165"/>
      <c r="O143" s="165"/>
      <c r="P143" s="165"/>
      <c r="Q143" s="134"/>
      <c r="R143" s="12"/>
      <c r="AJ143" s="12"/>
    </row>
    <row r="144" ht="15.75" customHeight="1">
      <c r="B144" s="12"/>
      <c r="C144" s="7"/>
      <c r="E144" s="165"/>
      <c r="F144" s="165"/>
      <c r="G144" s="165"/>
      <c r="H144" s="165"/>
      <c r="I144" s="165"/>
      <c r="J144" s="165"/>
      <c r="K144" s="165"/>
      <c r="L144" s="165"/>
      <c r="M144" s="165"/>
      <c r="N144" s="165"/>
      <c r="O144" s="165"/>
      <c r="P144" s="165"/>
      <c r="Q144" s="134"/>
      <c r="R144" s="12"/>
      <c r="AJ144" s="12"/>
    </row>
    <row r="145" ht="15.75" customHeight="1">
      <c r="B145" s="12"/>
      <c r="C145" s="7"/>
      <c r="E145" s="165"/>
      <c r="F145" s="165"/>
      <c r="G145" s="165"/>
      <c r="H145" s="165"/>
      <c r="I145" s="165"/>
      <c r="J145" s="165"/>
      <c r="K145" s="165"/>
      <c r="L145" s="165"/>
      <c r="M145" s="165"/>
      <c r="N145" s="165"/>
      <c r="O145" s="165"/>
      <c r="P145" s="165"/>
      <c r="Q145" s="134"/>
      <c r="R145" s="12"/>
      <c r="AJ145" s="12"/>
    </row>
    <row r="146" ht="15.75" customHeight="1">
      <c r="B146" s="12"/>
      <c r="C146" s="7"/>
      <c r="E146" s="165"/>
      <c r="F146" s="165"/>
      <c r="G146" s="165"/>
      <c r="H146" s="165"/>
      <c r="I146" s="165"/>
      <c r="J146" s="165"/>
      <c r="K146" s="165"/>
      <c r="L146" s="165"/>
      <c r="M146" s="165"/>
      <c r="N146" s="165"/>
      <c r="O146" s="165"/>
      <c r="P146" s="165"/>
      <c r="Q146" s="134"/>
      <c r="R146" s="12"/>
      <c r="AJ146" s="12"/>
    </row>
    <row r="147" ht="15.75" customHeight="1">
      <c r="B147" s="12"/>
      <c r="C147" s="7"/>
      <c r="E147" s="165"/>
      <c r="F147" s="165"/>
      <c r="G147" s="165"/>
      <c r="H147" s="165"/>
      <c r="I147" s="165"/>
      <c r="J147" s="165"/>
      <c r="K147" s="165"/>
      <c r="L147" s="165"/>
      <c r="M147" s="165"/>
      <c r="N147" s="165"/>
      <c r="O147" s="165"/>
      <c r="P147" s="165"/>
      <c r="Q147" s="134"/>
      <c r="R147" s="12"/>
      <c r="AJ147" s="12"/>
    </row>
    <row r="148" ht="15.75" customHeight="1">
      <c r="B148" s="12"/>
      <c r="C148" s="7"/>
      <c r="E148" s="165"/>
      <c r="F148" s="165"/>
      <c r="G148" s="165"/>
      <c r="H148" s="165"/>
      <c r="I148" s="165"/>
      <c r="J148" s="165"/>
      <c r="K148" s="165"/>
      <c r="L148" s="165"/>
      <c r="M148" s="165"/>
      <c r="N148" s="165"/>
      <c r="O148" s="165"/>
      <c r="P148" s="165"/>
      <c r="Q148" s="134"/>
      <c r="R148" s="12"/>
      <c r="AJ148" s="12"/>
    </row>
    <row r="149" ht="15.75" customHeight="1">
      <c r="B149" s="12"/>
      <c r="C149" s="7"/>
      <c r="E149" s="165"/>
      <c r="F149" s="165"/>
      <c r="G149" s="165"/>
      <c r="H149" s="165"/>
      <c r="I149" s="165"/>
      <c r="J149" s="165"/>
      <c r="K149" s="165"/>
      <c r="L149" s="165"/>
      <c r="M149" s="165"/>
      <c r="N149" s="165"/>
      <c r="O149" s="165"/>
      <c r="P149" s="165"/>
      <c r="Q149" s="134"/>
      <c r="R149" s="12"/>
      <c r="AJ149" s="12"/>
    </row>
    <row r="150" ht="15.75" customHeight="1">
      <c r="B150" s="12"/>
      <c r="C150" s="7"/>
      <c r="E150" s="165"/>
      <c r="F150" s="165"/>
      <c r="G150" s="165"/>
      <c r="H150" s="165"/>
      <c r="I150" s="165"/>
      <c r="J150" s="165"/>
      <c r="K150" s="165"/>
      <c r="L150" s="165"/>
      <c r="M150" s="165"/>
      <c r="N150" s="165"/>
      <c r="O150" s="165"/>
      <c r="P150" s="165"/>
      <c r="Q150" s="134"/>
      <c r="R150" s="12"/>
      <c r="AJ150" s="12"/>
    </row>
    <row r="151" ht="15.75" customHeight="1">
      <c r="B151" s="12"/>
      <c r="C151" s="7"/>
      <c r="E151" s="165"/>
      <c r="F151" s="165"/>
      <c r="G151" s="165"/>
      <c r="H151" s="165"/>
      <c r="I151" s="165"/>
      <c r="J151" s="165"/>
      <c r="K151" s="165"/>
      <c r="L151" s="165"/>
      <c r="M151" s="165"/>
      <c r="N151" s="165"/>
      <c r="O151" s="165"/>
      <c r="P151" s="165"/>
      <c r="Q151" s="134"/>
      <c r="R151" s="12"/>
      <c r="AJ151" s="12"/>
    </row>
    <row r="152" ht="15.75" customHeight="1">
      <c r="B152" s="12"/>
      <c r="C152" s="7"/>
      <c r="E152" s="165"/>
      <c r="F152" s="165"/>
      <c r="G152" s="165"/>
      <c r="H152" s="165"/>
      <c r="I152" s="165"/>
      <c r="J152" s="165"/>
      <c r="K152" s="165"/>
      <c r="L152" s="165"/>
      <c r="M152" s="165"/>
      <c r="N152" s="165"/>
      <c r="O152" s="165"/>
      <c r="P152" s="165"/>
      <c r="Q152" s="134"/>
      <c r="R152" s="12"/>
      <c r="AJ152" s="12"/>
    </row>
    <row r="153" ht="15.75" customHeight="1">
      <c r="B153" s="12"/>
      <c r="C153" s="7"/>
      <c r="E153" s="165"/>
      <c r="F153" s="165"/>
      <c r="G153" s="165"/>
      <c r="H153" s="165"/>
      <c r="I153" s="165"/>
      <c r="J153" s="165"/>
      <c r="K153" s="165"/>
      <c r="L153" s="165"/>
      <c r="M153" s="165"/>
      <c r="N153" s="165"/>
      <c r="O153" s="165"/>
      <c r="P153" s="165"/>
      <c r="Q153" s="134"/>
      <c r="R153" s="12"/>
      <c r="AJ153" s="12"/>
    </row>
    <row r="154" ht="15.75" customHeight="1">
      <c r="B154" s="12"/>
      <c r="C154" s="7"/>
      <c r="E154" s="165"/>
      <c r="F154" s="165"/>
      <c r="G154" s="165"/>
      <c r="H154" s="165"/>
      <c r="I154" s="165"/>
      <c r="J154" s="165"/>
      <c r="K154" s="165"/>
      <c r="L154" s="165"/>
      <c r="M154" s="165"/>
      <c r="N154" s="165"/>
      <c r="O154" s="165"/>
      <c r="P154" s="165"/>
      <c r="Q154" s="134"/>
      <c r="R154" s="12"/>
      <c r="AJ154" s="12"/>
    </row>
    <row r="155" ht="15.75" customHeight="1">
      <c r="B155" s="12"/>
      <c r="C155" s="7"/>
      <c r="E155" s="165"/>
      <c r="F155" s="165"/>
      <c r="G155" s="165"/>
      <c r="H155" s="165"/>
      <c r="I155" s="165"/>
      <c r="J155" s="165"/>
      <c r="K155" s="165"/>
      <c r="L155" s="165"/>
      <c r="M155" s="165"/>
      <c r="N155" s="165"/>
      <c r="O155" s="165"/>
      <c r="P155" s="165"/>
      <c r="Q155" s="134"/>
      <c r="R155" s="12"/>
      <c r="AJ155" s="12"/>
    </row>
    <row r="156" ht="15.75" customHeight="1">
      <c r="B156" s="12"/>
      <c r="C156" s="7"/>
      <c r="E156" s="165"/>
      <c r="F156" s="165"/>
      <c r="G156" s="165"/>
      <c r="H156" s="165"/>
      <c r="I156" s="165"/>
      <c r="J156" s="165"/>
      <c r="K156" s="165"/>
      <c r="L156" s="165"/>
      <c r="M156" s="165"/>
      <c r="N156" s="165"/>
      <c r="O156" s="165"/>
      <c r="P156" s="165"/>
      <c r="Q156" s="134"/>
      <c r="R156" s="12"/>
      <c r="AJ156" s="12"/>
    </row>
    <row r="157" ht="15.75" customHeight="1">
      <c r="B157" s="12"/>
      <c r="C157" s="7"/>
      <c r="E157" s="165"/>
      <c r="F157" s="165"/>
      <c r="G157" s="165"/>
      <c r="H157" s="165"/>
      <c r="I157" s="165"/>
      <c r="J157" s="165"/>
      <c r="K157" s="165"/>
      <c r="L157" s="165"/>
      <c r="M157" s="165"/>
      <c r="N157" s="165"/>
      <c r="O157" s="165"/>
      <c r="P157" s="165"/>
      <c r="Q157" s="134"/>
      <c r="R157" s="12"/>
      <c r="AJ157" s="12"/>
    </row>
    <row r="158" ht="15.75" customHeight="1">
      <c r="B158" s="12"/>
      <c r="C158" s="7"/>
      <c r="E158" s="165"/>
      <c r="F158" s="165"/>
      <c r="G158" s="165"/>
      <c r="H158" s="165"/>
      <c r="I158" s="165"/>
      <c r="J158" s="165"/>
      <c r="K158" s="165"/>
      <c r="L158" s="165"/>
      <c r="M158" s="165"/>
      <c r="N158" s="165"/>
      <c r="O158" s="165"/>
      <c r="P158" s="165"/>
      <c r="Q158" s="134"/>
      <c r="R158" s="12"/>
      <c r="AJ158" s="12"/>
    </row>
    <row r="159" ht="15.75" customHeight="1">
      <c r="B159" s="12"/>
      <c r="C159" s="7"/>
      <c r="E159" s="165"/>
      <c r="F159" s="165"/>
      <c r="G159" s="165"/>
      <c r="H159" s="165"/>
      <c r="I159" s="165"/>
      <c r="J159" s="165"/>
      <c r="K159" s="165"/>
      <c r="L159" s="165"/>
      <c r="M159" s="165"/>
      <c r="N159" s="165"/>
      <c r="O159" s="165"/>
      <c r="P159" s="165"/>
      <c r="Q159" s="134"/>
      <c r="R159" s="12"/>
      <c r="AJ159" s="12"/>
    </row>
    <row r="160" ht="15.75" customHeight="1">
      <c r="B160" s="12"/>
      <c r="C160" s="7"/>
      <c r="E160" s="165"/>
      <c r="F160" s="165"/>
      <c r="G160" s="165"/>
      <c r="H160" s="165"/>
      <c r="I160" s="165"/>
      <c r="J160" s="165"/>
      <c r="K160" s="165"/>
      <c r="L160" s="165"/>
      <c r="M160" s="165"/>
      <c r="N160" s="165"/>
      <c r="O160" s="165"/>
      <c r="P160" s="165"/>
      <c r="Q160" s="134"/>
      <c r="R160" s="12"/>
      <c r="AJ160" s="12"/>
    </row>
    <row r="161" ht="15.75" customHeight="1">
      <c r="B161" s="12"/>
      <c r="C161" s="7"/>
      <c r="E161" s="165"/>
      <c r="F161" s="165"/>
      <c r="G161" s="165"/>
      <c r="H161" s="165"/>
      <c r="I161" s="165"/>
      <c r="J161" s="165"/>
      <c r="K161" s="165"/>
      <c r="L161" s="165"/>
      <c r="M161" s="165"/>
      <c r="N161" s="165"/>
      <c r="O161" s="165"/>
      <c r="P161" s="165"/>
      <c r="Q161" s="134"/>
      <c r="R161" s="12"/>
      <c r="AJ161" s="12"/>
    </row>
    <row r="162" ht="15.75" customHeight="1">
      <c r="B162" s="12"/>
      <c r="C162" s="7"/>
      <c r="E162" s="165"/>
      <c r="F162" s="165"/>
      <c r="G162" s="165"/>
      <c r="H162" s="165"/>
      <c r="I162" s="165"/>
      <c r="J162" s="165"/>
      <c r="K162" s="165"/>
      <c r="L162" s="165"/>
      <c r="M162" s="165"/>
      <c r="N162" s="165"/>
      <c r="O162" s="165"/>
      <c r="P162" s="165"/>
      <c r="Q162" s="134"/>
      <c r="R162" s="12"/>
      <c r="AJ162" s="12"/>
    </row>
    <row r="163" ht="15.75" customHeight="1">
      <c r="B163" s="12"/>
      <c r="C163" s="7"/>
      <c r="E163" s="165"/>
      <c r="F163" s="165"/>
      <c r="G163" s="165"/>
      <c r="H163" s="165"/>
      <c r="I163" s="165"/>
      <c r="J163" s="165"/>
      <c r="K163" s="165"/>
      <c r="L163" s="165"/>
      <c r="M163" s="165"/>
      <c r="N163" s="165"/>
      <c r="O163" s="165"/>
      <c r="P163" s="165"/>
      <c r="Q163" s="134"/>
      <c r="R163" s="12"/>
      <c r="AJ163" s="12"/>
    </row>
    <row r="164" ht="15.75" customHeight="1">
      <c r="B164" s="12"/>
      <c r="C164" s="7"/>
      <c r="E164" s="165"/>
      <c r="F164" s="165"/>
      <c r="G164" s="165"/>
      <c r="H164" s="165"/>
      <c r="I164" s="165"/>
      <c r="J164" s="165"/>
      <c r="K164" s="165"/>
      <c r="L164" s="165"/>
      <c r="M164" s="165"/>
      <c r="N164" s="165"/>
      <c r="O164" s="165"/>
      <c r="P164" s="165"/>
      <c r="Q164" s="134"/>
      <c r="R164" s="12"/>
      <c r="AJ164" s="12"/>
    </row>
    <row r="165" ht="15.75" customHeight="1">
      <c r="B165" s="12"/>
      <c r="C165" s="7"/>
      <c r="E165" s="165"/>
      <c r="F165" s="165"/>
      <c r="G165" s="165"/>
      <c r="H165" s="165"/>
      <c r="I165" s="165"/>
      <c r="J165" s="165"/>
      <c r="K165" s="165"/>
      <c r="L165" s="165"/>
      <c r="M165" s="165"/>
      <c r="N165" s="165"/>
      <c r="O165" s="165"/>
      <c r="P165" s="165"/>
      <c r="Q165" s="134"/>
      <c r="R165" s="12"/>
      <c r="AJ165" s="12"/>
    </row>
    <row r="166" ht="15.75" customHeight="1">
      <c r="B166" s="12"/>
      <c r="C166" s="7"/>
      <c r="E166" s="165"/>
      <c r="F166" s="165"/>
      <c r="G166" s="165"/>
      <c r="H166" s="165"/>
      <c r="I166" s="165"/>
      <c r="J166" s="165"/>
      <c r="K166" s="165"/>
      <c r="L166" s="165"/>
      <c r="M166" s="165"/>
      <c r="N166" s="165"/>
      <c r="O166" s="165"/>
      <c r="P166" s="165"/>
      <c r="Q166" s="134"/>
      <c r="R166" s="12"/>
      <c r="AJ166" s="12"/>
    </row>
    <row r="167" ht="15.75" customHeight="1">
      <c r="B167" s="12"/>
      <c r="C167" s="7"/>
      <c r="E167" s="165"/>
      <c r="F167" s="165"/>
      <c r="G167" s="165"/>
      <c r="H167" s="165"/>
      <c r="I167" s="165"/>
      <c r="J167" s="165"/>
      <c r="K167" s="165"/>
      <c r="L167" s="165"/>
      <c r="M167" s="165"/>
      <c r="N167" s="165"/>
      <c r="O167" s="165"/>
      <c r="P167" s="165"/>
      <c r="Q167" s="134"/>
      <c r="R167" s="12"/>
      <c r="AJ167" s="12"/>
    </row>
    <row r="168" ht="15.75" customHeight="1">
      <c r="B168" s="12"/>
      <c r="C168" s="7"/>
      <c r="E168" s="165"/>
      <c r="F168" s="165"/>
      <c r="G168" s="165"/>
      <c r="H168" s="165"/>
      <c r="I168" s="165"/>
      <c r="J168" s="165"/>
      <c r="K168" s="165"/>
      <c r="L168" s="165"/>
      <c r="M168" s="165"/>
      <c r="N168" s="165"/>
      <c r="O168" s="165"/>
      <c r="P168" s="165"/>
      <c r="Q168" s="134"/>
      <c r="R168" s="12"/>
      <c r="AJ168" s="12"/>
    </row>
    <row r="169" ht="15.75" customHeight="1">
      <c r="B169" s="12"/>
      <c r="C169" s="7"/>
      <c r="E169" s="165"/>
      <c r="F169" s="165"/>
      <c r="G169" s="165"/>
      <c r="H169" s="165"/>
      <c r="I169" s="165"/>
      <c r="J169" s="165"/>
      <c r="K169" s="165"/>
      <c r="L169" s="165"/>
      <c r="M169" s="165"/>
      <c r="N169" s="165"/>
      <c r="O169" s="165"/>
      <c r="P169" s="165"/>
      <c r="Q169" s="134"/>
      <c r="R169" s="12"/>
      <c r="AJ169" s="12"/>
    </row>
    <row r="170" ht="15.75" customHeight="1">
      <c r="B170" s="12"/>
      <c r="C170" s="7"/>
      <c r="E170" s="165"/>
      <c r="F170" s="165"/>
      <c r="G170" s="165"/>
      <c r="H170" s="165"/>
      <c r="I170" s="165"/>
      <c r="J170" s="165"/>
      <c r="K170" s="165"/>
      <c r="L170" s="165"/>
      <c r="M170" s="165"/>
      <c r="N170" s="165"/>
      <c r="O170" s="165"/>
      <c r="P170" s="165"/>
      <c r="Q170" s="134"/>
      <c r="R170" s="12"/>
      <c r="AJ170" s="12"/>
    </row>
    <row r="171" ht="15.75" customHeight="1">
      <c r="B171" s="12"/>
      <c r="C171" s="7"/>
      <c r="E171" s="165"/>
      <c r="F171" s="165"/>
      <c r="G171" s="165"/>
      <c r="H171" s="165"/>
      <c r="I171" s="165"/>
      <c r="J171" s="165"/>
      <c r="K171" s="165"/>
      <c r="L171" s="165"/>
      <c r="M171" s="165"/>
      <c r="N171" s="165"/>
      <c r="O171" s="165"/>
      <c r="P171" s="165"/>
      <c r="Q171" s="134"/>
      <c r="R171" s="12"/>
      <c r="AJ171" s="12"/>
    </row>
    <row r="172" ht="15.75" customHeight="1">
      <c r="B172" s="12"/>
      <c r="C172" s="7"/>
      <c r="E172" s="165"/>
      <c r="F172" s="165"/>
      <c r="G172" s="165"/>
      <c r="H172" s="165"/>
      <c r="I172" s="165"/>
      <c r="J172" s="165"/>
      <c r="K172" s="165"/>
      <c r="L172" s="165"/>
      <c r="M172" s="165"/>
      <c r="N172" s="165"/>
      <c r="O172" s="165"/>
      <c r="P172" s="165"/>
      <c r="Q172" s="134"/>
      <c r="R172" s="12"/>
      <c r="AJ172" s="12"/>
    </row>
    <row r="173" ht="15.75" customHeight="1">
      <c r="B173" s="12"/>
      <c r="C173" s="7"/>
      <c r="E173" s="165"/>
      <c r="F173" s="165"/>
      <c r="G173" s="165"/>
      <c r="H173" s="165"/>
      <c r="I173" s="165"/>
      <c r="J173" s="165"/>
      <c r="K173" s="165"/>
      <c r="L173" s="165"/>
      <c r="M173" s="165"/>
      <c r="N173" s="165"/>
      <c r="O173" s="165"/>
      <c r="P173" s="165"/>
      <c r="Q173" s="134"/>
      <c r="R173" s="12"/>
      <c r="AJ173" s="12"/>
    </row>
    <row r="174" ht="15.75" customHeight="1">
      <c r="B174" s="12"/>
      <c r="C174" s="7"/>
      <c r="E174" s="165"/>
      <c r="F174" s="165"/>
      <c r="G174" s="165"/>
      <c r="H174" s="165"/>
      <c r="I174" s="165"/>
      <c r="J174" s="165"/>
      <c r="K174" s="165"/>
      <c r="L174" s="165"/>
      <c r="M174" s="165"/>
      <c r="N174" s="165"/>
      <c r="O174" s="165"/>
      <c r="P174" s="165"/>
      <c r="Q174" s="134"/>
      <c r="R174" s="12"/>
      <c r="AJ174" s="12"/>
    </row>
    <row r="175" ht="15.75" customHeight="1">
      <c r="B175" s="12"/>
      <c r="C175" s="7"/>
      <c r="E175" s="165"/>
      <c r="F175" s="165"/>
      <c r="G175" s="165"/>
      <c r="H175" s="165"/>
      <c r="I175" s="165"/>
      <c r="J175" s="165"/>
      <c r="K175" s="165"/>
      <c r="L175" s="165"/>
      <c r="M175" s="165"/>
      <c r="N175" s="165"/>
      <c r="O175" s="165"/>
      <c r="P175" s="165"/>
      <c r="Q175" s="134"/>
      <c r="R175" s="12"/>
      <c r="AJ175" s="12"/>
    </row>
    <row r="176" ht="15.75" customHeight="1">
      <c r="B176" s="12"/>
      <c r="C176" s="7"/>
      <c r="E176" s="165"/>
      <c r="F176" s="165"/>
      <c r="G176" s="165"/>
      <c r="H176" s="165"/>
      <c r="I176" s="165"/>
      <c r="J176" s="165"/>
      <c r="K176" s="165"/>
      <c r="L176" s="165"/>
      <c r="M176" s="165"/>
      <c r="N176" s="165"/>
      <c r="O176" s="165"/>
      <c r="P176" s="165"/>
      <c r="Q176" s="134"/>
      <c r="R176" s="12"/>
      <c r="AJ176" s="12"/>
    </row>
    <row r="177" ht="15.75" customHeight="1">
      <c r="B177" s="12"/>
      <c r="C177" s="7"/>
      <c r="E177" s="165"/>
      <c r="F177" s="165"/>
      <c r="G177" s="165"/>
      <c r="H177" s="165"/>
      <c r="I177" s="165"/>
      <c r="J177" s="165"/>
      <c r="K177" s="165"/>
      <c r="L177" s="165"/>
      <c r="M177" s="165"/>
      <c r="N177" s="165"/>
      <c r="O177" s="165"/>
      <c r="P177" s="165"/>
      <c r="Q177" s="134"/>
      <c r="R177" s="12"/>
      <c r="AJ177" s="12"/>
    </row>
    <row r="178" ht="15.75" customHeight="1">
      <c r="B178" s="12"/>
      <c r="C178" s="7"/>
      <c r="E178" s="165"/>
      <c r="F178" s="165"/>
      <c r="G178" s="165"/>
      <c r="H178" s="165"/>
      <c r="I178" s="165"/>
      <c r="J178" s="165"/>
      <c r="K178" s="165"/>
      <c r="L178" s="165"/>
      <c r="M178" s="165"/>
      <c r="N178" s="165"/>
      <c r="O178" s="165"/>
      <c r="P178" s="165"/>
      <c r="Q178" s="134"/>
      <c r="R178" s="12"/>
      <c r="AJ178" s="12"/>
    </row>
    <row r="179" ht="15.75" customHeight="1">
      <c r="B179" s="12"/>
      <c r="C179" s="7"/>
      <c r="E179" s="165"/>
      <c r="F179" s="165"/>
      <c r="G179" s="165"/>
      <c r="H179" s="165"/>
      <c r="I179" s="165"/>
      <c r="J179" s="165"/>
      <c r="K179" s="165"/>
      <c r="L179" s="165"/>
      <c r="M179" s="165"/>
      <c r="N179" s="165"/>
      <c r="O179" s="165"/>
      <c r="P179" s="165"/>
      <c r="Q179" s="134"/>
      <c r="R179" s="12"/>
      <c r="AJ179" s="12"/>
    </row>
    <row r="180" ht="15.75" customHeight="1">
      <c r="B180" s="12"/>
      <c r="C180" s="7"/>
      <c r="E180" s="165"/>
      <c r="F180" s="165"/>
      <c r="G180" s="165"/>
      <c r="H180" s="165"/>
      <c r="I180" s="165"/>
      <c r="J180" s="165"/>
      <c r="K180" s="165"/>
      <c r="L180" s="165"/>
      <c r="M180" s="165"/>
      <c r="N180" s="165"/>
      <c r="O180" s="165"/>
      <c r="P180" s="165"/>
      <c r="Q180" s="134"/>
      <c r="R180" s="12"/>
      <c r="AJ180" s="12"/>
    </row>
    <row r="181" ht="15.75" customHeight="1">
      <c r="B181" s="12"/>
      <c r="C181" s="7"/>
      <c r="E181" s="165"/>
      <c r="F181" s="165"/>
      <c r="G181" s="165"/>
      <c r="H181" s="165"/>
      <c r="I181" s="165"/>
      <c r="J181" s="165"/>
      <c r="K181" s="165"/>
      <c r="L181" s="165"/>
      <c r="M181" s="165"/>
      <c r="N181" s="165"/>
      <c r="O181" s="165"/>
      <c r="P181" s="165"/>
      <c r="Q181" s="134"/>
      <c r="R181" s="12"/>
      <c r="AJ181" s="12"/>
    </row>
    <row r="182" ht="15.75" customHeight="1">
      <c r="B182" s="12"/>
      <c r="C182" s="7"/>
      <c r="E182" s="165"/>
      <c r="F182" s="165"/>
      <c r="G182" s="165"/>
      <c r="H182" s="165"/>
      <c r="I182" s="165"/>
      <c r="J182" s="165"/>
      <c r="K182" s="165"/>
      <c r="L182" s="165"/>
      <c r="M182" s="165"/>
      <c r="N182" s="165"/>
      <c r="O182" s="165"/>
      <c r="P182" s="165"/>
      <c r="Q182" s="134"/>
      <c r="R182" s="12"/>
      <c r="AJ182" s="12"/>
    </row>
    <row r="183" ht="15.75" customHeight="1">
      <c r="B183" s="12"/>
      <c r="C183" s="7"/>
      <c r="E183" s="165"/>
      <c r="F183" s="165"/>
      <c r="G183" s="165"/>
      <c r="H183" s="165"/>
      <c r="I183" s="165"/>
      <c r="J183" s="165"/>
      <c r="K183" s="165"/>
      <c r="L183" s="165"/>
      <c r="M183" s="165"/>
      <c r="N183" s="165"/>
      <c r="O183" s="165"/>
      <c r="P183" s="165"/>
      <c r="Q183" s="134"/>
      <c r="R183" s="12"/>
      <c r="AJ183" s="12"/>
    </row>
    <row r="184" ht="15.75" customHeight="1">
      <c r="B184" s="12"/>
      <c r="C184" s="7"/>
      <c r="E184" s="165"/>
      <c r="F184" s="165"/>
      <c r="G184" s="165"/>
      <c r="H184" s="165"/>
      <c r="I184" s="165"/>
      <c r="J184" s="165"/>
      <c r="K184" s="165"/>
      <c r="L184" s="165"/>
      <c r="M184" s="165"/>
      <c r="N184" s="165"/>
      <c r="O184" s="165"/>
      <c r="P184" s="165"/>
      <c r="Q184" s="134"/>
      <c r="R184" s="12"/>
      <c r="AJ184" s="12"/>
    </row>
    <row r="185" ht="15.75" customHeight="1">
      <c r="B185" s="12"/>
      <c r="C185" s="7"/>
      <c r="E185" s="165"/>
      <c r="F185" s="165"/>
      <c r="G185" s="165"/>
      <c r="H185" s="165"/>
      <c r="I185" s="165"/>
      <c r="J185" s="165"/>
      <c r="K185" s="165"/>
      <c r="L185" s="165"/>
      <c r="M185" s="165"/>
      <c r="N185" s="165"/>
      <c r="O185" s="165"/>
      <c r="P185" s="165"/>
      <c r="Q185" s="134"/>
      <c r="R185" s="12"/>
      <c r="AJ185" s="12"/>
    </row>
    <row r="186" ht="15.75" customHeight="1">
      <c r="B186" s="12"/>
      <c r="C186" s="7"/>
      <c r="E186" s="165"/>
      <c r="F186" s="165"/>
      <c r="G186" s="165"/>
      <c r="H186" s="165"/>
      <c r="I186" s="165"/>
      <c r="J186" s="165"/>
      <c r="K186" s="165"/>
      <c r="L186" s="165"/>
      <c r="M186" s="165"/>
      <c r="N186" s="165"/>
      <c r="O186" s="165"/>
      <c r="P186" s="165"/>
      <c r="Q186" s="134"/>
      <c r="R186" s="12"/>
      <c r="AJ186" s="12"/>
    </row>
    <row r="187" ht="15.75" customHeight="1">
      <c r="B187" s="12"/>
      <c r="C187" s="7"/>
      <c r="E187" s="165"/>
      <c r="F187" s="165"/>
      <c r="G187" s="165"/>
      <c r="H187" s="165"/>
      <c r="I187" s="165"/>
      <c r="J187" s="165"/>
      <c r="K187" s="165"/>
      <c r="L187" s="165"/>
      <c r="M187" s="165"/>
      <c r="N187" s="165"/>
      <c r="O187" s="165"/>
      <c r="P187" s="165"/>
      <c r="Q187" s="134"/>
      <c r="R187" s="12"/>
      <c r="AJ187" s="12"/>
    </row>
    <row r="188" ht="15.75" customHeight="1">
      <c r="B188" s="12"/>
      <c r="C188" s="7"/>
      <c r="E188" s="165"/>
      <c r="F188" s="165"/>
      <c r="G188" s="165"/>
      <c r="H188" s="165"/>
      <c r="I188" s="165"/>
      <c r="J188" s="165"/>
      <c r="K188" s="165"/>
      <c r="L188" s="165"/>
      <c r="M188" s="165"/>
      <c r="N188" s="165"/>
      <c r="O188" s="165"/>
      <c r="P188" s="165"/>
      <c r="Q188" s="134"/>
      <c r="R188" s="12"/>
      <c r="AJ188" s="12"/>
    </row>
    <row r="189" ht="15.75" customHeight="1">
      <c r="B189" s="12"/>
      <c r="C189" s="7"/>
      <c r="E189" s="165"/>
      <c r="F189" s="165"/>
      <c r="G189" s="165"/>
      <c r="H189" s="165"/>
      <c r="I189" s="165"/>
      <c r="J189" s="165"/>
      <c r="K189" s="165"/>
      <c r="L189" s="165"/>
      <c r="M189" s="165"/>
      <c r="N189" s="165"/>
      <c r="O189" s="165"/>
      <c r="P189" s="165"/>
      <c r="Q189" s="134"/>
      <c r="R189" s="12"/>
      <c r="AJ189" s="12"/>
    </row>
    <row r="190" ht="15.75" customHeight="1">
      <c r="B190" s="12"/>
      <c r="C190" s="7"/>
      <c r="E190" s="165"/>
      <c r="F190" s="165"/>
      <c r="G190" s="165"/>
      <c r="H190" s="165"/>
      <c r="I190" s="165"/>
      <c r="J190" s="165"/>
      <c r="K190" s="165"/>
      <c r="L190" s="165"/>
      <c r="M190" s="165"/>
      <c r="N190" s="165"/>
      <c r="O190" s="165"/>
      <c r="P190" s="165"/>
      <c r="Q190" s="134"/>
      <c r="R190" s="12"/>
      <c r="AJ190" s="12"/>
    </row>
    <row r="191" ht="15.75" customHeight="1">
      <c r="B191" s="12"/>
      <c r="C191" s="7"/>
      <c r="E191" s="165"/>
      <c r="F191" s="165"/>
      <c r="G191" s="165"/>
      <c r="H191" s="165"/>
      <c r="I191" s="165"/>
      <c r="J191" s="165"/>
      <c r="K191" s="165"/>
      <c r="L191" s="165"/>
      <c r="M191" s="165"/>
      <c r="N191" s="165"/>
      <c r="O191" s="165"/>
      <c r="P191" s="165"/>
      <c r="Q191" s="134"/>
      <c r="R191" s="12"/>
      <c r="AJ191" s="12"/>
    </row>
    <row r="192" ht="15.75" customHeight="1">
      <c r="B192" s="12"/>
      <c r="C192" s="7"/>
      <c r="E192" s="165"/>
      <c r="F192" s="165"/>
      <c r="G192" s="165"/>
      <c r="H192" s="165"/>
      <c r="I192" s="165"/>
      <c r="J192" s="165"/>
      <c r="K192" s="165"/>
      <c r="L192" s="165"/>
      <c r="M192" s="165"/>
      <c r="N192" s="165"/>
      <c r="O192" s="165"/>
      <c r="P192" s="165"/>
      <c r="Q192" s="134"/>
      <c r="R192" s="12"/>
      <c r="AJ192" s="12"/>
    </row>
    <row r="193" ht="15.75" customHeight="1">
      <c r="B193" s="12"/>
      <c r="C193" s="7"/>
      <c r="E193" s="165"/>
      <c r="F193" s="165"/>
      <c r="G193" s="165"/>
      <c r="H193" s="165"/>
      <c r="I193" s="165"/>
      <c r="J193" s="165"/>
      <c r="K193" s="165"/>
      <c r="L193" s="165"/>
      <c r="M193" s="165"/>
      <c r="N193" s="165"/>
      <c r="O193" s="165"/>
      <c r="P193" s="165"/>
      <c r="Q193" s="134"/>
      <c r="R193" s="12"/>
      <c r="AJ193" s="12"/>
    </row>
    <row r="194" ht="15.75" customHeight="1">
      <c r="B194" s="12"/>
      <c r="C194" s="7"/>
      <c r="E194" s="165"/>
      <c r="F194" s="165"/>
      <c r="G194" s="165"/>
      <c r="H194" s="165"/>
      <c r="I194" s="165"/>
      <c r="J194" s="165"/>
      <c r="K194" s="165"/>
      <c r="L194" s="165"/>
      <c r="M194" s="165"/>
      <c r="N194" s="165"/>
      <c r="O194" s="165"/>
      <c r="P194" s="165"/>
      <c r="Q194" s="134"/>
      <c r="R194" s="12"/>
      <c r="AJ194" s="12"/>
    </row>
    <row r="195" ht="15.75" customHeight="1">
      <c r="B195" s="12"/>
      <c r="C195" s="7"/>
      <c r="E195" s="165"/>
      <c r="F195" s="165"/>
      <c r="G195" s="165"/>
      <c r="H195" s="165"/>
      <c r="I195" s="165"/>
      <c r="J195" s="165"/>
      <c r="K195" s="165"/>
      <c r="L195" s="165"/>
      <c r="M195" s="165"/>
      <c r="N195" s="165"/>
      <c r="O195" s="165"/>
      <c r="P195" s="165"/>
      <c r="Q195" s="134"/>
      <c r="R195" s="12"/>
      <c r="AJ195" s="12"/>
    </row>
    <row r="196" ht="15.75" customHeight="1">
      <c r="B196" s="12"/>
      <c r="C196" s="7"/>
      <c r="E196" s="165"/>
      <c r="F196" s="165"/>
      <c r="G196" s="165"/>
      <c r="H196" s="165"/>
      <c r="I196" s="165"/>
      <c r="J196" s="165"/>
      <c r="K196" s="165"/>
      <c r="L196" s="165"/>
      <c r="M196" s="165"/>
      <c r="N196" s="165"/>
      <c r="O196" s="165"/>
      <c r="P196" s="165"/>
      <c r="Q196" s="134"/>
      <c r="R196" s="12"/>
      <c r="AJ196" s="12"/>
    </row>
    <row r="197" ht="15.75" customHeight="1">
      <c r="B197" s="12"/>
      <c r="C197" s="7"/>
      <c r="E197" s="165"/>
      <c r="F197" s="165"/>
      <c r="G197" s="165"/>
      <c r="H197" s="165"/>
      <c r="I197" s="165"/>
      <c r="J197" s="165"/>
      <c r="K197" s="165"/>
      <c r="L197" s="165"/>
      <c r="M197" s="165"/>
      <c r="N197" s="165"/>
      <c r="O197" s="165"/>
      <c r="P197" s="165"/>
      <c r="Q197" s="134"/>
      <c r="R197" s="12"/>
      <c r="AJ197" s="12"/>
    </row>
    <row r="198" ht="15.75" customHeight="1">
      <c r="B198" s="12"/>
      <c r="C198" s="7"/>
      <c r="E198" s="165"/>
      <c r="F198" s="165"/>
      <c r="G198" s="165"/>
      <c r="H198" s="165"/>
      <c r="I198" s="165"/>
      <c r="J198" s="165"/>
      <c r="K198" s="165"/>
      <c r="L198" s="165"/>
      <c r="M198" s="165"/>
      <c r="N198" s="165"/>
      <c r="O198" s="165"/>
      <c r="P198" s="165"/>
      <c r="Q198" s="134"/>
      <c r="R198" s="12"/>
      <c r="AJ198" s="12"/>
    </row>
    <row r="199" ht="15.75" customHeight="1">
      <c r="B199" s="12"/>
      <c r="C199" s="7"/>
      <c r="E199" s="165"/>
      <c r="F199" s="165"/>
      <c r="G199" s="165"/>
      <c r="H199" s="165"/>
      <c r="I199" s="165"/>
      <c r="J199" s="165"/>
      <c r="K199" s="165"/>
      <c r="L199" s="165"/>
      <c r="M199" s="165"/>
      <c r="N199" s="165"/>
      <c r="O199" s="165"/>
      <c r="P199" s="165"/>
      <c r="Q199" s="134"/>
      <c r="R199" s="12"/>
      <c r="AJ199" s="12"/>
    </row>
    <row r="200" ht="15.75" customHeight="1">
      <c r="B200" s="12"/>
      <c r="C200" s="7"/>
      <c r="E200" s="165"/>
      <c r="F200" s="165"/>
      <c r="G200" s="165"/>
      <c r="H200" s="165"/>
      <c r="I200" s="165"/>
      <c r="J200" s="165"/>
      <c r="K200" s="165"/>
      <c r="L200" s="165"/>
      <c r="M200" s="165"/>
      <c r="N200" s="165"/>
      <c r="O200" s="165"/>
      <c r="P200" s="165"/>
      <c r="Q200" s="134"/>
      <c r="R200" s="12"/>
      <c r="AJ200" s="12"/>
    </row>
    <row r="201" ht="15.75" customHeight="1">
      <c r="B201" s="12"/>
      <c r="C201" s="7"/>
      <c r="E201" s="165"/>
      <c r="F201" s="165"/>
      <c r="G201" s="165"/>
      <c r="H201" s="165"/>
      <c r="I201" s="165"/>
      <c r="J201" s="165"/>
      <c r="K201" s="165"/>
      <c r="L201" s="165"/>
      <c r="M201" s="165"/>
      <c r="N201" s="165"/>
      <c r="O201" s="165"/>
      <c r="P201" s="165"/>
      <c r="Q201" s="134"/>
      <c r="R201" s="12"/>
      <c r="AJ201" s="12"/>
    </row>
    <row r="202" ht="15.75" customHeight="1">
      <c r="B202" s="12"/>
      <c r="C202" s="7"/>
      <c r="E202" s="165"/>
      <c r="F202" s="165"/>
      <c r="G202" s="165"/>
      <c r="H202" s="165"/>
      <c r="I202" s="165"/>
      <c r="J202" s="165"/>
      <c r="K202" s="165"/>
      <c r="L202" s="165"/>
      <c r="M202" s="165"/>
      <c r="N202" s="165"/>
      <c r="O202" s="165"/>
      <c r="P202" s="165"/>
      <c r="Q202" s="134"/>
      <c r="R202" s="12"/>
      <c r="AJ202" s="12"/>
    </row>
    <row r="203" ht="15.75" customHeight="1">
      <c r="B203" s="12"/>
      <c r="C203" s="7"/>
      <c r="E203" s="165"/>
      <c r="F203" s="165"/>
      <c r="G203" s="165"/>
      <c r="H203" s="165"/>
      <c r="I203" s="165"/>
      <c r="J203" s="165"/>
      <c r="K203" s="165"/>
      <c r="L203" s="165"/>
      <c r="M203" s="165"/>
      <c r="N203" s="165"/>
      <c r="O203" s="165"/>
      <c r="P203" s="165"/>
      <c r="Q203" s="134"/>
      <c r="R203" s="12"/>
      <c r="AJ203" s="12"/>
    </row>
    <row r="204" ht="15.75" customHeight="1">
      <c r="B204" s="12"/>
      <c r="C204" s="7"/>
      <c r="E204" s="165"/>
      <c r="F204" s="165"/>
      <c r="G204" s="165"/>
      <c r="H204" s="165"/>
      <c r="I204" s="165"/>
      <c r="J204" s="165"/>
      <c r="K204" s="165"/>
      <c r="L204" s="165"/>
      <c r="M204" s="165"/>
      <c r="N204" s="165"/>
      <c r="O204" s="165"/>
      <c r="P204" s="165"/>
      <c r="Q204" s="134"/>
      <c r="R204" s="12"/>
      <c r="AJ204" s="12"/>
    </row>
    <row r="205" ht="15.75" customHeight="1">
      <c r="B205" s="12"/>
      <c r="C205" s="7"/>
      <c r="E205" s="165"/>
      <c r="F205" s="165"/>
      <c r="G205" s="165"/>
      <c r="H205" s="165"/>
      <c r="I205" s="165"/>
      <c r="J205" s="165"/>
      <c r="K205" s="165"/>
      <c r="L205" s="165"/>
      <c r="M205" s="165"/>
      <c r="N205" s="165"/>
      <c r="O205" s="165"/>
      <c r="P205" s="165"/>
      <c r="Q205" s="134"/>
      <c r="R205" s="12"/>
      <c r="AJ205" s="12"/>
    </row>
    <row r="206" ht="15.75" customHeight="1">
      <c r="B206" s="12"/>
      <c r="C206" s="7"/>
      <c r="E206" s="165"/>
      <c r="F206" s="165"/>
      <c r="G206" s="165"/>
      <c r="H206" s="165"/>
      <c r="I206" s="165"/>
      <c r="J206" s="165"/>
      <c r="K206" s="165"/>
      <c r="L206" s="165"/>
      <c r="M206" s="165"/>
      <c r="N206" s="165"/>
      <c r="O206" s="165"/>
      <c r="P206" s="165"/>
      <c r="Q206" s="134"/>
      <c r="R206" s="12"/>
      <c r="AJ206" s="12"/>
    </row>
    <row r="207" ht="15.75" customHeight="1">
      <c r="B207" s="12"/>
      <c r="C207" s="7"/>
      <c r="E207" s="165"/>
      <c r="F207" s="165"/>
      <c r="G207" s="165"/>
      <c r="H207" s="165"/>
      <c r="I207" s="165"/>
      <c r="J207" s="165"/>
      <c r="K207" s="165"/>
      <c r="L207" s="165"/>
      <c r="M207" s="165"/>
      <c r="N207" s="165"/>
      <c r="O207" s="165"/>
      <c r="P207" s="165"/>
      <c r="Q207" s="134"/>
      <c r="R207" s="12"/>
      <c r="AJ207" s="12"/>
    </row>
    <row r="208" ht="15.75" customHeight="1">
      <c r="B208" s="12"/>
      <c r="C208" s="7"/>
      <c r="E208" s="165"/>
      <c r="F208" s="165"/>
      <c r="G208" s="165"/>
      <c r="H208" s="165"/>
      <c r="I208" s="165"/>
      <c r="J208" s="165"/>
      <c r="K208" s="165"/>
      <c r="L208" s="165"/>
      <c r="M208" s="165"/>
      <c r="N208" s="165"/>
      <c r="O208" s="165"/>
      <c r="P208" s="165"/>
      <c r="Q208" s="134"/>
      <c r="R208" s="12"/>
      <c r="AJ208" s="12"/>
    </row>
    <row r="209" ht="15.75" customHeight="1">
      <c r="B209" s="12"/>
      <c r="C209" s="7"/>
      <c r="E209" s="165"/>
      <c r="F209" s="165"/>
      <c r="G209" s="165"/>
      <c r="H209" s="165"/>
      <c r="I209" s="165"/>
      <c r="J209" s="165"/>
      <c r="K209" s="165"/>
      <c r="L209" s="165"/>
      <c r="M209" s="165"/>
      <c r="N209" s="165"/>
      <c r="O209" s="165"/>
      <c r="P209" s="165"/>
      <c r="Q209" s="134"/>
      <c r="R209" s="12"/>
      <c r="AJ209" s="12"/>
    </row>
    <row r="210" ht="15.75" customHeight="1">
      <c r="B210" s="12"/>
      <c r="C210" s="7"/>
      <c r="E210" s="165"/>
      <c r="F210" s="165"/>
      <c r="G210" s="165"/>
      <c r="H210" s="165"/>
      <c r="I210" s="165"/>
      <c r="J210" s="165"/>
      <c r="K210" s="165"/>
      <c r="L210" s="165"/>
      <c r="M210" s="165"/>
      <c r="N210" s="165"/>
      <c r="O210" s="165"/>
      <c r="P210" s="165"/>
      <c r="Q210" s="134"/>
      <c r="R210" s="12"/>
      <c r="AJ210" s="12"/>
    </row>
    <row r="211" ht="15.75" customHeight="1">
      <c r="B211" s="12"/>
      <c r="C211" s="7"/>
      <c r="E211" s="165"/>
      <c r="F211" s="165"/>
      <c r="G211" s="165"/>
      <c r="H211" s="165"/>
      <c r="I211" s="165"/>
      <c r="J211" s="165"/>
      <c r="K211" s="165"/>
      <c r="L211" s="165"/>
      <c r="M211" s="165"/>
      <c r="N211" s="165"/>
      <c r="O211" s="165"/>
      <c r="P211" s="165"/>
      <c r="Q211" s="134"/>
      <c r="R211" s="12"/>
      <c r="AJ211" s="12"/>
    </row>
    <row r="212" ht="15.75" customHeight="1">
      <c r="B212" s="12"/>
      <c r="C212" s="7"/>
      <c r="E212" s="165"/>
      <c r="F212" s="165"/>
      <c r="G212" s="165"/>
      <c r="H212" s="165"/>
      <c r="I212" s="165"/>
      <c r="J212" s="165"/>
      <c r="K212" s="165"/>
      <c r="L212" s="165"/>
      <c r="M212" s="165"/>
      <c r="N212" s="165"/>
      <c r="O212" s="165"/>
      <c r="P212" s="165"/>
      <c r="Q212" s="134"/>
      <c r="R212" s="12"/>
      <c r="AJ212" s="12"/>
    </row>
    <row r="213" ht="15.75" customHeight="1">
      <c r="B213" s="12"/>
      <c r="C213" s="7"/>
      <c r="E213" s="165"/>
      <c r="F213" s="165"/>
      <c r="G213" s="165"/>
      <c r="H213" s="165"/>
      <c r="I213" s="165"/>
      <c r="J213" s="165"/>
      <c r="K213" s="165"/>
      <c r="L213" s="165"/>
      <c r="M213" s="165"/>
      <c r="N213" s="165"/>
      <c r="O213" s="165"/>
      <c r="P213" s="165"/>
      <c r="Q213" s="134"/>
      <c r="R213" s="12"/>
      <c r="AJ213" s="12"/>
    </row>
    <row r="214" ht="15.75" customHeight="1">
      <c r="B214" s="12"/>
      <c r="C214" s="7"/>
      <c r="E214" s="165"/>
      <c r="F214" s="165"/>
      <c r="G214" s="165"/>
      <c r="H214" s="165"/>
      <c r="I214" s="165"/>
      <c r="J214" s="165"/>
      <c r="K214" s="165"/>
      <c r="L214" s="165"/>
      <c r="M214" s="165"/>
      <c r="N214" s="165"/>
      <c r="O214" s="165"/>
      <c r="P214" s="165"/>
      <c r="Q214" s="134"/>
      <c r="R214" s="12"/>
      <c r="AJ214" s="12"/>
    </row>
    <row r="215" ht="15.75" customHeight="1">
      <c r="B215" s="12"/>
      <c r="C215" s="7"/>
      <c r="E215" s="165"/>
      <c r="F215" s="165"/>
      <c r="G215" s="165"/>
      <c r="H215" s="165"/>
      <c r="I215" s="165"/>
      <c r="J215" s="165"/>
      <c r="K215" s="165"/>
      <c r="L215" s="165"/>
      <c r="M215" s="165"/>
      <c r="N215" s="165"/>
      <c r="O215" s="165"/>
      <c r="P215" s="165"/>
      <c r="Q215" s="134"/>
      <c r="R215" s="12"/>
      <c r="AJ215" s="12"/>
    </row>
    <row r="216" ht="15.75" customHeight="1">
      <c r="B216" s="12"/>
      <c r="C216" s="7"/>
      <c r="E216" s="165"/>
      <c r="F216" s="165"/>
      <c r="G216" s="165"/>
      <c r="H216" s="165"/>
      <c r="I216" s="165"/>
      <c r="J216" s="165"/>
      <c r="K216" s="165"/>
      <c r="L216" s="165"/>
      <c r="M216" s="165"/>
      <c r="N216" s="165"/>
      <c r="O216" s="165"/>
      <c r="P216" s="165"/>
      <c r="Q216" s="134"/>
      <c r="R216" s="12"/>
      <c r="AJ216" s="12"/>
    </row>
    <row r="217" ht="15.75" customHeight="1">
      <c r="B217" s="12"/>
      <c r="C217" s="7"/>
      <c r="E217" s="165"/>
      <c r="F217" s="165"/>
      <c r="G217" s="165"/>
      <c r="H217" s="165"/>
      <c r="I217" s="165"/>
      <c r="J217" s="165"/>
      <c r="K217" s="165"/>
      <c r="L217" s="165"/>
      <c r="M217" s="165"/>
      <c r="N217" s="165"/>
      <c r="O217" s="165"/>
      <c r="P217" s="165"/>
      <c r="Q217" s="134"/>
      <c r="R217" s="12"/>
      <c r="AJ217" s="12"/>
    </row>
    <row r="218" ht="15.75" customHeight="1">
      <c r="B218" s="12"/>
      <c r="C218" s="7"/>
      <c r="E218" s="165"/>
      <c r="F218" s="165"/>
      <c r="G218" s="165"/>
      <c r="H218" s="165"/>
      <c r="I218" s="165"/>
      <c r="J218" s="165"/>
      <c r="K218" s="165"/>
      <c r="L218" s="165"/>
      <c r="M218" s="165"/>
      <c r="N218" s="165"/>
      <c r="O218" s="165"/>
      <c r="P218" s="165"/>
      <c r="Q218" s="134"/>
      <c r="R218" s="12"/>
      <c r="AJ218" s="12"/>
    </row>
    <row r="219" ht="15.75" customHeight="1">
      <c r="B219" s="12"/>
      <c r="C219" s="7"/>
      <c r="E219" s="165"/>
      <c r="F219" s="165"/>
      <c r="G219" s="165"/>
      <c r="H219" s="165"/>
      <c r="I219" s="165"/>
      <c r="J219" s="165"/>
      <c r="K219" s="165"/>
      <c r="L219" s="165"/>
      <c r="M219" s="165"/>
      <c r="N219" s="165"/>
      <c r="O219" s="165"/>
      <c r="P219" s="165"/>
      <c r="Q219" s="134"/>
      <c r="R219" s="12"/>
      <c r="AJ219" s="12"/>
    </row>
    <row r="220" ht="15.75" customHeight="1">
      <c r="B220" s="12"/>
      <c r="C220" s="7"/>
      <c r="E220" s="165"/>
      <c r="F220" s="165"/>
      <c r="G220" s="165"/>
      <c r="H220" s="165"/>
      <c r="I220" s="165"/>
      <c r="J220" s="165"/>
      <c r="K220" s="165"/>
      <c r="L220" s="165"/>
      <c r="M220" s="165"/>
      <c r="N220" s="165"/>
      <c r="O220" s="165"/>
      <c r="P220" s="165"/>
      <c r="Q220" s="134"/>
      <c r="R220" s="12"/>
      <c r="AJ220" s="12"/>
    </row>
    <row r="221" ht="15.75" customHeight="1">
      <c r="B221" s="12"/>
      <c r="C221" s="7"/>
      <c r="E221" s="165"/>
      <c r="F221" s="165"/>
      <c r="G221" s="165"/>
      <c r="H221" s="165"/>
      <c r="I221" s="165"/>
      <c r="J221" s="165"/>
      <c r="K221" s="165"/>
      <c r="L221" s="165"/>
      <c r="M221" s="165"/>
      <c r="N221" s="165"/>
      <c r="O221" s="165"/>
      <c r="P221" s="165"/>
      <c r="Q221" s="134"/>
      <c r="R221" s="12"/>
      <c r="AJ221" s="12"/>
    </row>
    <row r="222" ht="15.75" customHeight="1">
      <c r="B222" s="12"/>
      <c r="C222" s="7"/>
      <c r="E222" s="165"/>
      <c r="F222" s="165"/>
      <c r="G222" s="165"/>
      <c r="H222" s="165"/>
      <c r="I222" s="165"/>
      <c r="J222" s="165"/>
      <c r="K222" s="165"/>
      <c r="L222" s="165"/>
      <c r="M222" s="165"/>
      <c r="N222" s="165"/>
      <c r="O222" s="165"/>
      <c r="P222" s="165"/>
      <c r="Q222" s="134"/>
      <c r="R222" s="12"/>
      <c r="AJ222" s="12"/>
    </row>
    <row r="223" ht="15.75" customHeight="1">
      <c r="B223" s="12"/>
      <c r="C223" s="7"/>
      <c r="E223" s="165"/>
      <c r="F223" s="165"/>
      <c r="G223" s="165"/>
      <c r="H223" s="165"/>
      <c r="I223" s="165"/>
      <c r="J223" s="165"/>
      <c r="K223" s="165"/>
      <c r="L223" s="165"/>
      <c r="M223" s="165"/>
      <c r="N223" s="165"/>
      <c r="O223" s="165"/>
      <c r="P223" s="165"/>
      <c r="Q223" s="134"/>
      <c r="R223" s="12"/>
      <c r="AJ223" s="12"/>
    </row>
    <row r="224" ht="15.75" customHeight="1">
      <c r="B224" s="12"/>
      <c r="C224" s="7"/>
      <c r="E224" s="165"/>
      <c r="F224" s="165"/>
      <c r="G224" s="165"/>
      <c r="H224" s="165"/>
      <c r="I224" s="165"/>
      <c r="J224" s="165"/>
      <c r="K224" s="165"/>
      <c r="L224" s="165"/>
      <c r="M224" s="165"/>
      <c r="N224" s="165"/>
      <c r="O224" s="165"/>
      <c r="P224" s="165"/>
      <c r="Q224" s="134"/>
      <c r="R224" s="12"/>
      <c r="AJ224" s="12"/>
    </row>
    <row r="225" ht="15.75" customHeight="1">
      <c r="B225" s="12"/>
      <c r="C225" s="7"/>
      <c r="E225" s="165"/>
      <c r="F225" s="165"/>
      <c r="G225" s="165"/>
      <c r="H225" s="165"/>
      <c r="I225" s="165"/>
      <c r="J225" s="165"/>
      <c r="K225" s="165"/>
      <c r="L225" s="165"/>
      <c r="M225" s="165"/>
      <c r="N225" s="165"/>
      <c r="O225" s="165"/>
      <c r="P225" s="165"/>
      <c r="Q225" s="134"/>
      <c r="R225" s="12"/>
      <c r="AJ225" s="12"/>
    </row>
    <row r="226" ht="15.75" customHeight="1">
      <c r="B226" s="12"/>
      <c r="C226" s="7"/>
      <c r="E226" s="165"/>
      <c r="F226" s="165"/>
      <c r="G226" s="165"/>
      <c r="H226" s="165"/>
      <c r="I226" s="165"/>
      <c r="J226" s="165"/>
      <c r="K226" s="165"/>
      <c r="L226" s="165"/>
      <c r="M226" s="165"/>
      <c r="N226" s="165"/>
      <c r="O226" s="165"/>
      <c r="P226" s="165"/>
      <c r="Q226" s="134"/>
      <c r="R226" s="12"/>
      <c r="AJ226" s="12"/>
    </row>
    <row r="227" ht="15.75" customHeight="1">
      <c r="B227" s="12"/>
      <c r="C227" s="7"/>
      <c r="E227" s="165"/>
      <c r="F227" s="165"/>
      <c r="G227" s="165"/>
      <c r="H227" s="165"/>
      <c r="I227" s="165"/>
      <c r="J227" s="165"/>
      <c r="K227" s="165"/>
      <c r="L227" s="165"/>
      <c r="M227" s="165"/>
      <c r="N227" s="165"/>
      <c r="O227" s="165"/>
      <c r="P227" s="165"/>
      <c r="Q227" s="134"/>
      <c r="R227" s="12"/>
      <c r="AJ227" s="12"/>
    </row>
    <row r="228" ht="15.75" customHeight="1">
      <c r="B228" s="12"/>
      <c r="C228" s="7"/>
      <c r="E228" s="165"/>
      <c r="F228" s="165"/>
      <c r="G228" s="165"/>
      <c r="H228" s="165"/>
      <c r="I228" s="165"/>
      <c r="J228" s="165"/>
      <c r="K228" s="165"/>
      <c r="L228" s="165"/>
      <c r="M228" s="165"/>
      <c r="N228" s="165"/>
      <c r="O228" s="165"/>
      <c r="P228" s="165"/>
      <c r="Q228" s="134"/>
      <c r="R228" s="12"/>
      <c r="AJ228" s="12"/>
    </row>
    <row r="229" ht="15.75" customHeight="1">
      <c r="B229" s="12"/>
      <c r="C229" s="7"/>
      <c r="E229" s="165"/>
      <c r="F229" s="165"/>
      <c r="G229" s="165"/>
      <c r="H229" s="165"/>
      <c r="I229" s="165"/>
      <c r="J229" s="165"/>
      <c r="K229" s="165"/>
      <c r="L229" s="165"/>
      <c r="M229" s="165"/>
      <c r="N229" s="165"/>
      <c r="O229" s="165"/>
      <c r="P229" s="165"/>
      <c r="Q229" s="134"/>
      <c r="R229" s="12"/>
      <c r="AJ229" s="12"/>
    </row>
    <row r="230" ht="15.75" customHeight="1">
      <c r="B230" s="12"/>
      <c r="C230" s="7"/>
      <c r="E230" s="165"/>
      <c r="F230" s="165"/>
      <c r="G230" s="165"/>
      <c r="H230" s="165"/>
      <c r="I230" s="165"/>
      <c r="J230" s="165"/>
      <c r="K230" s="165"/>
      <c r="L230" s="165"/>
      <c r="M230" s="165"/>
      <c r="N230" s="165"/>
      <c r="O230" s="165"/>
      <c r="P230" s="165"/>
      <c r="Q230" s="134"/>
      <c r="R230" s="12"/>
      <c r="AJ230" s="12"/>
    </row>
    <row r="231" ht="15.75" customHeight="1">
      <c r="B231" s="12"/>
      <c r="C231" s="7"/>
      <c r="E231" s="165"/>
      <c r="F231" s="165"/>
      <c r="G231" s="165"/>
      <c r="H231" s="165"/>
      <c r="I231" s="165"/>
      <c r="J231" s="165"/>
      <c r="K231" s="165"/>
      <c r="L231" s="165"/>
      <c r="M231" s="165"/>
      <c r="N231" s="165"/>
      <c r="O231" s="165"/>
      <c r="P231" s="165"/>
      <c r="Q231" s="134"/>
      <c r="R231" s="12"/>
      <c r="AJ231" s="12"/>
    </row>
    <row r="232" ht="15.75" customHeight="1">
      <c r="B232" s="12"/>
      <c r="C232" s="7"/>
      <c r="E232" s="165"/>
      <c r="F232" s="165"/>
      <c r="G232" s="165"/>
      <c r="H232" s="165"/>
      <c r="I232" s="165"/>
      <c r="J232" s="165"/>
      <c r="K232" s="165"/>
      <c r="L232" s="165"/>
      <c r="M232" s="165"/>
      <c r="N232" s="165"/>
      <c r="O232" s="165"/>
      <c r="P232" s="165"/>
      <c r="Q232" s="134"/>
      <c r="R232" s="12"/>
      <c r="AJ232" s="12"/>
    </row>
    <row r="233" ht="15.75" customHeight="1">
      <c r="B233" s="12"/>
      <c r="C233" s="7"/>
      <c r="E233" s="165"/>
      <c r="F233" s="165"/>
      <c r="G233" s="165"/>
      <c r="H233" s="165"/>
      <c r="I233" s="165"/>
      <c r="J233" s="165"/>
      <c r="K233" s="165"/>
      <c r="L233" s="165"/>
      <c r="M233" s="165"/>
      <c r="N233" s="165"/>
      <c r="O233" s="165"/>
      <c r="P233" s="165"/>
      <c r="Q233" s="134"/>
      <c r="R233" s="12"/>
      <c r="AJ233" s="12"/>
    </row>
    <row r="234" ht="15.75" customHeight="1">
      <c r="B234" s="12"/>
      <c r="C234" s="7"/>
      <c r="E234" s="165"/>
      <c r="F234" s="165"/>
      <c r="G234" s="165"/>
      <c r="H234" s="165"/>
      <c r="I234" s="165"/>
      <c r="J234" s="165"/>
      <c r="K234" s="165"/>
      <c r="L234" s="165"/>
      <c r="M234" s="165"/>
      <c r="N234" s="165"/>
      <c r="O234" s="165"/>
      <c r="P234" s="165"/>
      <c r="Q234" s="134"/>
      <c r="R234" s="12"/>
      <c r="AJ234" s="12"/>
    </row>
    <row r="235" ht="15.75" customHeight="1">
      <c r="B235" s="12"/>
      <c r="C235" s="7"/>
      <c r="E235" s="165"/>
      <c r="F235" s="165"/>
      <c r="G235" s="165"/>
      <c r="H235" s="165"/>
      <c r="I235" s="165"/>
      <c r="J235" s="165"/>
      <c r="K235" s="165"/>
      <c r="L235" s="165"/>
      <c r="M235" s="165"/>
      <c r="N235" s="165"/>
      <c r="O235" s="165"/>
      <c r="P235" s="165"/>
      <c r="Q235" s="134"/>
      <c r="R235" s="12"/>
      <c r="AJ235" s="12"/>
    </row>
    <row r="236" ht="15.75" customHeight="1">
      <c r="B236" s="12"/>
      <c r="C236" s="7"/>
      <c r="E236" s="165"/>
      <c r="F236" s="165"/>
      <c r="G236" s="165"/>
      <c r="H236" s="165"/>
      <c r="I236" s="165"/>
      <c r="J236" s="165"/>
      <c r="K236" s="165"/>
      <c r="L236" s="165"/>
      <c r="M236" s="165"/>
      <c r="N236" s="165"/>
      <c r="O236" s="165"/>
      <c r="P236" s="165"/>
      <c r="Q236" s="134"/>
      <c r="R236" s="12"/>
      <c r="AJ236" s="12"/>
    </row>
    <row r="237" ht="15.75" customHeight="1">
      <c r="B237" s="12"/>
      <c r="C237" s="7"/>
      <c r="E237" s="165"/>
      <c r="F237" s="165"/>
      <c r="G237" s="165"/>
      <c r="H237" s="165"/>
      <c r="I237" s="165"/>
      <c r="J237" s="165"/>
      <c r="K237" s="165"/>
      <c r="L237" s="165"/>
      <c r="M237" s="165"/>
      <c r="N237" s="165"/>
      <c r="O237" s="165"/>
      <c r="P237" s="165"/>
      <c r="Q237" s="134"/>
      <c r="R237" s="12"/>
      <c r="AJ237" s="12"/>
    </row>
    <row r="238" ht="15.75" customHeight="1">
      <c r="B238" s="12"/>
      <c r="C238" s="7"/>
      <c r="E238" s="165"/>
      <c r="F238" s="165"/>
      <c r="G238" s="165"/>
      <c r="H238" s="165"/>
      <c r="I238" s="165"/>
      <c r="J238" s="165"/>
      <c r="K238" s="165"/>
      <c r="L238" s="165"/>
      <c r="M238" s="165"/>
      <c r="N238" s="165"/>
      <c r="O238" s="165"/>
      <c r="P238" s="165"/>
      <c r="Q238" s="134"/>
      <c r="R238" s="12"/>
      <c r="AJ238" s="12"/>
    </row>
    <row r="239" ht="15.75" customHeight="1">
      <c r="B239" s="12"/>
      <c r="C239" s="7"/>
      <c r="E239" s="165"/>
      <c r="F239" s="165"/>
      <c r="G239" s="165"/>
      <c r="H239" s="165"/>
      <c r="I239" s="165"/>
      <c r="J239" s="165"/>
      <c r="K239" s="165"/>
      <c r="L239" s="165"/>
      <c r="M239" s="165"/>
      <c r="N239" s="165"/>
      <c r="O239" s="165"/>
      <c r="P239" s="165"/>
      <c r="Q239" s="134"/>
      <c r="R239" s="12"/>
      <c r="AJ239" s="12"/>
    </row>
    <row r="240" ht="15.75" customHeight="1">
      <c r="B240" s="12"/>
      <c r="C240" s="7"/>
      <c r="E240" s="165"/>
      <c r="F240" s="165"/>
      <c r="G240" s="165"/>
      <c r="H240" s="165"/>
      <c r="I240" s="165"/>
      <c r="J240" s="165"/>
      <c r="K240" s="165"/>
      <c r="L240" s="165"/>
      <c r="M240" s="165"/>
      <c r="N240" s="165"/>
      <c r="O240" s="165"/>
      <c r="P240" s="165"/>
      <c r="Q240" s="134"/>
      <c r="R240" s="12"/>
      <c r="AJ240" s="12"/>
    </row>
    <row r="241" ht="15.75" customHeight="1">
      <c r="B241" s="12"/>
      <c r="C241" s="7"/>
      <c r="E241" s="165"/>
      <c r="F241" s="165"/>
      <c r="G241" s="165"/>
      <c r="H241" s="165"/>
      <c r="I241" s="165"/>
      <c r="J241" s="165"/>
      <c r="K241" s="165"/>
      <c r="L241" s="165"/>
      <c r="M241" s="165"/>
      <c r="N241" s="165"/>
      <c r="O241" s="165"/>
      <c r="P241" s="165"/>
      <c r="Q241" s="134"/>
      <c r="R241" s="12"/>
      <c r="AJ241" s="12"/>
    </row>
    <row r="242" ht="15.75" customHeight="1">
      <c r="B242" s="12"/>
      <c r="C242" s="7"/>
      <c r="E242" s="165"/>
      <c r="F242" s="165"/>
      <c r="G242" s="165"/>
      <c r="H242" s="165"/>
      <c r="I242" s="165"/>
      <c r="J242" s="165"/>
      <c r="K242" s="165"/>
      <c r="L242" s="165"/>
      <c r="M242" s="165"/>
      <c r="N242" s="165"/>
      <c r="O242" s="165"/>
      <c r="P242" s="165"/>
      <c r="Q242" s="134"/>
      <c r="R242" s="12"/>
      <c r="AJ242" s="12"/>
    </row>
    <row r="243" ht="15.75" customHeight="1">
      <c r="B243" s="12"/>
      <c r="C243" s="7"/>
      <c r="E243" s="165"/>
      <c r="F243" s="165"/>
      <c r="G243" s="165"/>
      <c r="H243" s="165"/>
      <c r="I243" s="165"/>
      <c r="J243" s="165"/>
      <c r="K243" s="165"/>
      <c r="L243" s="165"/>
      <c r="M243" s="165"/>
      <c r="N243" s="165"/>
      <c r="O243" s="165"/>
      <c r="P243" s="165"/>
      <c r="Q243" s="134"/>
      <c r="R243" s="12"/>
      <c r="AJ243" s="12"/>
    </row>
    <row r="244" ht="15.75" customHeight="1">
      <c r="B244" s="12"/>
      <c r="C244" s="7"/>
      <c r="E244" s="165"/>
      <c r="F244" s="165"/>
      <c r="G244" s="165"/>
      <c r="H244" s="165"/>
      <c r="I244" s="165"/>
      <c r="J244" s="165"/>
      <c r="K244" s="165"/>
      <c r="L244" s="165"/>
      <c r="M244" s="165"/>
      <c r="N244" s="165"/>
      <c r="O244" s="165"/>
      <c r="P244" s="165"/>
      <c r="Q244" s="134"/>
      <c r="R244" s="12"/>
      <c r="AJ244" s="12"/>
    </row>
    <row r="245" ht="15.75" customHeight="1">
      <c r="B245" s="12"/>
      <c r="C245" s="7"/>
      <c r="E245" s="165"/>
      <c r="F245" s="165"/>
      <c r="G245" s="165"/>
      <c r="H245" s="165"/>
      <c r="I245" s="165"/>
      <c r="J245" s="165"/>
      <c r="K245" s="165"/>
      <c r="L245" s="165"/>
      <c r="M245" s="165"/>
      <c r="N245" s="165"/>
      <c r="O245" s="165"/>
      <c r="P245" s="165"/>
      <c r="Q245" s="134"/>
      <c r="R245" s="12"/>
      <c r="AJ245" s="12"/>
    </row>
    <row r="246" ht="15.75" customHeight="1">
      <c r="B246" s="12"/>
      <c r="C246" s="7"/>
      <c r="E246" s="165"/>
      <c r="F246" s="165"/>
      <c r="G246" s="165"/>
      <c r="H246" s="165"/>
      <c r="I246" s="165"/>
      <c r="J246" s="165"/>
      <c r="K246" s="165"/>
      <c r="L246" s="165"/>
      <c r="M246" s="165"/>
      <c r="N246" s="165"/>
      <c r="O246" s="165"/>
      <c r="P246" s="165"/>
      <c r="Q246" s="134"/>
      <c r="R246" s="12"/>
      <c r="AJ246" s="12"/>
    </row>
    <row r="247" ht="15.75" customHeight="1">
      <c r="B247" s="12"/>
      <c r="C247" s="7"/>
      <c r="E247" s="165"/>
      <c r="F247" s="165"/>
      <c r="G247" s="165"/>
      <c r="H247" s="165"/>
      <c r="I247" s="165"/>
      <c r="J247" s="165"/>
      <c r="K247" s="165"/>
      <c r="L247" s="165"/>
      <c r="M247" s="165"/>
      <c r="N247" s="165"/>
      <c r="O247" s="165"/>
      <c r="P247" s="165"/>
      <c r="Q247" s="134"/>
      <c r="R247" s="12"/>
      <c r="AJ247" s="12"/>
    </row>
    <row r="248" ht="15.75" customHeight="1">
      <c r="B248" s="12"/>
      <c r="C248" s="7"/>
      <c r="E248" s="165"/>
      <c r="F248" s="165"/>
      <c r="G248" s="165"/>
      <c r="H248" s="165"/>
      <c r="I248" s="165"/>
      <c r="J248" s="165"/>
      <c r="K248" s="165"/>
      <c r="L248" s="165"/>
      <c r="M248" s="165"/>
      <c r="N248" s="165"/>
      <c r="O248" s="165"/>
      <c r="P248" s="165"/>
      <c r="Q248" s="134"/>
      <c r="R248" s="12"/>
      <c r="AJ248" s="12"/>
    </row>
    <row r="249" ht="15.75" customHeight="1">
      <c r="B249" s="12"/>
      <c r="C249" s="7"/>
      <c r="E249" s="165"/>
      <c r="F249" s="165"/>
      <c r="G249" s="165"/>
      <c r="H249" s="165"/>
      <c r="I249" s="165"/>
      <c r="J249" s="165"/>
      <c r="K249" s="165"/>
      <c r="L249" s="165"/>
      <c r="M249" s="165"/>
      <c r="N249" s="165"/>
      <c r="O249" s="165"/>
      <c r="P249" s="165"/>
      <c r="Q249" s="134"/>
      <c r="R249" s="12"/>
      <c r="AJ249" s="12"/>
    </row>
    <row r="250" ht="15.75" customHeight="1">
      <c r="B250" s="12"/>
      <c r="C250" s="7"/>
      <c r="E250" s="165"/>
      <c r="F250" s="165"/>
      <c r="G250" s="165"/>
      <c r="H250" s="165"/>
      <c r="I250" s="165"/>
      <c r="J250" s="165"/>
      <c r="K250" s="165"/>
      <c r="L250" s="165"/>
      <c r="M250" s="165"/>
      <c r="N250" s="165"/>
      <c r="O250" s="165"/>
      <c r="P250" s="165"/>
      <c r="Q250" s="134"/>
      <c r="R250" s="12"/>
      <c r="AJ250" s="12"/>
    </row>
    <row r="251" ht="15.75" customHeight="1">
      <c r="B251" s="12"/>
      <c r="C251" s="7"/>
      <c r="E251" s="165"/>
      <c r="F251" s="165"/>
      <c r="G251" s="165"/>
      <c r="H251" s="165"/>
      <c r="I251" s="165"/>
      <c r="J251" s="165"/>
      <c r="K251" s="165"/>
      <c r="L251" s="165"/>
      <c r="M251" s="165"/>
      <c r="N251" s="165"/>
      <c r="O251" s="165"/>
      <c r="P251" s="165"/>
      <c r="Q251" s="134"/>
      <c r="R251" s="12"/>
      <c r="AJ251" s="12"/>
    </row>
    <row r="252" ht="15.75" customHeight="1">
      <c r="B252" s="12"/>
      <c r="C252" s="7"/>
      <c r="E252" s="165"/>
      <c r="F252" s="165"/>
      <c r="G252" s="165"/>
      <c r="H252" s="165"/>
      <c r="I252" s="165"/>
      <c r="J252" s="165"/>
      <c r="K252" s="165"/>
      <c r="L252" s="165"/>
      <c r="M252" s="165"/>
      <c r="N252" s="165"/>
      <c r="O252" s="165"/>
      <c r="P252" s="165"/>
      <c r="Q252" s="134"/>
      <c r="R252" s="12"/>
      <c r="AJ252" s="12"/>
    </row>
    <row r="253" ht="15.75" customHeight="1">
      <c r="B253" s="12"/>
      <c r="C253" s="7"/>
      <c r="E253" s="165"/>
      <c r="F253" s="165"/>
      <c r="G253" s="165"/>
      <c r="H253" s="165"/>
      <c r="I253" s="165"/>
      <c r="J253" s="165"/>
      <c r="K253" s="165"/>
      <c r="L253" s="165"/>
      <c r="M253" s="165"/>
      <c r="N253" s="165"/>
      <c r="O253" s="165"/>
      <c r="P253" s="165"/>
      <c r="Q253" s="134"/>
      <c r="R253" s="12"/>
      <c r="AJ253" s="12"/>
    </row>
    <row r="254" ht="15.75" customHeight="1">
      <c r="B254" s="12"/>
      <c r="C254" s="7"/>
      <c r="E254" s="165"/>
      <c r="F254" s="165"/>
      <c r="G254" s="165"/>
      <c r="H254" s="165"/>
      <c r="I254" s="165"/>
      <c r="J254" s="165"/>
      <c r="K254" s="165"/>
      <c r="L254" s="165"/>
      <c r="M254" s="165"/>
      <c r="N254" s="165"/>
      <c r="O254" s="165"/>
      <c r="P254" s="165"/>
      <c r="Q254" s="134"/>
      <c r="R254" s="12"/>
      <c r="AJ254" s="12"/>
    </row>
    <row r="255" ht="15.75" customHeight="1">
      <c r="B255" s="12"/>
      <c r="C255" s="7"/>
      <c r="E255" s="165"/>
      <c r="F255" s="165"/>
      <c r="G255" s="165"/>
      <c r="H255" s="165"/>
      <c r="I255" s="165"/>
      <c r="J255" s="165"/>
      <c r="K255" s="165"/>
      <c r="L255" s="165"/>
      <c r="M255" s="165"/>
      <c r="N255" s="165"/>
      <c r="O255" s="165"/>
      <c r="P255" s="165"/>
      <c r="Q255" s="134"/>
      <c r="R255" s="12"/>
      <c r="AJ255" s="12"/>
    </row>
    <row r="256" ht="15.75" customHeight="1">
      <c r="B256" s="12"/>
      <c r="C256" s="7"/>
      <c r="E256" s="165"/>
      <c r="F256" s="165"/>
      <c r="G256" s="165"/>
      <c r="H256" s="165"/>
      <c r="I256" s="165"/>
      <c r="J256" s="165"/>
      <c r="K256" s="165"/>
      <c r="L256" s="165"/>
      <c r="M256" s="165"/>
      <c r="N256" s="165"/>
      <c r="O256" s="165"/>
      <c r="P256" s="165"/>
      <c r="Q256" s="134"/>
      <c r="R256" s="12"/>
      <c r="AJ256" s="12"/>
    </row>
    <row r="257" ht="15.75" customHeight="1">
      <c r="B257" s="12"/>
      <c r="C257" s="7"/>
      <c r="E257" s="165"/>
      <c r="F257" s="165"/>
      <c r="G257" s="165"/>
      <c r="H257" s="165"/>
      <c r="I257" s="165"/>
      <c r="J257" s="165"/>
      <c r="K257" s="165"/>
      <c r="L257" s="165"/>
      <c r="M257" s="165"/>
      <c r="N257" s="165"/>
      <c r="O257" s="165"/>
      <c r="P257" s="165"/>
      <c r="Q257" s="134"/>
      <c r="R257" s="12"/>
      <c r="AJ257" s="12"/>
    </row>
    <row r="258" ht="15.75" customHeight="1">
      <c r="B258" s="12"/>
      <c r="C258" s="7"/>
      <c r="E258" s="165"/>
      <c r="F258" s="165"/>
      <c r="G258" s="165"/>
      <c r="H258" s="165"/>
      <c r="I258" s="165"/>
      <c r="J258" s="165"/>
      <c r="K258" s="165"/>
      <c r="L258" s="165"/>
      <c r="M258" s="165"/>
      <c r="N258" s="165"/>
      <c r="O258" s="165"/>
      <c r="P258" s="165"/>
      <c r="Q258" s="134"/>
      <c r="R258" s="12"/>
      <c r="AJ258" s="12"/>
    </row>
    <row r="259" ht="15.75" customHeight="1">
      <c r="B259" s="12"/>
      <c r="C259" s="7"/>
      <c r="E259" s="165"/>
      <c r="F259" s="165"/>
      <c r="G259" s="165"/>
      <c r="H259" s="165"/>
      <c r="I259" s="165"/>
      <c r="J259" s="165"/>
      <c r="K259" s="165"/>
      <c r="L259" s="165"/>
      <c r="M259" s="165"/>
      <c r="N259" s="165"/>
      <c r="O259" s="165"/>
      <c r="P259" s="165"/>
      <c r="Q259" s="134"/>
      <c r="R259" s="12"/>
      <c r="AJ259" s="12"/>
    </row>
    <row r="260" ht="15.75" customHeight="1">
      <c r="B260" s="12"/>
      <c r="C260" s="7"/>
      <c r="E260" s="165"/>
      <c r="F260" s="165"/>
      <c r="G260" s="165"/>
      <c r="H260" s="165"/>
      <c r="I260" s="165"/>
      <c r="J260" s="165"/>
      <c r="K260" s="165"/>
      <c r="L260" s="165"/>
      <c r="M260" s="165"/>
      <c r="N260" s="165"/>
      <c r="O260" s="165"/>
      <c r="P260" s="165"/>
      <c r="Q260" s="134"/>
      <c r="R260" s="12"/>
      <c r="AJ260" s="12"/>
    </row>
    <row r="261" ht="15.75" customHeight="1">
      <c r="B261" s="12"/>
      <c r="C261" s="7"/>
      <c r="E261" s="165"/>
      <c r="F261" s="165"/>
      <c r="G261" s="165"/>
      <c r="H261" s="165"/>
      <c r="I261" s="165"/>
      <c r="J261" s="165"/>
      <c r="K261" s="165"/>
      <c r="L261" s="165"/>
      <c r="M261" s="165"/>
      <c r="N261" s="165"/>
      <c r="O261" s="165"/>
      <c r="P261" s="165"/>
      <c r="Q261" s="134"/>
      <c r="R261" s="12"/>
      <c r="AJ261" s="12"/>
    </row>
    <row r="262" ht="15.75" customHeight="1">
      <c r="B262" s="12"/>
      <c r="C262" s="7"/>
      <c r="E262" s="165"/>
      <c r="F262" s="165"/>
      <c r="G262" s="165"/>
      <c r="H262" s="165"/>
      <c r="I262" s="165"/>
      <c r="J262" s="165"/>
      <c r="K262" s="165"/>
      <c r="L262" s="165"/>
      <c r="M262" s="165"/>
      <c r="N262" s="165"/>
      <c r="O262" s="165"/>
      <c r="P262" s="165"/>
      <c r="Q262" s="134"/>
      <c r="R262" s="12"/>
      <c r="AJ262" s="12"/>
    </row>
    <row r="263" ht="15.75" customHeight="1">
      <c r="B263" s="12"/>
      <c r="C263" s="7"/>
      <c r="E263" s="165"/>
      <c r="F263" s="165"/>
      <c r="G263" s="165"/>
      <c r="H263" s="165"/>
      <c r="I263" s="165"/>
      <c r="J263" s="165"/>
      <c r="K263" s="165"/>
      <c r="L263" s="165"/>
      <c r="M263" s="165"/>
      <c r="N263" s="165"/>
      <c r="O263" s="165"/>
      <c r="P263" s="165"/>
      <c r="Q263" s="134"/>
      <c r="R263" s="12"/>
      <c r="AJ263" s="12"/>
    </row>
    <row r="264" ht="15.75" customHeight="1">
      <c r="B264" s="12"/>
      <c r="C264" s="7"/>
      <c r="E264" s="165"/>
      <c r="F264" s="165"/>
      <c r="G264" s="165"/>
      <c r="H264" s="165"/>
      <c r="I264" s="165"/>
      <c r="J264" s="165"/>
      <c r="K264" s="165"/>
      <c r="L264" s="165"/>
      <c r="M264" s="165"/>
      <c r="N264" s="165"/>
      <c r="O264" s="165"/>
      <c r="P264" s="165"/>
      <c r="Q264" s="134"/>
      <c r="R264" s="12"/>
      <c r="AJ264" s="12"/>
    </row>
    <row r="265" ht="15.75" customHeight="1">
      <c r="B265" s="12"/>
      <c r="C265" s="7"/>
      <c r="E265" s="165"/>
      <c r="F265" s="165"/>
      <c r="G265" s="165"/>
      <c r="H265" s="165"/>
      <c r="I265" s="165"/>
      <c r="J265" s="165"/>
      <c r="K265" s="165"/>
      <c r="L265" s="165"/>
      <c r="M265" s="165"/>
      <c r="N265" s="165"/>
      <c r="O265" s="165"/>
      <c r="P265" s="165"/>
      <c r="Q265" s="134"/>
      <c r="R265" s="12"/>
      <c r="AJ265" s="12"/>
    </row>
    <row r="266" ht="15.75" customHeight="1">
      <c r="B266" s="12"/>
      <c r="C266" s="7"/>
      <c r="E266" s="165"/>
      <c r="F266" s="165"/>
      <c r="G266" s="165"/>
      <c r="H266" s="165"/>
      <c r="I266" s="165"/>
      <c r="J266" s="165"/>
      <c r="K266" s="165"/>
      <c r="L266" s="165"/>
      <c r="M266" s="165"/>
      <c r="N266" s="165"/>
      <c r="O266" s="165"/>
      <c r="P266" s="165"/>
      <c r="Q266" s="134"/>
      <c r="R266" s="12"/>
      <c r="AJ266" s="12"/>
    </row>
    <row r="267" ht="15.75" customHeight="1">
      <c r="B267" s="12"/>
      <c r="C267" s="7"/>
      <c r="E267" s="165"/>
      <c r="F267" s="165"/>
      <c r="G267" s="165"/>
      <c r="H267" s="165"/>
      <c r="I267" s="165"/>
      <c r="J267" s="165"/>
      <c r="K267" s="165"/>
      <c r="L267" s="165"/>
      <c r="M267" s="165"/>
      <c r="N267" s="165"/>
      <c r="O267" s="165"/>
      <c r="P267" s="165"/>
      <c r="Q267" s="134"/>
      <c r="R267" s="12"/>
      <c r="AJ267" s="12"/>
    </row>
    <row r="268" ht="15.75" customHeight="1">
      <c r="B268" s="12"/>
      <c r="C268" s="7"/>
      <c r="E268" s="165"/>
      <c r="F268" s="165"/>
      <c r="G268" s="165"/>
      <c r="H268" s="165"/>
      <c r="I268" s="165"/>
      <c r="J268" s="165"/>
      <c r="K268" s="165"/>
      <c r="L268" s="165"/>
      <c r="M268" s="165"/>
      <c r="N268" s="165"/>
      <c r="O268" s="165"/>
      <c r="P268" s="165"/>
      <c r="Q268" s="134"/>
      <c r="R268" s="12"/>
      <c r="AJ268" s="12"/>
    </row>
    <row r="269" ht="15.75" customHeight="1">
      <c r="B269" s="12"/>
      <c r="C269" s="7"/>
      <c r="E269" s="165"/>
      <c r="F269" s="165"/>
      <c r="G269" s="165"/>
      <c r="H269" s="165"/>
      <c r="I269" s="165"/>
      <c r="J269" s="165"/>
      <c r="K269" s="165"/>
      <c r="L269" s="165"/>
      <c r="M269" s="165"/>
      <c r="N269" s="165"/>
      <c r="O269" s="165"/>
      <c r="P269" s="165"/>
      <c r="Q269" s="134"/>
      <c r="R269" s="12"/>
      <c r="AJ269" s="12"/>
    </row>
    <row r="270" ht="15.75" customHeight="1">
      <c r="B270" s="12"/>
      <c r="C270" s="7"/>
      <c r="E270" s="165"/>
      <c r="F270" s="165"/>
      <c r="G270" s="165"/>
      <c r="H270" s="165"/>
      <c r="I270" s="165"/>
      <c r="J270" s="165"/>
      <c r="K270" s="165"/>
      <c r="L270" s="165"/>
      <c r="M270" s="165"/>
      <c r="N270" s="165"/>
      <c r="O270" s="165"/>
      <c r="P270" s="165"/>
      <c r="Q270" s="134"/>
      <c r="R270" s="12"/>
      <c r="AJ270" s="12"/>
    </row>
    <row r="271" ht="15.75" customHeight="1">
      <c r="B271" s="12"/>
      <c r="C271" s="7"/>
      <c r="E271" s="165"/>
      <c r="F271" s="165"/>
      <c r="G271" s="165"/>
      <c r="H271" s="165"/>
      <c r="I271" s="165"/>
      <c r="J271" s="165"/>
      <c r="K271" s="165"/>
      <c r="L271" s="165"/>
      <c r="M271" s="165"/>
      <c r="N271" s="165"/>
      <c r="O271" s="165"/>
      <c r="P271" s="165"/>
      <c r="Q271" s="134"/>
      <c r="R271" s="12"/>
      <c r="AJ271" s="12"/>
    </row>
    <row r="272" ht="15.75" customHeight="1">
      <c r="B272" s="12"/>
      <c r="C272" s="7"/>
      <c r="E272" s="165"/>
      <c r="F272" s="165"/>
      <c r="G272" s="165"/>
      <c r="H272" s="165"/>
      <c r="I272" s="165"/>
      <c r="J272" s="165"/>
      <c r="K272" s="165"/>
      <c r="L272" s="165"/>
      <c r="M272" s="165"/>
      <c r="N272" s="165"/>
      <c r="O272" s="165"/>
      <c r="P272" s="165"/>
      <c r="Q272" s="134"/>
      <c r="R272" s="12"/>
      <c r="AJ272" s="12"/>
    </row>
    <row r="273" ht="15.75" customHeight="1">
      <c r="B273" s="12"/>
      <c r="C273" s="7"/>
      <c r="E273" s="165"/>
      <c r="F273" s="165"/>
      <c r="G273" s="165"/>
      <c r="H273" s="165"/>
      <c r="I273" s="165"/>
      <c r="J273" s="165"/>
      <c r="K273" s="165"/>
      <c r="L273" s="165"/>
      <c r="M273" s="165"/>
      <c r="N273" s="165"/>
      <c r="O273" s="165"/>
      <c r="P273" s="165"/>
      <c r="Q273" s="134"/>
      <c r="R273" s="12"/>
      <c r="AJ273" s="12"/>
    </row>
    <row r="274" ht="15.75" customHeight="1">
      <c r="B274" s="12"/>
      <c r="C274" s="7"/>
      <c r="E274" s="165"/>
      <c r="F274" s="165"/>
      <c r="G274" s="165"/>
      <c r="H274" s="165"/>
      <c r="I274" s="165"/>
      <c r="J274" s="165"/>
      <c r="K274" s="165"/>
      <c r="L274" s="165"/>
      <c r="M274" s="165"/>
      <c r="N274" s="165"/>
      <c r="O274" s="165"/>
      <c r="P274" s="165"/>
      <c r="Q274" s="134"/>
      <c r="R274" s="12"/>
      <c r="AJ274" s="12"/>
    </row>
    <row r="275" ht="15.75" customHeight="1">
      <c r="B275" s="12"/>
      <c r="C275" s="7"/>
      <c r="E275" s="165"/>
      <c r="F275" s="165"/>
      <c r="G275" s="165"/>
      <c r="H275" s="165"/>
      <c r="I275" s="165"/>
      <c r="J275" s="165"/>
      <c r="K275" s="165"/>
      <c r="L275" s="165"/>
      <c r="M275" s="165"/>
      <c r="N275" s="165"/>
      <c r="O275" s="165"/>
      <c r="P275" s="165"/>
      <c r="Q275" s="134"/>
      <c r="R275" s="12"/>
      <c r="AJ275" s="12"/>
    </row>
    <row r="276" ht="15.75" customHeight="1">
      <c r="B276" s="12"/>
      <c r="C276" s="7"/>
      <c r="E276" s="165"/>
      <c r="F276" s="165"/>
      <c r="G276" s="165"/>
      <c r="H276" s="165"/>
      <c r="I276" s="165"/>
      <c r="J276" s="165"/>
      <c r="K276" s="165"/>
      <c r="L276" s="165"/>
      <c r="M276" s="165"/>
      <c r="N276" s="165"/>
      <c r="O276" s="165"/>
      <c r="P276" s="165"/>
      <c r="Q276" s="134"/>
      <c r="R276" s="12"/>
      <c r="AJ276" s="12"/>
    </row>
    <row r="277" ht="15.75" customHeight="1">
      <c r="B277" s="12"/>
      <c r="C277" s="7"/>
      <c r="E277" s="165"/>
      <c r="F277" s="165"/>
      <c r="G277" s="165"/>
      <c r="H277" s="165"/>
      <c r="I277" s="165"/>
      <c r="J277" s="165"/>
      <c r="K277" s="165"/>
      <c r="L277" s="165"/>
      <c r="M277" s="165"/>
      <c r="N277" s="165"/>
      <c r="O277" s="165"/>
      <c r="P277" s="165"/>
      <c r="Q277" s="134"/>
      <c r="R277" s="12"/>
      <c r="AJ277" s="12"/>
    </row>
    <row r="278" ht="15.75" customHeight="1">
      <c r="B278" s="12"/>
      <c r="C278" s="7"/>
      <c r="E278" s="165"/>
      <c r="F278" s="165"/>
      <c r="G278" s="165"/>
      <c r="H278" s="165"/>
      <c r="I278" s="165"/>
      <c r="J278" s="165"/>
      <c r="K278" s="165"/>
      <c r="L278" s="165"/>
      <c r="M278" s="165"/>
      <c r="N278" s="165"/>
      <c r="O278" s="165"/>
      <c r="P278" s="165"/>
      <c r="Q278" s="134"/>
      <c r="R278" s="12"/>
      <c r="AJ278" s="12"/>
    </row>
    <row r="279" ht="15.75" customHeight="1">
      <c r="B279" s="12"/>
      <c r="C279" s="7"/>
      <c r="E279" s="165"/>
      <c r="F279" s="165"/>
      <c r="G279" s="165"/>
      <c r="H279" s="165"/>
      <c r="I279" s="165"/>
      <c r="J279" s="165"/>
      <c r="K279" s="165"/>
      <c r="L279" s="165"/>
      <c r="M279" s="165"/>
      <c r="N279" s="165"/>
      <c r="O279" s="165"/>
      <c r="P279" s="165"/>
      <c r="Q279" s="134"/>
      <c r="R279" s="12"/>
      <c r="AJ279" s="12"/>
    </row>
    <row r="280" ht="15.75" customHeight="1">
      <c r="B280" s="12"/>
      <c r="C280" s="7"/>
      <c r="E280" s="165"/>
      <c r="F280" s="165"/>
      <c r="G280" s="165"/>
      <c r="H280" s="165"/>
      <c r="I280" s="165"/>
      <c r="J280" s="165"/>
      <c r="K280" s="165"/>
      <c r="L280" s="165"/>
      <c r="M280" s="165"/>
      <c r="N280" s="165"/>
      <c r="O280" s="165"/>
      <c r="P280" s="165"/>
      <c r="Q280" s="134"/>
      <c r="R280" s="12"/>
      <c r="AJ280" s="12"/>
    </row>
    <row r="281" ht="15.75" customHeight="1">
      <c r="B281" s="12"/>
      <c r="C281" s="7"/>
      <c r="E281" s="165"/>
      <c r="F281" s="165"/>
      <c r="G281" s="165"/>
      <c r="H281" s="165"/>
      <c r="I281" s="165"/>
      <c r="J281" s="165"/>
      <c r="K281" s="165"/>
      <c r="L281" s="165"/>
      <c r="M281" s="165"/>
      <c r="N281" s="165"/>
      <c r="O281" s="165"/>
      <c r="P281" s="165"/>
      <c r="Q281" s="134"/>
      <c r="R281" s="12"/>
      <c r="AJ281" s="12"/>
    </row>
    <row r="282" ht="15.75" customHeight="1">
      <c r="B282" s="12"/>
      <c r="C282" s="7"/>
      <c r="E282" s="165"/>
      <c r="F282" s="165"/>
      <c r="G282" s="165"/>
      <c r="H282" s="165"/>
      <c r="I282" s="165"/>
      <c r="J282" s="165"/>
      <c r="K282" s="165"/>
      <c r="L282" s="165"/>
      <c r="M282" s="165"/>
      <c r="N282" s="165"/>
      <c r="O282" s="165"/>
      <c r="P282" s="165"/>
      <c r="Q282" s="134"/>
      <c r="R282" s="12"/>
      <c r="AJ282" s="12"/>
    </row>
    <row r="283" ht="15.75" customHeight="1">
      <c r="B283" s="12"/>
      <c r="C283" s="7"/>
      <c r="E283" s="165"/>
      <c r="F283" s="165"/>
      <c r="G283" s="165"/>
      <c r="H283" s="165"/>
      <c r="I283" s="165"/>
      <c r="J283" s="165"/>
      <c r="K283" s="165"/>
      <c r="L283" s="165"/>
      <c r="M283" s="165"/>
      <c r="N283" s="165"/>
      <c r="O283" s="165"/>
      <c r="P283" s="165"/>
      <c r="Q283" s="134"/>
      <c r="R283" s="12"/>
      <c r="AJ283" s="12"/>
    </row>
    <row r="284" ht="15.75" customHeight="1">
      <c r="B284" s="12"/>
      <c r="C284" s="7"/>
      <c r="E284" s="165"/>
      <c r="F284" s="165"/>
      <c r="G284" s="165"/>
      <c r="H284" s="165"/>
      <c r="I284" s="165"/>
      <c r="J284" s="165"/>
      <c r="K284" s="165"/>
      <c r="L284" s="165"/>
      <c r="M284" s="165"/>
      <c r="N284" s="165"/>
      <c r="O284" s="165"/>
      <c r="P284" s="165"/>
      <c r="Q284" s="134"/>
      <c r="R284" s="12"/>
      <c r="AJ284" s="12"/>
    </row>
    <row r="285" ht="15.75" customHeight="1">
      <c r="B285" s="12"/>
      <c r="C285" s="7"/>
      <c r="E285" s="165"/>
      <c r="F285" s="165"/>
      <c r="G285" s="165"/>
      <c r="H285" s="165"/>
      <c r="I285" s="165"/>
      <c r="J285" s="165"/>
      <c r="K285" s="165"/>
      <c r="L285" s="165"/>
      <c r="M285" s="165"/>
      <c r="N285" s="165"/>
      <c r="O285" s="165"/>
      <c r="P285" s="165"/>
      <c r="Q285" s="134"/>
      <c r="R285" s="12"/>
      <c r="AJ285" s="12"/>
    </row>
    <row r="286" ht="15.75" customHeight="1">
      <c r="B286" s="12"/>
      <c r="C286" s="7"/>
      <c r="E286" s="165"/>
      <c r="F286" s="165"/>
      <c r="G286" s="165"/>
      <c r="H286" s="165"/>
      <c r="I286" s="165"/>
      <c r="J286" s="165"/>
      <c r="K286" s="165"/>
      <c r="L286" s="165"/>
      <c r="M286" s="165"/>
      <c r="N286" s="165"/>
      <c r="O286" s="165"/>
      <c r="P286" s="165"/>
      <c r="Q286" s="134"/>
      <c r="R286" s="12"/>
      <c r="AJ286" s="12"/>
    </row>
    <row r="287" ht="15.75" customHeight="1">
      <c r="B287" s="12"/>
      <c r="C287" s="7"/>
      <c r="E287" s="165"/>
      <c r="F287" s="165"/>
      <c r="G287" s="165"/>
      <c r="H287" s="165"/>
      <c r="I287" s="165"/>
      <c r="J287" s="165"/>
      <c r="K287" s="165"/>
      <c r="L287" s="165"/>
      <c r="M287" s="165"/>
      <c r="N287" s="165"/>
      <c r="O287" s="165"/>
      <c r="P287" s="165"/>
      <c r="Q287" s="134"/>
      <c r="R287" s="12"/>
      <c r="AJ287" s="12"/>
    </row>
    <row r="288" ht="15.75" customHeight="1">
      <c r="B288" s="12"/>
      <c r="C288" s="7"/>
      <c r="E288" s="165"/>
      <c r="F288" s="165"/>
      <c r="G288" s="165"/>
      <c r="H288" s="165"/>
      <c r="I288" s="165"/>
      <c r="J288" s="165"/>
      <c r="K288" s="165"/>
      <c r="L288" s="165"/>
      <c r="M288" s="165"/>
      <c r="N288" s="165"/>
      <c r="O288" s="165"/>
      <c r="P288" s="165"/>
      <c r="Q288" s="134"/>
      <c r="R288" s="12"/>
      <c r="AJ288" s="12"/>
    </row>
    <row r="289" ht="15.75" customHeight="1">
      <c r="B289" s="12"/>
      <c r="C289" s="7"/>
      <c r="E289" s="165"/>
      <c r="F289" s="165"/>
      <c r="G289" s="165"/>
      <c r="H289" s="165"/>
      <c r="I289" s="165"/>
      <c r="J289" s="165"/>
      <c r="K289" s="165"/>
      <c r="L289" s="165"/>
      <c r="M289" s="165"/>
      <c r="N289" s="165"/>
      <c r="O289" s="165"/>
      <c r="P289" s="165"/>
      <c r="Q289" s="134"/>
      <c r="R289" s="12"/>
      <c r="AJ289" s="12"/>
    </row>
    <row r="290" ht="15.75" customHeight="1">
      <c r="B290" s="12"/>
      <c r="C290" s="7"/>
      <c r="E290" s="165"/>
      <c r="F290" s="165"/>
      <c r="G290" s="165"/>
      <c r="H290" s="165"/>
      <c r="I290" s="165"/>
      <c r="J290" s="165"/>
      <c r="K290" s="165"/>
      <c r="L290" s="165"/>
      <c r="M290" s="165"/>
      <c r="N290" s="165"/>
      <c r="O290" s="165"/>
      <c r="P290" s="165"/>
      <c r="Q290" s="134"/>
      <c r="R290" s="12"/>
      <c r="AJ290" s="12"/>
    </row>
    <row r="291" ht="15.75" customHeight="1">
      <c r="B291" s="12"/>
      <c r="C291" s="7"/>
      <c r="E291" s="165"/>
      <c r="F291" s="165"/>
      <c r="G291" s="165"/>
      <c r="H291" s="165"/>
      <c r="I291" s="165"/>
      <c r="J291" s="165"/>
      <c r="K291" s="165"/>
      <c r="L291" s="165"/>
      <c r="M291" s="165"/>
      <c r="N291" s="165"/>
      <c r="O291" s="165"/>
      <c r="P291" s="165"/>
      <c r="Q291" s="134"/>
      <c r="R291" s="12"/>
      <c r="AJ291" s="12"/>
    </row>
    <row r="292" ht="15.75" customHeight="1">
      <c r="B292" s="12"/>
      <c r="C292" s="7"/>
      <c r="E292" s="165"/>
      <c r="F292" s="165"/>
      <c r="G292" s="165"/>
      <c r="H292" s="165"/>
      <c r="I292" s="165"/>
      <c r="J292" s="165"/>
      <c r="K292" s="165"/>
      <c r="L292" s="165"/>
      <c r="M292" s="165"/>
      <c r="N292" s="165"/>
      <c r="O292" s="165"/>
      <c r="P292" s="165"/>
      <c r="Q292" s="134"/>
      <c r="R292" s="12"/>
      <c r="AJ292" s="12"/>
    </row>
    <row r="293" ht="15.75" customHeight="1">
      <c r="B293" s="12"/>
      <c r="C293" s="7"/>
      <c r="E293" s="165"/>
      <c r="F293" s="165"/>
      <c r="G293" s="165"/>
      <c r="H293" s="165"/>
      <c r="I293" s="165"/>
      <c r="J293" s="165"/>
      <c r="K293" s="165"/>
      <c r="L293" s="165"/>
      <c r="M293" s="165"/>
      <c r="N293" s="165"/>
      <c r="O293" s="165"/>
      <c r="P293" s="165"/>
      <c r="Q293" s="134"/>
      <c r="R293" s="12"/>
      <c r="AJ293" s="12"/>
    </row>
    <row r="294" ht="15.75" customHeight="1">
      <c r="B294" s="12"/>
      <c r="C294" s="7"/>
      <c r="E294" s="165"/>
      <c r="F294" s="165"/>
      <c r="G294" s="165"/>
      <c r="H294" s="165"/>
      <c r="I294" s="165"/>
      <c r="J294" s="165"/>
      <c r="K294" s="165"/>
      <c r="L294" s="165"/>
      <c r="M294" s="165"/>
      <c r="N294" s="165"/>
      <c r="O294" s="165"/>
      <c r="P294" s="165"/>
      <c r="Q294" s="134"/>
      <c r="R294" s="12"/>
      <c r="AJ294" s="12"/>
    </row>
    <row r="295" ht="15.75" customHeight="1">
      <c r="B295" s="12"/>
      <c r="C295" s="7"/>
      <c r="E295" s="165"/>
      <c r="F295" s="165"/>
      <c r="G295" s="165"/>
      <c r="H295" s="165"/>
      <c r="I295" s="165"/>
      <c r="J295" s="165"/>
      <c r="K295" s="165"/>
      <c r="L295" s="165"/>
      <c r="M295" s="165"/>
      <c r="N295" s="165"/>
      <c r="O295" s="165"/>
      <c r="P295" s="165"/>
      <c r="Q295" s="134"/>
      <c r="R295" s="12"/>
      <c r="AJ295" s="12"/>
    </row>
    <row r="296" ht="15.75" customHeight="1">
      <c r="B296" s="12"/>
      <c r="C296" s="7"/>
      <c r="E296" s="165"/>
      <c r="F296" s="165"/>
      <c r="G296" s="165"/>
      <c r="H296" s="165"/>
      <c r="I296" s="165"/>
      <c r="J296" s="165"/>
      <c r="K296" s="165"/>
      <c r="L296" s="165"/>
      <c r="M296" s="165"/>
      <c r="N296" s="165"/>
      <c r="O296" s="165"/>
      <c r="P296" s="165"/>
      <c r="Q296" s="134"/>
      <c r="R296" s="12"/>
      <c r="AJ296" s="12"/>
    </row>
    <row r="297" ht="15.75" customHeight="1">
      <c r="B297" s="12"/>
      <c r="C297" s="7"/>
      <c r="E297" s="165"/>
      <c r="F297" s="165"/>
      <c r="G297" s="165"/>
      <c r="H297" s="165"/>
      <c r="I297" s="165"/>
      <c r="J297" s="165"/>
      <c r="K297" s="165"/>
      <c r="L297" s="165"/>
      <c r="M297" s="165"/>
      <c r="N297" s="165"/>
      <c r="O297" s="165"/>
      <c r="P297" s="165"/>
      <c r="Q297" s="134"/>
      <c r="R297" s="12"/>
      <c r="AJ297" s="12"/>
    </row>
    <row r="298" ht="15.75" customHeight="1">
      <c r="B298" s="12"/>
      <c r="C298" s="7"/>
      <c r="E298" s="165"/>
      <c r="F298" s="165"/>
      <c r="G298" s="165"/>
      <c r="H298" s="165"/>
      <c r="I298" s="165"/>
      <c r="J298" s="165"/>
      <c r="K298" s="165"/>
      <c r="L298" s="165"/>
      <c r="M298" s="165"/>
      <c r="N298" s="165"/>
      <c r="O298" s="165"/>
      <c r="P298" s="165"/>
      <c r="Q298" s="134"/>
      <c r="R298" s="12"/>
      <c r="AJ298" s="12"/>
    </row>
    <row r="299" ht="15.75" customHeight="1">
      <c r="B299" s="12"/>
      <c r="C299" s="7"/>
      <c r="E299" s="165"/>
      <c r="F299" s="165"/>
      <c r="G299" s="165"/>
      <c r="H299" s="165"/>
      <c r="I299" s="165"/>
      <c r="J299" s="165"/>
      <c r="K299" s="165"/>
      <c r="L299" s="165"/>
      <c r="M299" s="165"/>
      <c r="N299" s="165"/>
      <c r="O299" s="165"/>
      <c r="P299" s="165"/>
      <c r="Q299" s="134"/>
      <c r="R299" s="12"/>
      <c r="AJ299" s="12"/>
    </row>
    <row r="300" ht="15.75" customHeight="1">
      <c r="B300" s="12"/>
      <c r="C300" s="7"/>
      <c r="E300" s="165"/>
      <c r="F300" s="165"/>
      <c r="G300" s="165"/>
      <c r="H300" s="165"/>
      <c r="I300" s="165"/>
      <c r="J300" s="165"/>
      <c r="K300" s="165"/>
      <c r="L300" s="165"/>
      <c r="M300" s="165"/>
      <c r="N300" s="165"/>
      <c r="O300" s="165"/>
      <c r="P300" s="165"/>
      <c r="Q300" s="134"/>
      <c r="R300" s="12"/>
      <c r="AJ300" s="12"/>
    </row>
    <row r="301" ht="15.75" customHeight="1">
      <c r="B301" s="12"/>
      <c r="C301" s="7"/>
      <c r="E301" s="165"/>
      <c r="F301" s="165"/>
      <c r="G301" s="165"/>
      <c r="H301" s="165"/>
      <c r="I301" s="165"/>
      <c r="J301" s="165"/>
      <c r="K301" s="165"/>
      <c r="L301" s="165"/>
      <c r="M301" s="165"/>
      <c r="N301" s="165"/>
      <c r="O301" s="165"/>
      <c r="P301" s="165"/>
      <c r="Q301" s="134"/>
      <c r="R301" s="12"/>
      <c r="AJ301" s="12"/>
    </row>
    <row r="302" ht="15.75" customHeight="1">
      <c r="B302" s="12"/>
      <c r="C302" s="7"/>
      <c r="E302" s="165"/>
      <c r="F302" s="165"/>
      <c r="G302" s="165"/>
      <c r="H302" s="165"/>
      <c r="I302" s="165"/>
      <c r="J302" s="165"/>
      <c r="K302" s="165"/>
      <c r="L302" s="165"/>
      <c r="M302" s="165"/>
      <c r="N302" s="165"/>
      <c r="O302" s="165"/>
      <c r="P302" s="165"/>
      <c r="Q302" s="134"/>
      <c r="R302" s="12"/>
      <c r="AJ302" s="12"/>
    </row>
    <row r="303" ht="15.75" customHeight="1">
      <c r="B303" s="12"/>
      <c r="C303" s="7"/>
      <c r="E303" s="165"/>
      <c r="F303" s="165"/>
      <c r="G303" s="165"/>
      <c r="H303" s="165"/>
      <c r="I303" s="165"/>
      <c r="J303" s="165"/>
      <c r="K303" s="165"/>
      <c r="L303" s="165"/>
      <c r="M303" s="165"/>
      <c r="N303" s="165"/>
      <c r="O303" s="165"/>
      <c r="P303" s="165"/>
      <c r="Q303" s="134"/>
      <c r="R303" s="12"/>
      <c r="AJ303" s="12"/>
    </row>
    <row r="304" ht="15.75" customHeight="1">
      <c r="B304" s="12"/>
      <c r="C304" s="7"/>
      <c r="E304" s="165"/>
      <c r="F304" s="165"/>
      <c r="G304" s="165"/>
      <c r="H304" s="165"/>
      <c r="I304" s="165"/>
      <c r="J304" s="165"/>
      <c r="K304" s="165"/>
      <c r="L304" s="165"/>
      <c r="M304" s="165"/>
      <c r="N304" s="165"/>
      <c r="O304" s="165"/>
      <c r="P304" s="165"/>
      <c r="Q304" s="134"/>
      <c r="R304" s="12"/>
      <c r="AJ304" s="12"/>
    </row>
    <row r="305" ht="15.75" customHeight="1">
      <c r="B305" s="12"/>
      <c r="C305" s="7"/>
      <c r="E305" s="165"/>
      <c r="F305" s="165"/>
      <c r="G305" s="165"/>
      <c r="H305" s="165"/>
      <c r="I305" s="165"/>
      <c r="J305" s="165"/>
      <c r="K305" s="165"/>
      <c r="L305" s="165"/>
      <c r="M305" s="165"/>
      <c r="N305" s="165"/>
      <c r="O305" s="165"/>
      <c r="P305" s="165"/>
      <c r="Q305" s="134"/>
      <c r="R305" s="12"/>
      <c r="AJ305" s="12"/>
    </row>
    <row r="306" ht="15.75" customHeight="1">
      <c r="B306" s="12"/>
      <c r="C306" s="7"/>
      <c r="E306" s="165"/>
      <c r="F306" s="165"/>
      <c r="G306" s="165"/>
      <c r="H306" s="165"/>
      <c r="I306" s="165"/>
      <c r="J306" s="165"/>
      <c r="K306" s="165"/>
      <c r="L306" s="165"/>
      <c r="M306" s="165"/>
      <c r="N306" s="165"/>
      <c r="O306" s="165"/>
      <c r="P306" s="165"/>
      <c r="Q306" s="134"/>
      <c r="R306" s="12"/>
      <c r="AJ306" s="12"/>
    </row>
    <row r="307" ht="15.75" customHeight="1">
      <c r="B307" s="12"/>
      <c r="C307" s="7"/>
      <c r="E307" s="165"/>
      <c r="F307" s="165"/>
      <c r="G307" s="165"/>
      <c r="H307" s="165"/>
      <c r="I307" s="165"/>
      <c r="J307" s="165"/>
      <c r="K307" s="165"/>
      <c r="L307" s="165"/>
      <c r="M307" s="165"/>
      <c r="N307" s="165"/>
      <c r="O307" s="165"/>
      <c r="P307" s="165"/>
      <c r="Q307" s="134"/>
      <c r="R307" s="12"/>
      <c r="AJ307" s="12"/>
    </row>
    <row r="308" ht="15.75" customHeight="1">
      <c r="B308" s="12"/>
      <c r="C308" s="7"/>
      <c r="E308" s="165"/>
      <c r="F308" s="165"/>
      <c r="G308" s="165"/>
      <c r="H308" s="165"/>
      <c r="I308" s="165"/>
      <c r="J308" s="165"/>
      <c r="K308" s="165"/>
      <c r="L308" s="165"/>
      <c r="M308" s="165"/>
      <c r="N308" s="165"/>
      <c r="O308" s="165"/>
      <c r="P308" s="165"/>
      <c r="Q308" s="134"/>
      <c r="R308" s="12"/>
      <c r="AJ308" s="12"/>
    </row>
    <row r="309" ht="15.75" customHeight="1">
      <c r="B309" s="12"/>
      <c r="C309" s="7"/>
      <c r="E309" s="165"/>
      <c r="F309" s="165"/>
      <c r="G309" s="165"/>
      <c r="H309" s="165"/>
      <c r="I309" s="165"/>
      <c r="J309" s="165"/>
      <c r="K309" s="165"/>
      <c r="L309" s="165"/>
      <c r="M309" s="165"/>
      <c r="N309" s="165"/>
      <c r="O309" s="165"/>
      <c r="P309" s="165"/>
      <c r="Q309" s="134"/>
      <c r="R309" s="12"/>
      <c r="AJ309" s="12"/>
    </row>
    <row r="310" ht="15.75" customHeight="1">
      <c r="B310" s="12"/>
      <c r="C310" s="7"/>
      <c r="E310" s="165"/>
      <c r="F310" s="165"/>
      <c r="G310" s="165"/>
      <c r="H310" s="165"/>
      <c r="I310" s="165"/>
      <c r="J310" s="165"/>
      <c r="K310" s="165"/>
      <c r="L310" s="165"/>
      <c r="M310" s="165"/>
      <c r="N310" s="165"/>
      <c r="O310" s="165"/>
      <c r="P310" s="165"/>
      <c r="Q310" s="134"/>
      <c r="R310" s="12"/>
      <c r="AJ310" s="12"/>
    </row>
    <row r="311" ht="15.75" customHeight="1">
      <c r="B311" s="12"/>
      <c r="C311" s="7"/>
      <c r="E311" s="165"/>
      <c r="F311" s="165"/>
      <c r="G311" s="165"/>
      <c r="H311" s="165"/>
      <c r="I311" s="165"/>
      <c r="J311" s="165"/>
      <c r="K311" s="165"/>
      <c r="L311" s="165"/>
      <c r="M311" s="165"/>
      <c r="N311" s="165"/>
      <c r="O311" s="165"/>
      <c r="P311" s="165"/>
      <c r="Q311" s="134"/>
      <c r="R311" s="12"/>
      <c r="AJ311" s="12"/>
    </row>
    <row r="312" ht="15.75" customHeight="1">
      <c r="B312" s="12"/>
      <c r="C312" s="7"/>
      <c r="E312" s="165"/>
      <c r="F312" s="165"/>
      <c r="G312" s="165"/>
      <c r="H312" s="165"/>
      <c r="I312" s="165"/>
      <c r="J312" s="165"/>
      <c r="K312" s="165"/>
      <c r="L312" s="165"/>
      <c r="M312" s="165"/>
      <c r="N312" s="165"/>
      <c r="O312" s="165"/>
      <c r="P312" s="165"/>
      <c r="Q312" s="134"/>
      <c r="R312" s="12"/>
      <c r="AJ312" s="12"/>
    </row>
    <row r="313" ht="15.75" customHeight="1">
      <c r="B313" s="12"/>
      <c r="C313" s="7"/>
      <c r="E313" s="165"/>
      <c r="F313" s="165"/>
      <c r="G313" s="165"/>
      <c r="H313" s="165"/>
      <c r="I313" s="165"/>
      <c r="J313" s="165"/>
      <c r="K313" s="165"/>
      <c r="L313" s="165"/>
      <c r="M313" s="165"/>
      <c r="N313" s="165"/>
      <c r="O313" s="165"/>
      <c r="P313" s="165"/>
      <c r="Q313" s="134"/>
      <c r="R313" s="12"/>
      <c r="AJ313" s="12"/>
    </row>
    <row r="314" ht="15.75" customHeight="1">
      <c r="B314" s="12"/>
      <c r="C314" s="7"/>
      <c r="E314" s="165"/>
      <c r="F314" s="165"/>
      <c r="G314" s="165"/>
      <c r="H314" s="165"/>
      <c r="I314" s="165"/>
      <c r="J314" s="165"/>
      <c r="K314" s="165"/>
      <c r="L314" s="165"/>
      <c r="M314" s="165"/>
      <c r="N314" s="165"/>
      <c r="O314" s="165"/>
      <c r="P314" s="165"/>
      <c r="Q314" s="134"/>
      <c r="R314" s="12"/>
      <c r="AJ314" s="12"/>
    </row>
    <row r="315" ht="15.75" customHeight="1">
      <c r="B315" s="12"/>
      <c r="C315" s="7"/>
      <c r="E315" s="165"/>
      <c r="F315" s="165"/>
      <c r="G315" s="165"/>
      <c r="H315" s="165"/>
      <c r="I315" s="165"/>
      <c r="J315" s="165"/>
      <c r="K315" s="165"/>
      <c r="L315" s="165"/>
      <c r="M315" s="165"/>
      <c r="N315" s="165"/>
      <c r="O315" s="165"/>
      <c r="P315" s="165"/>
      <c r="Q315" s="134"/>
      <c r="R315" s="12"/>
      <c r="AJ315" s="12"/>
    </row>
    <row r="316" ht="15.75" customHeight="1">
      <c r="B316" s="12"/>
      <c r="C316" s="7"/>
      <c r="E316" s="165"/>
      <c r="F316" s="165"/>
      <c r="G316" s="165"/>
      <c r="H316" s="165"/>
      <c r="I316" s="165"/>
      <c r="J316" s="165"/>
      <c r="K316" s="165"/>
      <c r="L316" s="165"/>
      <c r="M316" s="165"/>
      <c r="N316" s="165"/>
      <c r="O316" s="165"/>
      <c r="P316" s="165"/>
      <c r="Q316" s="134"/>
      <c r="R316" s="12"/>
      <c r="AJ316" s="12"/>
    </row>
    <row r="317" ht="15.75" customHeight="1">
      <c r="B317" s="12"/>
      <c r="C317" s="7"/>
      <c r="E317" s="165"/>
      <c r="F317" s="165"/>
      <c r="G317" s="165"/>
      <c r="H317" s="165"/>
      <c r="I317" s="165"/>
      <c r="J317" s="165"/>
      <c r="K317" s="165"/>
      <c r="L317" s="165"/>
      <c r="M317" s="165"/>
      <c r="N317" s="165"/>
      <c r="O317" s="165"/>
      <c r="P317" s="165"/>
      <c r="Q317" s="134"/>
      <c r="R317" s="12"/>
      <c r="AJ317" s="12"/>
    </row>
    <row r="318" ht="15.75" customHeight="1">
      <c r="B318" s="12"/>
      <c r="C318" s="7"/>
      <c r="E318" s="165"/>
      <c r="F318" s="165"/>
      <c r="G318" s="165"/>
      <c r="H318" s="165"/>
      <c r="I318" s="165"/>
      <c r="J318" s="165"/>
      <c r="K318" s="165"/>
      <c r="L318" s="165"/>
      <c r="M318" s="165"/>
      <c r="N318" s="165"/>
      <c r="O318" s="165"/>
      <c r="P318" s="165"/>
      <c r="Q318" s="134"/>
      <c r="R318" s="12"/>
      <c r="AJ318" s="12"/>
    </row>
    <row r="319" ht="15.75" customHeight="1">
      <c r="B319" s="12"/>
      <c r="C319" s="7"/>
      <c r="E319" s="165"/>
      <c r="F319" s="165"/>
      <c r="G319" s="165"/>
      <c r="H319" s="165"/>
      <c r="I319" s="165"/>
      <c r="J319" s="165"/>
      <c r="K319" s="165"/>
      <c r="L319" s="165"/>
      <c r="M319" s="165"/>
      <c r="N319" s="165"/>
      <c r="O319" s="165"/>
      <c r="P319" s="165"/>
      <c r="Q319" s="134"/>
      <c r="R319" s="12"/>
      <c r="AJ319" s="12"/>
    </row>
    <row r="320" ht="15.75" customHeight="1">
      <c r="B320" s="12"/>
      <c r="C320" s="7"/>
      <c r="E320" s="165"/>
      <c r="F320" s="165"/>
      <c r="G320" s="165"/>
      <c r="H320" s="165"/>
      <c r="I320" s="165"/>
      <c r="J320" s="165"/>
      <c r="K320" s="165"/>
      <c r="L320" s="165"/>
      <c r="M320" s="165"/>
      <c r="N320" s="165"/>
      <c r="O320" s="165"/>
      <c r="P320" s="165"/>
      <c r="Q320" s="134"/>
      <c r="R320" s="12"/>
      <c r="AJ320" s="12"/>
    </row>
    <row r="321" ht="15.75" customHeight="1">
      <c r="B321" s="12"/>
      <c r="C321" s="7"/>
      <c r="E321" s="165"/>
      <c r="F321" s="165"/>
      <c r="G321" s="165"/>
      <c r="H321" s="165"/>
      <c r="I321" s="165"/>
      <c r="J321" s="165"/>
      <c r="K321" s="165"/>
      <c r="L321" s="165"/>
      <c r="M321" s="165"/>
      <c r="N321" s="165"/>
      <c r="O321" s="165"/>
      <c r="P321" s="165"/>
      <c r="Q321" s="134"/>
      <c r="R321" s="12"/>
      <c r="AJ321" s="12"/>
    </row>
    <row r="322" ht="15.75" customHeight="1">
      <c r="B322" s="12"/>
      <c r="C322" s="7"/>
      <c r="E322" s="165"/>
      <c r="F322" s="165"/>
      <c r="G322" s="165"/>
      <c r="H322" s="165"/>
      <c r="I322" s="165"/>
      <c r="J322" s="165"/>
      <c r="K322" s="165"/>
      <c r="L322" s="165"/>
      <c r="M322" s="165"/>
      <c r="N322" s="165"/>
      <c r="O322" s="165"/>
      <c r="P322" s="165"/>
      <c r="Q322" s="134"/>
      <c r="R322" s="12"/>
      <c r="AJ322" s="12"/>
    </row>
    <row r="323" ht="15.75" customHeight="1">
      <c r="B323" s="12"/>
      <c r="C323" s="7"/>
      <c r="E323" s="165"/>
      <c r="F323" s="165"/>
      <c r="G323" s="165"/>
      <c r="H323" s="165"/>
      <c r="I323" s="165"/>
      <c r="J323" s="165"/>
      <c r="K323" s="165"/>
      <c r="L323" s="165"/>
      <c r="M323" s="165"/>
      <c r="N323" s="165"/>
      <c r="O323" s="165"/>
      <c r="P323" s="165"/>
      <c r="Q323" s="134"/>
      <c r="R323" s="12"/>
      <c r="AJ323" s="12"/>
    </row>
    <row r="324" ht="15.75" customHeight="1">
      <c r="B324" s="12"/>
      <c r="C324" s="7"/>
      <c r="E324" s="165"/>
      <c r="F324" s="165"/>
      <c r="G324" s="165"/>
      <c r="H324" s="165"/>
      <c r="I324" s="165"/>
      <c r="J324" s="165"/>
      <c r="K324" s="165"/>
      <c r="L324" s="165"/>
      <c r="M324" s="165"/>
      <c r="N324" s="165"/>
      <c r="O324" s="165"/>
      <c r="P324" s="165"/>
      <c r="Q324" s="134"/>
      <c r="R324" s="12"/>
      <c r="AJ324" s="12"/>
    </row>
    <row r="325" ht="15.75" customHeight="1">
      <c r="B325" s="12"/>
      <c r="C325" s="7"/>
      <c r="E325" s="165"/>
      <c r="F325" s="165"/>
      <c r="G325" s="165"/>
      <c r="H325" s="165"/>
      <c r="I325" s="165"/>
      <c r="J325" s="165"/>
      <c r="K325" s="165"/>
      <c r="L325" s="165"/>
      <c r="M325" s="165"/>
      <c r="N325" s="165"/>
      <c r="O325" s="165"/>
      <c r="P325" s="165"/>
      <c r="Q325" s="134"/>
      <c r="R325" s="12"/>
      <c r="AJ325" s="12"/>
    </row>
    <row r="326" ht="15.75" customHeight="1">
      <c r="B326" s="12"/>
      <c r="C326" s="7"/>
      <c r="E326" s="165"/>
      <c r="F326" s="165"/>
      <c r="G326" s="165"/>
      <c r="H326" s="165"/>
      <c r="I326" s="165"/>
      <c r="J326" s="165"/>
      <c r="K326" s="165"/>
      <c r="L326" s="165"/>
      <c r="M326" s="165"/>
      <c r="N326" s="165"/>
      <c r="O326" s="165"/>
      <c r="P326" s="165"/>
      <c r="Q326" s="134"/>
      <c r="R326" s="12"/>
      <c r="AJ326" s="12"/>
    </row>
    <row r="327" ht="15.75" customHeight="1">
      <c r="B327" s="12"/>
      <c r="C327" s="7"/>
      <c r="E327" s="165"/>
      <c r="F327" s="165"/>
      <c r="G327" s="165"/>
      <c r="H327" s="165"/>
      <c r="I327" s="165"/>
      <c r="J327" s="165"/>
      <c r="K327" s="165"/>
      <c r="L327" s="165"/>
      <c r="M327" s="165"/>
      <c r="N327" s="165"/>
      <c r="O327" s="165"/>
      <c r="P327" s="165"/>
      <c r="Q327" s="134"/>
      <c r="R327" s="12"/>
      <c r="AJ327" s="12"/>
    </row>
    <row r="328" ht="15.75" customHeight="1">
      <c r="B328" s="12"/>
      <c r="C328" s="7"/>
      <c r="E328" s="165"/>
      <c r="F328" s="165"/>
      <c r="G328" s="165"/>
      <c r="H328" s="165"/>
      <c r="I328" s="165"/>
      <c r="J328" s="165"/>
      <c r="K328" s="165"/>
      <c r="L328" s="165"/>
      <c r="M328" s="165"/>
      <c r="N328" s="165"/>
      <c r="O328" s="165"/>
      <c r="P328" s="165"/>
      <c r="Q328" s="134"/>
      <c r="R328" s="12"/>
      <c r="AJ328" s="12"/>
    </row>
    <row r="329" ht="15.75" customHeight="1">
      <c r="B329" s="12"/>
      <c r="C329" s="7"/>
      <c r="E329" s="165"/>
      <c r="F329" s="165"/>
      <c r="G329" s="165"/>
      <c r="H329" s="165"/>
      <c r="I329" s="165"/>
      <c r="J329" s="165"/>
      <c r="K329" s="165"/>
      <c r="L329" s="165"/>
      <c r="M329" s="165"/>
      <c r="N329" s="165"/>
      <c r="O329" s="165"/>
      <c r="P329" s="165"/>
      <c r="Q329" s="134"/>
      <c r="R329" s="12"/>
      <c r="AJ329" s="12"/>
    </row>
    <row r="330" ht="15.75" customHeight="1">
      <c r="B330" s="12"/>
      <c r="C330" s="7"/>
      <c r="E330" s="165"/>
      <c r="F330" s="165"/>
      <c r="G330" s="165"/>
      <c r="H330" s="165"/>
      <c r="I330" s="165"/>
      <c r="J330" s="165"/>
      <c r="K330" s="165"/>
      <c r="L330" s="165"/>
      <c r="M330" s="165"/>
      <c r="N330" s="165"/>
      <c r="O330" s="165"/>
      <c r="P330" s="165"/>
      <c r="Q330" s="134"/>
      <c r="R330" s="12"/>
      <c r="AJ330" s="12"/>
    </row>
    <row r="331" ht="15.75" customHeight="1">
      <c r="B331" s="12"/>
      <c r="C331" s="7"/>
      <c r="E331" s="165"/>
      <c r="F331" s="165"/>
      <c r="G331" s="165"/>
      <c r="H331" s="165"/>
      <c r="I331" s="165"/>
      <c r="J331" s="165"/>
      <c r="K331" s="165"/>
      <c r="L331" s="165"/>
      <c r="M331" s="165"/>
      <c r="N331" s="165"/>
      <c r="O331" s="165"/>
      <c r="P331" s="165"/>
      <c r="Q331" s="134"/>
      <c r="R331" s="12"/>
      <c r="AJ331" s="12"/>
    </row>
    <row r="332" ht="15.75" customHeight="1">
      <c r="B332" s="12"/>
      <c r="C332" s="7"/>
      <c r="E332" s="165"/>
      <c r="F332" s="165"/>
      <c r="G332" s="165"/>
      <c r="H332" s="165"/>
      <c r="I332" s="165"/>
      <c r="J332" s="165"/>
      <c r="K332" s="165"/>
      <c r="L332" s="165"/>
      <c r="M332" s="165"/>
      <c r="N332" s="165"/>
      <c r="O332" s="165"/>
      <c r="P332" s="165"/>
      <c r="Q332" s="134"/>
      <c r="R332" s="12"/>
      <c r="AJ332" s="12"/>
    </row>
    <row r="333" ht="15.75" customHeight="1">
      <c r="B333" s="12"/>
      <c r="C333" s="7"/>
      <c r="E333" s="165"/>
      <c r="F333" s="165"/>
      <c r="G333" s="165"/>
      <c r="H333" s="165"/>
      <c r="I333" s="165"/>
      <c r="J333" s="165"/>
      <c r="K333" s="165"/>
      <c r="L333" s="165"/>
      <c r="M333" s="165"/>
      <c r="N333" s="165"/>
      <c r="O333" s="165"/>
      <c r="P333" s="165"/>
      <c r="Q333" s="134"/>
      <c r="R333" s="12"/>
      <c r="AJ333" s="12"/>
    </row>
    <row r="334" ht="15.75" customHeight="1">
      <c r="B334" s="12"/>
      <c r="C334" s="7"/>
      <c r="E334" s="165"/>
      <c r="F334" s="165"/>
      <c r="G334" s="165"/>
      <c r="H334" s="165"/>
      <c r="I334" s="165"/>
      <c r="J334" s="165"/>
      <c r="K334" s="165"/>
      <c r="L334" s="165"/>
      <c r="M334" s="165"/>
      <c r="N334" s="165"/>
      <c r="O334" s="165"/>
      <c r="P334" s="165"/>
      <c r="Q334" s="134"/>
      <c r="R334" s="12"/>
      <c r="AJ334" s="12"/>
    </row>
    <row r="335" ht="15.75" customHeight="1">
      <c r="B335" s="12"/>
      <c r="C335" s="7"/>
      <c r="E335" s="165"/>
      <c r="F335" s="165"/>
      <c r="G335" s="165"/>
      <c r="H335" s="165"/>
      <c r="I335" s="165"/>
      <c r="J335" s="165"/>
      <c r="K335" s="165"/>
      <c r="L335" s="165"/>
      <c r="M335" s="165"/>
      <c r="N335" s="165"/>
      <c r="O335" s="165"/>
      <c r="P335" s="165"/>
      <c r="Q335" s="134"/>
      <c r="R335" s="12"/>
      <c r="AJ335" s="12"/>
    </row>
    <row r="336" ht="15.75" customHeight="1">
      <c r="B336" s="12"/>
      <c r="C336" s="7"/>
      <c r="E336" s="165"/>
      <c r="F336" s="165"/>
      <c r="G336" s="165"/>
      <c r="H336" s="165"/>
      <c r="I336" s="165"/>
      <c r="J336" s="165"/>
      <c r="K336" s="165"/>
      <c r="L336" s="165"/>
      <c r="M336" s="165"/>
      <c r="N336" s="165"/>
      <c r="O336" s="165"/>
      <c r="P336" s="165"/>
      <c r="Q336" s="134"/>
      <c r="R336" s="12"/>
      <c r="AJ336" s="12"/>
    </row>
    <row r="337" ht="15.75" customHeight="1">
      <c r="B337" s="12"/>
      <c r="C337" s="7"/>
      <c r="E337" s="165"/>
      <c r="F337" s="165"/>
      <c r="G337" s="165"/>
      <c r="H337" s="165"/>
      <c r="I337" s="165"/>
      <c r="J337" s="165"/>
      <c r="K337" s="165"/>
      <c r="L337" s="165"/>
      <c r="M337" s="165"/>
      <c r="N337" s="165"/>
      <c r="O337" s="165"/>
      <c r="P337" s="165"/>
      <c r="Q337" s="134"/>
      <c r="R337" s="12"/>
      <c r="AJ337" s="12"/>
    </row>
    <row r="338" ht="15.75" customHeight="1">
      <c r="B338" s="12"/>
      <c r="C338" s="7"/>
      <c r="E338" s="165"/>
      <c r="F338" s="165"/>
      <c r="G338" s="165"/>
      <c r="H338" s="165"/>
      <c r="I338" s="165"/>
      <c r="J338" s="165"/>
      <c r="K338" s="165"/>
      <c r="L338" s="165"/>
      <c r="M338" s="165"/>
      <c r="N338" s="165"/>
      <c r="O338" s="165"/>
      <c r="P338" s="165"/>
      <c r="Q338" s="134"/>
      <c r="R338" s="12"/>
      <c r="AJ338" s="12"/>
    </row>
    <row r="339" ht="15.75" customHeight="1">
      <c r="B339" s="12"/>
      <c r="C339" s="7"/>
      <c r="E339" s="165"/>
      <c r="F339" s="165"/>
      <c r="G339" s="165"/>
      <c r="H339" s="165"/>
      <c r="I339" s="165"/>
      <c r="J339" s="165"/>
      <c r="K339" s="165"/>
      <c r="L339" s="165"/>
      <c r="M339" s="165"/>
      <c r="N339" s="165"/>
      <c r="O339" s="165"/>
      <c r="P339" s="165"/>
      <c r="Q339" s="134"/>
      <c r="R339" s="12"/>
      <c r="AJ339" s="12"/>
    </row>
    <row r="340" ht="15.75" customHeight="1">
      <c r="B340" s="12"/>
      <c r="C340" s="7"/>
      <c r="E340" s="165"/>
      <c r="F340" s="165"/>
      <c r="G340" s="165"/>
      <c r="H340" s="165"/>
      <c r="I340" s="165"/>
      <c r="J340" s="165"/>
      <c r="K340" s="165"/>
      <c r="L340" s="165"/>
      <c r="M340" s="165"/>
      <c r="N340" s="165"/>
      <c r="O340" s="165"/>
      <c r="P340" s="165"/>
      <c r="Q340" s="134"/>
      <c r="R340" s="12"/>
      <c r="AJ340" s="12"/>
    </row>
    <row r="341" ht="15.75" customHeight="1">
      <c r="B341" s="12"/>
      <c r="C341" s="7"/>
      <c r="E341" s="165"/>
      <c r="F341" s="165"/>
      <c r="G341" s="165"/>
      <c r="H341" s="165"/>
      <c r="I341" s="165"/>
      <c r="J341" s="165"/>
      <c r="K341" s="165"/>
      <c r="L341" s="165"/>
      <c r="M341" s="165"/>
      <c r="N341" s="165"/>
      <c r="O341" s="165"/>
      <c r="P341" s="165"/>
      <c r="Q341" s="134"/>
      <c r="R341" s="12"/>
      <c r="AJ341" s="12"/>
    </row>
    <row r="342" ht="15.75" customHeight="1">
      <c r="B342" s="12"/>
      <c r="C342" s="7"/>
      <c r="E342" s="165"/>
      <c r="F342" s="165"/>
      <c r="G342" s="165"/>
      <c r="H342" s="165"/>
      <c r="I342" s="165"/>
      <c r="J342" s="165"/>
      <c r="K342" s="165"/>
      <c r="L342" s="165"/>
      <c r="M342" s="165"/>
      <c r="N342" s="165"/>
      <c r="O342" s="165"/>
      <c r="P342" s="165"/>
      <c r="Q342" s="134"/>
      <c r="R342" s="12"/>
      <c r="AJ342" s="12"/>
    </row>
    <row r="343" ht="15.75" customHeight="1">
      <c r="B343" s="12"/>
      <c r="C343" s="7"/>
      <c r="E343" s="165"/>
      <c r="F343" s="165"/>
      <c r="G343" s="165"/>
      <c r="H343" s="165"/>
      <c r="I343" s="165"/>
      <c r="J343" s="165"/>
      <c r="K343" s="165"/>
      <c r="L343" s="165"/>
      <c r="M343" s="165"/>
      <c r="N343" s="165"/>
      <c r="O343" s="165"/>
      <c r="P343" s="165"/>
      <c r="Q343" s="134"/>
      <c r="R343" s="12"/>
      <c r="AJ343" s="12"/>
    </row>
    <row r="344" ht="15.75" customHeight="1">
      <c r="B344" s="12"/>
      <c r="C344" s="7"/>
      <c r="E344" s="165"/>
      <c r="F344" s="165"/>
      <c r="G344" s="165"/>
      <c r="H344" s="165"/>
      <c r="I344" s="165"/>
      <c r="J344" s="165"/>
      <c r="K344" s="165"/>
      <c r="L344" s="165"/>
      <c r="M344" s="165"/>
      <c r="N344" s="165"/>
      <c r="O344" s="165"/>
      <c r="P344" s="165"/>
      <c r="Q344" s="134"/>
      <c r="R344" s="12"/>
      <c r="AJ344" s="12"/>
    </row>
    <row r="345" ht="15.75" customHeight="1">
      <c r="B345" s="12"/>
      <c r="C345" s="7"/>
      <c r="E345" s="165"/>
      <c r="F345" s="165"/>
      <c r="G345" s="165"/>
      <c r="H345" s="165"/>
      <c r="I345" s="165"/>
      <c r="J345" s="165"/>
      <c r="K345" s="165"/>
      <c r="L345" s="165"/>
      <c r="M345" s="165"/>
      <c r="N345" s="165"/>
      <c r="O345" s="165"/>
      <c r="P345" s="165"/>
      <c r="Q345" s="134"/>
      <c r="R345" s="12"/>
      <c r="AJ345" s="12"/>
    </row>
    <row r="346" ht="15.75" customHeight="1">
      <c r="B346" s="12"/>
      <c r="C346" s="7"/>
      <c r="E346" s="165"/>
      <c r="F346" s="165"/>
      <c r="G346" s="165"/>
      <c r="H346" s="165"/>
      <c r="I346" s="165"/>
      <c r="J346" s="165"/>
      <c r="K346" s="165"/>
      <c r="L346" s="165"/>
      <c r="M346" s="165"/>
      <c r="N346" s="165"/>
      <c r="O346" s="165"/>
      <c r="P346" s="165"/>
      <c r="Q346" s="134"/>
      <c r="R346" s="12"/>
      <c r="AJ346" s="12"/>
    </row>
    <row r="347" ht="15.75" customHeight="1">
      <c r="B347" s="12"/>
      <c r="C347" s="7"/>
      <c r="E347" s="165"/>
      <c r="F347" s="165"/>
      <c r="G347" s="165"/>
      <c r="H347" s="165"/>
      <c r="I347" s="165"/>
      <c r="J347" s="165"/>
      <c r="K347" s="165"/>
      <c r="L347" s="165"/>
      <c r="M347" s="165"/>
      <c r="N347" s="165"/>
      <c r="O347" s="165"/>
      <c r="P347" s="165"/>
      <c r="Q347" s="134"/>
      <c r="R347" s="12"/>
      <c r="AJ347" s="12"/>
    </row>
    <row r="348" ht="15.75" customHeight="1">
      <c r="B348" s="12"/>
      <c r="C348" s="7"/>
      <c r="E348" s="165"/>
      <c r="F348" s="165"/>
      <c r="G348" s="165"/>
      <c r="H348" s="165"/>
      <c r="I348" s="165"/>
      <c r="J348" s="165"/>
      <c r="K348" s="165"/>
      <c r="L348" s="165"/>
      <c r="M348" s="165"/>
      <c r="N348" s="165"/>
      <c r="O348" s="165"/>
      <c r="P348" s="165"/>
      <c r="Q348" s="134"/>
      <c r="R348" s="12"/>
      <c r="AJ348" s="12"/>
    </row>
    <row r="349" ht="15.75" customHeight="1">
      <c r="B349" s="12"/>
      <c r="C349" s="7"/>
      <c r="E349" s="165"/>
      <c r="F349" s="165"/>
      <c r="G349" s="165"/>
      <c r="H349" s="165"/>
      <c r="I349" s="165"/>
      <c r="J349" s="165"/>
      <c r="K349" s="165"/>
      <c r="L349" s="165"/>
      <c r="M349" s="165"/>
      <c r="N349" s="165"/>
      <c r="O349" s="165"/>
      <c r="P349" s="165"/>
      <c r="Q349" s="134"/>
      <c r="R349" s="12"/>
      <c r="AJ349" s="12"/>
    </row>
    <row r="350" ht="15.75" customHeight="1">
      <c r="B350" s="12"/>
      <c r="C350" s="7"/>
      <c r="E350" s="165"/>
      <c r="F350" s="165"/>
      <c r="G350" s="165"/>
      <c r="H350" s="165"/>
      <c r="I350" s="165"/>
      <c r="J350" s="165"/>
      <c r="K350" s="165"/>
      <c r="L350" s="165"/>
      <c r="M350" s="165"/>
      <c r="N350" s="165"/>
      <c r="O350" s="165"/>
      <c r="P350" s="165"/>
      <c r="Q350" s="134"/>
      <c r="R350" s="12"/>
      <c r="AJ350" s="12"/>
    </row>
    <row r="351" ht="15.75" customHeight="1">
      <c r="B351" s="12"/>
      <c r="C351" s="7"/>
      <c r="E351" s="165"/>
      <c r="F351" s="165"/>
      <c r="G351" s="165"/>
      <c r="H351" s="165"/>
      <c r="I351" s="165"/>
      <c r="J351" s="165"/>
      <c r="K351" s="165"/>
      <c r="L351" s="165"/>
      <c r="M351" s="165"/>
      <c r="N351" s="165"/>
      <c r="O351" s="165"/>
      <c r="P351" s="165"/>
      <c r="Q351" s="134"/>
      <c r="R351" s="12"/>
      <c r="AJ351" s="12"/>
    </row>
    <row r="352" ht="15.75" customHeight="1">
      <c r="B352" s="12"/>
      <c r="C352" s="7"/>
      <c r="E352" s="165"/>
      <c r="F352" s="165"/>
      <c r="G352" s="165"/>
      <c r="H352" s="165"/>
      <c r="I352" s="165"/>
      <c r="J352" s="165"/>
      <c r="K352" s="165"/>
      <c r="L352" s="165"/>
      <c r="M352" s="165"/>
      <c r="N352" s="165"/>
      <c r="O352" s="165"/>
      <c r="P352" s="165"/>
      <c r="Q352" s="134"/>
      <c r="R352" s="12"/>
      <c r="AJ352" s="12"/>
    </row>
    <row r="353" ht="15.75" customHeight="1">
      <c r="B353" s="12"/>
      <c r="C353" s="7"/>
      <c r="E353" s="165"/>
      <c r="F353" s="165"/>
      <c r="G353" s="165"/>
      <c r="H353" s="165"/>
      <c r="I353" s="165"/>
      <c r="J353" s="165"/>
      <c r="K353" s="165"/>
      <c r="L353" s="165"/>
      <c r="M353" s="165"/>
      <c r="N353" s="165"/>
      <c r="O353" s="165"/>
      <c r="P353" s="165"/>
      <c r="Q353" s="134"/>
      <c r="R353" s="12"/>
      <c r="AJ353" s="12"/>
    </row>
    <row r="354" ht="15.75" customHeight="1">
      <c r="B354" s="12"/>
      <c r="C354" s="7"/>
      <c r="E354" s="165"/>
      <c r="F354" s="165"/>
      <c r="G354" s="165"/>
      <c r="H354" s="165"/>
      <c r="I354" s="165"/>
      <c r="J354" s="165"/>
      <c r="K354" s="165"/>
      <c r="L354" s="165"/>
      <c r="M354" s="165"/>
      <c r="N354" s="165"/>
      <c r="O354" s="165"/>
      <c r="P354" s="165"/>
      <c r="Q354" s="134"/>
      <c r="R354" s="12"/>
      <c r="AJ354" s="12"/>
    </row>
    <row r="355" ht="15.75" customHeight="1">
      <c r="B355" s="12"/>
      <c r="C355" s="7"/>
      <c r="E355" s="165"/>
      <c r="F355" s="165"/>
      <c r="G355" s="165"/>
      <c r="H355" s="165"/>
      <c r="I355" s="165"/>
      <c r="J355" s="165"/>
      <c r="K355" s="165"/>
      <c r="L355" s="165"/>
      <c r="M355" s="165"/>
      <c r="N355" s="165"/>
      <c r="O355" s="165"/>
      <c r="P355" s="165"/>
      <c r="Q355" s="134"/>
      <c r="R355" s="12"/>
      <c r="AJ355" s="12"/>
    </row>
    <row r="356" ht="15.75" customHeight="1">
      <c r="B356" s="12"/>
      <c r="C356" s="7"/>
      <c r="E356" s="165"/>
      <c r="F356" s="165"/>
      <c r="G356" s="165"/>
      <c r="H356" s="165"/>
      <c r="I356" s="165"/>
      <c r="J356" s="165"/>
      <c r="K356" s="165"/>
      <c r="L356" s="165"/>
      <c r="M356" s="165"/>
      <c r="N356" s="165"/>
      <c r="O356" s="165"/>
      <c r="P356" s="165"/>
      <c r="Q356" s="134"/>
      <c r="R356" s="12"/>
      <c r="AJ356" s="12"/>
    </row>
    <row r="357" ht="15.75" customHeight="1">
      <c r="B357" s="12"/>
      <c r="C357" s="7"/>
      <c r="E357" s="165"/>
      <c r="F357" s="165"/>
      <c r="G357" s="165"/>
      <c r="H357" s="165"/>
      <c r="I357" s="165"/>
      <c r="J357" s="165"/>
      <c r="K357" s="165"/>
      <c r="L357" s="165"/>
      <c r="M357" s="165"/>
      <c r="N357" s="165"/>
      <c r="O357" s="165"/>
      <c r="P357" s="165"/>
      <c r="Q357" s="134"/>
      <c r="R357" s="12"/>
      <c r="AJ357" s="12"/>
    </row>
    <row r="358" ht="15.75" customHeight="1">
      <c r="B358" s="12"/>
      <c r="C358" s="7"/>
      <c r="E358" s="165"/>
      <c r="F358" s="165"/>
      <c r="G358" s="165"/>
      <c r="H358" s="165"/>
      <c r="I358" s="165"/>
      <c r="J358" s="165"/>
      <c r="K358" s="165"/>
      <c r="L358" s="165"/>
      <c r="M358" s="165"/>
      <c r="N358" s="165"/>
      <c r="O358" s="165"/>
      <c r="P358" s="165"/>
      <c r="Q358" s="134"/>
      <c r="R358" s="12"/>
      <c r="AJ358" s="12"/>
    </row>
    <row r="359" ht="15.75" customHeight="1">
      <c r="B359" s="12"/>
      <c r="C359" s="7"/>
      <c r="E359" s="165"/>
      <c r="F359" s="165"/>
      <c r="G359" s="165"/>
      <c r="H359" s="165"/>
      <c r="I359" s="165"/>
      <c r="J359" s="165"/>
      <c r="K359" s="165"/>
      <c r="L359" s="165"/>
      <c r="M359" s="165"/>
      <c r="N359" s="165"/>
      <c r="O359" s="165"/>
      <c r="P359" s="165"/>
      <c r="Q359" s="134"/>
      <c r="R359" s="12"/>
      <c r="AJ359" s="12"/>
    </row>
    <row r="360" ht="15.75" customHeight="1">
      <c r="B360" s="12"/>
      <c r="C360" s="7"/>
      <c r="E360" s="165"/>
      <c r="F360" s="165"/>
      <c r="G360" s="165"/>
      <c r="H360" s="165"/>
      <c r="I360" s="165"/>
      <c r="J360" s="165"/>
      <c r="K360" s="165"/>
      <c r="L360" s="165"/>
      <c r="M360" s="165"/>
      <c r="N360" s="165"/>
      <c r="O360" s="165"/>
      <c r="P360" s="165"/>
      <c r="Q360" s="134"/>
      <c r="R360" s="12"/>
      <c r="AJ360" s="12"/>
    </row>
    <row r="361" ht="15.75" customHeight="1">
      <c r="B361" s="12"/>
      <c r="C361" s="7"/>
      <c r="E361" s="165"/>
      <c r="F361" s="165"/>
      <c r="G361" s="165"/>
      <c r="H361" s="165"/>
      <c r="I361" s="165"/>
      <c r="J361" s="165"/>
      <c r="K361" s="165"/>
      <c r="L361" s="165"/>
      <c r="M361" s="165"/>
      <c r="N361" s="165"/>
      <c r="O361" s="165"/>
      <c r="P361" s="165"/>
      <c r="Q361" s="134"/>
      <c r="R361" s="12"/>
      <c r="AJ361" s="12"/>
    </row>
    <row r="362" ht="15.75" customHeight="1">
      <c r="B362" s="12"/>
      <c r="C362" s="7"/>
      <c r="E362" s="165"/>
      <c r="F362" s="165"/>
      <c r="G362" s="165"/>
      <c r="H362" s="165"/>
      <c r="I362" s="165"/>
      <c r="J362" s="165"/>
      <c r="K362" s="165"/>
      <c r="L362" s="165"/>
      <c r="M362" s="165"/>
      <c r="N362" s="165"/>
      <c r="O362" s="165"/>
      <c r="P362" s="165"/>
      <c r="Q362" s="134"/>
      <c r="R362" s="12"/>
      <c r="AJ362" s="12"/>
    </row>
    <row r="363" ht="15.75" customHeight="1">
      <c r="B363" s="12"/>
      <c r="C363" s="7"/>
      <c r="E363" s="165"/>
      <c r="F363" s="165"/>
      <c r="G363" s="165"/>
      <c r="H363" s="165"/>
      <c r="I363" s="165"/>
      <c r="J363" s="165"/>
      <c r="K363" s="165"/>
      <c r="L363" s="165"/>
      <c r="M363" s="165"/>
      <c r="N363" s="165"/>
      <c r="O363" s="165"/>
      <c r="P363" s="165"/>
      <c r="Q363" s="134"/>
      <c r="R363" s="12"/>
      <c r="AJ363" s="12"/>
    </row>
    <row r="364" ht="15.75" customHeight="1">
      <c r="B364" s="12"/>
      <c r="C364" s="7"/>
      <c r="E364" s="165"/>
      <c r="F364" s="165"/>
      <c r="G364" s="165"/>
      <c r="H364" s="165"/>
      <c r="I364" s="165"/>
      <c r="J364" s="165"/>
      <c r="K364" s="165"/>
      <c r="L364" s="165"/>
      <c r="M364" s="165"/>
      <c r="N364" s="165"/>
      <c r="O364" s="165"/>
      <c r="P364" s="165"/>
      <c r="Q364" s="134"/>
      <c r="R364" s="12"/>
      <c r="AJ364" s="12"/>
    </row>
    <row r="365" ht="15.75" customHeight="1">
      <c r="B365" s="12"/>
      <c r="C365" s="7"/>
      <c r="E365" s="165"/>
      <c r="F365" s="165"/>
      <c r="G365" s="165"/>
      <c r="H365" s="165"/>
      <c r="I365" s="165"/>
      <c r="J365" s="165"/>
      <c r="K365" s="165"/>
      <c r="L365" s="165"/>
      <c r="M365" s="165"/>
      <c r="N365" s="165"/>
      <c r="O365" s="165"/>
      <c r="P365" s="165"/>
      <c r="Q365" s="134"/>
      <c r="R365" s="12"/>
      <c r="AJ365" s="12"/>
    </row>
    <row r="366" ht="15.75" customHeight="1">
      <c r="B366" s="12"/>
      <c r="C366" s="7"/>
      <c r="E366" s="165"/>
      <c r="F366" s="165"/>
      <c r="G366" s="165"/>
      <c r="H366" s="165"/>
      <c r="I366" s="165"/>
      <c r="J366" s="165"/>
      <c r="K366" s="165"/>
      <c r="L366" s="165"/>
      <c r="M366" s="165"/>
      <c r="N366" s="165"/>
      <c r="O366" s="165"/>
      <c r="P366" s="165"/>
      <c r="Q366" s="134"/>
      <c r="R366" s="12"/>
      <c r="AJ366" s="12"/>
    </row>
    <row r="367" ht="15.75" customHeight="1">
      <c r="B367" s="12"/>
      <c r="C367" s="7"/>
      <c r="E367" s="165"/>
      <c r="F367" s="165"/>
      <c r="G367" s="165"/>
      <c r="H367" s="165"/>
      <c r="I367" s="165"/>
      <c r="J367" s="165"/>
      <c r="K367" s="165"/>
      <c r="L367" s="165"/>
      <c r="M367" s="165"/>
      <c r="N367" s="165"/>
      <c r="O367" s="165"/>
      <c r="P367" s="165"/>
      <c r="Q367" s="134"/>
      <c r="R367" s="12"/>
      <c r="AJ367" s="12"/>
    </row>
    <row r="368" ht="15.75" customHeight="1">
      <c r="B368" s="12"/>
      <c r="C368" s="7"/>
      <c r="E368" s="165"/>
      <c r="F368" s="165"/>
      <c r="G368" s="165"/>
      <c r="H368" s="165"/>
      <c r="I368" s="165"/>
      <c r="J368" s="165"/>
      <c r="K368" s="165"/>
      <c r="L368" s="165"/>
      <c r="M368" s="165"/>
      <c r="N368" s="165"/>
      <c r="O368" s="165"/>
      <c r="P368" s="165"/>
      <c r="Q368" s="134"/>
      <c r="R368" s="12"/>
      <c r="AJ368" s="12"/>
    </row>
    <row r="369" ht="15.75" customHeight="1">
      <c r="B369" s="12"/>
      <c r="C369" s="7"/>
      <c r="E369" s="165"/>
      <c r="F369" s="165"/>
      <c r="G369" s="165"/>
      <c r="H369" s="165"/>
      <c r="I369" s="165"/>
      <c r="J369" s="165"/>
      <c r="K369" s="165"/>
      <c r="L369" s="165"/>
      <c r="M369" s="165"/>
      <c r="N369" s="165"/>
      <c r="O369" s="165"/>
      <c r="P369" s="165"/>
      <c r="Q369" s="134"/>
      <c r="R369" s="12"/>
      <c r="AJ369" s="12"/>
    </row>
    <row r="370" ht="15.75" customHeight="1">
      <c r="B370" s="12"/>
      <c r="C370" s="7"/>
      <c r="E370" s="165"/>
      <c r="F370" s="165"/>
      <c r="G370" s="165"/>
      <c r="H370" s="165"/>
      <c r="I370" s="165"/>
      <c r="J370" s="165"/>
      <c r="K370" s="165"/>
      <c r="L370" s="165"/>
      <c r="M370" s="165"/>
      <c r="N370" s="165"/>
      <c r="O370" s="165"/>
      <c r="P370" s="165"/>
      <c r="Q370" s="134"/>
      <c r="R370" s="12"/>
      <c r="AJ370" s="12"/>
    </row>
    <row r="371" ht="15.75" customHeight="1">
      <c r="B371" s="12"/>
      <c r="C371" s="7"/>
      <c r="E371" s="165"/>
      <c r="F371" s="165"/>
      <c r="G371" s="165"/>
      <c r="H371" s="165"/>
      <c r="I371" s="165"/>
      <c r="J371" s="165"/>
      <c r="K371" s="165"/>
      <c r="L371" s="165"/>
      <c r="M371" s="165"/>
      <c r="N371" s="165"/>
      <c r="O371" s="165"/>
      <c r="P371" s="165"/>
      <c r="Q371" s="134"/>
      <c r="R371" s="12"/>
      <c r="AJ371" s="12"/>
    </row>
    <row r="372" ht="15.75" customHeight="1">
      <c r="B372" s="12"/>
      <c r="C372" s="7"/>
      <c r="E372" s="165"/>
      <c r="F372" s="165"/>
      <c r="G372" s="165"/>
      <c r="H372" s="165"/>
      <c r="I372" s="165"/>
      <c r="J372" s="165"/>
      <c r="K372" s="165"/>
      <c r="L372" s="165"/>
      <c r="M372" s="165"/>
      <c r="N372" s="165"/>
      <c r="O372" s="165"/>
      <c r="P372" s="165"/>
      <c r="Q372" s="134"/>
      <c r="R372" s="12"/>
      <c r="AJ372" s="12"/>
    </row>
    <row r="373" ht="15.75" customHeight="1">
      <c r="B373" s="12"/>
      <c r="C373" s="7"/>
      <c r="E373" s="165"/>
      <c r="F373" s="165"/>
      <c r="G373" s="165"/>
      <c r="H373" s="165"/>
      <c r="I373" s="165"/>
      <c r="J373" s="165"/>
      <c r="K373" s="165"/>
      <c r="L373" s="165"/>
      <c r="M373" s="165"/>
      <c r="N373" s="165"/>
      <c r="O373" s="165"/>
      <c r="P373" s="165"/>
      <c r="Q373" s="134"/>
      <c r="R373" s="12"/>
      <c r="AJ373" s="12"/>
    </row>
    <row r="374" ht="15.75" customHeight="1">
      <c r="B374" s="12"/>
      <c r="C374" s="7"/>
      <c r="E374" s="165"/>
      <c r="F374" s="165"/>
      <c r="G374" s="165"/>
      <c r="H374" s="165"/>
      <c r="I374" s="165"/>
      <c r="J374" s="165"/>
      <c r="K374" s="165"/>
      <c r="L374" s="165"/>
      <c r="M374" s="165"/>
      <c r="N374" s="165"/>
      <c r="O374" s="165"/>
      <c r="P374" s="165"/>
      <c r="Q374" s="134"/>
      <c r="R374" s="12"/>
      <c r="AJ374" s="12"/>
    </row>
    <row r="375" ht="15.75" customHeight="1">
      <c r="B375" s="12"/>
      <c r="C375" s="7"/>
      <c r="E375" s="165"/>
      <c r="F375" s="165"/>
      <c r="G375" s="165"/>
      <c r="H375" s="165"/>
      <c r="I375" s="165"/>
      <c r="J375" s="165"/>
      <c r="K375" s="165"/>
      <c r="L375" s="165"/>
      <c r="M375" s="165"/>
      <c r="N375" s="165"/>
      <c r="O375" s="165"/>
      <c r="P375" s="165"/>
      <c r="Q375" s="134"/>
      <c r="R375" s="12"/>
      <c r="AJ375" s="12"/>
    </row>
    <row r="376" ht="15.75" customHeight="1">
      <c r="B376" s="12"/>
      <c r="C376" s="7"/>
      <c r="E376" s="165"/>
      <c r="F376" s="165"/>
      <c r="G376" s="165"/>
      <c r="H376" s="165"/>
      <c r="I376" s="165"/>
      <c r="J376" s="165"/>
      <c r="K376" s="165"/>
      <c r="L376" s="165"/>
      <c r="M376" s="165"/>
      <c r="N376" s="165"/>
      <c r="O376" s="165"/>
      <c r="P376" s="165"/>
      <c r="Q376" s="134"/>
      <c r="R376" s="12"/>
      <c r="AJ376" s="12"/>
    </row>
    <row r="377" ht="15.75" customHeight="1">
      <c r="B377" s="12"/>
      <c r="C377" s="7"/>
      <c r="E377" s="165"/>
      <c r="F377" s="165"/>
      <c r="G377" s="165"/>
      <c r="H377" s="165"/>
      <c r="I377" s="165"/>
      <c r="J377" s="165"/>
      <c r="K377" s="165"/>
      <c r="L377" s="165"/>
      <c r="M377" s="165"/>
      <c r="N377" s="165"/>
      <c r="O377" s="165"/>
      <c r="P377" s="165"/>
      <c r="Q377" s="134"/>
      <c r="R377" s="12"/>
      <c r="AJ377" s="12"/>
    </row>
    <row r="378" ht="15.75" customHeight="1">
      <c r="B378" s="12"/>
      <c r="C378" s="7"/>
      <c r="E378" s="165"/>
      <c r="F378" s="165"/>
      <c r="G378" s="165"/>
      <c r="H378" s="165"/>
      <c r="I378" s="165"/>
      <c r="J378" s="165"/>
      <c r="K378" s="165"/>
      <c r="L378" s="165"/>
      <c r="M378" s="165"/>
      <c r="N378" s="165"/>
      <c r="O378" s="165"/>
      <c r="P378" s="165"/>
      <c r="Q378" s="134"/>
      <c r="R378" s="12"/>
      <c r="AJ378" s="12"/>
    </row>
    <row r="379" ht="15.75" customHeight="1">
      <c r="B379" s="12"/>
      <c r="C379" s="7"/>
      <c r="E379" s="165"/>
      <c r="F379" s="165"/>
      <c r="G379" s="165"/>
      <c r="H379" s="165"/>
      <c r="I379" s="165"/>
      <c r="J379" s="165"/>
      <c r="K379" s="165"/>
      <c r="L379" s="165"/>
      <c r="M379" s="165"/>
      <c r="N379" s="165"/>
      <c r="O379" s="165"/>
      <c r="P379" s="165"/>
      <c r="Q379" s="134"/>
      <c r="R379" s="12"/>
      <c r="AJ379" s="12"/>
    </row>
    <row r="380" ht="15.75" customHeight="1">
      <c r="B380" s="12"/>
      <c r="C380" s="7"/>
      <c r="E380" s="165"/>
      <c r="F380" s="165"/>
      <c r="G380" s="165"/>
      <c r="H380" s="165"/>
      <c r="I380" s="165"/>
      <c r="J380" s="165"/>
      <c r="K380" s="165"/>
      <c r="L380" s="165"/>
      <c r="M380" s="165"/>
      <c r="N380" s="165"/>
      <c r="O380" s="165"/>
      <c r="P380" s="165"/>
      <c r="Q380" s="134"/>
      <c r="R380" s="12"/>
      <c r="AJ380" s="12"/>
    </row>
    <row r="381" ht="15.75" customHeight="1">
      <c r="B381" s="12"/>
      <c r="C381" s="7"/>
      <c r="E381" s="165"/>
      <c r="F381" s="165"/>
      <c r="G381" s="165"/>
      <c r="H381" s="165"/>
      <c r="I381" s="165"/>
      <c r="J381" s="165"/>
      <c r="K381" s="165"/>
      <c r="L381" s="165"/>
      <c r="M381" s="165"/>
      <c r="N381" s="165"/>
      <c r="O381" s="165"/>
      <c r="P381" s="165"/>
      <c r="Q381" s="134"/>
      <c r="R381" s="12"/>
      <c r="AJ381" s="12"/>
    </row>
    <row r="382" ht="15.75" customHeight="1">
      <c r="B382" s="12"/>
      <c r="C382" s="7"/>
      <c r="E382" s="165"/>
      <c r="F382" s="165"/>
      <c r="G382" s="165"/>
      <c r="H382" s="165"/>
      <c r="I382" s="165"/>
      <c r="J382" s="165"/>
      <c r="K382" s="165"/>
      <c r="L382" s="165"/>
      <c r="M382" s="165"/>
      <c r="N382" s="165"/>
      <c r="O382" s="165"/>
      <c r="P382" s="165"/>
      <c r="Q382" s="134"/>
      <c r="R382" s="12"/>
      <c r="AJ382" s="12"/>
    </row>
    <row r="383" ht="15.75" customHeight="1">
      <c r="B383" s="12"/>
      <c r="C383" s="7"/>
      <c r="E383" s="165"/>
      <c r="F383" s="165"/>
      <c r="G383" s="165"/>
      <c r="H383" s="165"/>
      <c r="I383" s="165"/>
      <c r="J383" s="165"/>
      <c r="K383" s="165"/>
      <c r="L383" s="165"/>
      <c r="M383" s="165"/>
      <c r="N383" s="165"/>
      <c r="O383" s="165"/>
      <c r="P383" s="165"/>
      <c r="Q383" s="134"/>
      <c r="R383" s="12"/>
      <c r="AJ383" s="12"/>
    </row>
    <row r="384" ht="15.75" customHeight="1">
      <c r="B384" s="12"/>
      <c r="C384" s="7"/>
      <c r="E384" s="165"/>
      <c r="F384" s="165"/>
      <c r="G384" s="165"/>
      <c r="H384" s="165"/>
      <c r="I384" s="165"/>
      <c r="J384" s="165"/>
      <c r="K384" s="165"/>
      <c r="L384" s="165"/>
      <c r="M384" s="165"/>
      <c r="N384" s="165"/>
      <c r="O384" s="165"/>
      <c r="P384" s="165"/>
      <c r="Q384" s="134"/>
      <c r="R384" s="12"/>
      <c r="AJ384" s="12"/>
    </row>
    <row r="385" ht="15.75" customHeight="1">
      <c r="B385" s="12"/>
      <c r="C385" s="7"/>
      <c r="E385" s="165"/>
      <c r="F385" s="165"/>
      <c r="G385" s="165"/>
      <c r="H385" s="165"/>
      <c r="I385" s="165"/>
      <c r="J385" s="165"/>
      <c r="K385" s="165"/>
      <c r="L385" s="165"/>
      <c r="M385" s="165"/>
      <c r="N385" s="165"/>
      <c r="O385" s="165"/>
      <c r="P385" s="165"/>
      <c r="Q385" s="134"/>
      <c r="R385" s="12"/>
      <c r="AJ385" s="12"/>
    </row>
    <row r="386" ht="15.75" customHeight="1">
      <c r="B386" s="12"/>
      <c r="C386" s="7"/>
      <c r="E386" s="165"/>
      <c r="F386" s="165"/>
      <c r="G386" s="165"/>
      <c r="H386" s="165"/>
      <c r="I386" s="165"/>
      <c r="J386" s="165"/>
      <c r="K386" s="165"/>
      <c r="L386" s="165"/>
      <c r="M386" s="165"/>
      <c r="N386" s="165"/>
      <c r="O386" s="165"/>
      <c r="P386" s="165"/>
      <c r="Q386" s="134"/>
      <c r="R386" s="12"/>
      <c r="AJ386" s="12"/>
    </row>
    <row r="387" ht="15.75" customHeight="1">
      <c r="B387" s="12"/>
      <c r="C387" s="7"/>
      <c r="E387" s="165"/>
      <c r="F387" s="165"/>
      <c r="G387" s="165"/>
      <c r="H387" s="165"/>
      <c r="I387" s="165"/>
      <c r="J387" s="165"/>
      <c r="K387" s="165"/>
      <c r="L387" s="165"/>
      <c r="M387" s="165"/>
      <c r="N387" s="165"/>
      <c r="O387" s="165"/>
      <c r="P387" s="165"/>
      <c r="Q387" s="134"/>
      <c r="R387" s="12"/>
      <c r="AJ387" s="12"/>
    </row>
    <row r="388" ht="15.75" customHeight="1">
      <c r="B388" s="12"/>
      <c r="C388" s="7"/>
      <c r="E388" s="165"/>
      <c r="F388" s="165"/>
      <c r="G388" s="165"/>
      <c r="H388" s="165"/>
      <c r="I388" s="165"/>
      <c r="J388" s="165"/>
      <c r="K388" s="165"/>
      <c r="L388" s="165"/>
      <c r="M388" s="165"/>
      <c r="N388" s="165"/>
      <c r="O388" s="165"/>
      <c r="P388" s="165"/>
      <c r="Q388" s="134"/>
      <c r="R388" s="12"/>
      <c r="AJ388" s="12"/>
    </row>
    <row r="389" ht="15.75" customHeight="1">
      <c r="B389" s="12"/>
      <c r="C389" s="7"/>
      <c r="E389" s="165"/>
      <c r="F389" s="165"/>
      <c r="G389" s="165"/>
      <c r="H389" s="165"/>
      <c r="I389" s="165"/>
      <c r="J389" s="165"/>
      <c r="K389" s="165"/>
      <c r="L389" s="165"/>
      <c r="M389" s="165"/>
      <c r="N389" s="165"/>
      <c r="O389" s="165"/>
      <c r="P389" s="165"/>
      <c r="Q389" s="134"/>
      <c r="R389" s="12"/>
      <c r="AJ389" s="12"/>
    </row>
    <row r="390" ht="15.75" customHeight="1">
      <c r="B390" s="12"/>
      <c r="C390" s="7"/>
      <c r="E390" s="165"/>
      <c r="F390" s="165"/>
      <c r="G390" s="165"/>
      <c r="H390" s="165"/>
      <c r="I390" s="165"/>
      <c r="J390" s="165"/>
      <c r="K390" s="165"/>
      <c r="L390" s="165"/>
      <c r="M390" s="165"/>
      <c r="N390" s="165"/>
      <c r="O390" s="165"/>
      <c r="P390" s="165"/>
      <c r="Q390" s="134"/>
      <c r="R390" s="12"/>
      <c r="AJ390" s="12"/>
    </row>
    <row r="391" ht="15.75" customHeight="1">
      <c r="B391" s="12"/>
      <c r="C391" s="7"/>
      <c r="E391" s="165"/>
      <c r="F391" s="165"/>
      <c r="G391" s="165"/>
      <c r="H391" s="165"/>
      <c r="I391" s="165"/>
      <c r="J391" s="165"/>
      <c r="K391" s="165"/>
      <c r="L391" s="165"/>
      <c r="M391" s="165"/>
      <c r="N391" s="165"/>
      <c r="O391" s="165"/>
      <c r="P391" s="165"/>
      <c r="Q391" s="134"/>
      <c r="R391" s="12"/>
      <c r="AJ391" s="12"/>
    </row>
    <row r="392" ht="15.75" customHeight="1">
      <c r="B392" s="12"/>
      <c r="C392" s="7"/>
      <c r="E392" s="165"/>
      <c r="F392" s="165"/>
      <c r="G392" s="165"/>
      <c r="H392" s="165"/>
      <c r="I392" s="165"/>
      <c r="J392" s="165"/>
      <c r="K392" s="165"/>
      <c r="L392" s="165"/>
      <c r="M392" s="165"/>
      <c r="N392" s="165"/>
      <c r="O392" s="165"/>
      <c r="P392" s="165"/>
      <c r="Q392" s="134"/>
      <c r="R392" s="12"/>
      <c r="AJ392" s="12"/>
    </row>
    <row r="393" ht="15.75" customHeight="1">
      <c r="B393" s="12"/>
      <c r="C393" s="7"/>
      <c r="E393" s="165"/>
      <c r="F393" s="165"/>
      <c r="G393" s="165"/>
      <c r="H393" s="165"/>
      <c r="I393" s="165"/>
      <c r="J393" s="165"/>
      <c r="K393" s="165"/>
      <c r="L393" s="165"/>
      <c r="M393" s="165"/>
      <c r="N393" s="165"/>
      <c r="O393" s="165"/>
      <c r="P393" s="165"/>
      <c r="Q393" s="134"/>
      <c r="R393" s="12"/>
      <c r="AJ393" s="12"/>
    </row>
    <row r="394" ht="15.75" customHeight="1">
      <c r="B394" s="12"/>
      <c r="C394" s="7"/>
      <c r="E394" s="165"/>
      <c r="F394" s="165"/>
      <c r="G394" s="165"/>
      <c r="H394" s="165"/>
      <c r="I394" s="165"/>
      <c r="J394" s="165"/>
      <c r="K394" s="165"/>
      <c r="L394" s="165"/>
      <c r="M394" s="165"/>
      <c r="N394" s="165"/>
      <c r="O394" s="165"/>
      <c r="P394" s="165"/>
      <c r="Q394" s="134"/>
      <c r="R394" s="12"/>
      <c r="AJ394" s="12"/>
    </row>
    <row r="395" ht="15.75" customHeight="1">
      <c r="B395" s="12"/>
      <c r="C395" s="7"/>
      <c r="E395" s="165"/>
      <c r="F395" s="165"/>
      <c r="G395" s="165"/>
      <c r="H395" s="165"/>
      <c r="I395" s="165"/>
      <c r="J395" s="165"/>
      <c r="K395" s="165"/>
      <c r="L395" s="165"/>
      <c r="M395" s="165"/>
      <c r="N395" s="165"/>
      <c r="O395" s="165"/>
      <c r="P395" s="165"/>
      <c r="Q395" s="134"/>
      <c r="R395" s="12"/>
      <c r="AJ395" s="12"/>
    </row>
    <row r="396" ht="15.75" customHeight="1">
      <c r="B396" s="12"/>
      <c r="C396" s="7"/>
      <c r="E396" s="165"/>
      <c r="F396" s="165"/>
      <c r="G396" s="165"/>
      <c r="H396" s="165"/>
      <c r="I396" s="165"/>
      <c r="J396" s="165"/>
      <c r="K396" s="165"/>
      <c r="L396" s="165"/>
      <c r="M396" s="165"/>
      <c r="N396" s="165"/>
      <c r="O396" s="165"/>
      <c r="P396" s="165"/>
      <c r="Q396" s="134"/>
      <c r="R396" s="12"/>
      <c r="AJ396" s="12"/>
    </row>
    <row r="397" ht="15.75" customHeight="1">
      <c r="B397" s="12"/>
      <c r="C397" s="7"/>
      <c r="E397" s="165"/>
      <c r="F397" s="165"/>
      <c r="G397" s="165"/>
      <c r="H397" s="165"/>
      <c r="I397" s="165"/>
      <c r="J397" s="165"/>
      <c r="K397" s="165"/>
      <c r="L397" s="165"/>
      <c r="M397" s="165"/>
      <c r="N397" s="165"/>
      <c r="O397" s="165"/>
      <c r="P397" s="165"/>
      <c r="Q397" s="134"/>
      <c r="R397" s="12"/>
      <c r="AJ397" s="12"/>
    </row>
    <row r="398" ht="15.75" customHeight="1">
      <c r="B398" s="12"/>
      <c r="C398" s="7"/>
      <c r="E398" s="165"/>
      <c r="F398" s="165"/>
      <c r="G398" s="165"/>
      <c r="H398" s="165"/>
      <c r="I398" s="165"/>
      <c r="J398" s="165"/>
      <c r="K398" s="165"/>
      <c r="L398" s="165"/>
      <c r="M398" s="165"/>
      <c r="N398" s="165"/>
      <c r="O398" s="165"/>
      <c r="P398" s="165"/>
      <c r="Q398" s="134"/>
      <c r="R398" s="12"/>
      <c r="AJ398" s="12"/>
    </row>
    <row r="399" ht="15.75" customHeight="1">
      <c r="B399" s="12"/>
      <c r="C399" s="7"/>
      <c r="E399" s="165"/>
      <c r="F399" s="165"/>
      <c r="G399" s="165"/>
      <c r="H399" s="165"/>
      <c r="I399" s="165"/>
      <c r="J399" s="165"/>
      <c r="K399" s="165"/>
      <c r="L399" s="165"/>
      <c r="M399" s="165"/>
      <c r="N399" s="165"/>
      <c r="O399" s="165"/>
      <c r="P399" s="165"/>
      <c r="Q399" s="134"/>
      <c r="R399" s="12"/>
      <c r="AJ399" s="12"/>
    </row>
    <row r="400" ht="15.75" customHeight="1">
      <c r="B400" s="12"/>
      <c r="C400" s="7"/>
      <c r="E400" s="165"/>
      <c r="F400" s="165"/>
      <c r="G400" s="165"/>
      <c r="H400" s="165"/>
      <c r="I400" s="165"/>
      <c r="J400" s="165"/>
      <c r="K400" s="165"/>
      <c r="L400" s="165"/>
      <c r="M400" s="165"/>
      <c r="N400" s="165"/>
      <c r="O400" s="165"/>
      <c r="P400" s="165"/>
      <c r="Q400" s="134"/>
      <c r="R400" s="12"/>
      <c r="AJ400" s="12"/>
    </row>
    <row r="401" ht="15.75" customHeight="1">
      <c r="B401" s="12"/>
      <c r="C401" s="7"/>
      <c r="E401" s="165"/>
      <c r="F401" s="165"/>
      <c r="G401" s="165"/>
      <c r="H401" s="165"/>
      <c r="I401" s="165"/>
      <c r="J401" s="165"/>
      <c r="K401" s="165"/>
      <c r="L401" s="165"/>
      <c r="M401" s="165"/>
      <c r="N401" s="165"/>
      <c r="O401" s="165"/>
      <c r="P401" s="165"/>
      <c r="Q401" s="134"/>
      <c r="R401" s="12"/>
      <c r="AJ401" s="12"/>
    </row>
    <row r="402" ht="15.75" customHeight="1">
      <c r="B402" s="12"/>
      <c r="C402" s="7"/>
      <c r="E402" s="165"/>
      <c r="F402" s="165"/>
      <c r="G402" s="165"/>
      <c r="H402" s="165"/>
      <c r="I402" s="165"/>
      <c r="J402" s="165"/>
      <c r="K402" s="165"/>
      <c r="L402" s="165"/>
      <c r="M402" s="165"/>
      <c r="N402" s="165"/>
      <c r="O402" s="165"/>
      <c r="P402" s="165"/>
      <c r="Q402" s="134"/>
      <c r="R402" s="12"/>
      <c r="AJ402" s="12"/>
    </row>
    <row r="403" ht="15.75" customHeight="1">
      <c r="B403" s="12"/>
      <c r="C403" s="7"/>
      <c r="E403" s="165"/>
      <c r="F403" s="165"/>
      <c r="G403" s="165"/>
      <c r="H403" s="165"/>
      <c r="I403" s="165"/>
      <c r="J403" s="165"/>
      <c r="K403" s="165"/>
      <c r="L403" s="165"/>
      <c r="M403" s="165"/>
      <c r="N403" s="165"/>
      <c r="O403" s="165"/>
      <c r="P403" s="165"/>
      <c r="Q403" s="134"/>
      <c r="R403" s="12"/>
      <c r="AJ403" s="12"/>
    </row>
    <row r="404" ht="15.75" customHeight="1">
      <c r="B404" s="12"/>
      <c r="C404" s="7"/>
      <c r="E404" s="165"/>
      <c r="F404" s="165"/>
      <c r="G404" s="165"/>
      <c r="H404" s="165"/>
      <c r="I404" s="165"/>
      <c r="J404" s="165"/>
      <c r="K404" s="165"/>
      <c r="L404" s="165"/>
      <c r="M404" s="165"/>
      <c r="N404" s="165"/>
      <c r="O404" s="165"/>
      <c r="P404" s="165"/>
      <c r="Q404" s="134"/>
      <c r="R404" s="12"/>
      <c r="AJ404" s="12"/>
    </row>
    <row r="405" ht="15.75" customHeight="1">
      <c r="B405" s="12"/>
      <c r="C405" s="7"/>
      <c r="E405" s="165"/>
      <c r="F405" s="165"/>
      <c r="G405" s="165"/>
      <c r="H405" s="165"/>
      <c r="I405" s="165"/>
      <c r="J405" s="165"/>
      <c r="K405" s="165"/>
      <c r="L405" s="165"/>
      <c r="M405" s="165"/>
      <c r="N405" s="165"/>
      <c r="O405" s="165"/>
      <c r="P405" s="165"/>
      <c r="Q405" s="134"/>
      <c r="R405" s="12"/>
      <c r="AJ405" s="12"/>
    </row>
    <row r="406" ht="15.75" customHeight="1">
      <c r="B406" s="12"/>
      <c r="C406" s="7"/>
      <c r="E406" s="165"/>
      <c r="F406" s="165"/>
      <c r="G406" s="165"/>
      <c r="H406" s="165"/>
      <c r="I406" s="165"/>
      <c r="J406" s="165"/>
      <c r="K406" s="165"/>
      <c r="L406" s="165"/>
      <c r="M406" s="165"/>
      <c r="N406" s="165"/>
      <c r="O406" s="165"/>
      <c r="P406" s="165"/>
      <c r="Q406" s="134"/>
      <c r="R406" s="12"/>
      <c r="AJ406" s="12"/>
    </row>
    <row r="407" ht="15.75" customHeight="1">
      <c r="B407" s="12"/>
      <c r="C407" s="7"/>
      <c r="E407" s="165"/>
      <c r="F407" s="165"/>
      <c r="G407" s="165"/>
      <c r="H407" s="165"/>
      <c r="I407" s="165"/>
      <c r="J407" s="165"/>
      <c r="K407" s="165"/>
      <c r="L407" s="165"/>
      <c r="M407" s="165"/>
      <c r="N407" s="165"/>
      <c r="O407" s="165"/>
      <c r="P407" s="165"/>
      <c r="Q407" s="134"/>
      <c r="R407" s="12"/>
      <c r="AJ407" s="12"/>
    </row>
    <row r="408" ht="15.75" customHeight="1">
      <c r="B408" s="12"/>
      <c r="C408" s="7"/>
      <c r="E408" s="165"/>
      <c r="F408" s="165"/>
      <c r="G408" s="165"/>
      <c r="H408" s="165"/>
      <c r="I408" s="165"/>
      <c r="J408" s="165"/>
      <c r="K408" s="165"/>
      <c r="L408" s="165"/>
      <c r="M408" s="165"/>
      <c r="N408" s="165"/>
      <c r="O408" s="165"/>
      <c r="P408" s="165"/>
      <c r="Q408" s="134"/>
      <c r="R408" s="12"/>
      <c r="AJ408" s="12"/>
    </row>
    <row r="409" ht="15.75" customHeight="1">
      <c r="B409" s="12"/>
      <c r="C409" s="7"/>
      <c r="E409" s="165"/>
      <c r="F409" s="165"/>
      <c r="G409" s="165"/>
      <c r="H409" s="165"/>
      <c r="I409" s="165"/>
      <c r="J409" s="165"/>
      <c r="K409" s="165"/>
      <c r="L409" s="165"/>
      <c r="M409" s="165"/>
      <c r="N409" s="165"/>
      <c r="O409" s="165"/>
      <c r="P409" s="165"/>
      <c r="Q409" s="134"/>
      <c r="R409" s="12"/>
      <c r="AJ409" s="12"/>
    </row>
    <row r="410" ht="15.75" customHeight="1">
      <c r="B410" s="12"/>
      <c r="C410" s="7"/>
      <c r="E410" s="165"/>
      <c r="F410" s="165"/>
      <c r="G410" s="165"/>
      <c r="H410" s="165"/>
      <c r="I410" s="165"/>
      <c r="J410" s="165"/>
      <c r="K410" s="165"/>
      <c r="L410" s="165"/>
      <c r="M410" s="165"/>
      <c r="N410" s="165"/>
      <c r="O410" s="165"/>
      <c r="P410" s="165"/>
      <c r="Q410" s="134"/>
      <c r="R410" s="12"/>
      <c r="AJ410" s="12"/>
    </row>
    <row r="411" ht="15.75" customHeight="1">
      <c r="B411" s="12"/>
      <c r="C411" s="7"/>
      <c r="E411" s="165"/>
      <c r="F411" s="165"/>
      <c r="G411" s="165"/>
      <c r="H411" s="165"/>
      <c r="I411" s="165"/>
      <c r="J411" s="165"/>
      <c r="K411" s="165"/>
      <c r="L411" s="165"/>
      <c r="M411" s="165"/>
      <c r="N411" s="165"/>
      <c r="O411" s="165"/>
      <c r="P411" s="165"/>
      <c r="Q411" s="134"/>
      <c r="R411" s="12"/>
      <c r="AJ411" s="12"/>
    </row>
    <row r="412" ht="15.75" customHeight="1">
      <c r="B412" s="12"/>
      <c r="C412" s="7"/>
      <c r="E412" s="165"/>
      <c r="F412" s="165"/>
      <c r="G412" s="165"/>
      <c r="H412" s="165"/>
      <c r="I412" s="165"/>
      <c r="J412" s="165"/>
      <c r="K412" s="165"/>
      <c r="L412" s="165"/>
      <c r="M412" s="165"/>
      <c r="N412" s="165"/>
      <c r="O412" s="165"/>
      <c r="P412" s="165"/>
      <c r="Q412" s="134"/>
      <c r="R412" s="12"/>
      <c r="AJ412" s="12"/>
    </row>
    <row r="413" ht="15.75" customHeight="1">
      <c r="B413" s="12"/>
      <c r="C413" s="7"/>
      <c r="E413" s="165"/>
      <c r="F413" s="165"/>
      <c r="G413" s="165"/>
      <c r="H413" s="165"/>
      <c r="I413" s="165"/>
      <c r="J413" s="165"/>
      <c r="K413" s="165"/>
      <c r="L413" s="165"/>
      <c r="M413" s="165"/>
      <c r="N413" s="165"/>
      <c r="O413" s="165"/>
      <c r="P413" s="165"/>
      <c r="Q413" s="134"/>
      <c r="R413" s="12"/>
      <c r="AJ413" s="12"/>
    </row>
    <row r="414" ht="15.75" customHeight="1">
      <c r="B414" s="12"/>
      <c r="C414" s="7"/>
      <c r="E414" s="165"/>
      <c r="F414" s="165"/>
      <c r="G414" s="165"/>
      <c r="H414" s="165"/>
      <c r="I414" s="165"/>
      <c r="J414" s="165"/>
      <c r="K414" s="165"/>
      <c r="L414" s="165"/>
      <c r="M414" s="165"/>
      <c r="N414" s="165"/>
      <c r="O414" s="165"/>
      <c r="P414" s="165"/>
      <c r="Q414" s="134"/>
      <c r="R414" s="12"/>
      <c r="AJ414" s="12"/>
    </row>
    <row r="415" ht="15.75" customHeight="1">
      <c r="B415" s="12"/>
      <c r="C415" s="7"/>
      <c r="E415" s="165"/>
      <c r="F415" s="165"/>
      <c r="G415" s="165"/>
      <c r="H415" s="165"/>
      <c r="I415" s="165"/>
      <c r="J415" s="165"/>
      <c r="K415" s="165"/>
      <c r="L415" s="165"/>
      <c r="M415" s="165"/>
      <c r="N415" s="165"/>
      <c r="O415" s="165"/>
      <c r="P415" s="165"/>
      <c r="Q415" s="134"/>
      <c r="R415" s="12"/>
      <c r="AJ415" s="12"/>
    </row>
    <row r="416" ht="15.75" customHeight="1">
      <c r="B416" s="12"/>
      <c r="C416" s="7"/>
      <c r="E416" s="165"/>
      <c r="F416" s="165"/>
      <c r="G416" s="165"/>
      <c r="H416" s="165"/>
      <c r="I416" s="165"/>
      <c r="J416" s="165"/>
      <c r="K416" s="165"/>
      <c r="L416" s="165"/>
      <c r="M416" s="165"/>
      <c r="N416" s="165"/>
      <c r="O416" s="165"/>
      <c r="P416" s="165"/>
      <c r="Q416" s="134"/>
      <c r="R416" s="12"/>
      <c r="AJ416" s="12"/>
    </row>
    <row r="417" ht="15.75" customHeight="1">
      <c r="B417" s="12"/>
      <c r="C417" s="7"/>
      <c r="E417" s="165"/>
      <c r="F417" s="165"/>
      <c r="G417" s="165"/>
      <c r="H417" s="165"/>
      <c r="I417" s="165"/>
      <c r="J417" s="165"/>
      <c r="K417" s="165"/>
      <c r="L417" s="165"/>
      <c r="M417" s="165"/>
      <c r="N417" s="165"/>
      <c r="O417" s="165"/>
      <c r="P417" s="165"/>
      <c r="Q417" s="134"/>
      <c r="R417" s="12"/>
      <c r="AJ417" s="12"/>
    </row>
    <row r="418" ht="15.75" customHeight="1">
      <c r="B418" s="12"/>
      <c r="C418" s="7"/>
      <c r="E418" s="165"/>
      <c r="F418" s="165"/>
      <c r="G418" s="165"/>
      <c r="H418" s="165"/>
      <c r="I418" s="165"/>
      <c r="J418" s="165"/>
      <c r="K418" s="165"/>
      <c r="L418" s="165"/>
      <c r="M418" s="165"/>
      <c r="N418" s="165"/>
      <c r="O418" s="165"/>
      <c r="P418" s="165"/>
      <c r="Q418" s="134"/>
      <c r="R418" s="12"/>
      <c r="AJ418" s="12"/>
    </row>
    <row r="419" ht="15.75" customHeight="1">
      <c r="B419" s="12"/>
      <c r="C419" s="7"/>
      <c r="E419" s="165"/>
      <c r="F419" s="165"/>
      <c r="G419" s="165"/>
      <c r="H419" s="165"/>
      <c r="I419" s="165"/>
      <c r="J419" s="165"/>
      <c r="K419" s="165"/>
      <c r="L419" s="165"/>
      <c r="M419" s="165"/>
      <c r="N419" s="165"/>
      <c r="O419" s="165"/>
      <c r="P419" s="165"/>
      <c r="Q419" s="134"/>
      <c r="R419" s="12"/>
      <c r="AJ419" s="12"/>
    </row>
    <row r="420" ht="15.75" customHeight="1">
      <c r="B420" s="12"/>
      <c r="C420" s="7"/>
      <c r="E420" s="165"/>
      <c r="F420" s="165"/>
      <c r="G420" s="165"/>
      <c r="H420" s="165"/>
      <c r="I420" s="165"/>
      <c r="J420" s="165"/>
      <c r="K420" s="165"/>
      <c r="L420" s="165"/>
      <c r="M420" s="165"/>
      <c r="N420" s="165"/>
      <c r="O420" s="165"/>
      <c r="P420" s="165"/>
      <c r="Q420" s="134"/>
      <c r="R420" s="12"/>
      <c r="AJ420" s="12"/>
    </row>
    <row r="421" ht="15.75" customHeight="1">
      <c r="B421" s="12"/>
      <c r="C421" s="7"/>
      <c r="E421" s="165"/>
      <c r="F421" s="165"/>
      <c r="G421" s="165"/>
      <c r="H421" s="165"/>
      <c r="I421" s="165"/>
      <c r="J421" s="165"/>
      <c r="K421" s="165"/>
      <c r="L421" s="165"/>
      <c r="M421" s="165"/>
      <c r="N421" s="165"/>
      <c r="O421" s="165"/>
      <c r="P421" s="165"/>
      <c r="Q421" s="134"/>
      <c r="R421" s="12"/>
      <c r="AJ421" s="12"/>
    </row>
    <row r="422" ht="15.75" customHeight="1">
      <c r="B422" s="12"/>
      <c r="C422" s="7"/>
      <c r="E422" s="165"/>
      <c r="F422" s="165"/>
      <c r="G422" s="165"/>
      <c r="H422" s="165"/>
      <c r="I422" s="165"/>
      <c r="J422" s="165"/>
      <c r="K422" s="165"/>
      <c r="L422" s="165"/>
      <c r="M422" s="165"/>
      <c r="N422" s="165"/>
      <c r="O422" s="165"/>
      <c r="P422" s="165"/>
      <c r="Q422" s="134"/>
      <c r="R422" s="12"/>
      <c r="AJ422" s="12"/>
    </row>
    <row r="423" ht="15.75" customHeight="1">
      <c r="B423" s="12"/>
      <c r="C423" s="7"/>
      <c r="E423" s="165"/>
      <c r="F423" s="165"/>
      <c r="G423" s="165"/>
      <c r="H423" s="165"/>
      <c r="I423" s="165"/>
      <c r="J423" s="165"/>
      <c r="K423" s="165"/>
      <c r="L423" s="165"/>
      <c r="M423" s="165"/>
      <c r="N423" s="165"/>
      <c r="O423" s="165"/>
      <c r="P423" s="165"/>
      <c r="Q423" s="134"/>
      <c r="R423" s="12"/>
      <c r="AJ423" s="12"/>
    </row>
    <row r="424" ht="15.75" customHeight="1">
      <c r="B424" s="12"/>
      <c r="C424" s="7"/>
      <c r="E424" s="165"/>
      <c r="F424" s="165"/>
      <c r="G424" s="165"/>
      <c r="H424" s="165"/>
      <c r="I424" s="165"/>
      <c r="J424" s="165"/>
      <c r="K424" s="165"/>
      <c r="L424" s="165"/>
      <c r="M424" s="165"/>
      <c r="N424" s="165"/>
      <c r="O424" s="165"/>
      <c r="P424" s="165"/>
      <c r="Q424" s="134"/>
      <c r="R424" s="12"/>
      <c r="AJ424" s="12"/>
    </row>
    <row r="425" ht="15.75" customHeight="1">
      <c r="B425" s="12"/>
      <c r="C425" s="7"/>
      <c r="E425" s="165"/>
      <c r="F425" s="165"/>
      <c r="G425" s="165"/>
      <c r="H425" s="165"/>
      <c r="I425" s="165"/>
      <c r="J425" s="165"/>
      <c r="K425" s="165"/>
      <c r="L425" s="165"/>
      <c r="M425" s="165"/>
      <c r="N425" s="165"/>
      <c r="O425" s="165"/>
      <c r="P425" s="165"/>
      <c r="Q425" s="134"/>
      <c r="R425" s="12"/>
      <c r="AJ425" s="12"/>
    </row>
    <row r="426" ht="15.75" customHeight="1">
      <c r="B426" s="12"/>
      <c r="C426" s="7"/>
      <c r="E426" s="165"/>
      <c r="F426" s="165"/>
      <c r="G426" s="165"/>
      <c r="H426" s="165"/>
      <c r="I426" s="165"/>
      <c r="J426" s="165"/>
      <c r="K426" s="165"/>
      <c r="L426" s="165"/>
      <c r="M426" s="165"/>
      <c r="N426" s="165"/>
      <c r="O426" s="165"/>
      <c r="P426" s="165"/>
      <c r="Q426" s="134"/>
      <c r="R426" s="12"/>
      <c r="AJ426" s="12"/>
    </row>
    <row r="427" ht="15.75" customHeight="1">
      <c r="B427" s="12"/>
      <c r="C427" s="7"/>
      <c r="E427" s="165"/>
      <c r="F427" s="165"/>
      <c r="G427" s="165"/>
      <c r="H427" s="165"/>
      <c r="I427" s="165"/>
      <c r="J427" s="165"/>
      <c r="K427" s="165"/>
      <c r="L427" s="165"/>
      <c r="M427" s="165"/>
      <c r="N427" s="165"/>
      <c r="O427" s="165"/>
      <c r="P427" s="165"/>
      <c r="Q427" s="134"/>
      <c r="R427" s="12"/>
      <c r="AJ427" s="12"/>
    </row>
    <row r="428" ht="15.75" customHeight="1">
      <c r="B428" s="12"/>
      <c r="C428" s="7"/>
      <c r="E428" s="165"/>
      <c r="F428" s="165"/>
      <c r="G428" s="165"/>
      <c r="H428" s="165"/>
      <c r="I428" s="165"/>
      <c r="J428" s="165"/>
      <c r="K428" s="165"/>
      <c r="L428" s="165"/>
      <c r="M428" s="165"/>
      <c r="N428" s="165"/>
      <c r="O428" s="165"/>
      <c r="P428" s="165"/>
      <c r="Q428" s="134"/>
      <c r="R428" s="12"/>
      <c r="AJ428" s="12"/>
    </row>
    <row r="429" ht="15.75" customHeight="1">
      <c r="B429" s="12"/>
      <c r="C429" s="7"/>
      <c r="E429" s="165"/>
      <c r="F429" s="165"/>
      <c r="G429" s="165"/>
      <c r="H429" s="165"/>
      <c r="I429" s="165"/>
      <c r="J429" s="165"/>
      <c r="K429" s="165"/>
      <c r="L429" s="165"/>
      <c r="M429" s="165"/>
      <c r="N429" s="165"/>
      <c r="O429" s="165"/>
      <c r="P429" s="165"/>
      <c r="Q429" s="134"/>
      <c r="R429" s="12"/>
      <c r="AJ429" s="12"/>
    </row>
    <row r="430" ht="15.75" customHeight="1">
      <c r="B430" s="12"/>
      <c r="C430" s="7"/>
      <c r="E430" s="165"/>
      <c r="F430" s="165"/>
      <c r="G430" s="165"/>
      <c r="H430" s="165"/>
      <c r="I430" s="165"/>
      <c r="J430" s="165"/>
      <c r="K430" s="165"/>
      <c r="L430" s="165"/>
      <c r="M430" s="165"/>
      <c r="N430" s="165"/>
      <c r="O430" s="165"/>
      <c r="P430" s="165"/>
      <c r="Q430" s="134"/>
      <c r="R430" s="12"/>
      <c r="AJ430" s="12"/>
    </row>
    <row r="431" ht="15.75" customHeight="1">
      <c r="B431" s="12"/>
      <c r="C431" s="7"/>
      <c r="E431" s="165"/>
      <c r="F431" s="165"/>
      <c r="G431" s="165"/>
      <c r="H431" s="165"/>
      <c r="I431" s="165"/>
      <c r="J431" s="165"/>
      <c r="K431" s="165"/>
      <c r="L431" s="165"/>
      <c r="M431" s="165"/>
      <c r="N431" s="165"/>
      <c r="O431" s="165"/>
      <c r="P431" s="165"/>
      <c r="Q431" s="134"/>
      <c r="R431" s="12"/>
      <c r="AJ431" s="12"/>
    </row>
    <row r="432" ht="15.75" customHeight="1">
      <c r="B432" s="12"/>
      <c r="C432" s="7"/>
      <c r="E432" s="165"/>
      <c r="F432" s="165"/>
      <c r="G432" s="165"/>
      <c r="H432" s="165"/>
      <c r="I432" s="165"/>
      <c r="J432" s="165"/>
      <c r="K432" s="165"/>
      <c r="L432" s="165"/>
      <c r="M432" s="165"/>
      <c r="N432" s="165"/>
      <c r="O432" s="165"/>
      <c r="P432" s="165"/>
      <c r="Q432" s="134"/>
      <c r="R432" s="12"/>
      <c r="AJ432" s="12"/>
    </row>
    <row r="433" ht="15.75" customHeight="1">
      <c r="B433" s="12"/>
      <c r="C433" s="7"/>
      <c r="E433" s="165"/>
      <c r="F433" s="165"/>
      <c r="G433" s="165"/>
      <c r="H433" s="165"/>
      <c r="I433" s="165"/>
      <c r="J433" s="165"/>
      <c r="K433" s="165"/>
      <c r="L433" s="165"/>
      <c r="M433" s="165"/>
      <c r="N433" s="165"/>
      <c r="O433" s="165"/>
      <c r="P433" s="165"/>
      <c r="Q433" s="134"/>
      <c r="R433" s="12"/>
      <c r="AJ433" s="12"/>
    </row>
    <row r="434" ht="15.75" customHeight="1">
      <c r="B434" s="12"/>
      <c r="C434" s="7"/>
      <c r="E434" s="165"/>
      <c r="F434" s="165"/>
      <c r="G434" s="165"/>
      <c r="H434" s="165"/>
      <c r="I434" s="165"/>
      <c r="J434" s="165"/>
      <c r="K434" s="165"/>
      <c r="L434" s="165"/>
      <c r="M434" s="165"/>
      <c r="N434" s="165"/>
      <c r="O434" s="165"/>
      <c r="P434" s="165"/>
      <c r="Q434" s="134"/>
      <c r="R434" s="12"/>
      <c r="AJ434" s="12"/>
    </row>
    <row r="435" ht="15.75" customHeight="1">
      <c r="B435" s="12"/>
      <c r="C435" s="7"/>
      <c r="E435" s="165"/>
      <c r="F435" s="165"/>
      <c r="G435" s="165"/>
      <c r="H435" s="165"/>
      <c r="I435" s="165"/>
      <c r="J435" s="165"/>
      <c r="K435" s="165"/>
      <c r="L435" s="165"/>
      <c r="M435" s="165"/>
      <c r="N435" s="165"/>
      <c r="O435" s="165"/>
      <c r="P435" s="165"/>
      <c r="Q435" s="134"/>
      <c r="R435" s="12"/>
      <c r="AJ435" s="12"/>
    </row>
    <row r="436" ht="15.75" customHeight="1">
      <c r="B436" s="12"/>
      <c r="C436" s="7"/>
      <c r="E436" s="165"/>
      <c r="F436" s="165"/>
      <c r="G436" s="165"/>
      <c r="H436" s="165"/>
      <c r="I436" s="165"/>
      <c r="J436" s="165"/>
      <c r="K436" s="165"/>
      <c r="L436" s="165"/>
      <c r="M436" s="165"/>
      <c r="N436" s="165"/>
      <c r="O436" s="165"/>
      <c r="P436" s="165"/>
      <c r="Q436" s="134"/>
      <c r="R436" s="12"/>
      <c r="AJ436" s="12"/>
    </row>
    <row r="437" ht="15.75" customHeight="1">
      <c r="B437" s="12"/>
      <c r="C437" s="7"/>
      <c r="E437" s="165"/>
      <c r="F437" s="165"/>
      <c r="G437" s="165"/>
      <c r="H437" s="165"/>
      <c r="I437" s="165"/>
      <c r="J437" s="165"/>
      <c r="K437" s="165"/>
      <c r="L437" s="165"/>
      <c r="M437" s="165"/>
      <c r="N437" s="165"/>
      <c r="O437" s="165"/>
      <c r="P437" s="165"/>
      <c r="Q437" s="134"/>
      <c r="R437" s="12"/>
      <c r="AJ437" s="12"/>
    </row>
    <row r="438" ht="15.75" customHeight="1">
      <c r="B438" s="12"/>
      <c r="C438" s="7"/>
      <c r="E438" s="165"/>
      <c r="F438" s="165"/>
      <c r="G438" s="165"/>
      <c r="H438" s="165"/>
      <c r="I438" s="165"/>
      <c r="J438" s="165"/>
      <c r="K438" s="165"/>
      <c r="L438" s="165"/>
      <c r="M438" s="165"/>
      <c r="N438" s="165"/>
      <c r="O438" s="165"/>
      <c r="P438" s="165"/>
      <c r="Q438" s="134"/>
      <c r="R438" s="12"/>
      <c r="AJ438" s="12"/>
    </row>
    <row r="439" ht="15.75" customHeight="1">
      <c r="B439" s="12"/>
      <c r="C439" s="7"/>
      <c r="E439" s="165"/>
      <c r="F439" s="165"/>
      <c r="G439" s="165"/>
      <c r="H439" s="165"/>
      <c r="I439" s="165"/>
      <c r="J439" s="165"/>
      <c r="K439" s="165"/>
      <c r="L439" s="165"/>
      <c r="M439" s="165"/>
      <c r="N439" s="165"/>
      <c r="O439" s="165"/>
      <c r="P439" s="165"/>
      <c r="Q439" s="134"/>
      <c r="R439" s="12"/>
      <c r="AJ439" s="12"/>
    </row>
    <row r="440" ht="15.75" customHeight="1">
      <c r="B440" s="12"/>
      <c r="C440" s="7"/>
      <c r="E440" s="165"/>
      <c r="F440" s="165"/>
      <c r="G440" s="165"/>
      <c r="H440" s="165"/>
      <c r="I440" s="165"/>
      <c r="J440" s="165"/>
      <c r="K440" s="165"/>
      <c r="L440" s="165"/>
      <c r="M440" s="165"/>
      <c r="N440" s="165"/>
      <c r="O440" s="165"/>
      <c r="P440" s="165"/>
      <c r="Q440" s="134"/>
      <c r="R440" s="12"/>
      <c r="AJ440" s="12"/>
    </row>
    <row r="441" ht="15.75" customHeight="1">
      <c r="B441" s="12"/>
      <c r="C441" s="7"/>
      <c r="E441" s="165"/>
      <c r="F441" s="165"/>
      <c r="G441" s="165"/>
      <c r="H441" s="165"/>
      <c r="I441" s="165"/>
      <c r="J441" s="165"/>
      <c r="K441" s="165"/>
      <c r="L441" s="165"/>
      <c r="M441" s="165"/>
      <c r="N441" s="165"/>
      <c r="O441" s="165"/>
      <c r="P441" s="165"/>
      <c r="Q441" s="134"/>
      <c r="R441" s="12"/>
      <c r="AJ441" s="12"/>
    </row>
    <row r="442" ht="15.75" customHeight="1">
      <c r="B442" s="12"/>
      <c r="C442" s="7"/>
      <c r="E442" s="165"/>
      <c r="F442" s="165"/>
      <c r="G442" s="165"/>
      <c r="H442" s="165"/>
      <c r="I442" s="165"/>
      <c r="J442" s="165"/>
      <c r="K442" s="165"/>
      <c r="L442" s="165"/>
      <c r="M442" s="165"/>
      <c r="N442" s="165"/>
      <c r="O442" s="165"/>
      <c r="P442" s="165"/>
      <c r="Q442" s="134"/>
      <c r="R442" s="12"/>
      <c r="AJ442" s="12"/>
    </row>
    <row r="443" ht="15.75" customHeight="1">
      <c r="B443" s="12"/>
      <c r="C443" s="7"/>
      <c r="E443" s="165"/>
      <c r="F443" s="165"/>
      <c r="G443" s="165"/>
      <c r="H443" s="165"/>
      <c r="I443" s="165"/>
      <c r="J443" s="165"/>
      <c r="K443" s="165"/>
      <c r="L443" s="165"/>
      <c r="M443" s="165"/>
      <c r="N443" s="165"/>
      <c r="O443" s="165"/>
      <c r="P443" s="165"/>
      <c r="Q443" s="134"/>
      <c r="R443" s="12"/>
      <c r="AJ443" s="12"/>
    </row>
    <row r="444" ht="15.75" customHeight="1">
      <c r="B444" s="12"/>
      <c r="C444" s="7"/>
      <c r="E444" s="165"/>
      <c r="F444" s="165"/>
      <c r="G444" s="165"/>
      <c r="H444" s="165"/>
      <c r="I444" s="165"/>
      <c r="J444" s="165"/>
      <c r="K444" s="165"/>
      <c r="L444" s="165"/>
      <c r="M444" s="165"/>
      <c r="N444" s="165"/>
      <c r="O444" s="165"/>
      <c r="P444" s="165"/>
      <c r="Q444" s="134"/>
      <c r="R444" s="12"/>
      <c r="AJ444" s="12"/>
    </row>
    <row r="445" ht="15.75" customHeight="1">
      <c r="B445" s="12"/>
      <c r="C445" s="7"/>
      <c r="E445" s="165"/>
      <c r="F445" s="165"/>
      <c r="G445" s="165"/>
      <c r="H445" s="165"/>
      <c r="I445" s="165"/>
      <c r="J445" s="165"/>
      <c r="K445" s="165"/>
      <c r="L445" s="165"/>
      <c r="M445" s="165"/>
      <c r="N445" s="165"/>
      <c r="O445" s="165"/>
      <c r="P445" s="165"/>
      <c r="Q445" s="134"/>
      <c r="R445" s="12"/>
      <c r="AJ445" s="12"/>
    </row>
    <row r="446" ht="15.75" customHeight="1">
      <c r="B446" s="12"/>
      <c r="C446" s="7"/>
      <c r="E446" s="165"/>
      <c r="F446" s="165"/>
      <c r="G446" s="165"/>
      <c r="H446" s="165"/>
      <c r="I446" s="165"/>
      <c r="J446" s="165"/>
      <c r="K446" s="165"/>
      <c r="L446" s="165"/>
      <c r="M446" s="165"/>
      <c r="N446" s="165"/>
      <c r="O446" s="165"/>
      <c r="P446" s="165"/>
      <c r="Q446" s="134"/>
      <c r="R446" s="12"/>
      <c r="AJ446" s="12"/>
    </row>
    <row r="447" ht="15.75" customHeight="1">
      <c r="B447" s="12"/>
      <c r="C447" s="7"/>
      <c r="E447" s="165"/>
      <c r="F447" s="165"/>
      <c r="G447" s="165"/>
      <c r="H447" s="165"/>
      <c r="I447" s="165"/>
      <c r="J447" s="165"/>
      <c r="K447" s="165"/>
      <c r="L447" s="165"/>
      <c r="M447" s="165"/>
      <c r="N447" s="165"/>
      <c r="O447" s="165"/>
      <c r="P447" s="165"/>
      <c r="Q447" s="134"/>
      <c r="R447" s="12"/>
      <c r="AJ447" s="12"/>
    </row>
    <row r="448" ht="15.75" customHeight="1">
      <c r="B448" s="12"/>
      <c r="C448" s="7"/>
      <c r="E448" s="165"/>
      <c r="F448" s="165"/>
      <c r="G448" s="165"/>
      <c r="H448" s="165"/>
      <c r="I448" s="165"/>
      <c r="J448" s="165"/>
      <c r="K448" s="165"/>
      <c r="L448" s="165"/>
      <c r="M448" s="165"/>
      <c r="N448" s="165"/>
      <c r="O448" s="165"/>
      <c r="P448" s="165"/>
      <c r="Q448" s="134"/>
      <c r="R448" s="12"/>
      <c r="AJ448" s="12"/>
    </row>
    <row r="449" ht="15.75" customHeight="1">
      <c r="B449" s="12"/>
      <c r="C449" s="7"/>
      <c r="E449" s="165"/>
      <c r="F449" s="165"/>
      <c r="G449" s="165"/>
      <c r="H449" s="165"/>
      <c r="I449" s="165"/>
      <c r="J449" s="165"/>
      <c r="K449" s="165"/>
      <c r="L449" s="165"/>
      <c r="M449" s="165"/>
      <c r="N449" s="165"/>
      <c r="O449" s="165"/>
      <c r="P449" s="165"/>
      <c r="Q449" s="134"/>
      <c r="R449" s="12"/>
      <c r="AJ449" s="12"/>
    </row>
    <row r="450" ht="15.75" customHeight="1">
      <c r="B450" s="12"/>
      <c r="C450" s="7"/>
      <c r="E450" s="165"/>
      <c r="F450" s="165"/>
      <c r="G450" s="165"/>
      <c r="H450" s="165"/>
      <c r="I450" s="165"/>
      <c r="J450" s="165"/>
      <c r="K450" s="165"/>
      <c r="L450" s="165"/>
      <c r="M450" s="165"/>
      <c r="N450" s="165"/>
      <c r="O450" s="165"/>
      <c r="P450" s="165"/>
      <c r="Q450" s="134"/>
      <c r="R450" s="12"/>
      <c r="AJ450" s="12"/>
    </row>
    <row r="451" ht="15.75" customHeight="1">
      <c r="B451" s="12"/>
      <c r="C451" s="7"/>
      <c r="E451" s="165"/>
      <c r="F451" s="165"/>
      <c r="G451" s="165"/>
      <c r="H451" s="165"/>
      <c r="I451" s="165"/>
      <c r="J451" s="165"/>
      <c r="K451" s="165"/>
      <c r="L451" s="165"/>
      <c r="M451" s="165"/>
      <c r="N451" s="165"/>
      <c r="O451" s="165"/>
      <c r="P451" s="165"/>
      <c r="Q451" s="134"/>
      <c r="R451" s="12"/>
      <c r="AJ451" s="12"/>
    </row>
    <row r="452" ht="15.75" customHeight="1">
      <c r="B452" s="12"/>
      <c r="C452" s="7"/>
      <c r="E452" s="165"/>
      <c r="F452" s="165"/>
      <c r="G452" s="165"/>
      <c r="H452" s="165"/>
      <c r="I452" s="165"/>
      <c r="J452" s="165"/>
      <c r="K452" s="165"/>
      <c r="L452" s="165"/>
      <c r="M452" s="165"/>
      <c r="N452" s="165"/>
      <c r="O452" s="165"/>
      <c r="P452" s="165"/>
      <c r="Q452" s="134"/>
      <c r="R452" s="12"/>
      <c r="AJ452" s="12"/>
    </row>
    <row r="453" ht="15.75" customHeight="1">
      <c r="B453" s="12"/>
      <c r="C453" s="7"/>
      <c r="E453" s="165"/>
      <c r="F453" s="165"/>
      <c r="G453" s="165"/>
      <c r="H453" s="165"/>
      <c r="I453" s="165"/>
      <c r="J453" s="165"/>
      <c r="K453" s="165"/>
      <c r="L453" s="165"/>
      <c r="M453" s="165"/>
      <c r="N453" s="165"/>
      <c r="O453" s="165"/>
      <c r="P453" s="165"/>
      <c r="Q453" s="134"/>
      <c r="R453" s="12"/>
      <c r="AJ453" s="12"/>
    </row>
    <row r="454" ht="15.75" customHeight="1">
      <c r="B454" s="12"/>
      <c r="C454" s="7"/>
      <c r="E454" s="165"/>
      <c r="F454" s="165"/>
      <c r="G454" s="165"/>
      <c r="H454" s="165"/>
      <c r="I454" s="165"/>
      <c r="J454" s="165"/>
      <c r="K454" s="165"/>
      <c r="L454" s="165"/>
      <c r="M454" s="165"/>
      <c r="N454" s="165"/>
      <c r="O454" s="165"/>
      <c r="P454" s="165"/>
      <c r="Q454" s="134"/>
      <c r="R454" s="12"/>
      <c r="AJ454" s="12"/>
    </row>
    <row r="455" ht="15.75" customHeight="1">
      <c r="B455" s="12"/>
      <c r="C455" s="7"/>
      <c r="E455" s="165"/>
      <c r="F455" s="165"/>
      <c r="G455" s="165"/>
      <c r="H455" s="165"/>
      <c r="I455" s="165"/>
      <c r="J455" s="165"/>
      <c r="K455" s="165"/>
      <c r="L455" s="165"/>
      <c r="M455" s="165"/>
      <c r="N455" s="165"/>
      <c r="O455" s="165"/>
      <c r="P455" s="165"/>
      <c r="Q455" s="134"/>
      <c r="R455" s="12"/>
      <c r="AJ455" s="12"/>
    </row>
    <row r="456" ht="15.75" customHeight="1">
      <c r="B456" s="12"/>
      <c r="C456" s="7"/>
      <c r="E456" s="165"/>
      <c r="F456" s="165"/>
      <c r="G456" s="165"/>
      <c r="H456" s="165"/>
      <c r="I456" s="165"/>
      <c r="J456" s="165"/>
      <c r="K456" s="165"/>
      <c r="L456" s="165"/>
      <c r="M456" s="165"/>
      <c r="N456" s="165"/>
      <c r="O456" s="165"/>
      <c r="P456" s="165"/>
      <c r="Q456" s="134"/>
      <c r="R456" s="12"/>
      <c r="AJ456" s="12"/>
    </row>
    <row r="457" ht="15.75" customHeight="1">
      <c r="B457" s="12"/>
      <c r="C457" s="7"/>
      <c r="E457" s="165"/>
      <c r="F457" s="165"/>
      <c r="G457" s="165"/>
      <c r="H457" s="165"/>
      <c r="I457" s="165"/>
      <c r="J457" s="165"/>
      <c r="K457" s="165"/>
      <c r="L457" s="165"/>
      <c r="M457" s="165"/>
      <c r="N457" s="165"/>
      <c r="O457" s="165"/>
      <c r="P457" s="165"/>
      <c r="Q457" s="134"/>
      <c r="R457" s="12"/>
      <c r="AJ457" s="12"/>
    </row>
    <row r="458" ht="15.75" customHeight="1">
      <c r="B458" s="12"/>
      <c r="C458" s="7"/>
      <c r="E458" s="165"/>
      <c r="F458" s="165"/>
      <c r="G458" s="165"/>
      <c r="H458" s="165"/>
      <c r="I458" s="165"/>
      <c r="J458" s="165"/>
      <c r="K458" s="165"/>
      <c r="L458" s="165"/>
      <c r="M458" s="165"/>
      <c r="N458" s="165"/>
      <c r="O458" s="165"/>
      <c r="P458" s="165"/>
      <c r="Q458" s="134"/>
      <c r="R458" s="12"/>
      <c r="AJ458" s="12"/>
    </row>
    <row r="459" ht="15.75" customHeight="1">
      <c r="B459" s="12"/>
      <c r="C459" s="7"/>
      <c r="E459" s="165"/>
      <c r="F459" s="165"/>
      <c r="G459" s="165"/>
      <c r="H459" s="165"/>
      <c r="I459" s="165"/>
      <c r="J459" s="165"/>
      <c r="K459" s="165"/>
      <c r="L459" s="165"/>
      <c r="M459" s="165"/>
      <c r="N459" s="165"/>
      <c r="O459" s="165"/>
      <c r="P459" s="165"/>
      <c r="Q459" s="134"/>
      <c r="R459" s="12"/>
      <c r="AJ459" s="12"/>
    </row>
    <row r="460" ht="15.75" customHeight="1">
      <c r="B460" s="12"/>
      <c r="C460" s="7"/>
      <c r="E460" s="165"/>
      <c r="F460" s="165"/>
      <c r="G460" s="165"/>
      <c r="H460" s="165"/>
      <c r="I460" s="165"/>
      <c r="J460" s="165"/>
      <c r="K460" s="165"/>
      <c r="L460" s="165"/>
      <c r="M460" s="165"/>
      <c r="N460" s="165"/>
      <c r="O460" s="165"/>
      <c r="P460" s="165"/>
      <c r="Q460" s="134"/>
      <c r="R460" s="12"/>
      <c r="AJ460" s="12"/>
    </row>
    <row r="461" ht="15.75" customHeight="1">
      <c r="B461" s="12"/>
      <c r="C461" s="7"/>
      <c r="E461" s="165"/>
      <c r="F461" s="165"/>
      <c r="G461" s="165"/>
      <c r="H461" s="165"/>
      <c r="I461" s="165"/>
      <c r="J461" s="165"/>
      <c r="K461" s="165"/>
      <c r="L461" s="165"/>
      <c r="M461" s="165"/>
      <c r="N461" s="165"/>
      <c r="O461" s="165"/>
      <c r="P461" s="165"/>
      <c r="Q461" s="134"/>
      <c r="R461" s="12"/>
      <c r="AJ461" s="12"/>
    </row>
    <row r="462" ht="15.75" customHeight="1">
      <c r="B462" s="12"/>
      <c r="C462" s="7"/>
      <c r="E462" s="165"/>
      <c r="F462" s="165"/>
      <c r="G462" s="165"/>
      <c r="H462" s="165"/>
      <c r="I462" s="165"/>
      <c r="J462" s="165"/>
      <c r="K462" s="165"/>
      <c r="L462" s="165"/>
      <c r="M462" s="165"/>
      <c r="N462" s="165"/>
      <c r="O462" s="165"/>
      <c r="P462" s="165"/>
      <c r="Q462" s="134"/>
      <c r="R462" s="12"/>
      <c r="AJ462" s="12"/>
    </row>
    <row r="463" ht="15.75" customHeight="1">
      <c r="B463" s="12"/>
      <c r="C463" s="7"/>
      <c r="E463" s="165"/>
      <c r="F463" s="165"/>
      <c r="G463" s="165"/>
      <c r="H463" s="165"/>
      <c r="I463" s="165"/>
      <c r="J463" s="165"/>
      <c r="K463" s="165"/>
      <c r="L463" s="165"/>
      <c r="M463" s="165"/>
      <c r="N463" s="165"/>
      <c r="O463" s="165"/>
      <c r="P463" s="165"/>
      <c r="Q463" s="134"/>
      <c r="R463" s="12"/>
      <c r="AJ463" s="12"/>
    </row>
    <row r="464" ht="15.75" customHeight="1">
      <c r="B464" s="12"/>
      <c r="C464" s="7"/>
      <c r="E464" s="165"/>
      <c r="F464" s="165"/>
      <c r="G464" s="165"/>
      <c r="H464" s="165"/>
      <c r="I464" s="165"/>
      <c r="J464" s="165"/>
      <c r="K464" s="165"/>
      <c r="L464" s="165"/>
      <c r="M464" s="165"/>
      <c r="N464" s="165"/>
      <c r="O464" s="165"/>
      <c r="P464" s="165"/>
      <c r="Q464" s="134"/>
      <c r="R464" s="12"/>
      <c r="AJ464" s="12"/>
    </row>
    <row r="465" ht="15.75" customHeight="1">
      <c r="B465" s="12"/>
      <c r="C465" s="7"/>
      <c r="E465" s="165"/>
      <c r="F465" s="165"/>
      <c r="G465" s="165"/>
      <c r="H465" s="165"/>
      <c r="I465" s="165"/>
      <c r="J465" s="165"/>
      <c r="K465" s="165"/>
      <c r="L465" s="165"/>
      <c r="M465" s="165"/>
      <c r="N465" s="165"/>
      <c r="O465" s="165"/>
      <c r="P465" s="165"/>
      <c r="Q465" s="134"/>
      <c r="R465" s="12"/>
      <c r="AJ465" s="12"/>
    </row>
    <row r="466" ht="15.75" customHeight="1">
      <c r="B466" s="12"/>
      <c r="C466" s="7"/>
      <c r="E466" s="165"/>
      <c r="F466" s="165"/>
      <c r="G466" s="165"/>
      <c r="H466" s="165"/>
      <c r="I466" s="165"/>
      <c r="J466" s="165"/>
      <c r="K466" s="165"/>
      <c r="L466" s="165"/>
      <c r="M466" s="165"/>
      <c r="N466" s="165"/>
      <c r="O466" s="165"/>
      <c r="P466" s="165"/>
      <c r="Q466" s="134"/>
      <c r="R466" s="12"/>
      <c r="AJ466" s="12"/>
    </row>
    <row r="467" ht="15.75" customHeight="1">
      <c r="B467" s="12"/>
      <c r="C467" s="7"/>
      <c r="E467" s="165"/>
      <c r="F467" s="165"/>
      <c r="G467" s="165"/>
      <c r="H467" s="165"/>
      <c r="I467" s="165"/>
      <c r="J467" s="165"/>
      <c r="K467" s="165"/>
      <c r="L467" s="165"/>
      <c r="M467" s="165"/>
      <c r="N467" s="165"/>
      <c r="O467" s="165"/>
      <c r="P467" s="165"/>
      <c r="Q467" s="134"/>
      <c r="R467" s="12"/>
      <c r="AJ467" s="12"/>
    </row>
    <row r="468" ht="15.75" customHeight="1">
      <c r="B468" s="12"/>
      <c r="C468" s="7"/>
      <c r="E468" s="165"/>
      <c r="F468" s="165"/>
      <c r="G468" s="165"/>
      <c r="H468" s="165"/>
      <c r="I468" s="165"/>
      <c r="J468" s="165"/>
      <c r="K468" s="165"/>
      <c r="L468" s="165"/>
      <c r="M468" s="165"/>
      <c r="N468" s="165"/>
      <c r="O468" s="165"/>
      <c r="P468" s="165"/>
      <c r="Q468" s="134"/>
      <c r="R468" s="12"/>
      <c r="AJ468" s="12"/>
    </row>
    <row r="469" ht="15.75" customHeight="1">
      <c r="B469" s="12"/>
      <c r="C469" s="7"/>
      <c r="E469" s="165"/>
      <c r="F469" s="165"/>
      <c r="G469" s="165"/>
      <c r="H469" s="165"/>
      <c r="I469" s="165"/>
      <c r="J469" s="165"/>
      <c r="K469" s="165"/>
      <c r="L469" s="165"/>
      <c r="M469" s="165"/>
      <c r="N469" s="165"/>
      <c r="O469" s="165"/>
      <c r="P469" s="165"/>
      <c r="Q469" s="134"/>
      <c r="R469" s="12"/>
      <c r="AJ469" s="12"/>
    </row>
    <row r="470" ht="15.75" customHeight="1">
      <c r="B470" s="12"/>
      <c r="C470" s="7"/>
      <c r="E470" s="165"/>
      <c r="F470" s="165"/>
      <c r="G470" s="165"/>
      <c r="H470" s="165"/>
      <c r="I470" s="165"/>
      <c r="J470" s="165"/>
      <c r="K470" s="165"/>
      <c r="L470" s="165"/>
      <c r="M470" s="165"/>
      <c r="N470" s="165"/>
      <c r="O470" s="165"/>
      <c r="P470" s="165"/>
      <c r="Q470" s="134"/>
      <c r="R470" s="12"/>
      <c r="AJ470" s="12"/>
    </row>
    <row r="471" ht="15.75" customHeight="1">
      <c r="B471" s="12"/>
      <c r="C471" s="7"/>
      <c r="E471" s="165"/>
      <c r="F471" s="165"/>
      <c r="G471" s="165"/>
      <c r="H471" s="165"/>
      <c r="I471" s="165"/>
      <c r="J471" s="165"/>
      <c r="K471" s="165"/>
      <c r="L471" s="165"/>
      <c r="M471" s="165"/>
      <c r="N471" s="165"/>
      <c r="O471" s="165"/>
      <c r="P471" s="165"/>
      <c r="Q471" s="134"/>
      <c r="R471" s="12"/>
      <c r="AJ471" s="12"/>
    </row>
    <row r="472" ht="15.75" customHeight="1">
      <c r="B472" s="12"/>
      <c r="C472" s="7"/>
      <c r="E472" s="165"/>
      <c r="F472" s="165"/>
      <c r="G472" s="165"/>
      <c r="H472" s="165"/>
      <c r="I472" s="165"/>
      <c r="J472" s="165"/>
      <c r="K472" s="165"/>
      <c r="L472" s="165"/>
      <c r="M472" s="165"/>
      <c r="N472" s="165"/>
      <c r="O472" s="165"/>
      <c r="P472" s="165"/>
      <c r="Q472" s="134"/>
      <c r="R472" s="12"/>
      <c r="AJ472" s="12"/>
    </row>
    <row r="473" ht="15.75" customHeight="1">
      <c r="B473" s="12"/>
      <c r="C473" s="7"/>
      <c r="E473" s="165"/>
      <c r="F473" s="165"/>
      <c r="G473" s="165"/>
      <c r="H473" s="165"/>
      <c r="I473" s="165"/>
      <c r="J473" s="165"/>
      <c r="K473" s="165"/>
      <c r="L473" s="165"/>
      <c r="M473" s="165"/>
      <c r="N473" s="165"/>
      <c r="O473" s="165"/>
      <c r="P473" s="165"/>
      <c r="Q473" s="134"/>
      <c r="R473" s="12"/>
      <c r="AJ473" s="12"/>
    </row>
    <row r="474" ht="15.75" customHeight="1">
      <c r="B474" s="12"/>
      <c r="C474" s="7"/>
      <c r="E474" s="165"/>
      <c r="F474" s="165"/>
      <c r="G474" s="165"/>
      <c r="H474" s="165"/>
      <c r="I474" s="165"/>
      <c r="J474" s="165"/>
      <c r="K474" s="165"/>
      <c r="L474" s="165"/>
      <c r="M474" s="165"/>
      <c r="N474" s="165"/>
      <c r="O474" s="165"/>
      <c r="P474" s="165"/>
      <c r="Q474" s="134"/>
      <c r="R474" s="12"/>
      <c r="AJ474" s="12"/>
    </row>
    <row r="475" ht="15.75" customHeight="1">
      <c r="B475" s="12"/>
      <c r="C475" s="7"/>
      <c r="E475" s="165"/>
      <c r="F475" s="165"/>
      <c r="G475" s="165"/>
      <c r="H475" s="165"/>
      <c r="I475" s="165"/>
      <c r="J475" s="165"/>
      <c r="K475" s="165"/>
      <c r="L475" s="165"/>
      <c r="M475" s="165"/>
      <c r="N475" s="165"/>
      <c r="O475" s="165"/>
      <c r="P475" s="165"/>
      <c r="Q475" s="134"/>
      <c r="R475" s="12"/>
      <c r="AJ475" s="12"/>
    </row>
    <row r="476" ht="15.75" customHeight="1">
      <c r="B476" s="12"/>
      <c r="C476" s="7"/>
      <c r="E476" s="165"/>
      <c r="F476" s="165"/>
      <c r="G476" s="165"/>
      <c r="H476" s="165"/>
      <c r="I476" s="165"/>
      <c r="J476" s="165"/>
      <c r="K476" s="165"/>
      <c r="L476" s="165"/>
      <c r="M476" s="165"/>
      <c r="N476" s="165"/>
      <c r="O476" s="165"/>
      <c r="P476" s="165"/>
      <c r="Q476" s="134"/>
      <c r="R476" s="12"/>
      <c r="AJ476" s="12"/>
    </row>
    <row r="477" ht="15.75" customHeight="1">
      <c r="B477" s="12"/>
      <c r="C477" s="7"/>
      <c r="E477" s="165"/>
      <c r="F477" s="165"/>
      <c r="G477" s="165"/>
      <c r="H477" s="165"/>
      <c r="I477" s="165"/>
      <c r="J477" s="165"/>
      <c r="K477" s="165"/>
      <c r="L477" s="165"/>
      <c r="M477" s="165"/>
      <c r="N477" s="165"/>
      <c r="O477" s="165"/>
      <c r="P477" s="165"/>
      <c r="Q477" s="134"/>
      <c r="R477" s="12"/>
      <c r="AJ477" s="12"/>
    </row>
    <row r="478" ht="15.75" customHeight="1">
      <c r="B478" s="12"/>
      <c r="C478" s="7"/>
      <c r="E478" s="165"/>
      <c r="F478" s="165"/>
      <c r="G478" s="165"/>
      <c r="H478" s="165"/>
      <c r="I478" s="165"/>
      <c r="J478" s="165"/>
      <c r="K478" s="165"/>
      <c r="L478" s="165"/>
      <c r="M478" s="165"/>
      <c r="N478" s="165"/>
      <c r="O478" s="165"/>
      <c r="P478" s="165"/>
      <c r="Q478" s="134"/>
      <c r="R478" s="12"/>
      <c r="AJ478" s="12"/>
    </row>
    <row r="479" ht="15.75" customHeight="1">
      <c r="B479" s="12"/>
      <c r="C479" s="7"/>
      <c r="E479" s="165"/>
      <c r="F479" s="165"/>
      <c r="G479" s="165"/>
      <c r="H479" s="165"/>
      <c r="I479" s="165"/>
      <c r="J479" s="165"/>
      <c r="K479" s="165"/>
      <c r="L479" s="165"/>
      <c r="M479" s="165"/>
      <c r="N479" s="165"/>
      <c r="O479" s="165"/>
      <c r="P479" s="165"/>
      <c r="Q479" s="134"/>
      <c r="R479" s="12"/>
      <c r="AJ479" s="12"/>
    </row>
    <row r="480" ht="15.75" customHeight="1">
      <c r="B480" s="12"/>
      <c r="C480" s="7"/>
      <c r="E480" s="165"/>
      <c r="F480" s="165"/>
      <c r="G480" s="165"/>
      <c r="H480" s="165"/>
      <c r="I480" s="165"/>
      <c r="J480" s="165"/>
      <c r="K480" s="165"/>
      <c r="L480" s="165"/>
      <c r="M480" s="165"/>
      <c r="N480" s="165"/>
      <c r="O480" s="165"/>
      <c r="P480" s="165"/>
      <c r="Q480" s="134"/>
      <c r="R480" s="12"/>
      <c r="AJ480" s="12"/>
    </row>
    <row r="481" ht="15.75" customHeight="1">
      <c r="B481" s="12"/>
      <c r="C481" s="7"/>
      <c r="E481" s="165"/>
      <c r="F481" s="165"/>
      <c r="G481" s="165"/>
      <c r="H481" s="165"/>
      <c r="I481" s="165"/>
      <c r="J481" s="165"/>
      <c r="K481" s="165"/>
      <c r="L481" s="165"/>
      <c r="M481" s="165"/>
      <c r="N481" s="165"/>
      <c r="O481" s="165"/>
      <c r="P481" s="165"/>
      <c r="Q481" s="134"/>
      <c r="R481" s="12"/>
      <c r="AJ481" s="12"/>
    </row>
    <row r="482" ht="15.75" customHeight="1">
      <c r="B482" s="12"/>
      <c r="C482" s="7"/>
      <c r="E482" s="165"/>
      <c r="F482" s="165"/>
      <c r="G482" s="165"/>
      <c r="H482" s="165"/>
      <c r="I482" s="165"/>
      <c r="J482" s="165"/>
      <c r="K482" s="165"/>
      <c r="L482" s="165"/>
      <c r="M482" s="165"/>
      <c r="N482" s="165"/>
      <c r="O482" s="165"/>
      <c r="P482" s="165"/>
      <c r="Q482" s="134"/>
      <c r="R482" s="12"/>
      <c r="AJ482" s="12"/>
    </row>
    <row r="483" ht="15.75" customHeight="1">
      <c r="B483" s="12"/>
      <c r="C483" s="7"/>
      <c r="E483" s="165"/>
      <c r="F483" s="165"/>
      <c r="G483" s="165"/>
      <c r="H483" s="165"/>
      <c r="I483" s="165"/>
      <c r="J483" s="165"/>
      <c r="K483" s="165"/>
      <c r="L483" s="165"/>
      <c r="M483" s="165"/>
      <c r="N483" s="165"/>
      <c r="O483" s="165"/>
      <c r="P483" s="165"/>
      <c r="Q483" s="134"/>
      <c r="R483" s="12"/>
      <c r="AJ483" s="12"/>
    </row>
    <row r="484" ht="15.75" customHeight="1">
      <c r="B484" s="12"/>
      <c r="C484" s="7"/>
      <c r="E484" s="165"/>
      <c r="F484" s="165"/>
      <c r="G484" s="165"/>
      <c r="H484" s="165"/>
      <c r="I484" s="165"/>
      <c r="J484" s="165"/>
      <c r="K484" s="165"/>
      <c r="L484" s="165"/>
      <c r="M484" s="165"/>
      <c r="N484" s="165"/>
      <c r="O484" s="165"/>
      <c r="P484" s="165"/>
      <c r="Q484" s="134"/>
      <c r="R484" s="12"/>
      <c r="AJ484" s="12"/>
    </row>
    <row r="485" ht="15.75" customHeight="1">
      <c r="B485" s="12"/>
      <c r="C485" s="7"/>
      <c r="E485" s="165"/>
      <c r="F485" s="165"/>
      <c r="G485" s="165"/>
      <c r="H485" s="165"/>
      <c r="I485" s="165"/>
      <c r="J485" s="165"/>
      <c r="K485" s="165"/>
      <c r="L485" s="165"/>
      <c r="M485" s="165"/>
      <c r="N485" s="165"/>
      <c r="O485" s="165"/>
      <c r="P485" s="165"/>
      <c r="Q485" s="134"/>
      <c r="R485" s="12"/>
      <c r="AJ485" s="12"/>
    </row>
    <row r="486" ht="15.75" customHeight="1">
      <c r="B486" s="12"/>
      <c r="C486" s="7"/>
      <c r="E486" s="165"/>
      <c r="F486" s="165"/>
      <c r="G486" s="165"/>
      <c r="H486" s="165"/>
      <c r="I486" s="165"/>
      <c r="J486" s="165"/>
      <c r="K486" s="165"/>
      <c r="L486" s="165"/>
      <c r="M486" s="165"/>
      <c r="N486" s="165"/>
      <c r="O486" s="165"/>
      <c r="P486" s="165"/>
      <c r="Q486" s="134"/>
      <c r="R486" s="12"/>
      <c r="AJ486" s="12"/>
    </row>
    <row r="487" ht="15.75" customHeight="1">
      <c r="B487" s="12"/>
      <c r="C487" s="7"/>
      <c r="E487" s="165"/>
      <c r="F487" s="165"/>
      <c r="G487" s="165"/>
      <c r="H487" s="165"/>
      <c r="I487" s="165"/>
      <c r="J487" s="165"/>
      <c r="K487" s="165"/>
      <c r="L487" s="165"/>
      <c r="M487" s="165"/>
      <c r="N487" s="165"/>
      <c r="O487" s="165"/>
      <c r="P487" s="165"/>
      <c r="Q487" s="134"/>
      <c r="R487" s="12"/>
      <c r="AJ487" s="12"/>
    </row>
    <row r="488" ht="15.75" customHeight="1">
      <c r="B488" s="12"/>
      <c r="C488" s="7"/>
      <c r="E488" s="165"/>
      <c r="F488" s="165"/>
      <c r="G488" s="165"/>
      <c r="H488" s="165"/>
      <c r="I488" s="165"/>
      <c r="J488" s="165"/>
      <c r="K488" s="165"/>
      <c r="L488" s="165"/>
      <c r="M488" s="165"/>
      <c r="N488" s="165"/>
      <c r="O488" s="165"/>
      <c r="P488" s="165"/>
      <c r="Q488" s="134"/>
      <c r="R488" s="12"/>
      <c r="AJ488" s="12"/>
    </row>
    <row r="489" ht="15.75" customHeight="1">
      <c r="B489" s="12"/>
      <c r="C489" s="7"/>
      <c r="E489" s="165"/>
      <c r="F489" s="165"/>
      <c r="G489" s="165"/>
      <c r="H489" s="165"/>
      <c r="I489" s="165"/>
      <c r="J489" s="165"/>
      <c r="K489" s="165"/>
      <c r="L489" s="165"/>
      <c r="M489" s="165"/>
      <c r="N489" s="165"/>
      <c r="O489" s="165"/>
      <c r="P489" s="165"/>
      <c r="Q489" s="134"/>
      <c r="R489" s="12"/>
      <c r="AJ489" s="12"/>
    </row>
    <row r="490" ht="15.75" customHeight="1">
      <c r="B490" s="12"/>
      <c r="C490" s="7"/>
      <c r="E490" s="165"/>
      <c r="F490" s="165"/>
      <c r="G490" s="165"/>
      <c r="H490" s="165"/>
      <c r="I490" s="165"/>
      <c r="J490" s="165"/>
      <c r="K490" s="165"/>
      <c r="L490" s="165"/>
      <c r="M490" s="165"/>
      <c r="N490" s="165"/>
      <c r="O490" s="165"/>
      <c r="P490" s="165"/>
      <c r="Q490" s="134"/>
      <c r="R490" s="12"/>
      <c r="AJ490" s="12"/>
    </row>
    <row r="491" ht="15.75" customHeight="1">
      <c r="B491" s="12"/>
      <c r="C491" s="7"/>
      <c r="E491" s="165"/>
      <c r="F491" s="165"/>
      <c r="G491" s="165"/>
      <c r="H491" s="165"/>
      <c r="I491" s="165"/>
      <c r="J491" s="165"/>
      <c r="K491" s="165"/>
      <c r="L491" s="165"/>
      <c r="M491" s="165"/>
      <c r="N491" s="165"/>
      <c r="O491" s="165"/>
      <c r="P491" s="165"/>
      <c r="Q491" s="134"/>
      <c r="R491" s="12"/>
      <c r="AJ491" s="12"/>
    </row>
    <row r="492" ht="15.75" customHeight="1">
      <c r="B492" s="12"/>
      <c r="C492" s="7"/>
      <c r="E492" s="165"/>
      <c r="F492" s="165"/>
      <c r="G492" s="165"/>
      <c r="H492" s="165"/>
      <c r="I492" s="165"/>
      <c r="J492" s="165"/>
      <c r="K492" s="165"/>
      <c r="L492" s="165"/>
      <c r="M492" s="165"/>
      <c r="N492" s="165"/>
      <c r="O492" s="165"/>
      <c r="P492" s="165"/>
      <c r="Q492" s="134"/>
      <c r="R492" s="12"/>
      <c r="AJ492" s="12"/>
    </row>
    <row r="493" ht="15.75" customHeight="1">
      <c r="B493" s="12"/>
      <c r="C493" s="7"/>
      <c r="E493" s="165"/>
      <c r="F493" s="165"/>
      <c r="G493" s="165"/>
      <c r="H493" s="165"/>
      <c r="I493" s="165"/>
      <c r="J493" s="165"/>
      <c r="K493" s="165"/>
      <c r="L493" s="165"/>
      <c r="M493" s="165"/>
      <c r="N493" s="165"/>
      <c r="O493" s="165"/>
      <c r="P493" s="165"/>
      <c r="Q493" s="134"/>
      <c r="R493" s="12"/>
      <c r="AJ493" s="12"/>
    </row>
    <row r="494" ht="15.75" customHeight="1">
      <c r="B494" s="12"/>
      <c r="C494" s="7"/>
      <c r="E494" s="165"/>
      <c r="F494" s="165"/>
      <c r="G494" s="165"/>
      <c r="H494" s="165"/>
      <c r="I494" s="165"/>
      <c r="J494" s="165"/>
      <c r="K494" s="165"/>
      <c r="L494" s="165"/>
      <c r="M494" s="165"/>
      <c r="N494" s="165"/>
      <c r="O494" s="165"/>
      <c r="P494" s="165"/>
      <c r="Q494" s="134"/>
      <c r="R494" s="12"/>
      <c r="AJ494" s="12"/>
    </row>
    <row r="495" ht="15.75" customHeight="1">
      <c r="B495" s="12"/>
      <c r="C495" s="7"/>
      <c r="E495" s="165"/>
      <c r="F495" s="165"/>
      <c r="G495" s="165"/>
      <c r="H495" s="165"/>
      <c r="I495" s="165"/>
      <c r="J495" s="165"/>
      <c r="K495" s="165"/>
      <c r="L495" s="165"/>
      <c r="M495" s="165"/>
      <c r="N495" s="165"/>
      <c r="O495" s="165"/>
      <c r="P495" s="165"/>
      <c r="Q495" s="134"/>
      <c r="R495" s="12"/>
      <c r="AJ495" s="12"/>
    </row>
    <row r="496" ht="15.75" customHeight="1">
      <c r="B496" s="12"/>
      <c r="C496" s="7"/>
      <c r="E496" s="165"/>
      <c r="F496" s="165"/>
      <c r="G496" s="165"/>
      <c r="H496" s="165"/>
      <c r="I496" s="165"/>
      <c r="J496" s="165"/>
      <c r="K496" s="165"/>
      <c r="L496" s="165"/>
      <c r="M496" s="165"/>
      <c r="N496" s="165"/>
      <c r="O496" s="165"/>
      <c r="P496" s="165"/>
      <c r="Q496" s="134"/>
      <c r="R496" s="12"/>
      <c r="AJ496" s="12"/>
    </row>
    <row r="497" ht="15.75" customHeight="1">
      <c r="B497" s="12"/>
      <c r="C497" s="7"/>
      <c r="E497" s="165"/>
      <c r="F497" s="165"/>
      <c r="G497" s="165"/>
      <c r="H497" s="165"/>
      <c r="I497" s="165"/>
      <c r="J497" s="165"/>
      <c r="K497" s="165"/>
      <c r="L497" s="165"/>
      <c r="M497" s="165"/>
      <c r="N497" s="165"/>
      <c r="O497" s="165"/>
      <c r="P497" s="165"/>
      <c r="Q497" s="134"/>
      <c r="R497" s="12"/>
      <c r="AJ497" s="12"/>
    </row>
    <row r="498" ht="15.75" customHeight="1">
      <c r="B498" s="12"/>
      <c r="C498" s="7"/>
      <c r="E498" s="165"/>
      <c r="F498" s="165"/>
      <c r="G498" s="165"/>
      <c r="H498" s="165"/>
      <c r="I498" s="165"/>
      <c r="J498" s="165"/>
      <c r="K498" s="165"/>
      <c r="L498" s="165"/>
      <c r="M498" s="165"/>
      <c r="N498" s="165"/>
      <c r="O498" s="165"/>
      <c r="P498" s="165"/>
      <c r="Q498" s="134"/>
      <c r="R498" s="12"/>
      <c r="AJ498" s="12"/>
    </row>
    <row r="499" ht="15.75" customHeight="1">
      <c r="B499" s="12"/>
      <c r="C499" s="7"/>
      <c r="E499" s="165"/>
      <c r="F499" s="165"/>
      <c r="G499" s="165"/>
      <c r="H499" s="165"/>
      <c r="I499" s="165"/>
      <c r="J499" s="165"/>
      <c r="K499" s="165"/>
      <c r="L499" s="165"/>
      <c r="M499" s="165"/>
      <c r="N499" s="165"/>
      <c r="O499" s="165"/>
      <c r="P499" s="165"/>
      <c r="Q499" s="134"/>
      <c r="R499" s="12"/>
      <c r="AJ499" s="12"/>
    </row>
    <row r="500" ht="15.75" customHeight="1">
      <c r="B500" s="12"/>
      <c r="C500" s="7"/>
      <c r="E500" s="165"/>
      <c r="F500" s="165"/>
      <c r="G500" s="165"/>
      <c r="H500" s="165"/>
      <c r="I500" s="165"/>
      <c r="J500" s="165"/>
      <c r="K500" s="165"/>
      <c r="L500" s="165"/>
      <c r="M500" s="165"/>
      <c r="N500" s="165"/>
      <c r="O500" s="165"/>
      <c r="P500" s="165"/>
      <c r="Q500" s="134"/>
      <c r="R500" s="12"/>
      <c r="AJ500" s="12"/>
    </row>
    <row r="501" ht="15.75" customHeight="1">
      <c r="B501" s="12"/>
      <c r="C501" s="7"/>
      <c r="E501" s="165"/>
      <c r="F501" s="165"/>
      <c r="G501" s="165"/>
      <c r="H501" s="165"/>
      <c r="I501" s="165"/>
      <c r="J501" s="165"/>
      <c r="K501" s="165"/>
      <c r="L501" s="165"/>
      <c r="M501" s="165"/>
      <c r="N501" s="165"/>
      <c r="O501" s="165"/>
      <c r="P501" s="165"/>
      <c r="Q501" s="134"/>
      <c r="R501" s="12"/>
      <c r="AJ501" s="12"/>
    </row>
    <row r="502" ht="15.75" customHeight="1">
      <c r="B502" s="12"/>
      <c r="C502" s="7"/>
      <c r="E502" s="165"/>
      <c r="F502" s="165"/>
      <c r="G502" s="165"/>
      <c r="H502" s="165"/>
      <c r="I502" s="165"/>
      <c r="J502" s="165"/>
      <c r="K502" s="165"/>
      <c r="L502" s="165"/>
      <c r="M502" s="165"/>
      <c r="N502" s="165"/>
      <c r="O502" s="165"/>
      <c r="P502" s="165"/>
      <c r="Q502" s="134"/>
      <c r="R502" s="12"/>
      <c r="AJ502" s="12"/>
    </row>
    <row r="503" ht="15.75" customHeight="1">
      <c r="B503" s="12"/>
      <c r="C503" s="7"/>
      <c r="E503" s="165"/>
      <c r="F503" s="165"/>
      <c r="G503" s="165"/>
      <c r="H503" s="165"/>
      <c r="I503" s="165"/>
      <c r="J503" s="165"/>
      <c r="K503" s="165"/>
      <c r="L503" s="165"/>
      <c r="M503" s="165"/>
      <c r="N503" s="165"/>
      <c r="O503" s="165"/>
      <c r="P503" s="165"/>
      <c r="Q503" s="134"/>
      <c r="R503" s="12"/>
      <c r="AJ503" s="12"/>
    </row>
    <row r="504" ht="15.75" customHeight="1">
      <c r="B504" s="12"/>
      <c r="C504" s="7"/>
      <c r="E504" s="165"/>
      <c r="F504" s="165"/>
      <c r="G504" s="165"/>
      <c r="H504" s="165"/>
      <c r="I504" s="165"/>
      <c r="J504" s="165"/>
      <c r="K504" s="165"/>
      <c r="L504" s="165"/>
      <c r="M504" s="165"/>
      <c r="N504" s="165"/>
      <c r="O504" s="165"/>
      <c r="P504" s="165"/>
      <c r="Q504" s="134"/>
      <c r="R504" s="12"/>
      <c r="AJ504" s="12"/>
    </row>
    <row r="505" ht="15.75" customHeight="1">
      <c r="B505" s="12"/>
      <c r="C505" s="7"/>
      <c r="E505" s="165"/>
      <c r="F505" s="165"/>
      <c r="G505" s="165"/>
      <c r="H505" s="165"/>
      <c r="I505" s="165"/>
      <c r="J505" s="165"/>
      <c r="K505" s="165"/>
      <c r="L505" s="165"/>
      <c r="M505" s="165"/>
      <c r="N505" s="165"/>
      <c r="O505" s="165"/>
      <c r="P505" s="165"/>
      <c r="Q505" s="134"/>
      <c r="R505" s="12"/>
      <c r="AJ505" s="12"/>
    </row>
    <row r="506" ht="15.75" customHeight="1">
      <c r="B506" s="12"/>
      <c r="C506" s="7"/>
      <c r="E506" s="165"/>
      <c r="F506" s="165"/>
      <c r="G506" s="165"/>
      <c r="H506" s="165"/>
      <c r="I506" s="165"/>
      <c r="J506" s="165"/>
      <c r="K506" s="165"/>
      <c r="L506" s="165"/>
      <c r="M506" s="165"/>
      <c r="N506" s="165"/>
      <c r="O506" s="165"/>
      <c r="P506" s="165"/>
      <c r="Q506" s="134"/>
      <c r="R506" s="12"/>
      <c r="AJ506" s="12"/>
    </row>
    <row r="507" ht="15.75" customHeight="1">
      <c r="B507" s="12"/>
      <c r="C507" s="7"/>
      <c r="E507" s="165"/>
      <c r="F507" s="165"/>
      <c r="G507" s="165"/>
      <c r="H507" s="165"/>
      <c r="I507" s="165"/>
      <c r="J507" s="165"/>
      <c r="K507" s="165"/>
      <c r="L507" s="165"/>
      <c r="M507" s="165"/>
      <c r="N507" s="165"/>
      <c r="O507" s="165"/>
      <c r="P507" s="165"/>
      <c r="Q507" s="134"/>
      <c r="R507" s="12"/>
      <c r="AJ507" s="12"/>
    </row>
    <row r="508" ht="15.75" customHeight="1">
      <c r="B508" s="12"/>
      <c r="C508" s="7"/>
      <c r="E508" s="165"/>
      <c r="F508" s="165"/>
      <c r="G508" s="165"/>
      <c r="H508" s="165"/>
      <c r="I508" s="165"/>
      <c r="J508" s="165"/>
      <c r="K508" s="165"/>
      <c r="L508" s="165"/>
      <c r="M508" s="165"/>
      <c r="N508" s="165"/>
      <c r="O508" s="165"/>
      <c r="P508" s="165"/>
      <c r="Q508" s="134"/>
      <c r="R508" s="12"/>
      <c r="AJ508" s="12"/>
    </row>
    <row r="509" ht="15.75" customHeight="1">
      <c r="B509" s="12"/>
      <c r="C509" s="7"/>
      <c r="E509" s="165"/>
      <c r="F509" s="165"/>
      <c r="G509" s="165"/>
      <c r="H509" s="165"/>
      <c r="I509" s="165"/>
      <c r="J509" s="165"/>
      <c r="K509" s="165"/>
      <c r="L509" s="165"/>
      <c r="M509" s="165"/>
      <c r="N509" s="165"/>
      <c r="O509" s="165"/>
      <c r="P509" s="165"/>
      <c r="Q509" s="134"/>
      <c r="R509" s="12"/>
      <c r="AJ509" s="12"/>
    </row>
    <row r="510" ht="15.75" customHeight="1">
      <c r="B510" s="12"/>
      <c r="C510" s="7"/>
      <c r="E510" s="165"/>
      <c r="F510" s="165"/>
      <c r="G510" s="165"/>
      <c r="H510" s="165"/>
      <c r="I510" s="165"/>
      <c r="J510" s="165"/>
      <c r="K510" s="165"/>
      <c r="L510" s="165"/>
      <c r="M510" s="165"/>
      <c r="N510" s="165"/>
      <c r="O510" s="165"/>
      <c r="P510" s="165"/>
      <c r="Q510" s="134"/>
      <c r="R510" s="12"/>
      <c r="AJ510" s="12"/>
    </row>
    <row r="511" ht="15.75" customHeight="1">
      <c r="B511" s="12"/>
      <c r="C511" s="7"/>
      <c r="E511" s="165"/>
      <c r="F511" s="165"/>
      <c r="G511" s="165"/>
      <c r="H511" s="165"/>
      <c r="I511" s="165"/>
      <c r="J511" s="165"/>
      <c r="K511" s="165"/>
      <c r="L511" s="165"/>
      <c r="M511" s="165"/>
      <c r="N511" s="165"/>
      <c r="O511" s="165"/>
      <c r="P511" s="165"/>
      <c r="Q511" s="134"/>
      <c r="R511" s="12"/>
      <c r="AJ511" s="12"/>
    </row>
    <row r="512" ht="15.75" customHeight="1">
      <c r="B512" s="12"/>
      <c r="C512" s="7"/>
      <c r="E512" s="165"/>
      <c r="F512" s="165"/>
      <c r="G512" s="165"/>
      <c r="H512" s="165"/>
      <c r="I512" s="165"/>
      <c r="J512" s="165"/>
      <c r="K512" s="165"/>
      <c r="L512" s="165"/>
      <c r="M512" s="165"/>
      <c r="N512" s="165"/>
      <c r="O512" s="165"/>
      <c r="P512" s="165"/>
      <c r="Q512" s="134"/>
      <c r="R512" s="12"/>
      <c r="AJ512" s="12"/>
    </row>
    <row r="513" ht="15.75" customHeight="1">
      <c r="B513" s="12"/>
      <c r="C513" s="7"/>
      <c r="E513" s="165"/>
      <c r="F513" s="165"/>
      <c r="G513" s="165"/>
      <c r="H513" s="165"/>
      <c r="I513" s="165"/>
      <c r="J513" s="165"/>
      <c r="K513" s="165"/>
      <c r="L513" s="165"/>
      <c r="M513" s="165"/>
      <c r="N513" s="165"/>
      <c r="O513" s="165"/>
      <c r="P513" s="165"/>
      <c r="Q513" s="134"/>
      <c r="R513" s="12"/>
      <c r="AJ513" s="12"/>
    </row>
    <row r="514" ht="15.75" customHeight="1">
      <c r="B514" s="12"/>
      <c r="C514" s="7"/>
      <c r="E514" s="165"/>
      <c r="F514" s="165"/>
      <c r="G514" s="165"/>
      <c r="H514" s="165"/>
      <c r="I514" s="165"/>
      <c r="J514" s="165"/>
      <c r="K514" s="165"/>
      <c r="L514" s="165"/>
      <c r="M514" s="165"/>
      <c r="N514" s="165"/>
      <c r="O514" s="165"/>
      <c r="P514" s="165"/>
      <c r="Q514" s="134"/>
      <c r="R514" s="12"/>
      <c r="AJ514" s="12"/>
    </row>
    <row r="515" ht="15.75" customHeight="1">
      <c r="B515" s="12"/>
      <c r="C515" s="7"/>
      <c r="E515" s="165"/>
      <c r="F515" s="165"/>
      <c r="G515" s="165"/>
      <c r="H515" s="165"/>
      <c r="I515" s="165"/>
      <c r="J515" s="165"/>
      <c r="K515" s="165"/>
      <c r="L515" s="165"/>
      <c r="M515" s="165"/>
      <c r="N515" s="165"/>
      <c r="O515" s="165"/>
      <c r="P515" s="165"/>
      <c r="Q515" s="134"/>
      <c r="R515" s="12"/>
      <c r="AJ515" s="12"/>
    </row>
    <row r="516" ht="15.75" customHeight="1">
      <c r="B516" s="12"/>
      <c r="C516" s="7"/>
      <c r="E516" s="165"/>
      <c r="F516" s="165"/>
      <c r="G516" s="165"/>
      <c r="H516" s="165"/>
      <c r="I516" s="165"/>
      <c r="J516" s="165"/>
      <c r="K516" s="165"/>
      <c r="L516" s="165"/>
      <c r="M516" s="165"/>
      <c r="N516" s="165"/>
      <c r="O516" s="165"/>
      <c r="P516" s="165"/>
      <c r="Q516" s="134"/>
      <c r="R516" s="12"/>
      <c r="AJ516" s="12"/>
    </row>
    <row r="517" ht="15.75" customHeight="1">
      <c r="B517" s="12"/>
      <c r="C517" s="7"/>
      <c r="E517" s="165"/>
      <c r="F517" s="165"/>
      <c r="G517" s="165"/>
      <c r="H517" s="165"/>
      <c r="I517" s="165"/>
      <c r="J517" s="165"/>
      <c r="K517" s="165"/>
      <c r="L517" s="165"/>
      <c r="M517" s="165"/>
      <c r="N517" s="165"/>
      <c r="O517" s="165"/>
      <c r="P517" s="165"/>
      <c r="Q517" s="134"/>
      <c r="R517" s="12"/>
      <c r="AJ517" s="12"/>
    </row>
    <row r="518" ht="15.75" customHeight="1">
      <c r="B518" s="12"/>
      <c r="C518" s="7"/>
      <c r="E518" s="165"/>
      <c r="F518" s="165"/>
      <c r="G518" s="165"/>
      <c r="H518" s="165"/>
      <c r="I518" s="165"/>
      <c r="J518" s="165"/>
      <c r="K518" s="165"/>
      <c r="L518" s="165"/>
      <c r="M518" s="165"/>
      <c r="N518" s="165"/>
      <c r="O518" s="165"/>
      <c r="P518" s="165"/>
      <c r="Q518" s="134"/>
      <c r="R518" s="12"/>
      <c r="AJ518" s="12"/>
    </row>
    <row r="519" ht="15.75" customHeight="1">
      <c r="B519" s="12"/>
      <c r="C519" s="7"/>
      <c r="E519" s="165"/>
      <c r="F519" s="165"/>
      <c r="G519" s="165"/>
      <c r="H519" s="165"/>
      <c r="I519" s="165"/>
      <c r="J519" s="165"/>
      <c r="K519" s="165"/>
      <c r="L519" s="165"/>
      <c r="M519" s="165"/>
      <c r="N519" s="165"/>
      <c r="O519" s="165"/>
      <c r="P519" s="165"/>
      <c r="Q519" s="134"/>
      <c r="R519" s="12"/>
      <c r="AJ519" s="12"/>
    </row>
    <row r="520" ht="15.75" customHeight="1">
      <c r="B520" s="12"/>
      <c r="C520" s="7"/>
      <c r="E520" s="165"/>
      <c r="F520" s="165"/>
      <c r="G520" s="165"/>
      <c r="H520" s="165"/>
      <c r="I520" s="165"/>
      <c r="J520" s="165"/>
      <c r="K520" s="165"/>
      <c r="L520" s="165"/>
      <c r="M520" s="165"/>
      <c r="N520" s="165"/>
      <c r="O520" s="165"/>
      <c r="P520" s="165"/>
      <c r="Q520" s="134"/>
      <c r="R520" s="12"/>
      <c r="AJ520" s="12"/>
    </row>
    <row r="521" ht="15.75" customHeight="1">
      <c r="B521" s="12"/>
      <c r="C521" s="7"/>
      <c r="E521" s="165"/>
      <c r="F521" s="165"/>
      <c r="G521" s="165"/>
      <c r="H521" s="165"/>
      <c r="I521" s="165"/>
      <c r="J521" s="165"/>
      <c r="K521" s="165"/>
      <c r="L521" s="165"/>
      <c r="M521" s="165"/>
      <c r="N521" s="165"/>
      <c r="O521" s="165"/>
      <c r="P521" s="165"/>
      <c r="Q521" s="134"/>
      <c r="R521" s="12"/>
      <c r="AJ521" s="12"/>
    </row>
    <row r="522" ht="15.75" customHeight="1">
      <c r="B522" s="12"/>
      <c r="C522" s="7"/>
      <c r="E522" s="165"/>
      <c r="F522" s="165"/>
      <c r="G522" s="165"/>
      <c r="H522" s="165"/>
      <c r="I522" s="165"/>
      <c r="J522" s="165"/>
      <c r="K522" s="165"/>
      <c r="L522" s="165"/>
      <c r="M522" s="165"/>
      <c r="N522" s="165"/>
      <c r="O522" s="165"/>
      <c r="P522" s="165"/>
      <c r="Q522" s="134"/>
      <c r="R522" s="12"/>
      <c r="AJ522" s="12"/>
    </row>
    <row r="523" ht="15.75" customHeight="1">
      <c r="B523" s="12"/>
      <c r="C523" s="7"/>
      <c r="E523" s="165"/>
      <c r="F523" s="165"/>
      <c r="G523" s="165"/>
      <c r="H523" s="165"/>
      <c r="I523" s="165"/>
      <c r="J523" s="165"/>
      <c r="K523" s="165"/>
      <c r="L523" s="165"/>
      <c r="M523" s="165"/>
      <c r="N523" s="165"/>
      <c r="O523" s="165"/>
      <c r="P523" s="165"/>
      <c r="Q523" s="134"/>
      <c r="R523" s="12"/>
      <c r="AJ523" s="12"/>
    </row>
    <row r="524" ht="15.75" customHeight="1">
      <c r="B524" s="12"/>
      <c r="C524" s="7"/>
      <c r="E524" s="165"/>
      <c r="F524" s="165"/>
      <c r="G524" s="165"/>
      <c r="H524" s="165"/>
      <c r="I524" s="165"/>
      <c r="J524" s="165"/>
      <c r="K524" s="165"/>
      <c r="L524" s="165"/>
      <c r="M524" s="165"/>
      <c r="N524" s="165"/>
      <c r="O524" s="165"/>
      <c r="P524" s="165"/>
      <c r="Q524" s="134"/>
      <c r="R524" s="12"/>
      <c r="AJ524" s="12"/>
    </row>
    <row r="525" ht="15.75" customHeight="1">
      <c r="B525" s="12"/>
      <c r="C525" s="7"/>
      <c r="E525" s="165"/>
      <c r="F525" s="165"/>
      <c r="G525" s="165"/>
      <c r="H525" s="165"/>
      <c r="I525" s="165"/>
      <c r="J525" s="165"/>
      <c r="K525" s="165"/>
      <c r="L525" s="165"/>
      <c r="M525" s="165"/>
      <c r="N525" s="165"/>
      <c r="O525" s="165"/>
      <c r="P525" s="165"/>
      <c r="Q525" s="134"/>
      <c r="R525" s="12"/>
      <c r="AJ525" s="12"/>
    </row>
    <row r="526" ht="15.75" customHeight="1">
      <c r="B526" s="12"/>
      <c r="C526" s="7"/>
      <c r="E526" s="165"/>
      <c r="F526" s="165"/>
      <c r="G526" s="165"/>
      <c r="H526" s="165"/>
      <c r="I526" s="165"/>
      <c r="J526" s="165"/>
      <c r="K526" s="165"/>
      <c r="L526" s="165"/>
      <c r="M526" s="165"/>
      <c r="N526" s="165"/>
      <c r="O526" s="165"/>
      <c r="P526" s="165"/>
      <c r="Q526" s="134"/>
      <c r="R526" s="12"/>
      <c r="AJ526" s="12"/>
    </row>
    <row r="527" ht="15.75" customHeight="1">
      <c r="B527" s="12"/>
      <c r="C527" s="7"/>
      <c r="E527" s="165"/>
      <c r="F527" s="165"/>
      <c r="G527" s="165"/>
      <c r="H527" s="165"/>
      <c r="I527" s="165"/>
      <c r="J527" s="165"/>
      <c r="K527" s="165"/>
      <c r="L527" s="165"/>
      <c r="M527" s="165"/>
      <c r="N527" s="165"/>
      <c r="O527" s="165"/>
      <c r="P527" s="165"/>
      <c r="Q527" s="134"/>
      <c r="R527" s="12"/>
      <c r="AJ527" s="12"/>
    </row>
    <row r="528" ht="15.75" customHeight="1">
      <c r="B528" s="12"/>
      <c r="C528" s="7"/>
      <c r="E528" s="165"/>
      <c r="F528" s="165"/>
      <c r="G528" s="165"/>
      <c r="H528" s="165"/>
      <c r="I528" s="165"/>
      <c r="J528" s="165"/>
      <c r="K528" s="165"/>
      <c r="L528" s="165"/>
      <c r="M528" s="165"/>
      <c r="N528" s="165"/>
      <c r="O528" s="165"/>
      <c r="P528" s="165"/>
      <c r="Q528" s="134"/>
      <c r="R528" s="12"/>
      <c r="AJ528" s="12"/>
    </row>
    <row r="529" ht="15.75" customHeight="1">
      <c r="B529" s="12"/>
      <c r="C529" s="7"/>
      <c r="E529" s="165"/>
      <c r="F529" s="165"/>
      <c r="G529" s="165"/>
      <c r="H529" s="165"/>
      <c r="I529" s="165"/>
      <c r="J529" s="165"/>
      <c r="K529" s="165"/>
      <c r="L529" s="165"/>
      <c r="M529" s="165"/>
      <c r="N529" s="165"/>
      <c r="O529" s="165"/>
      <c r="P529" s="165"/>
      <c r="Q529" s="134"/>
      <c r="R529" s="12"/>
      <c r="AJ529" s="12"/>
    </row>
    <row r="530" ht="15.75" customHeight="1">
      <c r="B530" s="12"/>
      <c r="C530" s="7"/>
      <c r="E530" s="165"/>
      <c r="F530" s="165"/>
      <c r="G530" s="165"/>
      <c r="H530" s="165"/>
      <c r="I530" s="165"/>
      <c r="J530" s="165"/>
      <c r="K530" s="165"/>
      <c r="L530" s="165"/>
      <c r="M530" s="165"/>
      <c r="N530" s="165"/>
      <c r="O530" s="165"/>
      <c r="P530" s="165"/>
      <c r="Q530" s="134"/>
      <c r="R530" s="12"/>
      <c r="AJ530" s="12"/>
    </row>
    <row r="531" ht="15.75" customHeight="1">
      <c r="B531" s="12"/>
      <c r="C531" s="7"/>
      <c r="E531" s="165"/>
      <c r="F531" s="165"/>
      <c r="G531" s="165"/>
      <c r="H531" s="165"/>
      <c r="I531" s="165"/>
      <c r="J531" s="165"/>
      <c r="K531" s="165"/>
      <c r="L531" s="165"/>
      <c r="M531" s="165"/>
      <c r="N531" s="165"/>
      <c r="O531" s="165"/>
      <c r="P531" s="165"/>
      <c r="Q531" s="134"/>
      <c r="R531" s="12"/>
      <c r="AJ531" s="12"/>
    </row>
    <row r="532" ht="15.75" customHeight="1">
      <c r="B532" s="12"/>
      <c r="C532" s="7"/>
      <c r="E532" s="165"/>
      <c r="F532" s="165"/>
      <c r="G532" s="165"/>
      <c r="H532" s="165"/>
      <c r="I532" s="165"/>
      <c r="J532" s="165"/>
      <c r="K532" s="165"/>
      <c r="L532" s="165"/>
      <c r="M532" s="165"/>
      <c r="N532" s="165"/>
      <c r="O532" s="165"/>
      <c r="P532" s="165"/>
      <c r="Q532" s="134"/>
      <c r="R532" s="12"/>
      <c r="AJ532" s="12"/>
    </row>
    <row r="533" ht="15.75" customHeight="1">
      <c r="B533" s="12"/>
      <c r="C533" s="7"/>
      <c r="E533" s="165"/>
      <c r="F533" s="165"/>
      <c r="G533" s="165"/>
      <c r="H533" s="165"/>
      <c r="I533" s="165"/>
      <c r="J533" s="165"/>
      <c r="K533" s="165"/>
      <c r="L533" s="165"/>
      <c r="M533" s="165"/>
      <c r="N533" s="165"/>
      <c r="O533" s="165"/>
      <c r="P533" s="165"/>
      <c r="Q533" s="134"/>
      <c r="R533" s="12"/>
      <c r="AJ533" s="12"/>
    </row>
    <row r="534" ht="15.75" customHeight="1">
      <c r="B534" s="12"/>
      <c r="C534" s="7"/>
      <c r="E534" s="165"/>
      <c r="F534" s="165"/>
      <c r="G534" s="165"/>
      <c r="H534" s="165"/>
      <c r="I534" s="165"/>
      <c r="J534" s="165"/>
      <c r="K534" s="165"/>
      <c r="L534" s="165"/>
      <c r="M534" s="165"/>
      <c r="N534" s="165"/>
      <c r="O534" s="165"/>
      <c r="P534" s="165"/>
      <c r="Q534" s="134"/>
      <c r="R534" s="12"/>
      <c r="AJ534" s="12"/>
    </row>
    <row r="535" ht="15.75" customHeight="1">
      <c r="B535" s="12"/>
      <c r="C535" s="7"/>
      <c r="E535" s="165"/>
      <c r="F535" s="165"/>
      <c r="G535" s="165"/>
      <c r="H535" s="165"/>
      <c r="I535" s="165"/>
      <c r="J535" s="165"/>
      <c r="K535" s="165"/>
      <c r="L535" s="165"/>
      <c r="M535" s="165"/>
      <c r="N535" s="165"/>
      <c r="O535" s="165"/>
      <c r="P535" s="165"/>
      <c r="Q535" s="134"/>
      <c r="R535" s="12"/>
      <c r="AJ535" s="12"/>
    </row>
    <row r="536" ht="15.75" customHeight="1">
      <c r="B536" s="12"/>
      <c r="C536" s="7"/>
      <c r="E536" s="165"/>
      <c r="F536" s="165"/>
      <c r="G536" s="165"/>
      <c r="H536" s="165"/>
      <c r="I536" s="165"/>
      <c r="J536" s="165"/>
      <c r="K536" s="165"/>
      <c r="L536" s="165"/>
      <c r="M536" s="165"/>
      <c r="N536" s="165"/>
      <c r="O536" s="165"/>
      <c r="P536" s="165"/>
      <c r="Q536" s="134"/>
      <c r="R536" s="12"/>
      <c r="AJ536" s="12"/>
    </row>
    <row r="537" ht="15.75" customHeight="1">
      <c r="B537" s="12"/>
      <c r="C537" s="7"/>
      <c r="E537" s="165"/>
      <c r="F537" s="165"/>
      <c r="G537" s="165"/>
      <c r="H537" s="165"/>
      <c r="I537" s="165"/>
      <c r="J537" s="165"/>
      <c r="K537" s="165"/>
      <c r="L537" s="165"/>
      <c r="M537" s="165"/>
      <c r="N537" s="165"/>
      <c r="O537" s="165"/>
      <c r="P537" s="165"/>
      <c r="Q537" s="134"/>
      <c r="R537" s="12"/>
      <c r="AJ537" s="12"/>
    </row>
    <row r="538" ht="15.75" customHeight="1">
      <c r="B538" s="12"/>
      <c r="C538" s="7"/>
      <c r="E538" s="165"/>
      <c r="F538" s="165"/>
      <c r="G538" s="165"/>
      <c r="H538" s="165"/>
      <c r="I538" s="165"/>
      <c r="J538" s="165"/>
      <c r="K538" s="165"/>
      <c r="L538" s="165"/>
      <c r="M538" s="165"/>
      <c r="N538" s="165"/>
      <c r="O538" s="165"/>
      <c r="P538" s="165"/>
      <c r="Q538" s="134"/>
      <c r="R538" s="12"/>
      <c r="AJ538" s="12"/>
    </row>
    <row r="539" ht="15.75" customHeight="1">
      <c r="B539" s="12"/>
      <c r="C539" s="7"/>
      <c r="E539" s="165"/>
      <c r="F539" s="165"/>
      <c r="G539" s="165"/>
      <c r="H539" s="165"/>
      <c r="I539" s="165"/>
      <c r="J539" s="165"/>
      <c r="K539" s="165"/>
      <c r="L539" s="165"/>
      <c r="M539" s="165"/>
      <c r="N539" s="165"/>
      <c r="O539" s="165"/>
      <c r="P539" s="165"/>
      <c r="Q539" s="134"/>
      <c r="R539" s="12"/>
      <c r="AJ539" s="12"/>
    </row>
    <row r="540" ht="15.75" customHeight="1">
      <c r="B540" s="12"/>
      <c r="C540" s="7"/>
      <c r="E540" s="165"/>
      <c r="F540" s="165"/>
      <c r="G540" s="165"/>
      <c r="H540" s="165"/>
      <c r="I540" s="165"/>
      <c r="J540" s="165"/>
      <c r="K540" s="165"/>
      <c r="L540" s="165"/>
      <c r="M540" s="165"/>
      <c r="N540" s="165"/>
      <c r="O540" s="165"/>
      <c r="P540" s="165"/>
      <c r="Q540" s="134"/>
      <c r="R540" s="12"/>
      <c r="AJ540" s="12"/>
    </row>
    <row r="541" ht="15.75" customHeight="1">
      <c r="B541" s="12"/>
      <c r="C541" s="7"/>
      <c r="E541" s="165"/>
      <c r="F541" s="165"/>
      <c r="G541" s="165"/>
      <c r="H541" s="165"/>
      <c r="I541" s="165"/>
      <c r="J541" s="165"/>
      <c r="K541" s="165"/>
      <c r="L541" s="165"/>
      <c r="M541" s="165"/>
      <c r="N541" s="165"/>
      <c r="O541" s="165"/>
      <c r="P541" s="165"/>
      <c r="Q541" s="134"/>
      <c r="R541" s="12"/>
      <c r="AJ541" s="12"/>
    </row>
    <row r="542" ht="15.75" customHeight="1">
      <c r="B542" s="12"/>
      <c r="C542" s="7"/>
      <c r="E542" s="165"/>
      <c r="F542" s="165"/>
      <c r="G542" s="165"/>
      <c r="H542" s="165"/>
      <c r="I542" s="165"/>
      <c r="J542" s="165"/>
      <c r="K542" s="165"/>
      <c r="L542" s="165"/>
      <c r="M542" s="165"/>
      <c r="N542" s="165"/>
      <c r="O542" s="165"/>
      <c r="P542" s="165"/>
      <c r="Q542" s="134"/>
      <c r="R542" s="12"/>
      <c r="AJ542" s="12"/>
    </row>
    <row r="543" ht="15.75" customHeight="1">
      <c r="B543" s="12"/>
      <c r="C543" s="7"/>
      <c r="E543" s="165"/>
      <c r="F543" s="165"/>
      <c r="G543" s="165"/>
      <c r="H543" s="165"/>
      <c r="I543" s="165"/>
      <c r="J543" s="165"/>
      <c r="K543" s="165"/>
      <c r="L543" s="165"/>
      <c r="M543" s="165"/>
      <c r="N543" s="165"/>
      <c r="O543" s="165"/>
      <c r="P543" s="165"/>
      <c r="Q543" s="134"/>
      <c r="R543" s="12"/>
      <c r="AJ543" s="12"/>
    </row>
    <row r="544" ht="15.75" customHeight="1">
      <c r="B544" s="12"/>
      <c r="C544" s="7"/>
      <c r="E544" s="165"/>
      <c r="F544" s="165"/>
      <c r="G544" s="165"/>
      <c r="H544" s="165"/>
      <c r="I544" s="165"/>
      <c r="J544" s="165"/>
      <c r="K544" s="165"/>
      <c r="L544" s="165"/>
      <c r="M544" s="165"/>
      <c r="N544" s="165"/>
      <c r="O544" s="165"/>
      <c r="P544" s="165"/>
      <c r="Q544" s="134"/>
      <c r="R544" s="12"/>
      <c r="AJ544" s="12"/>
    </row>
    <row r="545" ht="15.75" customHeight="1">
      <c r="B545" s="12"/>
      <c r="C545" s="7"/>
      <c r="E545" s="165"/>
      <c r="F545" s="165"/>
      <c r="G545" s="165"/>
      <c r="H545" s="165"/>
      <c r="I545" s="165"/>
      <c r="J545" s="165"/>
      <c r="K545" s="165"/>
      <c r="L545" s="165"/>
      <c r="M545" s="165"/>
      <c r="N545" s="165"/>
      <c r="O545" s="165"/>
      <c r="P545" s="165"/>
      <c r="Q545" s="134"/>
      <c r="R545" s="12"/>
      <c r="AJ545" s="12"/>
    </row>
    <row r="546" ht="15.75" customHeight="1">
      <c r="B546" s="12"/>
      <c r="C546" s="7"/>
      <c r="E546" s="165"/>
      <c r="F546" s="165"/>
      <c r="G546" s="165"/>
      <c r="H546" s="165"/>
      <c r="I546" s="165"/>
      <c r="J546" s="165"/>
      <c r="K546" s="165"/>
      <c r="L546" s="165"/>
      <c r="M546" s="165"/>
      <c r="N546" s="165"/>
      <c r="O546" s="165"/>
      <c r="P546" s="165"/>
      <c r="Q546" s="134"/>
      <c r="R546" s="12"/>
      <c r="AJ546" s="12"/>
    </row>
    <row r="547" ht="15.75" customHeight="1">
      <c r="B547" s="12"/>
      <c r="C547" s="7"/>
      <c r="E547" s="165"/>
      <c r="F547" s="165"/>
      <c r="G547" s="165"/>
      <c r="H547" s="165"/>
      <c r="I547" s="165"/>
      <c r="J547" s="165"/>
      <c r="K547" s="165"/>
      <c r="L547" s="165"/>
      <c r="M547" s="165"/>
      <c r="N547" s="165"/>
      <c r="O547" s="165"/>
      <c r="P547" s="165"/>
      <c r="Q547" s="134"/>
      <c r="R547" s="12"/>
      <c r="AJ547" s="12"/>
    </row>
    <row r="548" ht="15.75" customHeight="1">
      <c r="B548" s="12"/>
      <c r="C548" s="7"/>
      <c r="E548" s="165"/>
      <c r="F548" s="165"/>
      <c r="G548" s="165"/>
      <c r="H548" s="165"/>
      <c r="I548" s="165"/>
      <c r="J548" s="165"/>
      <c r="K548" s="165"/>
      <c r="L548" s="165"/>
      <c r="M548" s="165"/>
      <c r="N548" s="165"/>
      <c r="O548" s="165"/>
      <c r="P548" s="165"/>
      <c r="Q548" s="134"/>
      <c r="R548" s="12"/>
      <c r="AJ548" s="12"/>
    </row>
    <row r="549" ht="15.75" customHeight="1">
      <c r="B549" s="12"/>
      <c r="C549" s="7"/>
      <c r="E549" s="165"/>
      <c r="F549" s="165"/>
      <c r="G549" s="165"/>
      <c r="H549" s="165"/>
      <c r="I549" s="165"/>
      <c r="J549" s="165"/>
      <c r="K549" s="165"/>
      <c r="L549" s="165"/>
      <c r="M549" s="165"/>
      <c r="N549" s="165"/>
      <c r="O549" s="165"/>
      <c r="P549" s="165"/>
      <c r="Q549" s="134"/>
      <c r="R549" s="12"/>
      <c r="AJ549" s="12"/>
    </row>
    <row r="550" ht="15.75" customHeight="1">
      <c r="B550" s="12"/>
      <c r="C550" s="7"/>
      <c r="E550" s="165"/>
      <c r="F550" s="165"/>
      <c r="G550" s="165"/>
      <c r="H550" s="165"/>
      <c r="I550" s="165"/>
      <c r="J550" s="165"/>
      <c r="K550" s="165"/>
      <c r="L550" s="165"/>
      <c r="M550" s="165"/>
      <c r="N550" s="165"/>
      <c r="O550" s="165"/>
      <c r="P550" s="165"/>
      <c r="Q550" s="134"/>
      <c r="R550" s="12"/>
      <c r="AJ550" s="12"/>
    </row>
    <row r="551" ht="15.75" customHeight="1">
      <c r="B551" s="12"/>
      <c r="C551" s="7"/>
      <c r="E551" s="165"/>
      <c r="F551" s="165"/>
      <c r="G551" s="165"/>
      <c r="H551" s="165"/>
      <c r="I551" s="165"/>
      <c r="J551" s="165"/>
      <c r="K551" s="165"/>
      <c r="L551" s="165"/>
      <c r="M551" s="165"/>
      <c r="N551" s="165"/>
      <c r="O551" s="165"/>
      <c r="P551" s="165"/>
      <c r="Q551" s="134"/>
      <c r="R551" s="12"/>
      <c r="AJ551" s="12"/>
    </row>
    <row r="552" ht="15.75" customHeight="1">
      <c r="B552" s="12"/>
      <c r="C552" s="7"/>
      <c r="E552" s="165"/>
      <c r="F552" s="165"/>
      <c r="G552" s="165"/>
      <c r="H552" s="165"/>
      <c r="I552" s="165"/>
      <c r="J552" s="165"/>
      <c r="K552" s="165"/>
      <c r="L552" s="165"/>
      <c r="M552" s="165"/>
      <c r="N552" s="165"/>
      <c r="O552" s="165"/>
      <c r="P552" s="165"/>
      <c r="Q552" s="134"/>
      <c r="R552" s="12"/>
      <c r="AJ552" s="12"/>
    </row>
    <row r="553" ht="15.75" customHeight="1">
      <c r="B553" s="12"/>
      <c r="C553" s="7"/>
      <c r="E553" s="165"/>
      <c r="F553" s="165"/>
      <c r="G553" s="165"/>
      <c r="H553" s="165"/>
      <c r="I553" s="165"/>
      <c r="J553" s="165"/>
      <c r="K553" s="165"/>
      <c r="L553" s="165"/>
      <c r="M553" s="165"/>
      <c r="N553" s="165"/>
      <c r="O553" s="165"/>
      <c r="P553" s="165"/>
      <c r="Q553" s="134"/>
      <c r="R553" s="12"/>
      <c r="AJ553" s="12"/>
    </row>
    <row r="554" ht="15.75" customHeight="1">
      <c r="B554" s="12"/>
      <c r="C554" s="7"/>
      <c r="E554" s="165"/>
      <c r="F554" s="165"/>
      <c r="G554" s="165"/>
      <c r="H554" s="165"/>
      <c r="I554" s="165"/>
      <c r="J554" s="165"/>
      <c r="K554" s="165"/>
      <c r="L554" s="165"/>
      <c r="M554" s="165"/>
      <c r="N554" s="165"/>
      <c r="O554" s="165"/>
      <c r="P554" s="165"/>
      <c r="Q554" s="134"/>
      <c r="R554" s="12"/>
      <c r="AJ554" s="12"/>
    </row>
    <row r="555" ht="15.75" customHeight="1">
      <c r="B555" s="12"/>
      <c r="C555" s="7"/>
      <c r="E555" s="165"/>
      <c r="F555" s="165"/>
      <c r="G555" s="165"/>
      <c r="H555" s="165"/>
      <c r="I555" s="165"/>
      <c r="J555" s="165"/>
      <c r="K555" s="165"/>
      <c r="L555" s="165"/>
      <c r="M555" s="165"/>
      <c r="N555" s="165"/>
      <c r="O555" s="165"/>
      <c r="P555" s="165"/>
      <c r="Q555" s="134"/>
      <c r="R555" s="12"/>
      <c r="AJ555" s="12"/>
    </row>
    <row r="556" ht="15.75" customHeight="1">
      <c r="B556" s="12"/>
      <c r="C556" s="7"/>
      <c r="E556" s="165"/>
      <c r="F556" s="165"/>
      <c r="G556" s="165"/>
      <c r="H556" s="165"/>
      <c r="I556" s="165"/>
      <c r="J556" s="165"/>
      <c r="K556" s="165"/>
      <c r="L556" s="165"/>
      <c r="M556" s="165"/>
      <c r="N556" s="165"/>
      <c r="O556" s="165"/>
      <c r="P556" s="165"/>
      <c r="Q556" s="134"/>
      <c r="R556" s="12"/>
      <c r="AJ556" s="12"/>
    </row>
    <row r="557" ht="15.75" customHeight="1">
      <c r="B557" s="12"/>
      <c r="C557" s="7"/>
      <c r="E557" s="165"/>
      <c r="F557" s="165"/>
      <c r="G557" s="165"/>
      <c r="H557" s="165"/>
      <c r="I557" s="165"/>
      <c r="J557" s="165"/>
      <c r="K557" s="165"/>
      <c r="L557" s="165"/>
      <c r="M557" s="165"/>
      <c r="N557" s="165"/>
      <c r="O557" s="165"/>
      <c r="P557" s="165"/>
      <c r="Q557" s="134"/>
      <c r="R557" s="12"/>
      <c r="AJ557" s="12"/>
    </row>
    <row r="558" ht="15.75" customHeight="1">
      <c r="B558" s="12"/>
      <c r="C558" s="7"/>
      <c r="E558" s="165"/>
      <c r="F558" s="165"/>
      <c r="G558" s="165"/>
      <c r="H558" s="165"/>
      <c r="I558" s="165"/>
      <c r="J558" s="165"/>
      <c r="K558" s="165"/>
      <c r="L558" s="165"/>
      <c r="M558" s="165"/>
      <c r="N558" s="165"/>
      <c r="O558" s="165"/>
      <c r="P558" s="165"/>
      <c r="Q558" s="134"/>
      <c r="R558" s="12"/>
      <c r="AJ558" s="12"/>
    </row>
    <row r="559" ht="15.75" customHeight="1">
      <c r="B559" s="12"/>
      <c r="C559" s="7"/>
      <c r="E559" s="165"/>
      <c r="F559" s="165"/>
      <c r="G559" s="165"/>
      <c r="H559" s="165"/>
      <c r="I559" s="165"/>
      <c r="J559" s="165"/>
      <c r="K559" s="165"/>
      <c r="L559" s="165"/>
      <c r="M559" s="165"/>
      <c r="N559" s="165"/>
      <c r="O559" s="165"/>
      <c r="P559" s="165"/>
      <c r="Q559" s="134"/>
      <c r="R559" s="12"/>
      <c r="AJ559" s="12"/>
    </row>
    <row r="560" ht="15.75" customHeight="1">
      <c r="B560" s="12"/>
      <c r="C560" s="7"/>
      <c r="E560" s="165"/>
      <c r="F560" s="165"/>
      <c r="G560" s="165"/>
      <c r="H560" s="165"/>
      <c r="I560" s="165"/>
      <c r="J560" s="165"/>
      <c r="K560" s="165"/>
      <c r="L560" s="165"/>
      <c r="M560" s="165"/>
      <c r="N560" s="165"/>
      <c r="O560" s="165"/>
      <c r="P560" s="165"/>
      <c r="Q560" s="134"/>
      <c r="R560" s="12"/>
      <c r="AJ560" s="12"/>
    </row>
    <row r="561" ht="15.75" customHeight="1">
      <c r="B561" s="12"/>
      <c r="C561" s="7"/>
      <c r="E561" s="165"/>
      <c r="F561" s="165"/>
      <c r="G561" s="165"/>
      <c r="H561" s="165"/>
      <c r="I561" s="165"/>
      <c r="J561" s="165"/>
      <c r="K561" s="165"/>
      <c r="L561" s="165"/>
      <c r="M561" s="165"/>
      <c r="N561" s="165"/>
      <c r="O561" s="165"/>
      <c r="P561" s="165"/>
      <c r="Q561" s="134"/>
      <c r="R561" s="12"/>
      <c r="AJ561" s="12"/>
    </row>
    <row r="562" ht="15.75" customHeight="1">
      <c r="B562" s="12"/>
      <c r="C562" s="7"/>
      <c r="E562" s="165"/>
      <c r="F562" s="165"/>
      <c r="G562" s="165"/>
      <c r="H562" s="165"/>
      <c r="I562" s="165"/>
      <c r="J562" s="165"/>
      <c r="K562" s="165"/>
      <c r="L562" s="165"/>
      <c r="M562" s="165"/>
      <c r="N562" s="165"/>
      <c r="O562" s="165"/>
      <c r="P562" s="165"/>
      <c r="Q562" s="134"/>
      <c r="R562" s="12"/>
      <c r="AJ562" s="12"/>
    </row>
    <row r="563" ht="15.75" customHeight="1">
      <c r="B563" s="12"/>
      <c r="C563" s="7"/>
      <c r="E563" s="165"/>
      <c r="F563" s="165"/>
      <c r="G563" s="165"/>
      <c r="H563" s="165"/>
      <c r="I563" s="165"/>
      <c r="J563" s="165"/>
      <c r="K563" s="165"/>
      <c r="L563" s="165"/>
      <c r="M563" s="165"/>
      <c r="N563" s="165"/>
      <c r="O563" s="165"/>
      <c r="P563" s="165"/>
      <c r="Q563" s="134"/>
      <c r="R563" s="12"/>
      <c r="AJ563" s="12"/>
    </row>
    <row r="564" ht="15.75" customHeight="1">
      <c r="B564" s="12"/>
      <c r="C564" s="7"/>
      <c r="E564" s="165"/>
      <c r="F564" s="165"/>
      <c r="G564" s="165"/>
      <c r="H564" s="165"/>
      <c r="I564" s="165"/>
      <c r="J564" s="165"/>
      <c r="K564" s="165"/>
      <c r="L564" s="165"/>
      <c r="M564" s="165"/>
      <c r="N564" s="165"/>
      <c r="O564" s="165"/>
      <c r="P564" s="165"/>
      <c r="Q564" s="134"/>
      <c r="R564" s="12"/>
      <c r="AJ564" s="12"/>
    </row>
    <row r="565" ht="15.75" customHeight="1">
      <c r="B565" s="12"/>
      <c r="C565" s="7"/>
      <c r="E565" s="165"/>
      <c r="F565" s="165"/>
      <c r="G565" s="165"/>
      <c r="H565" s="165"/>
      <c r="I565" s="165"/>
      <c r="J565" s="165"/>
      <c r="K565" s="165"/>
      <c r="L565" s="165"/>
      <c r="M565" s="165"/>
      <c r="N565" s="165"/>
      <c r="O565" s="165"/>
      <c r="P565" s="165"/>
      <c r="Q565" s="134"/>
      <c r="R565" s="12"/>
      <c r="AJ565" s="12"/>
    </row>
    <row r="566" ht="15.75" customHeight="1">
      <c r="B566" s="12"/>
      <c r="C566" s="7"/>
      <c r="E566" s="165"/>
      <c r="F566" s="165"/>
      <c r="G566" s="165"/>
      <c r="H566" s="165"/>
      <c r="I566" s="165"/>
      <c r="J566" s="165"/>
      <c r="K566" s="165"/>
      <c r="L566" s="165"/>
      <c r="M566" s="165"/>
      <c r="N566" s="165"/>
      <c r="O566" s="165"/>
      <c r="P566" s="165"/>
      <c r="Q566" s="134"/>
      <c r="R566" s="12"/>
      <c r="AJ566" s="12"/>
    </row>
    <row r="567" ht="15.75" customHeight="1">
      <c r="B567" s="12"/>
      <c r="C567" s="7"/>
      <c r="E567" s="165"/>
      <c r="F567" s="165"/>
      <c r="G567" s="165"/>
      <c r="H567" s="165"/>
      <c r="I567" s="165"/>
      <c r="J567" s="165"/>
      <c r="K567" s="165"/>
      <c r="L567" s="165"/>
      <c r="M567" s="165"/>
      <c r="N567" s="165"/>
      <c r="O567" s="165"/>
      <c r="P567" s="165"/>
      <c r="Q567" s="134"/>
      <c r="R567" s="12"/>
      <c r="AJ567" s="12"/>
    </row>
    <row r="568" ht="15.75" customHeight="1">
      <c r="B568" s="12"/>
      <c r="C568" s="7"/>
      <c r="E568" s="165"/>
      <c r="F568" s="165"/>
      <c r="G568" s="165"/>
      <c r="H568" s="165"/>
      <c r="I568" s="165"/>
      <c r="J568" s="165"/>
      <c r="K568" s="165"/>
      <c r="L568" s="165"/>
      <c r="M568" s="165"/>
      <c r="N568" s="165"/>
      <c r="O568" s="165"/>
      <c r="P568" s="165"/>
      <c r="Q568" s="134"/>
      <c r="R568" s="12"/>
      <c r="AJ568" s="12"/>
    </row>
    <row r="569" ht="15.75" customHeight="1">
      <c r="B569" s="12"/>
      <c r="C569" s="7"/>
      <c r="E569" s="165"/>
      <c r="F569" s="165"/>
      <c r="G569" s="165"/>
      <c r="H569" s="165"/>
      <c r="I569" s="165"/>
      <c r="J569" s="165"/>
      <c r="K569" s="165"/>
      <c r="L569" s="165"/>
      <c r="M569" s="165"/>
      <c r="N569" s="165"/>
      <c r="O569" s="165"/>
      <c r="P569" s="165"/>
      <c r="Q569" s="134"/>
      <c r="R569" s="12"/>
      <c r="AJ569" s="12"/>
    </row>
    <row r="570" ht="15.75" customHeight="1">
      <c r="B570" s="12"/>
      <c r="C570" s="7"/>
      <c r="E570" s="165"/>
      <c r="F570" s="165"/>
      <c r="G570" s="165"/>
      <c r="H570" s="165"/>
      <c r="I570" s="165"/>
      <c r="J570" s="165"/>
      <c r="K570" s="165"/>
      <c r="L570" s="165"/>
      <c r="M570" s="165"/>
      <c r="N570" s="165"/>
      <c r="O570" s="165"/>
      <c r="P570" s="165"/>
      <c r="Q570" s="134"/>
      <c r="R570" s="12"/>
      <c r="AJ570" s="12"/>
    </row>
    <row r="571" ht="15.75" customHeight="1">
      <c r="B571" s="12"/>
      <c r="C571" s="7"/>
      <c r="E571" s="165"/>
      <c r="F571" s="165"/>
      <c r="G571" s="165"/>
      <c r="H571" s="165"/>
      <c r="I571" s="165"/>
      <c r="J571" s="165"/>
      <c r="K571" s="165"/>
      <c r="L571" s="165"/>
      <c r="M571" s="165"/>
      <c r="N571" s="165"/>
      <c r="O571" s="165"/>
      <c r="P571" s="165"/>
      <c r="Q571" s="134"/>
      <c r="R571" s="12"/>
      <c r="AJ571" s="12"/>
    </row>
    <row r="572" ht="15.75" customHeight="1">
      <c r="B572" s="12"/>
      <c r="C572" s="7"/>
      <c r="E572" s="165"/>
      <c r="F572" s="165"/>
      <c r="G572" s="165"/>
      <c r="H572" s="165"/>
      <c r="I572" s="165"/>
      <c r="J572" s="165"/>
      <c r="K572" s="165"/>
      <c r="L572" s="165"/>
      <c r="M572" s="165"/>
      <c r="N572" s="165"/>
      <c r="O572" s="165"/>
      <c r="P572" s="165"/>
      <c r="Q572" s="134"/>
      <c r="R572" s="12"/>
      <c r="AJ572" s="12"/>
    </row>
    <row r="573" ht="15.75" customHeight="1">
      <c r="B573" s="12"/>
      <c r="C573" s="7"/>
      <c r="E573" s="165"/>
      <c r="F573" s="165"/>
      <c r="G573" s="165"/>
      <c r="H573" s="165"/>
      <c r="I573" s="165"/>
      <c r="J573" s="165"/>
      <c r="K573" s="165"/>
      <c r="L573" s="165"/>
      <c r="M573" s="165"/>
      <c r="N573" s="165"/>
      <c r="O573" s="165"/>
      <c r="P573" s="165"/>
      <c r="Q573" s="134"/>
      <c r="R573" s="12"/>
      <c r="AJ573" s="12"/>
    </row>
    <row r="574" ht="15.75" customHeight="1">
      <c r="B574" s="12"/>
      <c r="C574" s="7"/>
      <c r="E574" s="165"/>
      <c r="F574" s="165"/>
      <c r="G574" s="165"/>
      <c r="H574" s="165"/>
      <c r="I574" s="165"/>
      <c r="J574" s="165"/>
      <c r="K574" s="165"/>
      <c r="L574" s="165"/>
      <c r="M574" s="165"/>
      <c r="N574" s="165"/>
      <c r="O574" s="165"/>
      <c r="P574" s="165"/>
      <c r="Q574" s="134"/>
      <c r="R574" s="12"/>
      <c r="AJ574" s="12"/>
    </row>
    <row r="575" ht="15.75" customHeight="1">
      <c r="B575" s="12"/>
      <c r="C575" s="7"/>
      <c r="E575" s="165"/>
      <c r="F575" s="165"/>
      <c r="G575" s="165"/>
      <c r="H575" s="165"/>
      <c r="I575" s="165"/>
      <c r="J575" s="165"/>
      <c r="K575" s="165"/>
      <c r="L575" s="165"/>
      <c r="M575" s="165"/>
      <c r="N575" s="165"/>
      <c r="O575" s="165"/>
      <c r="P575" s="165"/>
      <c r="Q575" s="134"/>
      <c r="R575" s="12"/>
      <c r="AJ575" s="12"/>
    </row>
    <row r="576" ht="15.75" customHeight="1">
      <c r="B576" s="12"/>
      <c r="C576" s="7"/>
      <c r="E576" s="165"/>
      <c r="F576" s="165"/>
      <c r="G576" s="165"/>
      <c r="H576" s="165"/>
      <c r="I576" s="165"/>
      <c r="J576" s="165"/>
      <c r="K576" s="165"/>
      <c r="L576" s="165"/>
      <c r="M576" s="165"/>
      <c r="N576" s="165"/>
      <c r="O576" s="165"/>
      <c r="P576" s="165"/>
      <c r="Q576" s="134"/>
      <c r="R576" s="12"/>
      <c r="AJ576" s="12"/>
    </row>
    <row r="577" ht="15.75" customHeight="1">
      <c r="B577" s="12"/>
      <c r="C577" s="7"/>
      <c r="E577" s="165"/>
      <c r="F577" s="165"/>
      <c r="G577" s="165"/>
      <c r="H577" s="165"/>
      <c r="I577" s="165"/>
      <c r="J577" s="165"/>
      <c r="K577" s="165"/>
      <c r="L577" s="165"/>
      <c r="M577" s="165"/>
      <c r="N577" s="165"/>
      <c r="O577" s="165"/>
      <c r="P577" s="165"/>
      <c r="Q577" s="134"/>
      <c r="R577" s="12"/>
      <c r="AJ577" s="12"/>
    </row>
    <row r="578" ht="15.75" customHeight="1">
      <c r="B578" s="12"/>
      <c r="C578" s="7"/>
      <c r="E578" s="165"/>
      <c r="F578" s="165"/>
      <c r="G578" s="165"/>
      <c r="H578" s="165"/>
      <c r="I578" s="165"/>
      <c r="J578" s="165"/>
      <c r="K578" s="165"/>
      <c r="L578" s="165"/>
      <c r="M578" s="165"/>
      <c r="N578" s="165"/>
      <c r="O578" s="165"/>
      <c r="P578" s="165"/>
      <c r="Q578" s="134"/>
      <c r="R578" s="12"/>
      <c r="AJ578" s="12"/>
    </row>
    <row r="579" ht="15.75" customHeight="1">
      <c r="B579" s="12"/>
      <c r="C579" s="7"/>
      <c r="E579" s="165"/>
      <c r="F579" s="165"/>
      <c r="G579" s="165"/>
      <c r="H579" s="165"/>
      <c r="I579" s="165"/>
      <c r="J579" s="165"/>
      <c r="K579" s="165"/>
      <c r="L579" s="165"/>
      <c r="M579" s="165"/>
      <c r="N579" s="165"/>
      <c r="O579" s="165"/>
      <c r="P579" s="165"/>
      <c r="Q579" s="134"/>
      <c r="R579" s="12"/>
      <c r="AJ579" s="12"/>
    </row>
    <row r="580" ht="15.75" customHeight="1">
      <c r="B580" s="12"/>
      <c r="C580" s="7"/>
      <c r="E580" s="165"/>
      <c r="F580" s="165"/>
      <c r="G580" s="165"/>
      <c r="H580" s="165"/>
      <c r="I580" s="165"/>
      <c r="J580" s="165"/>
      <c r="K580" s="165"/>
      <c r="L580" s="165"/>
      <c r="M580" s="165"/>
      <c r="N580" s="165"/>
      <c r="O580" s="165"/>
      <c r="P580" s="165"/>
      <c r="Q580" s="134"/>
      <c r="R580" s="12"/>
      <c r="AJ580" s="12"/>
    </row>
    <row r="581" ht="15.75" customHeight="1">
      <c r="B581" s="12"/>
      <c r="C581" s="7"/>
      <c r="E581" s="165"/>
      <c r="F581" s="165"/>
      <c r="G581" s="165"/>
      <c r="H581" s="165"/>
      <c r="I581" s="165"/>
      <c r="J581" s="165"/>
      <c r="K581" s="165"/>
      <c r="L581" s="165"/>
      <c r="M581" s="165"/>
      <c r="N581" s="165"/>
      <c r="O581" s="165"/>
      <c r="P581" s="165"/>
      <c r="Q581" s="134"/>
      <c r="R581" s="12"/>
      <c r="AJ581" s="12"/>
    </row>
    <row r="582" ht="15.75" customHeight="1">
      <c r="B582" s="12"/>
      <c r="C582" s="7"/>
      <c r="E582" s="165"/>
      <c r="F582" s="165"/>
      <c r="G582" s="165"/>
      <c r="H582" s="165"/>
      <c r="I582" s="165"/>
      <c r="J582" s="165"/>
      <c r="K582" s="165"/>
      <c r="L582" s="165"/>
      <c r="M582" s="165"/>
      <c r="N582" s="165"/>
      <c r="O582" s="165"/>
      <c r="P582" s="165"/>
      <c r="Q582" s="134"/>
      <c r="R582" s="12"/>
      <c r="AJ582" s="12"/>
    </row>
    <row r="583" ht="15.75" customHeight="1">
      <c r="B583" s="12"/>
      <c r="C583" s="7"/>
      <c r="E583" s="165"/>
      <c r="F583" s="165"/>
      <c r="G583" s="165"/>
      <c r="H583" s="165"/>
      <c r="I583" s="165"/>
      <c r="J583" s="165"/>
      <c r="K583" s="165"/>
      <c r="L583" s="165"/>
      <c r="M583" s="165"/>
      <c r="N583" s="165"/>
      <c r="O583" s="165"/>
      <c r="P583" s="165"/>
      <c r="Q583" s="134"/>
      <c r="R583" s="12"/>
      <c r="AJ583" s="12"/>
    </row>
    <row r="584" ht="15.75" customHeight="1">
      <c r="B584" s="12"/>
      <c r="C584" s="7"/>
      <c r="E584" s="165"/>
      <c r="F584" s="165"/>
      <c r="G584" s="165"/>
      <c r="H584" s="165"/>
      <c r="I584" s="165"/>
      <c r="J584" s="165"/>
      <c r="K584" s="165"/>
      <c r="L584" s="165"/>
      <c r="M584" s="165"/>
      <c r="N584" s="165"/>
      <c r="O584" s="165"/>
      <c r="P584" s="165"/>
      <c r="Q584" s="134"/>
      <c r="R584" s="12"/>
      <c r="AJ584" s="12"/>
    </row>
    <row r="585" ht="15.75" customHeight="1">
      <c r="B585" s="12"/>
      <c r="C585" s="7"/>
      <c r="E585" s="165"/>
      <c r="F585" s="165"/>
      <c r="G585" s="165"/>
      <c r="H585" s="165"/>
      <c r="I585" s="165"/>
      <c r="J585" s="165"/>
      <c r="K585" s="165"/>
      <c r="L585" s="165"/>
      <c r="M585" s="165"/>
      <c r="N585" s="165"/>
      <c r="O585" s="165"/>
      <c r="P585" s="165"/>
      <c r="Q585" s="134"/>
      <c r="R585" s="12"/>
      <c r="AJ585" s="12"/>
    </row>
    <row r="586" ht="15.75" customHeight="1">
      <c r="B586" s="12"/>
      <c r="C586" s="7"/>
      <c r="E586" s="165"/>
      <c r="F586" s="165"/>
      <c r="G586" s="165"/>
      <c r="H586" s="165"/>
      <c r="I586" s="165"/>
      <c r="J586" s="165"/>
      <c r="K586" s="165"/>
      <c r="L586" s="165"/>
      <c r="M586" s="165"/>
      <c r="N586" s="165"/>
      <c r="O586" s="165"/>
      <c r="P586" s="165"/>
      <c r="Q586" s="134"/>
      <c r="R586" s="12"/>
      <c r="AJ586" s="12"/>
    </row>
    <row r="587" ht="15.75" customHeight="1">
      <c r="B587" s="12"/>
      <c r="C587" s="7"/>
      <c r="E587" s="165"/>
      <c r="F587" s="165"/>
      <c r="G587" s="165"/>
      <c r="H587" s="165"/>
      <c r="I587" s="165"/>
      <c r="J587" s="165"/>
      <c r="K587" s="165"/>
      <c r="L587" s="165"/>
      <c r="M587" s="165"/>
      <c r="N587" s="165"/>
      <c r="O587" s="165"/>
      <c r="P587" s="165"/>
      <c r="Q587" s="134"/>
      <c r="R587" s="12"/>
      <c r="AJ587" s="12"/>
    </row>
    <row r="588" ht="15.75" customHeight="1">
      <c r="B588" s="12"/>
      <c r="C588" s="7"/>
      <c r="E588" s="165"/>
      <c r="F588" s="165"/>
      <c r="G588" s="165"/>
      <c r="H588" s="165"/>
      <c r="I588" s="165"/>
      <c r="J588" s="165"/>
      <c r="K588" s="165"/>
      <c r="L588" s="165"/>
      <c r="M588" s="165"/>
      <c r="N588" s="165"/>
      <c r="O588" s="165"/>
      <c r="P588" s="165"/>
      <c r="Q588" s="134"/>
      <c r="R588" s="12"/>
      <c r="AJ588" s="12"/>
    </row>
    <row r="589" ht="15.75" customHeight="1">
      <c r="B589" s="12"/>
      <c r="C589" s="7"/>
      <c r="E589" s="165"/>
      <c r="F589" s="165"/>
      <c r="G589" s="165"/>
      <c r="H589" s="165"/>
      <c r="I589" s="165"/>
      <c r="J589" s="165"/>
      <c r="K589" s="165"/>
      <c r="L589" s="165"/>
      <c r="M589" s="165"/>
      <c r="N589" s="165"/>
      <c r="O589" s="165"/>
      <c r="P589" s="165"/>
      <c r="Q589" s="134"/>
      <c r="R589" s="12"/>
      <c r="AJ589" s="12"/>
    </row>
    <row r="590" ht="15.75" customHeight="1">
      <c r="B590" s="12"/>
      <c r="C590" s="7"/>
      <c r="E590" s="165"/>
      <c r="F590" s="165"/>
      <c r="G590" s="165"/>
      <c r="H590" s="165"/>
      <c r="I590" s="165"/>
      <c r="J590" s="165"/>
      <c r="K590" s="165"/>
      <c r="L590" s="165"/>
      <c r="M590" s="165"/>
      <c r="N590" s="165"/>
      <c r="O590" s="165"/>
      <c r="P590" s="165"/>
      <c r="Q590" s="134"/>
      <c r="R590" s="12"/>
      <c r="AJ590" s="12"/>
    </row>
    <row r="591" ht="15.75" customHeight="1">
      <c r="B591" s="12"/>
      <c r="C591" s="7"/>
      <c r="E591" s="165"/>
      <c r="F591" s="165"/>
      <c r="G591" s="165"/>
      <c r="H591" s="165"/>
      <c r="I591" s="165"/>
      <c r="J591" s="165"/>
      <c r="K591" s="165"/>
      <c r="L591" s="165"/>
      <c r="M591" s="165"/>
      <c r="N591" s="165"/>
      <c r="O591" s="165"/>
      <c r="P591" s="165"/>
      <c r="Q591" s="134"/>
      <c r="R591" s="12"/>
      <c r="AJ591" s="12"/>
    </row>
    <row r="592" ht="15.75" customHeight="1">
      <c r="B592" s="12"/>
      <c r="C592" s="7"/>
      <c r="E592" s="165"/>
      <c r="F592" s="165"/>
      <c r="G592" s="165"/>
      <c r="H592" s="165"/>
      <c r="I592" s="165"/>
      <c r="J592" s="165"/>
      <c r="K592" s="165"/>
      <c r="L592" s="165"/>
      <c r="M592" s="165"/>
      <c r="N592" s="165"/>
      <c r="O592" s="165"/>
      <c r="P592" s="165"/>
      <c r="Q592" s="134"/>
      <c r="R592" s="12"/>
      <c r="AJ592" s="12"/>
    </row>
    <row r="593" ht="15.75" customHeight="1">
      <c r="B593" s="12"/>
      <c r="C593" s="7"/>
      <c r="E593" s="165"/>
      <c r="F593" s="165"/>
      <c r="G593" s="165"/>
      <c r="H593" s="165"/>
      <c r="I593" s="165"/>
      <c r="J593" s="165"/>
      <c r="K593" s="165"/>
      <c r="L593" s="165"/>
      <c r="M593" s="165"/>
      <c r="N593" s="165"/>
      <c r="O593" s="165"/>
      <c r="P593" s="165"/>
      <c r="Q593" s="134"/>
      <c r="R593" s="12"/>
      <c r="AJ593" s="12"/>
    </row>
    <row r="594" ht="15.75" customHeight="1">
      <c r="B594" s="12"/>
      <c r="C594" s="7"/>
      <c r="E594" s="165"/>
      <c r="F594" s="165"/>
      <c r="G594" s="165"/>
      <c r="H594" s="165"/>
      <c r="I594" s="165"/>
      <c r="J594" s="165"/>
      <c r="K594" s="165"/>
      <c r="L594" s="165"/>
      <c r="M594" s="165"/>
      <c r="N594" s="165"/>
      <c r="O594" s="165"/>
      <c r="P594" s="165"/>
      <c r="Q594" s="134"/>
      <c r="R594" s="12"/>
      <c r="AJ594" s="12"/>
    </row>
    <row r="595" ht="15.75" customHeight="1">
      <c r="B595" s="12"/>
      <c r="C595" s="7"/>
      <c r="E595" s="165"/>
      <c r="F595" s="165"/>
      <c r="G595" s="165"/>
      <c r="H595" s="165"/>
      <c r="I595" s="165"/>
      <c r="J595" s="165"/>
      <c r="K595" s="165"/>
      <c r="L595" s="165"/>
      <c r="M595" s="165"/>
      <c r="N595" s="165"/>
      <c r="O595" s="165"/>
      <c r="P595" s="165"/>
      <c r="Q595" s="134"/>
      <c r="R595" s="12"/>
      <c r="AJ595" s="12"/>
    </row>
    <row r="596" ht="15.75" customHeight="1">
      <c r="B596" s="12"/>
      <c r="C596" s="7"/>
      <c r="E596" s="165"/>
      <c r="F596" s="165"/>
      <c r="G596" s="165"/>
      <c r="H596" s="165"/>
      <c r="I596" s="165"/>
      <c r="J596" s="165"/>
      <c r="K596" s="165"/>
      <c r="L596" s="165"/>
      <c r="M596" s="165"/>
      <c r="N596" s="165"/>
      <c r="O596" s="165"/>
      <c r="P596" s="165"/>
      <c r="Q596" s="134"/>
      <c r="R596" s="12"/>
      <c r="AJ596" s="12"/>
    </row>
    <row r="597" ht="15.75" customHeight="1">
      <c r="B597" s="12"/>
      <c r="C597" s="7"/>
      <c r="E597" s="165"/>
      <c r="F597" s="165"/>
      <c r="G597" s="165"/>
      <c r="H597" s="165"/>
      <c r="I597" s="165"/>
      <c r="J597" s="165"/>
      <c r="K597" s="165"/>
      <c r="L597" s="165"/>
      <c r="M597" s="165"/>
      <c r="N597" s="165"/>
      <c r="O597" s="165"/>
      <c r="P597" s="165"/>
      <c r="Q597" s="134"/>
      <c r="R597" s="12"/>
      <c r="AJ597" s="12"/>
    </row>
    <row r="598" ht="15.75" customHeight="1">
      <c r="B598" s="12"/>
      <c r="C598" s="7"/>
      <c r="E598" s="165"/>
      <c r="F598" s="165"/>
      <c r="G598" s="165"/>
      <c r="H598" s="165"/>
      <c r="I598" s="165"/>
      <c r="J598" s="165"/>
      <c r="K598" s="165"/>
      <c r="L598" s="165"/>
      <c r="M598" s="165"/>
      <c r="N598" s="165"/>
      <c r="O598" s="165"/>
      <c r="P598" s="165"/>
      <c r="Q598" s="134"/>
      <c r="R598" s="12"/>
      <c r="AJ598" s="12"/>
    </row>
    <row r="599" ht="15.75" customHeight="1">
      <c r="B599" s="12"/>
      <c r="C599" s="7"/>
      <c r="E599" s="165"/>
      <c r="F599" s="165"/>
      <c r="G599" s="165"/>
      <c r="H599" s="165"/>
      <c r="I599" s="165"/>
      <c r="J599" s="165"/>
      <c r="K599" s="165"/>
      <c r="L599" s="165"/>
      <c r="M599" s="165"/>
      <c r="N599" s="165"/>
      <c r="O599" s="165"/>
      <c r="P599" s="165"/>
      <c r="Q599" s="134"/>
      <c r="R599" s="12"/>
      <c r="AJ599" s="12"/>
    </row>
    <row r="600" ht="15.75" customHeight="1">
      <c r="B600" s="12"/>
      <c r="C600" s="7"/>
      <c r="E600" s="165"/>
      <c r="F600" s="165"/>
      <c r="G600" s="165"/>
      <c r="H600" s="165"/>
      <c r="I600" s="165"/>
      <c r="J600" s="165"/>
      <c r="K600" s="165"/>
      <c r="L600" s="165"/>
      <c r="M600" s="165"/>
      <c r="N600" s="165"/>
      <c r="O600" s="165"/>
      <c r="P600" s="165"/>
      <c r="Q600" s="134"/>
      <c r="R600" s="12"/>
      <c r="AJ600" s="12"/>
    </row>
    <row r="601" ht="15.75" customHeight="1">
      <c r="B601" s="12"/>
      <c r="C601" s="7"/>
      <c r="E601" s="165"/>
      <c r="F601" s="165"/>
      <c r="G601" s="165"/>
      <c r="H601" s="165"/>
      <c r="I601" s="165"/>
      <c r="J601" s="165"/>
      <c r="K601" s="165"/>
      <c r="L601" s="165"/>
      <c r="M601" s="165"/>
      <c r="N601" s="165"/>
      <c r="O601" s="165"/>
      <c r="P601" s="165"/>
      <c r="Q601" s="134"/>
      <c r="R601" s="12"/>
      <c r="AJ601" s="12"/>
    </row>
    <row r="602" ht="15.75" customHeight="1">
      <c r="B602" s="12"/>
      <c r="C602" s="7"/>
      <c r="E602" s="165"/>
      <c r="F602" s="165"/>
      <c r="G602" s="165"/>
      <c r="H602" s="165"/>
      <c r="I602" s="165"/>
      <c r="J602" s="165"/>
      <c r="K602" s="165"/>
      <c r="L602" s="165"/>
      <c r="M602" s="165"/>
      <c r="N602" s="165"/>
      <c r="O602" s="165"/>
      <c r="P602" s="165"/>
      <c r="Q602" s="134"/>
      <c r="R602" s="12"/>
      <c r="AJ602" s="12"/>
    </row>
    <row r="603" ht="15.75" customHeight="1">
      <c r="B603" s="12"/>
      <c r="C603" s="7"/>
      <c r="E603" s="165"/>
      <c r="F603" s="165"/>
      <c r="G603" s="165"/>
      <c r="H603" s="165"/>
      <c r="I603" s="165"/>
      <c r="J603" s="165"/>
      <c r="K603" s="165"/>
      <c r="L603" s="165"/>
      <c r="M603" s="165"/>
      <c r="N603" s="165"/>
      <c r="O603" s="165"/>
      <c r="P603" s="165"/>
      <c r="Q603" s="134"/>
      <c r="R603" s="12"/>
      <c r="AJ603" s="12"/>
    </row>
    <row r="604" ht="15.75" customHeight="1">
      <c r="B604" s="12"/>
      <c r="C604" s="7"/>
      <c r="E604" s="165"/>
      <c r="F604" s="165"/>
      <c r="G604" s="165"/>
      <c r="H604" s="165"/>
      <c r="I604" s="165"/>
      <c r="J604" s="165"/>
      <c r="K604" s="165"/>
      <c r="L604" s="165"/>
      <c r="M604" s="165"/>
      <c r="N604" s="165"/>
      <c r="O604" s="165"/>
      <c r="P604" s="165"/>
      <c r="Q604" s="134"/>
      <c r="R604" s="12"/>
      <c r="AJ604" s="12"/>
    </row>
    <row r="605" ht="15.75" customHeight="1">
      <c r="B605" s="12"/>
      <c r="C605" s="7"/>
      <c r="E605" s="165"/>
      <c r="F605" s="165"/>
      <c r="G605" s="165"/>
      <c r="H605" s="165"/>
      <c r="I605" s="165"/>
      <c r="J605" s="165"/>
      <c r="K605" s="165"/>
      <c r="L605" s="165"/>
      <c r="M605" s="165"/>
      <c r="N605" s="165"/>
      <c r="O605" s="165"/>
      <c r="P605" s="165"/>
      <c r="Q605" s="134"/>
      <c r="R605" s="12"/>
      <c r="AJ605" s="12"/>
    </row>
    <row r="606" ht="15.75" customHeight="1">
      <c r="B606" s="12"/>
      <c r="C606" s="7"/>
      <c r="E606" s="165"/>
      <c r="F606" s="165"/>
      <c r="G606" s="165"/>
      <c r="H606" s="165"/>
      <c r="I606" s="165"/>
      <c r="J606" s="165"/>
      <c r="K606" s="165"/>
      <c r="L606" s="165"/>
      <c r="M606" s="165"/>
      <c r="N606" s="165"/>
      <c r="O606" s="165"/>
      <c r="P606" s="165"/>
      <c r="Q606" s="134"/>
      <c r="R606" s="12"/>
      <c r="AJ606" s="12"/>
    </row>
    <row r="607" ht="15.75" customHeight="1">
      <c r="B607" s="12"/>
      <c r="C607" s="7"/>
      <c r="E607" s="165"/>
      <c r="F607" s="165"/>
      <c r="G607" s="165"/>
      <c r="H607" s="165"/>
      <c r="I607" s="165"/>
      <c r="J607" s="165"/>
      <c r="K607" s="165"/>
      <c r="L607" s="165"/>
      <c r="M607" s="165"/>
      <c r="N607" s="165"/>
      <c r="O607" s="165"/>
      <c r="P607" s="165"/>
      <c r="Q607" s="134"/>
      <c r="R607" s="12"/>
      <c r="AJ607" s="12"/>
    </row>
    <row r="608" ht="15.75" customHeight="1">
      <c r="B608" s="12"/>
      <c r="C608" s="7"/>
      <c r="E608" s="165"/>
      <c r="F608" s="165"/>
      <c r="G608" s="165"/>
      <c r="H608" s="165"/>
      <c r="I608" s="165"/>
      <c r="J608" s="165"/>
      <c r="K608" s="165"/>
      <c r="L608" s="165"/>
      <c r="M608" s="165"/>
      <c r="N608" s="165"/>
      <c r="O608" s="165"/>
      <c r="P608" s="165"/>
      <c r="Q608" s="134"/>
      <c r="R608" s="12"/>
      <c r="AJ608" s="12"/>
    </row>
    <row r="609" ht="15.75" customHeight="1">
      <c r="B609" s="12"/>
      <c r="C609" s="7"/>
      <c r="E609" s="165"/>
      <c r="F609" s="165"/>
      <c r="G609" s="165"/>
      <c r="H609" s="165"/>
      <c r="I609" s="165"/>
      <c r="J609" s="165"/>
      <c r="K609" s="165"/>
      <c r="L609" s="165"/>
      <c r="M609" s="165"/>
      <c r="N609" s="165"/>
      <c r="O609" s="165"/>
      <c r="P609" s="165"/>
      <c r="Q609" s="134"/>
      <c r="R609" s="12"/>
      <c r="AJ609" s="12"/>
    </row>
    <row r="610" ht="15.75" customHeight="1">
      <c r="B610" s="12"/>
      <c r="C610" s="7"/>
      <c r="E610" s="165"/>
      <c r="F610" s="165"/>
      <c r="G610" s="165"/>
      <c r="H610" s="165"/>
      <c r="I610" s="165"/>
      <c r="J610" s="165"/>
      <c r="K610" s="165"/>
      <c r="L610" s="165"/>
      <c r="M610" s="165"/>
      <c r="N610" s="165"/>
      <c r="O610" s="165"/>
      <c r="P610" s="165"/>
      <c r="Q610" s="134"/>
      <c r="R610" s="12"/>
      <c r="AJ610" s="12"/>
    </row>
    <row r="611" ht="15.75" customHeight="1">
      <c r="B611" s="12"/>
      <c r="C611" s="7"/>
      <c r="E611" s="165"/>
      <c r="F611" s="165"/>
      <c r="G611" s="165"/>
      <c r="H611" s="165"/>
      <c r="I611" s="165"/>
      <c r="J611" s="165"/>
      <c r="K611" s="165"/>
      <c r="L611" s="165"/>
      <c r="M611" s="165"/>
      <c r="N611" s="165"/>
      <c r="O611" s="165"/>
      <c r="P611" s="165"/>
      <c r="Q611" s="134"/>
      <c r="R611" s="12"/>
      <c r="AJ611" s="12"/>
    </row>
    <row r="612" ht="15.75" customHeight="1">
      <c r="B612" s="12"/>
      <c r="C612" s="7"/>
      <c r="E612" s="165"/>
      <c r="F612" s="165"/>
      <c r="G612" s="165"/>
      <c r="H612" s="165"/>
      <c r="I612" s="165"/>
      <c r="J612" s="165"/>
      <c r="K612" s="165"/>
      <c r="L612" s="165"/>
      <c r="M612" s="165"/>
      <c r="N612" s="165"/>
      <c r="O612" s="165"/>
      <c r="P612" s="165"/>
      <c r="Q612" s="134"/>
      <c r="R612" s="12"/>
      <c r="AJ612" s="12"/>
    </row>
    <row r="613" ht="15.75" customHeight="1">
      <c r="B613" s="12"/>
      <c r="C613" s="7"/>
      <c r="E613" s="165"/>
      <c r="F613" s="165"/>
      <c r="G613" s="165"/>
      <c r="H613" s="165"/>
      <c r="I613" s="165"/>
      <c r="J613" s="165"/>
      <c r="K613" s="165"/>
      <c r="L613" s="165"/>
      <c r="M613" s="165"/>
      <c r="N613" s="165"/>
      <c r="O613" s="165"/>
      <c r="P613" s="165"/>
      <c r="Q613" s="134"/>
      <c r="R613" s="12"/>
      <c r="AJ613" s="12"/>
    </row>
    <row r="614" ht="15.75" customHeight="1">
      <c r="B614" s="12"/>
      <c r="C614" s="7"/>
      <c r="E614" s="165"/>
      <c r="F614" s="165"/>
      <c r="G614" s="165"/>
      <c r="H614" s="165"/>
      <c r="I614" s="165"/>
      <c r="J614" s="165"/>
      <c r="K614" s="165"/>
      <c r="L614" s="165"/>
      <c r="M614" s="165"/>
      <c r="N614" s="165"/>
      <c r="O614" s="165"/>
      <c r="P614" s="165"/>
      <c r="Q614" s="134"/>
      <c r="R614" s="12"/>
      <c r="AJ614" s="12"/>
    </row>
    <row r="615" ht="15.75" customHeight="1">
      <c r="B615" s="12"/>
      <c r="C615" s="7"/>
      <c r="E615" s="165"/>
      <c r="F615" s="165"/>
      <c r="G615" s="165"/>
      <c r="H615" s="165"/>
      <c r="I615" s="165"/>
      <c r="J615" s="165"/>
      <c r="K615" s="165"/>
      <c r="L615" s="165"/>
      <c r="M615" s="165"/>
      <c r="N615" s="165"/>
      <c r="O615" s="165"/>
      <c r="P615" s="165"/>
      <c r="Q615" s="134"/>
      <c r="R615" s="12"/>
      <c r="AJ615" s="12"/>
    </row>
    <row r="616" ht="15.75" customHeight="1">
      <c r="B616" s="12"/>
      <c r="C616" s="7"/>
      <c r="E616" s="165"/>
      <c r="F616" s="165"/>
      <c r="G616" s="165"/>
      <c r="H616" s="165"/>
      <c r="I616" s="165"/>
      <c r="J616" s="165"/>
      <c r="K616" s="165"/>
      <c r="L616" s="165"/>
      <c r="M616" s="165"/>
      <c r="N616" s="165"/>
      <c r="O616" s="165"/>
      <c r="P616" s="165"/>
      <c r="Q616" s="134"/>
      <c r="R616" s="12"/>
      <c r="AJ616" s="12"/>
    </row>
    <row r="617" ht="15.75" customHeight="1">
      <c r="B617" s="12"/>
      <c r="C617" s="7"/>
      <c r="E617" s="165"/>
      <c r="F617" s="165"/>
      <c r="G617" s="165"/>
      <c r="H617" s="165"/>
      <c r="I617" s="165"/>
      <c r="J617" s="165"/>
      <c r="K617" s="165"/>
      <c r="L617" s="165"/>
      <c r="M617" s="165"/>
      <c r="N617" s="165"/>
      <c r="O617" s="165"/>
      <c r="P617" s="165"/>
      <c r="Q617" s="134"/>
      <c r="R617" s="12"/>
      <c r="AJ617" s="12"/>
    </row>
    <row r="618" ht="15.75" customHeight="1">
      <c r="B618" s="12"/>
      <c r="C618" s="7"/>
      <c r="E618" s="165"/>
      <c r="F618" s="165"/>
      <c r="G618" s="165"/>
      <c r="H618" s="165"/>
      <c r="I618" s="165"/>
      <c r="J618" s="165"/>
      <c r="K618" s="165"/>
      <c r="L618" s="165"/>
      <c r="M618" s="165"/>
      <c r="N618" s="165"/>
      <c r="O618" s="165"/>
      <c r="P618" s="165"/>
      <c r="Q618" s="134"/>
      <c r="R618" s="12"/>
      <c r="AJ618" s="12"/>
    </row>
    <row r="619" ht="15.75" customHeight="1">
      <c r="B619" s="12"/>
      <c r="C619" s="7"/>
      <c r="E619" s="165"/>
      <c r="F619" s="165"/>
      <c r="G619" s="165"/>
      <c r="H619" s="165"/>
      <c r="I619" s="165"/>
      <c r="J619" s="165"/>
      <c r="K619" s="165"/>
      <c r="L619" s="165"/>
      <c r="M619" s="165"/>
      <c r="N619" s="165"/>
      <c r="O619" s="165"/>
      <c r="P619" s="165"/>
      <c r="Q619" s="134"/>
      <c r="R619" s="12"/>
      <c r="AJ619" s="12"/>
    </row>
    <row r="620" ht="15.75" customHeight="1">
      <c r="B620" s="12"/>
      <c r="C620" s="7"/>
      <c r="E620" s="165"/>
      <c r="F620" s="165"/>
      <c r="G620" s="165"/>
      <c r="H620" s="165"/>
      <c r="I620" s="165"/>
      <c r="J620" s="165"/>
      <c r="K620" s="165"/>
      <c r="L620" s="165"/>
      <c r="M620" s="165"/>
      <c r="N620" s="165"/>
      <c r="O620" s="165"/>
      <c r="P620" s="165"/>
      <c r="Q620" s="134"/>
      <c r="R620" s="12"/>
      <c r="AJ620" s="12"/>
    </row>
    <row r="621" ht="15.75" customHeight="1">
      <c r="B621" s="12"/>
      <c r="C621" s="7"/>
      <c r="E621" s="165"/>
      <c r="F621" s="165"/>
      <c r="G621" s="165"/>
      <c r="H621" s="165"/>
      <c r="I621" s="165"/>
      <c r="J621" s="165"/>
      <c r="K621" s="165"/>
      <c r="L621" s="165"/>
      <c r="M621" s="165"/>
      <c r="N621" s="165"/>
      <c r="O621" s="165"/>
      <c r="P621" s="165"/>
      <c r="Q621" s="134"/>
      <c r="R621" s="12"/>
      <c r="AJ621" s="12"/>
    </row>
    <row r="622" ht="15.75" customHeight="1">
      <c r="B622" s="12"/>
      <c r="C622" s="7"/>
      <c r="E622" s="165"/>
      <c r="F622" s="165"/>
      <c r="G622" s="165"/>
      <c r="H622" s="165"/>
      <c r="I622" s="165"/>
      <c r="J622" s="165"/>
      <c r="K622" s="165"/>
      <c r="L622" s="165"/>
      <c r="M622" s="165"/>
      <c r="N622" s="165"/>
      <c r="O622" s="165"/>
      <c r="P622" s="165"/>
      <c r="Q622" s="134"/>
      <c r="R622" s="12"/>
      <c r="AJ622" s="12"/>
    </row>
    <row r="623" ht="15.75" customHeight="1">
      <c r="B623" s="12"/>
      <c r="C623" s="7"/>
      <c r="E623" s="165"/>
      <c r="F623" s="165"/>
      <c r="G623" s="165"/>
      <c r="H623" s="165"/>
      <c r="I623" s="165"/>
      <c r="J623" s="165"/>
      <c r="K623" s="165"/>
      <c r="L623" s="165"/>
      <c r="M623" s="165"/>
      <c r="N623" s="165"/>
      <c r="O623" s="165"/>
      <c r="P623" s="165"/>
      <c r="Q623" s="134"/>
      <c r="R623" s="12"/>
      <c r="AJ623" s="12"/>
    </row>
    <row r="624" ht="15.75" customHeight="1">
      <c r="B624" s="12"/>
      <c r="C624" s="7"/>
      <c r="E624" s="165"/>
      <c r="F624" s="165"/>
      <c r="G624" s="165"/>
      <c r="H624" s="165"/>
      <c r="I624" s="165"/>
      <c r="J624" s="165"/>
      <c r="K624" s="165"/>
      <c r="L624" s="165"/>
      <c r="M624" s="165"/>
      <c r="N624" s="165"/>
      <c r="O624" s="165"/>
      <c r="P624" s="165"/>
      <c r="Q624" s="134"/>
      <c r="R624" s="12"/>
      <c r="AJ624" s="12"/>
    </row>
    <row r="625" ht="15.75" customHeight="1">
      <c r="B625" s="12"/>
      <c r="C625" s="7"/>
      <c r="E625" s="165"/>
      <c r="F625" s="165"/>
      <c r="G625" s="165"/>
      <c r="H625" s="165"/>
      <c r="I625" s="165"/>
      <c r="J625" s="165"/>
      <c r="K625" s="165"/>
      <c r="L625" s="165"/>
      <c r="M625" s="165"/>
      <c r="N625" s="165"/>
      <c r="O625" s="165"/>
      <c r="P625" s="165"/>
      <c r="Q625" s="134"/>
      <c r="R625" s="12"/>
      <c r="AJ625" s="12"/>
    </row>
    <row r="626" ht="15.75" customHeight="1">
      <c r="B626" s="12"/>
      <c r="C626" s="7"/>
      <c r="E626" s="165"/>
      <c r="F626" s="165"/>
      <c r="G626" s="165"/>
      <c r="H626" s="165"/>
      <c r="I626" s="165"/>
      <c r="J626" s="165"/>
      <c r="K626" s="165"/>
      <c r="L626" s="165"/>
      <c r="M626" s="165"/>
      <c r="N626" s="165"/>
      <c r="O626" s="165"/>
      <c r="P626" s="165"/>
      <c r="Q626" s="134"/>
      <c r="R626" s="12"/>
      <c r="AJ626" s="12"/>
    </row>
    <row r="627" ht="15.75" customHeight="1">
      <c r="B627" s="12"/>
      <c r="C627" s="7"/>
      <c r="E627" s="165"/>
      <c r="F627" s="165"/>
      <c r="G627" s="165"/>
      <c r="H627" s="165"/>
      <c r="I627" s="165"/>
      <c r="J627" s="165"/>
      <c r="K627" s="165"/>
      <c r="L627" s="165"/>
      <c r="M627" s="165"/>
      <c r="N627" s="165"/>
      <c r="O627" s="165"/>
      <c r="P627" s="165"/>
      <c r="Q627" s="134"/>
      <c r="R627" s="12"/>
      <c r="AJ627" s="12"/>
    </row>
    <row r="628" ht="15.75" customHeight="1">
      <c r="B628" s="12"/>
      <c r="C628" s="7"/>
      <c r="E628" s="165"/>
      <c r="F628" s="165"/>
      <c r="G628" s="165"/>
      <c r="H628" s="165"/>
      <c r="I628" s="165"/>
      <c r="J628" s="165"/>
      <c r="K628" s="165"/>
      <c r="L628" s="165"/>
      <c r="M628" s="165"/>
      <c r="N628" s="165"/>
      <c r="O628" s="165"/>
      <c r="P628" s="165"/>
      <c r="Q628" s="134"/>
      <c r="R628" s="12"/>
      <c r="AJ628" s="12"/>
    </row>
    <row r="629" ht="15.75" customHeight="1">
      <c r="B629" s="12"/>
      <c r="C629" s="7"/>
      <c r="E629" s="165"/>
      <c r="F629" s="165"/>
      <c r="G629" s="165"/>
      <c r="H629" s="165"/>
      <c r="I629" s="165"/>
      <c r="J629" s="165"/>
      <c r="K629" s="165"/>
      <c r="L629" s="165"/>
      <c r="M629" s="165"/>
      <c r="N629" s="165"/>
      <c r="O629" s="165"/>
      <c r="P629" s="165"/>
      <c r="Q629" s="134"/>
      <c r="R629" s="12"/>
      <c r="AJ629" s="12"/>
    </row>
    <row r="630" ht="15.75" customHeight="1">
      <c r="B630" s="12"/>
      <c r="C630" s="7"/>
      <c r="E630" s="165"/>
      <c r="F630" s="165"/>
      <c r="G630" s="165"/>
      <c r="H630" s="165"/>
      <c r="I630" s="165"/>
      <c r="J630" s="165"/>
      <c r="K630" s="165"/>
      <c r="L630" s="165"/>
      <c r="M630" s="165"/>
      <c r="N630" s="165"/>
      <c r="O630" s="165"/>
      <c r="P630" s="165"/>
      <c r="Q630" s="134"/>
      <c r="R630" s="12"/>
      <c r="AJ630" s="12"/>
    </row>
    <row r="631" ht="15.75" customHeight="1">
      <c r="B631" s="12"/>
      <c r="C631" s="7"/>
      <c r="E631" s="165"/>
      <c r="F631" s="165"/>
      <c r="G631" s="165"/>
      <c r="H631" s="165"/>
      <c r="I631" s="165"/>
      <c r="J631" s="165"/>
      <c r="K631" s="165"/>
      <c r="L631" s="165"/>
      <c r="M631" s="165"/>
      <c r="N631" s="165"/>
      <c r="O631" s="165"/>
      <c r="P631" s="165"/>
      <c r="Q631" s="134"/>
      <c r="R631" s="12"/>
      <c r="AJ631" s="12"/>
    </row>
    <row r="632" ht="15.75" customHeight="1">
      <c r="B632" s="12"/>
      <c r="C632" s="7"/>
      <c r="E632" s="165"/>
      <c r="F632" s="165"/>
      <c r="G632" s="165"/>
      <c r="H632" s="165"/>
      <c r="I632" s="165"/>
      <c r="J632" s="165"/>
      <c r="K632" s="165"/>
      <c r="L632" s="165"/>
      <c r="M632" s="165"/>
      <c r="N632" s="165"/>
      <c r="O632" s="165"/>
      <c r="P632" s="165"/>
      <c r="Q632" s="134"/>
      <c r="R632" s="12"/>
      <c r="AJ632" s="12"/>
    </row>
    <row r="633" ht="15.75" customHeight="1">
      <c r="B633" s="12"/>
      <c r="C633" s="7"/>
      <c r="E633" s="165"/>
      <c r="F633" s="165"/>
      <c r="G633" s="165"/>
      <c r="H633" s="165"/>
      <c r="I633" s="165"/>
      <c r="J633" s="165"/>
      <c r="K633" s="165"/>
      <c r="L633" s="165"/>
      <c r="M633" s="165"/>
      <c r="N633" s="165"/>
      <c r="O633" s="165"/>
      <c r="P633" s="165"/>
      <c r="Q633" s="134"/>
      <c r="R633" s="12"/>
      <c r="AJ633" s="12"/>
    </row>
    <row r="634" ht="15.75" customHeight="1">
      <c r="B634" s="12"/>
      <c r="C634" s="7"/>
      <c r="E634" s="165"/>
      <c r="F634" s="165"/>
      <c r="G634" s="165"/>
      <c r="H634" s="165"/>
      <c r="I634" s="165"/>
      <c r="J634" s="165"/>
      <c r="K634" s="165"/>
      <c r="L634" s="165"/>
      <c r="M634" s="165"/>
      <c r="N634" s="165"/>
      <c r="O634" s="165"/>
      <c r="P634" s="165"/>
      <c r="Q634" s="134"/>
      <c r="R634" s="12"/>
      <c r="AJ634" s="12"/>
    </row>
    <row r="635" ht="15.75" customHeight="1">
      <c r="B635" s="12"/>
      <c r="C635" s="7"/>
      <c r="E635" s="165"/>
      <c r="F635" s="165"/>
      <c r="G635" s="165"/>
      <c r="H635" s="165"/>
      <c r="I635" s="165"/>
      <c r="J635" s="165"/>
      <c r="K635" s="165"/>
      <c r="L635" s="165"/>
      <c r="M635" s="165"/>
      <c r="N635" s="165"/>
      <c r="O635" s="165"/>
      <c r="P635" s="165"/>
      <c r="Q635" s="134"/>
      <c r="R635" s="12"/>
      <c r="AJ635" s="12"/>
    </row>
    <row r="636" ht="15.75" customHeight="1">
      <c r="B636" s="12"/>
      <c r="C636" s="7"/>
      <c r="E636" s="165"/>
      <c r="F636" s="165"/>
      <c r="G636" s="165"/>
      <c r="H636" s="165"/>
      <c r="I636" s="165"/>
      <c r="J636" s="165"/>
      <c r="K636" s="165"/>
      <c r="L636" s="165"/>
      <c r="M636" s="165"/>
      <c r="N636" s="165"/>
      <c r="O636" s="165"/>
      <c r="P636" s="165"/>
      <c r="Q636" s="134"/>
      <c r="R636" s="12"/>
      <c r="AJ636" s="12"/>
    </row>
    <row r="637" ht="15.75" customHeight="1">
      <c r="B637" s="12"/>
      <c r="C637" s="7"/>
      <c r="E637" s="165"/>
      <c r="F637" s="165"/>
      <c r="G637" s="165"/>
      <c r="H637" s="165"/>
      <c r="I637" s="165"/>
      <c r="J637" s="165"/>
      <c r="K637" s="165"/>
      <c r="L637" s="165"/>
      <c r="M637" s="165"/>
      <c r="N637" s="165"/>
      <c r="O637" s="165"/>
      <c r="P637" s="165"/>
      <c r="Q637" s="134"/>
      <c r="R637" s="12"/>
      <c r="AJ637" s="12"/>
    </row>
    <row r="638" ht="15.75" customHeight="1">
      <c r="B638" s="12"/>
      <c r="C638" s="7"/>
      <c r="E638" s="165"/>
      <c r="F638" s="165"/>
      <c r="G638" s="165"/>
      <c r="H638" s="165"/>
      <c r="I638" s="165"/>
      <c r="J638" s="165"/>
      <c r="K638" s="165"/>
      <c r="L638" s="165"/>
      <c r="M638" s="165"/>
      <c r="N638" s="165"/>
      <c r="O638" s="165"/>
      <c r="P638" s="165"/>
      <c r="Q638" s="134"/>
      <c r="R638" s="12"/>
      <c r="AJ638" s="12"/>
    </row>
    <row r="639" ht="15.75" customHeight="1">
      <c r="B639" s="12"/>
      <c r="C639" s="7"/>
      <c r="E639" s="165"/>
      <c r="F639" s="165"/>
      <c r="G639" s="165"/>
      <c r="H639" s="165"/>
      <c r="I639" s="165"/>
      <c r="J639" s="165"/>
      <c r="K639" s="165"/>
      <c r="L639" s="165"/>
      <c r="M639" s="165"/>
      <c r="N639" s="165"/>
      <c r="O639" s="165"/>
      <c r="P639" s="165"/>
      <c r="Q639" s="134"/>
      <c r="R639" s="12"/>
      <c r="AJ639" s="12"/>
    </row>
    <row r="640" ht="15.75" customHeight="1">
      <c r="B640" s="12"/>
      <c r="C640" s="7"/>
      <c r="E640" s="165"/>
      <c r="F640" s="165"/>
      <c r="G640" s="165"/>
      <c r="H640" s="165"/>
      <c r="I640" s="165"/>
      <c r="J640" s="165"/>
      <c r="K640" s="165"/>
      <c r="L640" s="165"/>
      <c r="M640" s="165"/>
      <c r="N640" s="165"/>
      <c r="O640" s="165"/>
      <c r="P640" s="165"/>
      <c r="Q640" s="134"/>
      <c r="R640" s="12"/>
      <c r="AJ640" s="12"/>
    </row>
    <row r="641" ht="15.75" customHeight="1">
      <c r="B641" s="12"/>
      <c r="C641" s="7"/>
      <c r="E641" s="165"/>
      <c r="F641" s="165"/>
      <c r="G641" s="165"/>
      <c r="H641" s="165"/>
      <c r="I641" s="165"/>
      <c r="J641" s="165"/>
      <c r="K641" s="165"/>
      <c r="L641" s="165"/>
      <c r="M641" s="165"/>
      <c r="N641" s="165"/>
      <c r="O641" s="165"/>
      <c r="P641" s="165"/>
      <c r="Q641" s="134"/>
      <c r="R641" s="12"/>
      <c r="AJ641" s="12"/>
    </row>
    <row r="642" ht="15.75" customHeight="1">
      <c r="B642" s="12"/>
      <c r="C642" s="7"/>
      <c r="E642" s="165"/>
      <c r="F642" s="165"/>
      <c r="G642" s="165"/>
      <c r="H642" s="165"/>
      <c r="I642" s="165"/>
      <c r="J642" s="165"/>
      <c r="K642" s="165"/>
      <c r="L642" s="165"/>
      <c r="M642" s="165"/>
      <c r="N642" s="165"/>
      <c r="O642" s="165"/>
      <c r="P642" s="165"/>
      <c r="Q642" s="134"/>
      <c r="R642" s="12"/>
      <c r="AJ642" s="12"/>
    </row>
    <row r="643" ht="15.75" customHeight="1">
      <c r="B643" s="12"/>
      <c r="C643" s="7"/>
      <c r="E643" s="165"/>
      <c r="F643" s="165"/>
      <c r="G643" s="165"/>
      <c r="H643" s="165"/>
      <c r="I643" s="165"/>
      <c r="J643" s="165"/>
      <c r="K643" s="165"/>
      <c r="L643" s="165"/>
      <c r="M643" s="165"/>
      <c r="N643" s="165"/>
      <c r="O643" s="165"/>
      <c r="P643" s="165"/>
      <c r="Q643" s="134"/>
      <c r="R643" s="12"/>
      <c r="AJ643" s="12"/>
    </row>
    <row r="644" ht="15.75" customHeight="1">
      <c r="B644" s="12"/>
      <c r="C644" s="7"/>
      <c r="E644" s="165"/>
      <c r="F644" s="165"/>
      <c r="G644" s="165"/>
      <c r="H644" s="165"/>
      <c r="I644" s="165"/>
      <c r="J644" s="165"/>
      <c r="K644" s="165"/>
      <c r="L644" s="165"/>
      <c r="M644" s="165"/>
      <c r="N644" s="165"/>
      <c r="O644" s="165"/>
      <c r="P644" s="165"/>
      <c r="Q644" s="134"/>
      <c r="R644" s="12"/>
      <c r="AJ644" s="12"/>
    </row>
    <row r="645" ht="15.75" customHeight="1">
      <c r="B645" s="12"/>
      <c r="C645" s="7"/>
      <c r="E645" s="165"/>
      <c r="F645" s="165"/>
      <c r="G645" s="165"/>
      <c r="H645" s="165"/>
      <c r="I645" s="165"/>
      <c r="J645" s="165"/>
      <c r="K645" s="165"/>
      <c r="L645" s="165"/>
      <c r="M645" s="165"/>
      <c r="N645" s="165"/>
      <c r="O645" s="165"/>
      <c r="P645" s="165"/>
      <c r="Q645" s="134"/>
      <c r="R645" s="12"/>
      <c r="AJ645" s="12"/>
    </row>
    <row r="646" ht="15.75" customHeight="1">
      <c r="B646" s="12"/>
      <c r="C646" s="7"/>
      <c r="E646" s="165"/>
      <c r="F646" s="165"/>
      <c r="G646" s="165"/>
      <c r="H646" s="165"/>
      <c r="I646" s="165"/>
      <c r="J646" s="165"/>
      <c r="K646" s="165"/>
      <c r="L646" s="165"/>
      <c r="M646" s="165"/>
      <c r="N646" s="165"/>
      <c r="O646" s="165"/>
      <c r="P646" s="165"/>
      <c r="Q646" s="134"/>
      <c r="R646" s="12"/>
      <c r="AJ646" s="12"/>
    </row>
    <row r="647" ht="15.75" customHeight="1">
      <c r="B647" s="12"/>
      <c r="C647" s="7"/>
      <c r="E647" s="165"/>
      <c r="F647" s="165"/>
      <c r="G647" s="165"/>
      <c r="H647" s="165"/>
      <c r="I647" s="165"/>
      <c r="J647" s="165"/>
      <c r="K647" s="165"/>
      <c r="L647" s="165"/>
      <c r="M647" s="165"/>
      <c r="N647" s="165"/>
      <c r="O647" s="165"/>
      <c r="P647" s="165"/>
      <c r="Q647" s="134"/>
      <c r="R647" s="12"/>
      <c r="AJ647" s="12"/>
    </row>
    <row r="648" ht="15.75" customHeight="1">
      <c r="B648" s="12"/>
      <c r="C648" s="7"/>
      <c r="E648" s="165"/>
      <c r="F648" s="165"/>
      <c r="G648" s="165"/>
      <c r="H648" s="165"/>
      <c r="I648" s="165"/>
      <c r="J648" s="165"/>
      <c r="K648" s="165"/>
      <c r="L648" s="165"/>
      <c r="M648" s="165"/>
      <c r="N648" s="165"/>
      <c r="O648" s="165"/>
      <c r="P648" s="165"/>
      <c r="Q648" s="134"/>
      <c r="R648" s="12"/>
      <c r="AJ648" s="12"/>
    </row>
    <row r="649" ht="15.75" customHeight="1">
      <c r="B649" s="12"/>
      <c r="C649" s="7"/>
      <c r="E649" s="165"/>
      <c r="F649" s="165"/>
      <c r="G649" s="165"/>
      <c r="H649" s="165"/>
      <c r="I649" s="165"/>
      <c r="J649" s="165"/>
      <c r="K649" s="165"/>
      <c r="L649" s="165"/>
      <c r="M649" s="165"/>
      <c r="N649" s="165"/>
      <c r="O649" s="165"/>
      <c r="P649" s="165"/>
      <c r="Q649" s="134"/>
      <c r="R649" s="12"/>
      <c r="AJ649" s="12"/>
    </row>
    <row r="650" ht="15.75" customHeight="1">
      <c r="B650" s="12"/>
      <c r="C650" s="7"/>
      <c r="E650" s="165"/>
      <c r="F650" s="165"/>
      <c r="G650" s="165"/>
      <c r="H650" s="165"/>
      <c r="I650" s="165"/>
      <c r="J650" s="165"/>
      <c r="K650" s="165"/>
      <c r="L650" s="165"/>
      <c r="M650" s="165"/>
      <c r="N650" s="165"/>
      <c r="O650" s="165"/>
      <c r="P650" s="165"/>
      <c r="Q650" s="134"/>
      <c r="R650" s="12"/>
      <c r="AJ650" s="12"/>
    </row>
    <row r="651" ht="15.75" customHeight="1">
      <c r="B651" s="12"/>
      <c r="C651" s="7"/>
      <c r="E651" s="165"/>
      <c r="F651" s="165"/>
      <c r="G651" s="165"/>
      <c r="H651" s="165"/>
      <c r="I651" s="165"/>
      <c r="J651" s="165"/>
      <c r="K651" s="165"/>
      <c r="L651" s="165"/>
      <c r="M651" s="165"/>
      <c r="N651" s="165"/>
      <c r="O651" s="165"/>
      <c r="P651" s="165"/>
      <c r="Q651" s="134"/>
      <c r="R651" s="12"/>
      <c r="AJ651" s="12"/>
    </row>
    <row r="652" ht="15.75" customHeight="1">
      <c r="B652" s="12"/>
      <c r="C652" s="7"/>
      <c r="E652" s="165"/>
      <c r="F652" s="165"/>
      <c r="G652" s="165"/>
      <c r="H652" s="165"/>
      <c r="I652" s="165"/>
      <c r="J652" s="165"/>
      <c r="K652" s="165"/>
      <c r="L652" s="165"/>
      <c r="M652" s="165"/>
      <c r="N652" s="165"/>
      <c r="O652" s="165"/>
      <c r="P652" s="165"/>
      <c r="Q652" s="134"/>
      <c r="R652" s="12"/>
      <c r="AJ652" s="12"/>
    </row>
    <row r="653" ht="15.75" customHeight="1">
      <c r="B653" s="12"/>
      <c r="C653" s="7"/>
      <c r="E653" s="165"/>
      <c r="F653" s="165"/>
      <c r="G653" s="165"/>
      <c r="H653" s="165"/>
      <c r="I653" s="165"/>
      <c r="J653" s="165"/>
      <c r="K653" s="165"/>
      <c r="L653" s="165"/>
      <c r="M653" s="165"/>
      <c r="N653" s="165"/>
      <c r="O653" s="165"/>
      <c r="P653" s="165"/>
      <c r="Q653" s="134"/>
      <c r="R653" s="12"/>
      <c r="AJ653" s="12"/>
    </row>
    <row r="654" ht="15.75" customHeight="1">
      <c r="B654" s="12"/>
      <c r="C654" s="7"/>
      <c r="E654" s="165"/>
      <c r="F654" s="165"/>
      <c r="G654" s="165"/>
      <c r="H654" s="165"/>
      <c r="I654" s="165"/>
      <c r="J654" s="165"/>
      <c r="K654" s="165"/>
      <c r="L654" s="165"/>
      <c r="M654" s="165"/>
      <c r="N654" s="165"/>
      <c r="O654" s="165"/>
      <c r="P654" s="165"/>
      <c r="Q654" s="134"/>
      <c r="R654" s="12"/>
      <c r="AJ654" s="12"/>
    </row>
    <row r="655" ht="15.75" customHeight="1">
      <c r="B655" s="12"/>
      <c r="C655" s="7"/>
      <c r="E655" s="165"/>
      <c r="F655" s="165"/>
      <c r="G655" s="165"/>
      <c r="H655" s="165"/>
      <c r="I655" s="165"/>
      <c r="J655" s="165"/>
      <c r="K655" s="165"/>
      <c r="L655" s="165"/>
      <c r="M655" s="165"/>
      <c r="N655" s="165"/>
      <c r="O655" s="165"/>
      <c r="P655" s="165"/>
      <c r="Q655" s="134"/>
      <c r="R655" s="12"/>
      <c r="AJ655" s="12"/>
    </row>
    <row r="656" ht="15.75" customHeight="1">
      <c r="B656" s="12"/>
      <c r="C656" s="7"/>
      <c r="E656" s="165"/>
      <c r="F656" s="165"/>
      <c r="G656" s="165"/>
      <c r="H656" s="165"/>
      <c r="I656" s="165"/>
      <c r="J656" s="165"/>
      <c r="K656" s="165"/>
      <c r="L656" s="165"/>
      <c r="M656" s="165"/>
      <c r="N656" s="165"/>
      <c r="O656" s="165"/>
      <c r="P656" s="165"/>
      <c r="Q656" s="134"/>
      <c r="R656" s="12"/>
      <c r="AJ656" s="12"/>
    </row>
    <row r="657" ht="15.75" customHeight="1">
      <c r="B657" s="12"/>
      <c r="C657" s="7"/>
      <c r="E657" s="165"/>
      <c r="F657" s="165"/>
      <c r="G657" s="165"/>
      <c r="H657" s="165"/>
      <c r="I657" s="165"/>
      <c r="J657" s="165"/>
      <c r="K657" s="165"/>
      <c r="L657" s="165"/>
      <c r="M657" s="165"/>
      <c r="N657" s="165"/>
      <c r="O657" s="165"/>
      <c r="P657" s="165"/>
      <c r="Q657" s="134"/>
      <c r="R657" s="12"/>
      <c r="AJ657" s="12"/>
    </row>
    <row r="658" ht="15.75" customHeight="1">
      <c r="B658" s="12"/>
      <c r="C658" s="7"/>
      <c r="E658" s="165"/>
      <c r="F658" s="165"/>
      <c r="G658" s="165"/>
      <c r="H658" s="165"/>
      <c r="I658" s="165"/>
      <c r="J658" s="165"/>
      <c r="K658" s="165"/>
      <c r="L658" s="165"/>
      <c r="M658" s="165"/>
      <c r="N658" s="165"/>
      <c r="O658" s="165"/>
      <c r="P658" s="165"/>
      <c r="Q658" s="134"/>
      <c r="R658" s="12"/>
      <c r="AJ658" s="12"/>
    </row>
    <row r="659" ht="15.75" customHeight="1">
      <c r="B659" s="12"/>
      <c r="C659" s="7"/>
      <c r="E659" s="165"/>
      <c r="F659" s="165"/>
      <c r="G659" s="165"/>
      <c r="H659" s="165"/>
      <c r="I659" s="165"/>
      <c r="J659" s="165"/>
      <c r="K659" s="165"/>
      <c r="L659" s="165"/>
      <c r="M659" s="165"/>
      <c r="N659" s="165"/>
      <c r="O659" s="165"/>
      <c r="P659" s="165"/>
      <c r="Q659" s="134"/>
      <c r="R659" s="12"/>
      <c r="AJ659" s="12"/>
    </row>
    <row r="660" ht="15.75" customHeight="1">
      <c r="B660" s="12"/>
      <c r="C660" s="7"/>
      <c r="E660" s="165"/>
      <c r="F660" s="165"/>
      <c r="G660" s="165"/>
      <c r="H660" s="165"/>
      <c r="I660" s="165"/>
      <c r="J660" s="165"/>
      <c r="K660" s="165"/>
      <c r="L660" s="165"/>
      <c r="M660" s="165"/>
      <c r="N660" s="165"/>
      <c r="O660" s="165"/>
      <c r="P660" s="165"/>
      <c r="Q660" s="134"/>
      <c r="R660" s="12"/>
      <c r="AJ660" s="12"/>
    </row>
    <row r="661" ht="15.75" customHeight="1">
      <c r="B661" s="12"/>
      <c r="C661" s="7"/>
      <c r="E661" s="165"/>
      <c r="F661" s="165"/>
      <c r="G661" s="165"/>
      <c r="H661" s="165"/>
      <c r="I661" s="165"/>
      <c r="J661" s="165"/>
      <c r="K661" s="165"/>
      <c r="L661" s="165"/>
      <c r="M661" s="165"/>
      <c r="N661" s="165"/>
      <c r="O661" s="165"/>
      <c r="P661" s="165"/>
      <c r="Q661" s="134"/>
      <c r="R661" s="12"/>
      <c r="AJ661" s="12"/>
    </row>
    <row r="662" ht="15.75" customHeight="1">
      <c r="B662" s="12"/>
      <c r="C662" s="7"/>
      <c r="E662" s="165"/>
      <c r="F662" s="165"/>
      <c r="G662" s="165"/>
      <c r="H662" s="165"/>
      <c r="I662" s="165"/>
      <c r="J662" s="165"/>
      <c r="K662" s="165"/>
      <c r="L662" s="165"/>
      <c r="M662" s="165"/>
      <c r="N662" s="165"/>
      <c r="O662" s="165"/>
      <c r="P662" s="165"/>
      <c r="Q662" s="134"/>
      <c r="R662" s="12"/>
      <c r="AJ662" s="12"/>
    </row>
    <row r="663" ht="15.75" customHeight="1">
      <c r="B663" s="12"/>
      <c r="C663" s="7"/>
      <c r="E663" s="165"/>
      <c r="F663" s="165"/>
      <c r="G663" s="165"/>
      <c r="H663" s="165"/>
      <c r="I663" s="165"/>
      <c r="J663" s="165"/>
      <c r="K663" s="165"/>
      <c r="L663" s="165"/>
      <c r="M663" s="165"/>
      <c r="N663" s="165"/>
      <c r="O663" s="165"/>
      <c r="P663" s="165"/>
      <c r="Q663" s="134"/>
      <c r="R663" s="12"/>
      <c r="AJ663" s="12"/>
    </row>
    <row r="664" ht="15.75" customHeight="1">
      <c r="B664" s="12"/>
      <c r="C664" s="7"/>
      <c r="E664" s="165"/>
      <c r="F664" s="165"/>
      <c r="G664" s="165"/>
      <c r="H664" s="165"/>
      <c r="I664" s="165"/>
      <c r="J664" s="165"/>
      <c r="K664" s="165"/>
      <c r="L664" s="165"/>
      <c r="M664" s="165"/>
      <c r="N664" s="165"/>
      <c r="O664" s="165"/>
      <c r="P664" s="165"/>
      <c r="Q664" s="134"/>
      <c r="R664" s="12"/>
      <c r="AJ664" s="12"/>
    </row>
    <row r="665" ht="15.75" customHeight="1">
      <c r="B665" s="12"/>
      <c r="C665" s="7"/>
      <c r="E665" s="165"/>
      <c r="F665" s="165"/>
      <c r="G665" s="165"/>
      <c r="H665" s="165"/>
      <c r="I665" s="165"/>
      <c r="J665" s="165"/>
      <c r="K665" s="165"/>
      <c r="L665" s="165"/>
      <c r="M665" s="165"/>
      <c r="N665" s="165"/>
      <c r="O665" s="165"/>
      <c r="P665" s="165"/>
      <c r="Q665" s="134"/>
      <c r="R665" s="12"/>
      <c r="AJ665" s="12"/>
    </row>
    <row r="666" ht="15.75" customHeight="1">
      <c r="B666" s="12"/>
      <c r="C666" s="7"/>
      <c r="E666" s="165"/>
      <c r="F666" s="165"/>
      <c r="G666" s="165"/>
      <c r="H666" s="165"/>
      <c r="I666" s="165"/>
      <c r="J666" s="165"/>
      <c r="K666" s="165"/>
      <c r="L666" s="165"/>
      <c r="M666" s="165"/>
      <c r="N666" s="165"/>
      <c r="O666" s="165"/>
      <c r="P666" s="165"/>
      <c r="Q666" s="134"/>
      <c r="R666" s="12"/>
      <c r="AJ666" s="12"/>
    </row>
    <row r="667" ht="15.75" customHeight="1">
      <c r="B667" s="12"/>
      <c r="C667" s="7"/>
      <c r="E667" s="165"/>
      <c r="F667" s="165"/>
      <c r="G667" s="165"/>
      <c r="H667" s="165"/>
      <c r="I667" s="165"/>
      <c r="J667" s="165"/>
      <c r="K667" s="165"/>
      <c r="L667" s="165"/>
      <c r="M667" s="165"/>
      <c r="N667" s="165"/>
      <c r="O667" s="165"/>
      <c r="P667" s="165"/>
      <c r="Q667" s="134"/>
      <c r="R667" s="12"/>
      <c r="AJ667" s="12"/>
    </row>
    <row r="668" ht="15.75" customHeight="1">
      <c r="B668" s="12"/>
      <c r="C668" s="7"/>
      <c r="E668" s="165"/>
      <c r="F668" s="165"/>
      <c r="G668" s="165"/>
      <c r="H668" s="165"/>
      <c r="I668" s="165"/>
      <c r="J668" s="165"/>
      <c r="K668" s="165"/>
      <c r="L668" s="165"/>
      <c r="M668" s="165"/>
      <c r="N668" s="165"/>
      <c r="O668" s="165"/>
      <c r="P668" s="165"/>
      <c r="Q668" s="134"/>
      <c r="R668" s="12"/>
      <c r="AJ668" s="12"/>
    </row>
    <row r="669" ht="15.75" customHeight="1">
      <c r="B669" s="12"/>
      <c r="C669" s="7"/>
      <c r="E669" s="165"/>
      <c r="F669" s="165"/>
      <c r="G669" s="165"/>
      <c r="H669" s="165"/>
      <c r="I669" s="165"/>
      <c r="J669" s="165"/>
      <c r="K669" s="165"/>
      <c r="L669" s="165"/>
      <c r="M669" s="165"/>
      <c r="N669" s="165"/>
      <c r="O669" s="165"/>
      <c r="P669" s="165"/>
      <c r="Q669" s="134"/>
      <c r="R669" s="12"/>
      <c r="AJ669" s="12"/>
    </row>
    <row r="670" ht="15.75" customHeight="1">
      <c r="B670" s="12"/>
      <c r="C670" s="7"/>
      <c r="E670" s="165"/>
      <c r="F670" s="165"/>
      <c r="G670" s="165"/>
      <c r="H670" s="165"/>
      <c r="I670" s="165"/>
      <c r="J670" s="165"/>
      <c r="K670" s="165"/>
      <c r="L670" s="165"/>
      <c r="M670" s="165"/>
      <c r="N670" s="165"/>
      <c r="O670" s="165"/>
      <c r="P670" s="165"/>
      <c r="Q670" s="134"/>
      <c r="R670" s="12"/>
      <c r="AJ670" s="12"/>
    </row>
    <row r="671" ht="15.75" customHeight="1">
      <c r="B671" s="12"/>
      <c r="C671" s="7"/>
      <c r="E671" s="165"/>
      <c r="F671" s="165"/>
      <c r="G671" s="165"/>
      <c r="H671" s="165"/>
      <c r="I671" s="165"/>
      <c r="J671" s="165"/>
      <c r="K671" s="165"/>
      <c r="L671" s="165"/>
      <c r="M671" s="165"/>
      <c r="N671" s="165"/>
      <c r="O671" s="165"/>
      <c r="P671" s="165"/>
      <c r="Q671" s="134"/>
      <c r="R671" s="12"/>
      <c r="AJ671" s="12"/>
    </row>
    <row r="672" ht="15.75" customHeight="1">
      <c r="B672" s="12"/>
      <c r="C672" s="7"/>
      <c r="E672" s="165"/>
      <c r="F672" s="165"/>
      <c r="G672" s="165"/>
      <c r="H672" s="165"/>
      <c r="I672" s="165"/>
      <c r="J672" s="165"/>
      <c r="K672" s="165"/>
      <c r="L672" s="165"/>
      <c r="M672" s="165"/>
      <c r="N672" s="165"/>
      <c r="O672" s="165"/>
      <c r="P672" s="165"/>
      <c r="Q672" s="134"/>
      <c r="R672" s="12"/>
      <c r="AJ672" s="12"/>
    </row>
    <row r="673" ht="15.75" customHeight="1">
      <c r="B673" s="12"/>
      <c r="C673" s="7"/>
      <c r="E673" s="165"/>
      <c r="F673" s="165"/>
      <c r="G673" s="165"/>
      <c r="H673" s="165"/>
      <c r="I673" s="165"/>
      <c r="J673" s="165"/>
      <c r="K673" s="165"/>
      <c r="L673" s="165"/>
      <c r="M673" s="165"/>
      <c r="N673" s="165"/>
      <c r="O673" s="165"/>
      <c r="P673" s="165"/>
      <c r="Q673" s="134"/>
      <c r="R673" s="12"/>
      <c r="AJ673" s="12"/>
    </row>
    <row r="674" ht="15.75" customHeight="1">
      <c r="B674" s="12"/>
      <c r="C674" s="7"/>
      <c r="E674" s="165"/>
      <c r="F674" s="165"/>
      <c r="G674" s="165"/>
      <c r="H674" s="165"/>
      <c r="I674" s="165"/>
      <c r="J674" s="165"/>
      <c r="K674" s="165"/>
      <c r="L674" s="165"/>
      <c r="M674" s="165"/>
      <c r="N674" s="165"/>
      <c r="O674" s="165"/>
      <c r="P674" s="165"/>
      <c r="Q674" s="134"/>
      <c r="R674" s="12"/>
      <c r="AJ674" s="12"/>
    </row>
    <row r="675" ht="15.75" customHeight="1">
      <c r="B675" s="12"/>
      <c r="C675" s="7"/>
      <c r="E675" s="165"/>
      <c r="F675" s="165"/>
      <c r="G675" s="165"/>
      <c r="H675" s="165"/>
      <c r="I675" s="165"/>
      <c r="J675" s="165"/>
      <c r="K675" s="165"/>
      <c r="L675" s="165"/>
      <c r="M675" s="165"/>
      <c r="N675" s="165"/>
      <c r="O675" s="165"/>
      <c r="P675" s="165"/>
      <c r="Q675" s="134"/>
      <c r="R675" s="12"/>
      <c r="AJ675" s="12"/>
    </row>
    <row r="676" ht="15.75" customHeight="1">
      <c r="B676" s="12"/>
      <c r="C676" s="7"/>
      <c r="E676" s="165"/>
      <c r="F676" s="165"/>
      <c r="G676" s="165"/>
      <c r="H676" s="165"/>
      <c r="I676" s="165"/>
      <c r="J676" s="165"/>
      <c r="K676" s="165"/>
      <c r="L676" s="165"/>
      <c r="M676" s="165"/>
      <c r="N676" s="165"/>
      <c r="O676" s="165"/>
      <c r="P676" s="165"/>
      <c r="Q676" s="134"/>
      <c r="R676" s="12"/>
      <c r="AJ676" s="12"/>
    </row>
    <row r="677" ht="15.75" customHeight="1">
      <c r="B677" s="12"/>
      <c r="C677" s="7"/>
      <c r="E677" s="165"/>
      <c r="F677" s="165"/>
      <c r="G677" s="165"/>
      <c r="H677" s="165"/>
      <c r="I677" s="165"/>
      <c r="J677" s="165"/>
      <c r="K677" s="165"/>
      <c r="L677" s="165"/>
      <c r="M677" s="165"/>
      <c r="N677" s="165"/>
      <c r="O677" s="165"/>
      <c r="P677" s="165"/>
      <c r="Q677" s="134"/>
      <c r="R677" s="12"/>
      <c r="AJ677" s="12"/>
    </row>
    <row r="678" ht="15.75" customHeight="1">
      <c r="B678" s="12"/>
      <c r="C678" s="7"/>
      <c r="E678" s="165"/>
      <c r="F678" s="165"/>
      <c r="G678" s="165"/>
      <c r="H678" s="165"/>
      <c r="I678" s="165"/>
      <c r="J678" s="165"/>
      <c r="K678" s="165"/>
      <c r="L678" s="165"/>
      <c r="M678" s="165"/>
      <c r="N678" s="165"/>
      <c r="O678" s="165"/>
      <c r="P678" s="165"/>
      <c r="Q678" s="134"/>
      <c r="R678" s="12"/>
      <c r="AJ678" s="12"/>
    </row>
    <row r="679" ht="15.75" customHeight="1">
      <c r="B679" s="12"/>
      <c r="C679" s="7"/>
      <c r="E679" s="165"/>
      <c r="F679" s="165"/>
      <c r="G679" s="165"/>
      <c r="H679" s="165"/>
      <c r="I679" s="165"/>
      <c r="J679" s="165"/>
      <c r="K679" s="165"/>
      <c r="L679" s="165"/>
      <c r="M679" s="165"/>
      <c r="N679" s="165"/>
      <c r="O679" s="165"/>
      <c r="P679" s="165"/>
      <c r="Q679" s="134"/>
      <c r="R679" s="12"/>
      <c r="AJ679" s="12"/>
    </row>
    <row r="680" ht="15.75" customHeight="1">
      <c r="B680" s="12"/>
      <c r="C680" s="7"/>
      <c r="E680" s="165"/>
      <c r="F680" s="165"/>
      <c r="G680" s="165"/>
      <c r="H680" s="165"/>
      <c r="I680" s="165"/>
      <c r="J680" s="165"/>
      <c r="K680" s="165"/>
      <c r="L680" s="165"/>
      <c r="M680" s="165"/>
      <c r="N680" s="165"/>
      <c r="O680" s="165"/>
      <c r="P680" s="165"/>
      <c r="Q680" s="134"/>
      <c r="R680" s="12"/>
      <c r="AJ680" s="12"/>
    </row>
    <row r="681" ht="15.75" customHeight="1">
      <c r="B681" s="12"/>
      <c r="C681" s="7"/>
      <c r="E681" s="165"/>
      <c r="F681" s="165"/>
      <c r="G681" s="165"/>
      <c r="H681" s="165"/>
      <c r="I681" s="165"/>
      <c r="J681" s="165"/>
      <c r="K681" s="165"/>
      <c r="L681" s="165"/>
      <c r="M681" s="165"/>
      <c r="N681" s="165"/>
      <c r="O681" s="165"/>
      <c r="P681" s="165"/>
      <c r="Q681" s="134"/>
      <c r="R681" s="12"/>
      <c r="AJ681" s="12"/>
    </row>
    <row r="682" ht="15.75" customHeight="1">
      <c r="B682" s="12"/>
      <c r="C682" s="7"/>
      <c r="E682" s="165"/>
      <c r="F682" s="165"/>
      <c r="G682" s="165"/>
      <c r="H682" s="165"/>
      <c r="I682" s="165"/>
      <c r="J682" s="165"/>
      <c r="K682" s="165"/>
      <c r="L682" s="165"/>
      <c r="M682" s="165"/>
      <c r="N682" s="165"/>
      <c r="O682" s="165"/>
      <c r="P682" s="165"/>
      <c r="Q682" s="134"/>
      <c r="R682" s="12"/>
      <c r="AJ682" s="12"/>
    </row>
    <row r="683" ht="15.75" customHeight="1">
      <c r="B683" s="12"/>
      <c r="C683" s="7"/>
      <c r="E683" s="165"/>
      <c r="F683" s="165"/>
      <c r="G683" s="165"/>
      <c r="H683" s="165"/>
      <c r="I683" s="165"/>
      <c r="J683" s="165"/>
      <c r="K683" s="165"/>
      <c r="L683" s="165"/>
      <c r="M683" s="165"/>
      <c r="N683" s="165"/>
      <c r="O683" s="165"/>
      <c r="P683" s="165"/>
      <c r="Q683" s="134"/>
      <c r="R683" s="12"/>
      <c r="AJ683" s="12"/>
    </row>
    <row r="684" ht="15.75" customHeight="1">
      <c r="B684" s="12"/>
      <c r="C684" s="7"/>
      <c r="E684" s="165"/>
      <c r="F684" s="165"/>
      <c r="G684" s="165"/>
      <c r="H684" s="165"/>
      <c r="I684" s="165"/>
      <c r="J684" s="165"/>
      <c r="K684" s="165"/>
      <c r="L684" s="165"/>
      <c r="M684" s="165"/>
      <c r="N684" s="165"/>
      <c r="O684" s="165"/>
      <c r="P684" s="165"/>
      <c r="Q684" s="134"/>
      <c r="R684" s="12"/>
      <c r="AJ684" s="12"/>
    </row>
    <row r="685" ht="15.75" customHeight="1">
      <c r="B685" s="12"/>
      <c r="C685" s="7"/>
      <c r="E685" s="165"/>
      <c r="F685" s="165"/>
      <c r="G685" s="165"/>
      <c r="H685" s="165"/>
      <c r="I685" s="165"/>
      <c r="J685" s="165"/>
      <c r="K685" s="165"/>
      <c r="L685" s="165"/>
      <c r="M685" s="165"/>
      <c r="N685" s="165"/>
      <c r="O685" s="165"/>
      <c r="P685" s="165"/>
      <c r="Q685" s="134"/>
      <c r="R685" s="12"/>
      <c r="AJ685" s="12"/>
    </row>
    <row r="686" ht="15.75" customHeight="1">
      <c r="B686" s="12"/>
      <c r="C686" s="7"/>
      <c r="E686" s="165"/>
      <c r="F686" s="165"/>
      <c r="G686" s="165"/>
      <c r="H686" s="165"/>
      <c r="I686" s="165"/>
      <c r="J686" s="165"/>
      <c r="K686" s="165"/>
      <c r="L686" s="165"/>
      <c r="M686" s="165"/>
      <c r="N686" s="165"/>
      <c r="O686" s="165"/>
      <c r="P686" s="165"/>
      <c r="Q686" s="134"/>
      <c r="R686" s="12"/>
      <c r="AJ686" s="12"/>
    </row>
    <row r="687" ht="15.75" customHeight="1">
      <c r="B687" s="12"/>
      <c r="C687" s="7"/>
      <c r="E687" s="165"/>
      <c r="F687" s="165"/>
      <c r="G687" s="165"/>
      <c r="H687" s="165"/>
      <c r="I687" s="165"/>
      <c r="J687" s="165"/>
      <c r="K687" s="165"/>
      <c r="L687" s="165"/>
      <c r="M687" s="165"/>
      <c r="N687" s="165"/>
      <c r="O687" s="165"/>
      <c r="P687" s="165"/>
      <c r="Q687" s="134"/>
      <c r="R687" s="12"/>
      <c r="AJ687" s="12"/>
    </row>
    <row r="688" ht="15.75" customHeight="1">
      <c r="B688" s="12"/>
      <c r="C688" s="7"/>
      <c r="E688" s="165"/>
      <c r="F688" s="165"/>
      <c r="G688" s="165"/>
      <c r="H688" s="165"/>
      <c r="I688" s="165"/>
      <c r="J688" s="165"/>
      <c r="K688" s="165"/>
      <c r="L688" s="165"/>
      <c r="M688" s="165"/>
      <c r="N688" s="165"/>
      <c r="O688" s="165"/>
      <c r="P688" s="165"/>
      <c r="Q688" s="134"/>
      <c r="R688" s="12"/>
      <c r="AJ688" s="12"/>
    </row>
    <row r="689" ht="15.75" customHeight="1">
      <c r="B689" s="12"/>
      <c r="C689" s="7"/>
      <c r="E689" s="165"/>
      <c r="F689" s="165"/>
      <c r="G689" s="165"/>
      <c r="H689" s="165"/>
      <c r="I689" s="165"/>
      <c r="J689" s="165"/>
      <c r="K689" s="165"/>
      <c r="L689" s="165"/>
      <c r="M689" s="165"/>
      <c r="N689" s="165"/>
      <c r="O689" s="165"/>
      <c r="P689" s="165"/>
      <c r="Q689" s="134"/>
      <c r="R689" s="12"/>
      <c r="AJ689" s="12"/>
    </row>
    <row r="690" ht="15.75" customHeight="1">
      <c r="B690" s="12"/>
      <c r="C690" s="7"/>
      <c r="E690" s="165"/>
      <c r="F690" s="165"/>
      <c r="G690" s="165"/>
      <c r="H690" s="165"/>
      <c r="I690" s="165"/>
      <c r="J690" s="165"/>
      <c r="K690" s="165"/>
      <c r="L690" s="165"/>
      <c r="M690" s="165"/>
      <c r="N690" s="165"/>
      <c r="O690" s="165"/>
      <c r="P690" s="165"/>
      <c r="Q690" s="134"/>
      <c r="R690" s="12"/>
      <c r="AJ690" s="12"/>
    </row>
    <row r="691" ht="15.75" customHeight="1">
      <c r="B691" s="12"/>
      <c r="C691" s="7"/>
      <c r="E691" s="165"/>
      <c r="F691" s="165"/>
      <c r="G691" s="165"/>
      <c r="H691" s="165"/>
      <c r="I691" s="165"/>
      <c r="J691" s="165"/>
      <c r="K691" s="165"/>
      <c r="L691" s="165"/>
      <c r="M691" s="165"/>
      <c r="N691" s="165"/>
      <c r="O691" s="165"/>
      <c r="P691" s="165"/>
      <c r="Q691" s="134"/>
      <c r="R691" s="12"/>
      <c r="AJ691" s="12"/>
    </row>
    <row r="692" ht="15.75" customHeight="1">
      <c r="B692" s="12"/>
      <c r="C692" s="7"/>
      <c r="E692" s="165"/>
      <c r="F692" s="165"/>
      <c r="G692" s="165"/>
      <c r="H692" s="165"/>
      <c r="I692" s="165"/>
      <c r="J692" s="165"/>
      <c r="K692" s="165"/>
      <c r="L692" s="165"/>
      <c r="M692" s="165"/>
      <c r="N692" s="165"/>
      <c r="O692" s="165"/>
      <c r="P692" s="165"/>
      <c r="Q692" s="134"/>
      <c r="R692" s="12"/>
      <c r="AJ692" s="12"/>
    </row>
    <row r="693" ht="15.75" customHeight="1">
      <c r="B693" s="12"/>
      <c r="C693" s="7"/>
      <c r="E693" s="165"/>
      <c r="F693" s="165"/>
      <c r="G693" s="165"/>
      <c r="H693" s="165"/>
      <c r="I693" s="165"/>
      <c r="J693" s="165"/>
      <c r="K693" s="165"/>
      <c r="L693" s="165"/>
      <c r="M693" s="165"/>
      <c r="N693" s="165"/>
      <c r="O693" s="165"/>
      <c r="P693" s="165"/>
      <c r="Q693" s="134"/>
      <c r="R693" s="12"/>
      <c r="AJ693" s="12"/>
    </row>
    <row r="694" ht="15.75" customHeight="1">
      <c r="B694" s="12"/>
      <c r="C694" s="7"/>
      <c r="E694" s="165"/>
      <c r="F694" s="165"/>
      <c r="G694" s="165"/>
      <c r="H694" s="165"/>
      <c r="I694" s="165"/>
      <c r="J694" s="165"/>
      <c r="K694" s="165"/>
      <c r="L694" s="165"/>
      <c r="M694" s="165"/>
      <c r="N694" s="165"/>
      <c r="O694" s="165"/>
      <c r="P694" s="165"/>
      <c r="Q694" s="134"/>
      <c r="R694" s="12"/>
      <c r="AJ694" s="12"/>
    </row>
    <row r="695" ht="15.75" customHeight="1">
      <c r="B695" s="12"/>
      <c r="C695" s="7"/>
      <c r="E695" s="165"/>
      <c r="F695" s="165"/>
      <c r="G695" s="165"/>
      <c r="H695" s="165"/>
      <c r="I695" s="165"/>
      <c r="J695" s="165"/>
      <c r="K695" s="165"/>
      <c r="L695" s="165"/>
      <c r="M695" s="165"/>
      <c r="N695" s="165"/>
      <c r="O695" s="165"/>
      <c r="P695" s="165"/>
      <c r="Q695" s="134"/>
      <c r="R695" s="12"/>
      <c r="AJ695" s="12"/>
    </row>
    <row r="696" ht="15.75" customHeight="1">
      <c r="B696" s="12"/>
      <c r="C696" s="7"/>
      <c r="E696" s="165"/>
      <c r="F696" s="165"/>
      <c r="G696" s="165"/>
      <c r="H696" s="165"/>
      <c r="I696" s="165"/>
      <c r="J696" s="165"/>
      <c r="K696" s="165"/>
      <c r="L696" s="165"/>
      <c r="M696" s="165"/>
      <c r="N696" s="165"/>
      <c r="O696" s="165"/>
      <c r="P696" s="165"/>
      <c r="Q696" s="134"/>
      <c r="R696" s="12"/>
      <c r="AJ696" s="12"/>
    </row>
    <row r="697" ht="15.75" customHeight="1">
      <c r="B697" s="12"/>
      <c r="C697" s="7"/>
      <c r="E697" s="165"/>
      <c r="F697" s="165"/>
      <c r="G697" s="165"/>
      <c r="H697" s="165"/>
      <c r="I697" s="165"/>
      <c r="J697" s="165"/>
      <c r="K697" s="165"/>
      <c r="L697" s="165"/>
      <c r="M697" s="165"/>
      <c r="N697" s="165"/>
      <c r="O697" s="165"/>
      <c r="P697" s="165"/>
      <c r="Q697" s="134"/>
      <c r="R697" s="12"/>
      <c r="AJ697" s="12"/>
    </row>
    <row r="698" ht="15.75" customHeight="1">
      <c r="B698" s="12"/>
      <c r="C698" s="7"/>
      <c r="E698" s="165"/>
      <c r="F698" s="165"/>
      <c r="G698" s="165"/>
      <c r="H698" s="165"/>
      <c r="I698" s="165"/>
      <c r="J698" s="165"/>
      <c r="K698" s="165"/>
      <c r="L698" s="165"/>
      <c r="M698" s="165"/>
      <c r="N698" s="165"/>
      <c r="O698" s="165"/>
      <c r="P698" s="165"/>
      <c r="Q698" s="134"/>
      <c r="R698" s="12"/>
      <c r="AJ698" s="12"/>
    </row>
    <row r="699" ht="15.75" customHeight="1">
      <c r="B699" s="12"/>
      <c r="C699" s="7"/>
      <c r="E699" s="165"/>
      <c r="F699" s="165"/>
      <c r="G699" s="165"/>
      <c r="H699" s="165"/>
      <c r="I699" s="165"/>
      <c r="J699" s="165"/>
      <c r="K699" s="165"/>
      <c r="L699" s="165"/>
      <c r="M699" s="165"/>
      <c r="N699" s="165"/>
      <c r="O699" s="165"/>
      <c r="P699" s="165"/>
      <c r="Q699" s="134"/>
      <c r="R699" s="12"/>
      <c r="AJ699" s="12"/>
    </row>
    <row r="700" ht="15.75" customHeight="1">
      <c r="B700" s="12"/>
      <c r="C700" s="7"/>
      <c r="E700" s="165"/>
      <c r="F700" s="165"/>
      <c r="G700" s="165"/>
      <c r="H700" s="165"/>
      <c r="I700" s="165"/>
      <c r="J700" s="165"/>
      <c r="K700" s="165"/>
      <c r="L700" s="165"/>
      <c r="M700" s="165"/>
      <c r="N700" s="165"/>
      <c r="O700" s="165"/>
      <c r="P700" s="165"/>
      <c r="Q700" s="134"/>
      <c r="R700" s="12"/>
      <c r="AJ700" s="12"/>
    </row>
    <row r="701" ht="15.75" customHeight="1">
      <c r="B701" s="12"/>
      <c r="C701" s="7"/>
      <c r="E701" s="165"/>
      <c r="F701" s="165"/>
      <c r="G701" s="165"/>
      <c r="H701" s="165"/>
      <c r="I701" s="165"/>
      <c r="J701" s="165"/>
      <c r="K701" s="165"/>
      <c r="L701" s="165"/>
      <c r="M701" s="165"/>
      <c r="N701" s="165"/>
      <c r="O701" s="165"/>
      <c r="P701" s="165"/>
      <c r="Q701" s="134"/>
      <c r="R701" s="12"/>
      <c r="AJ701" s="12"/>
    </row>
    <row r="702" ht="15.75" customHeight="1">
      <c r="B702" s="12"/>
      <c r="C702" s="7"/>
      <c r="E702" s="165"/>
      <c r="F702" s="165"/>
      <c r="G702" s="165"/>
      <c r="H702" s="165"/>
      <c r="I702" s="165"/>
      <c r="J702" s="165"/>
      <c r="K702" s="165"/>
      <c r="L702" s="165"/>
      <c r="M702" s="165"/>
      <c r="N702" s="165"/>
      <c r="O702" s="165"/>
      <c r="P702" s="165"/>
      <c r="Q702" s="134"/>
      <c r="R702" s="12"/>
      <c r="AJ702" s="12"/>
    </row>
    <row r="703" ht="15.75" customHeight="1">
      <c r="B703" s="12"/>
      <c r="C703" s="7"/>
      <c r="E703" s="165"/>
      <c r="F703" s="165"/>
      <c r="G703" s="165"/>
      <c r="H703" s="165"/>
      <c r="I703" s="165"/>
      <c r="J703" s="165"/>
      <c r="K703" s="165"/>
      <c r="L703" s="165"/>
      <c r="M703" s="165"/>
      <c r="N703" s="165"/>
      <c r="O703" s="165"/>
      <c r="P703" s="165"/>
      <c r="Q703" s="134"/>
      <c r="R703" s="12"/>
      <c r="AJ703" s="12"/>
    </row>
    <row r="704" ht="15.75" customHeight="1">
      <c r="B704" s="12"/>
      <c r="C704" s="7"/>
      <c r="E704" s="165"/>
      <c r="F704" s="165"/>
      <c r="G704" s="165"/>
      <c r="H704" s="165"/>
      <c r="I704" s="165"/>
      <c r="J704" s="165"/>
      <c r="K704" s="165"/>
      <c r="L704" s="165"/>
      <c r="M704" s="165"/>
      <c r="N704" s="165"/>
      <c r="O704" s="165"/>
      <c r="P704" s="165"/>
      <c r="Q704" s="134"/>
      <c r="R704" s="12"/>
      <c r="AJ704" s="12"/>
    </row>
    <row r="705" ht="15.75" customHeight="1">
      <c r="B705" s="12"/>
      <c r="C705" s="7"/>
      <c r="E705" s="165"/>
      <c r="F705" s="165"/>
      <c r="G705" s="165"/>
      <c r="H705" s="165"/>
      <c r="I705" s="165"/>
      <c r="J705" s="165"/>
      <c r="K705" s="165"/>
      <c r="L705" s="165"/>
      <c r="M705" s="165"/>
      <c r="N705" s="165"/>
      <c r="O705" s="165"/>
      <c r="P705" s="165"/>
      <c r="Q705" s="134"/>
      <c r="R705" s="12"/>
      <c r="AJ705" s="12"/>
    </row>
    <row r="706" ht="15.75" customHeight="1">
      <c r="B706" s="12"/>
      <c r="C706" s="7"/>
      <c r="E706" s="165"/>
      <c r="F706" s="165"/>
      <c r="G706" s="165"/>
      <c r="H706" s="165"/>
      <c r="I706" s="165"/>
      <c r="J706" s="165"/>
      <c r="K706" s="165"/>
      <c r="L706" s="165"/>
      <c r="M706" s="165"/>
      <c r="N706" s="165"/>
      <c r="O706" s="165"/>
      <c r="P706" s="165"/>
      <c r="Q706" s="134"/>
      <c r="R706" s="12"/>
      <c r="AJ706" s="12"/>
    </row>
    <row r="707" ht="15.75" customHeight="1">
      <c r="B707" s="12"/>
      <c r="C707" s="7"/>
      <c r="E707" s="165"/>
      <c r="F707" s="165"/>
      <c r="G707" s="165"/>
      <c r="H707" s="165"/>
      <c r="I707" s="165"/>
      <c r="J707" s="165"/>
      <c r="K707" s="165"/>
      <c r="L707" s="165"/>
      <c r="M707" s="165"/>
      <c r="N707" s="165"/>
      <c r="O707" s="165"/>
      <c r="P707" s="165"/>
      <c r="Q707" s="134"/>
      <c r="R707" s="12"/>
      <c r="AJ707" s="12"/>
    </row>
    <row r="708" ht="15.75" customHeight="1">
      <c r="B708" s="12"/>
      <c r="C708" s="7"/>
      <c r="E708" s="165"/>
      <c r="F708" s="165"/>
      <c r="G708" s="165"/>
      <c r="H708" s="165"/>
      <c r="I708" s="165"/>
      <c r="J708" s="165"/>
      <c r="K708" s="165"/>
      <c r="L708" s="165"/>
      <c r="M708" s="165"/>
      <c r="N708" s="165"/>
      <c r="O708" s="165"/>
      <c r="P708" s="165"/>
      <c r="Q708" s="134"/>
      <c r="R708" s="12"/>
      <c r="AJ708" s="12"/>
    </row>
    <row r="709" ht="15.75" customHeight="1">
      <c r="B709" s="12"/>
      <c r="C709" s="7"/>
      <c r="E709" s="165"/>
      <c r="F709" s="165"/>
      <c r="G709" s="165"/>
      <c r="H709" s="165"/>
      <c r="I709" s="165"/>
      <c r="J709" s="165"/>
      <c r="K709" s="165"/>
      <c r="L709" s="165"/>
      <c r="M709" s="165"/>
      <c r="N709" s="165"/>
      <c r="O709" s="165"/>
      <c r="P709" s="165"/>
      <c r="Q709" s="134"/>
      <c r="R709" s="12"/>
      <c r="AJ709" s="12"/>
    </row>
    <row r="710" ht="15.75" customHeight="1">
      <c r="B710" s="12"/>
      <c r="C710" s="7"/>
      <c r="E710" s="165"/>
      <c r="F710" s="165"/>
      <c r="G710" s="165"/>
      <c r="H710" s="165"/>
      <c r="I710" s="165"/>
      <c r="J710" s="165"/>
      <c r="K710" s="165"/>
      <c r="L710" s="165"/>
      <c r="M710" s="165"/>
      <c r="N710" s="165"/>
      <c r="O710" s="165"/>
      <c r="P710" s="165"/>
      <c r="Q710" s="134"/>
      <c r="R710" s="12"/>
      <c r="AJ710" s="12"/>
    </row>
    <row r="711" ht="15.75" customHeight="1">
      <c r="B711" s="12"/>
      <c r="C711" s="7"/>
      <c r="E711" s="165"/>
      <c r="F711" s="165"/>
      <c r="G711" s="165"/>
      <c r="H711" s="165"/>
      <c r="I711" s="165"/>
      <c r="J711" s="165"/>
      <c r="K711" s="165"/>
      <c r="L711" s="165"/>
      <c r="M711" s="165"/>
      <c r="N711" s="165"/>
      <c r="O711" s="165"/>
      <c r="P711" s="165"/>
      <c r="Q711" s="134"/>
      <c r="R711" s="12"/>
      <c r="AJ711" s="12"/>
    </row>
    <row r="712" ht="15.75" customHeight="1">
      <c r="B712" s="12"/>
      <c r="C712" s="7"/>
      <c r="E712" s="165"/>
      <c r="F712" s="165"/>
      <c r="G712" s="165"/>
      <c r="H712" s="165"/>
      <c r="I712" s="165"/>
      <c r="J712" s="165"/>
      <c r="K712" s="165"/>
      <c r="L712" s="165"/>
      <c r="M712" s="165"/>
      <c r="N712" s="165"/>
      <c r="O712" s="165"/>
      <c r="P712" s="165"/>
      <c r="Q712" s="134"/>
      <c r="R712" s="12"/>
      <c r="AJ712" s="12"/>
    </row>
    <row r="713" ht="15.75" customHeight="1">
      <c r="B713" s="12"/>
      <c r="C713" s="7"/>
      <c r="E713" s="165"/>
      <c r="F713" s="165"/>
      <c r="G713" s="165"/>
      <c r="H713" s="165"/>
      <c r="I713" s="165"/>
      <c r="J713" s="165"/>
      <c r="K713" s="165"/>
      <c r="L713" s="165"/>
      <c r="M713" s="165"/>
      <c r="N713" s="165"/>
      <c r="O713" s="165"/>
      <c r="P713" s="165"/>
      <c r="Q713" s="134"/>
      <c r="R713" s="12"/>
      <c r="AJ713" s="12"/>
    </row>
    <row r="714" ht="15.75" customHeight="1">
      <c r="B714" s="12"/>
      <c r="C714" s="7"/>
      <c r="E714" s="165"/>
      <c r="F714" s="165"/>
      <c r="G714" s="165"/>
      <c r="H714" s="165"/>
      <c r="I714" s="165"/>
      <c r="J714" s="165"/>
      <c r="K714" s="165"/>
      <c r="L714" s="165"/>
      <c r="M714" s="165"/>
      <c r="N714" s="165"/>
      <c r="O714" s="165"/>
      <c r="P714" s="165"/>
      <c r="Q714" s="134"/>
      <c r="R714" s="12"/>
      <c r="AJ714" s="12"/>
    </row>
    <row r="715" ht="15.75" customHeight="1">
      <c r="B715" s="12"/>
      <c r="C715" s="7"/>
      <c r="E715" s="165"/>
      <c r="F715" s="165"/>
      <c r="G715" s="165"/>
      <c r="H715" s="165"/>
      <c r="I715" s="165"/>
      <c r="J715" s="165"/>
      <c r="K715" s="165"/>
      <c r="L715" s="165"/>
      <c r="M715" s="165"/>
      <c r="N715" s="165"/>
      <c r="O715" s="165"/>
      <c r="P715" s="165"/>
      <c r="Q715" s="134"/>
      <c r="R715" s="12"/>
      <c r="AJ715" s="12"/>
    </row>
    <row r="716" ht="15.75" customHeight="1">
      <c r="B716" s="12"/>
      <c r="C716" s="7"/>
      <c r="E716" s="165"/>
      <c r="F716" s="165"/>
      <c r="G716" s="165"/>
      <c r="H716" s="165"/>
      <c r="I716" s="165"/>
      <c r="J716" s="165"/>
      <c r="K716" s="165"/>
      <c r="L716" s="165"/>
      <c r="M716" s="165"/>
      <c r="N716" s="165"/>
      <c r="O716" s="165"/>
      <c r="P716" s="165"/>
      <c r="Q716" s="134"/>
      <c r="R716" s="12"/>
      <c r="AJ716" s="12"/>
    </row>
    <row r="717" ht="15.75" customHeight="1">
      <c r="B717" s="12"/>
      <c r="C717" s="7"/>
      <c r="E717" s="165"/>
      <c r="F717" s="165"/>
      <c r="G717" s="165"/>
      <c r="H717" s="165"/>
      <c r="I717" s="165"/>
      <c r="J717" s="165"/>
      <c r="K717" s="165"/>
      <c r="L717" s="165"/>
      <c r="M717" s="165"/>
      <c r="N717" s="165"/>
      <c r="O717" s="165"/>
      <c r="P717" s="165"/>
      <c r="Q717" s="134"/>
      <c r="R717" s="12"/>
      <c r="AJ717" s="12"/>
    </row>
    <row r="718" ht="15.75" customHeight="1">
      <c r="B718" s="12"/>
      <c r="C718" s="7"/>
      <c r="E718" s="165"/>
      <c r="F718" s="165"/>
      <c r="G718" s="165"/>
      <c r="H718" s="165"/>
      <c r="I718" s="165"/>
      <c r="J718" s="165"/>
      <c r="K718" s="165"/>
      <c r="L718" s="165"/>
      <c r="M718" s="165"/>
      <c r="N718" s="165"/>
      <c r="O718" s="165"/>
      <c r="P718" s="165"/>
      <c r="Q718" s="134"/>
      <c r="R718" s="12"/>
      <c r="AJ718" s="12"/>
    </row>
    <row r="719" ht="15.75" customHeight="1">
      <c r="B719" s="12"/>
      <c r="C719" s="7"/>
      <c r="E719" s="165"/>
      <c r="F719" s="165"/>
      <c r="G719" s="165"/>
      <c r="H719" s="165"/>
      <c r="I719" s="165"/>
      <c r="J719" s="165"/>
      <c r="K719" s="165"/>
      <c r="L719" s="165"/>
      <c r="M719" s="165"/>
      <c r="N719" s="165"/>
      <c r="O719" s="165"/>
      <c r="P719" s="165"/>
      <c r="Q719" s="134"/>
      <c r="R719" s="12"/>
      <c r="AJ719" s="12"/>
    </row>
    <row r="720" ht="15.75" customHeight="1">
      <c r="B720" s="12"/>
      <c r="C720" s="7"/>
      <c r="E720" s="165"/>
      <c r="F720" s="165"/>
      <c r="G720" s="165"/>
      <c r="H720" s="165"/>
      <c r="I720" s="165"/>
      <c r="J720" s="165"/>
      <c r="K720" s="165"/>
      <c r="L720" s="165"/>
      <c r="M720" s="165"/>
      <c r="N720" s="165"/>
      <c r="O720" s="165"/>
      <c r="P720" s="165"/>
      <c r="Q720" s="134"/>
      <c r="R720" s="12"/>
      <c r="AJ720" s="12"/>
    </row>
    <row r="721" ht="15.75" customHeight="1">
      <c r="B721" s="12"/>
      <c r="C721" s="7"/>
      <c r="E721" s="165"/>
      <c r="F721" s="165"/>
      <c r="G721" s="165"/>
      <c r="H721" s="165"/>
      <c r="I721" s="165"/>
      <c r="J721" s="165"/>
      <c r="K721" s="165"/>
      <c r="L721" s="165"/>
      <c r="M721" s="165"/>
      <c r="N721" s="165"/>
      <c r="O721" s="165"/>
      <c r="P721" s="165"/>
      <c r="Q721" s="134"/>
      <c r="R721" s="12"/>
      <c r="AJ721" s="12"/>
    </row>
    <row r="722" ht="15.75" customHeight="1">
      <c r="B722" s="12"/>
      <c r="C722" s="7"/>
      <c r="E722" s="165"/>
      <c r="F722" s="165"/>
      <c r="G722" s="165"/>
      <c r="H722" s="165"/>
      <c r="I722" s="165"/>
      <c r="J722" s="165"/>
      <c r="K722" s="165"/>
      <c r="L722" s="165"/>
      <c r="M722" s="165"/>
      <c r="N722" s="165"/>
      <c r="O722" s="165"/>
      <c r="P722" s="165"/>
      <c r="Q722" s="134"/>
      <c r="R722" s="12"/>
      <c r="AJ722" s="12"/>
    </row>
    <row r="723" ht="15.75" customHeight="1">
      <c r="B723" s="12"/>
      <c r="C723" s="7"/>
      <c r="E723" s="165"/>
      <c r="F723" s="165"/>
      <c r="G723" s="165"/>
      <c r="H723" s="165"/>
      <c r="I723" s="165"/>
      <c r="J723" s="165"/>
      <c r="K723" s="165"/>
      <c r="L723" s="165"/>
      <c r="M723" s="165"/>
      <c r="N723" s="165"/>
      <c r="O723" s="165"/>
      <c r="P723" s="165"/>
      <c r="Q723" s="134"/>
      <c r="R723" s="12"/>
      <c r="AJ723" s="12"/>
    </row>
    <row r="724" ht="15.75" customHeight="1">
      <c r="B724" s="12"/>
      <c r="C724" s="7"/>
      <c r="E724" s="165"/>
      <c r="F724" s="165"/>
      <c r="G724" s="165"/>
      <c r="H724" s="165"/>
      <c r="I724" s="165"/>
      <c r="J724" s="165"/>
      <c r="K724" s="165"/>
      <c r="L724" s="165"/>
      <c r="M724" s="165"/>
      <c r="N724" s="165"/>
      <c r="O724" s="165"/>
      <c r="P724" s="165"/>
      <c r="Q724" s="134"/>
      <c r="R724" s="12"/>
      <c r="AJ724" s="12"/>
    </row>
    <row r="725" ht="15.75" customHeight="1">
      <c r="B725" s="12"/>
      <c r="C725" s="7"/>
      <c r="E725" s="165"/>
      <c r="F725" s="165"/>
      <c r="G725" s="165"/>
      <c r="H725" s="165"/>
      <c r="I725" s="165"/>
      <c r="J725" s="165"/>
      <c r="K725" s="165"/>
      <c r="L725" s="165"/>
      <c r="M725" s="165"/>
      <c r="N725" s="165"/>
      <c r="O725" s="165"/>
      <c r="P725" s="165"/>
      <c r="Q725" s="134"/>
      <c r="R725" s="12"/>
      <c r="AJ725" s="12"/>
    </row>
    <row r="726" ht="15.75" customHeight="1">
      <c r="B726" s="12"/>
      <c r="C726" s="7"/>
      <c r="E726" s="165"/>
      <c r="F726" s="165"/>
      <c r="G726" s="165"/>
      <c r="H726" s="165"/>
      <c r="I726" s="165"/>
      <c r="J726" s="165"/>
      <c r="K726" s="165"/>
      <c r="L726" s="165"/>
      <c r="M726" s="165"/>
      <c r="N726" s="165"/>
      <c r="O726" s="165"/>
      <c r="P726" s="165"/>
      <c r="Q726" s="134"/>
      <c r="R726" s="12"/>
      <c r="AJ726" s="12"/>
    </row>
    <row r="727" ht="15.75" customHeight="1">
      <c r="B727" s="12"/>
      <c r="C727" s="7"/>
      <c r="E727" s="165"/>
      <c r="F727" s="165"/>
      <c r="G727" s="165"/>
      <c r="H727" s="165"/>
      <c r="I727" s="165"/>
      <c r="J727" s="165"/>
      <c r="K727" s="165"/>
      <c r="L727" s="165"/>
      <c r="M727" s="165"/>
      <c r="N727" s="165"/>
      <c r="O727" s="165"/>
      <c r="P727" s="165"/>
      <c r="Q727" s="134"/>
      <c r="R727" s="12"/>
      <c r="AJ727" s="12"/>
    </row>
    <row r="728" ht="15.75" customHeight="1">
      <c r="B728" s="12"/>
      <c r="C728" s="7"/>
      <c r="E728" s="165"/>
      <c r="F728" s="165"/>
      <c r="G728" s="165"/>
      <c r="H728" s="165"/>
      <c r="I728" s="165"/>
      <c r="J728" s="165"/>
      <c r="K728" s="165"/>
      <c r="L728" s="165"/>
      <c r="M728" s="165"/>
      <c r="N728" s="165"/>
      <c r="O728" s="165"/>
      <c r="P728" s="165"/>
      <c r="Q728" s="134"/>
      <c r="R728" s="12"/>
      <c r="AJ728" s="12"/>
    </row>
    <row r="729" ht="15.75" customHeight="1">
      <c r="B729" s="12"/>
      <c r="C729" s="7"/>
      <c r="E729" s="165"/>
      <c r="F729" s="165"/>
      <c r="G729" s="165"/>
      <c r="H729" s="165"/>
      <c r="I729" s="165"/>
      <c r="J729" s="165"/>
      <c r="K729" s="165"/>
      <c r="L729" s="165"/>
      <c r="M729" s="165"/>
      <c r="N729" s="165"/>
      <c r="O729" s="165"/>
      <c r="P729" s="165"/>
      <c r="Q729" s="134"/>
      <c r="R729" s="12"/>
      <c r="AJ729" s="12"/>
    </row>
    <row r="730" ht="15.75" customHeight="1">
      <c r="B730" s="12"/>
      <c r="C730" s="7"/>
      <c r="E730" s="165"/>
      <c r="F730" s="165"/>
      <c r="G730" s="165"/>
      <c r="H730" s="165"/>
      <c r="I730" s="165"/>
      <c r="J730" s="165"/>
      <c r="K730" s="165"/>
      <c r="L730" s="165"/>
      <c r="M730" s="165"/>
      <c r="N730" s="165"/>
      <c r="O730" s="165"/>
      <c r="P730" s="165"/>
      <c r="Q730" s="134"/>
      <c r="R730" s="12"/>
      <c r="AJ730" s="12"/>
    </row>
    <row r="731" ht="15.75" customHeight="1">
      <c r="B731" s="12"/>
      <c r="C731" s="7"/>
      <c r="E731" s="165"/>
      <c r="F731" s="165"/>
      <c r="G731" s="165"/>
      <c r="H731" s="165"/>
      <c r="I731" s="165"/>
      <c r="J731" s="165"/>
      <c r="K731" s="165"/>
      <c r="L731" s="165"/>
      <c r="M731" s="165"/>
      <c r="N731" s="165"/>
      <c r="O731" s="165"/>
      <c r="P731" s="165"/>
      <c r="Q731" s="134"/>
      <c r="R731" s="12"/>
      <c r="AJ731" s="12"/>
    </row>
    <row r="732" ht="15.75" customHeight="1">
      <c r="B732" s="12"/>
      <c r="C732" s="7"/>
      <c r="E732" s="165"/>
      <c r="F732" s="165"/>
      <c r="G732" s="165"/>
      <c r="H732" s="165"/>
      <c r="I732" s="165"/>
      <c r="J732" s="165"/>
      <c r="K732" s="165"/>
      <c r="L732" s="165"/>
      <c r="M732" s="165"/>
      <c r="N732" s="165"/>
      <c r="O732" s="165"/>
      <c r="P732" s="165"/>
      <c r="Q732" s="134"/>
      <c r="R732" s="12"/>
      <c r="AJ732" s="12"/>
    </row>
    <row r="733" ht="15.75" customHeight="1">
      <c r="B733" s="12"/>
      <c r="C733" s="7"/>
      <c r="E733" s="165"/>
      <c r="F733" s="165"/>
      <c r="G733" s="165"/>
      <c r="H733" s="165"/>
      <c r="I733" s="165"/>
      <c r="J733" s="165"/>
      <c r="K733" s="165"/>
      <c r="L733" s="165"/>
      <c r="M733" s="165"/>
      <c r="N733" s="165"/>
      <c r="O733" s="165"/>
      <c r="P733" s="165"/>
      <c r="Q733" s="134"/>
      <c r="R733" s="12"/>
      <c r="AJ733" s="12"/>
    </row>
    <row r="734" ht="15.75" customHeight="1">
      <c r="B734" s="12"/>
      <c r="C734" s="7"/>
      <c r="E734" s="165"/>
      <c r="F734" s="165"/>
      <c r="G734" s="165"/>
      <c r="H734" s="165"/>
      <c r="I734" s="165"/>
      <c r="J734" s="165"/>
      <c r="K734" s="165"/>
      <c r="L734" s="165"/>
      <c r="M734" s="165"/>
      <c r="N734" s="165"/>
      <c r="O734" s="165"/>
      <c r="P734" s="165"/>
      <c r="Q734" s="134"/>
      <c r="R734" s="12"/>
      <c r="AJ734" s="12"/>
    </row>
    <row r="735" ht="15.75" customHeight="1">
      <c r="B735" s="12"/>
      <c r="C735" s="7"/>
      <c r="E735" s="165"/>
      <c r="F735" s="165"/>
      <c r="G735" s="165"/>
      <c r="H735" s="165"/>
      <c r="I735" s="165"/>
      <c r="J735" s="165"/>
      <c r="K735" s="165"/>
      <c r="L735" s="165"/>
      <c r="M735" s="165"/>
      <c r="N735" s="165"/>
      <c r="O735" s="165"/>
      <c r="P735" s="165"/>
      <c r="Q735" s="134"/>
      <c r="R735" s="12"/>
      <c r="AJ735" s="12"/>
    </row>
    <row r="736" ht="15.75" customHeight="1">
      <c r="B736" s="12"/>
      <c r="C736" s="7"/>
      <c r="E736" s="165"/>
      <c r="F736" s="165"/>
      <c r="G736" s="165"/>
      <c r="H736" s="165"/>
      <c r="I736" s="165"/>
      <c r="J736" s="165"/>
      <c r="K736" s="165"/>
      <c r="L736" s="165"/>
      <c r="M736" s="165"/>
      <c r="N736" s="165"/>
      <c r="O736" s="165"/>
      <c r="P736" s="165"/>
      <c r="Q736" s="134"/>
      <c r="R736" s="12"/>
      <c r="AJ736" s="12"/>
    </row>
    <row r="737" ht="15.75" customHeight="1">
      <c r="B737" s="12"/>
      <c r="C737" s="7"/>
      <c r="E737" s="165"/>
      <c r="F737" s="165"/>
      <c r="G737" s="165"/>
      <c r="H737" s="165"/>
      <c r="I737" s="165"/>
      <c r="J737" s="165"/>
      <c r="K737" s="165"/>
      <c r="L737" s="165"/>
      <c r="M737" s="165"/>
      <c r="N737" s="165"/>
      <c r="O737" s="165"/>
      <c r="P737" s="165"/>
      <c r="Q737" s="134"/>
      <c r="R737" s="12"/>
      <c r="AJ737" s="12"/>
    </row>
    <row r="738" ht="15.75" customHeight="1">
      <c r="B738" s="12"/>
      <c r="C738" s="7"/>
      <c r="E738" s="165"/>
      <c r="F738" s="165"/>
      <c r="G738" s="165"/>
      <c r="H738" s="165"/>
      <c r="I738" s="165"/>
      <c r="J738" s="165"/>
      <c r="K738" s="165"/>
      <c r="L738" s="165"/>
      <c r="M738" s="165"/>
      <c r="N738" s="165"/>
      <c r="O738" s="165"/>
      <c r="P738" s="165"/>
      <c r="Q738" s="134"/>
      <c r="R738" s="12"/>
      <c r="AJ738" s="12"/>
    </row>
    <row r="739" ht="15.75" customHeight="1">
      <c r="B739" s="12"/>
      <c r="C739" s="7"/>
      <c r="E739" s="165"/>
      <c r="F739" s="165"/>
      <c r="G739" s="165"/>
      <c r="H739" s="165"/>
      <c r="I739" s="165"/>
      <c r="J739" s="165"/>
      <c r="K739" s="165"/>
      <c r="L739" s="165"/>
      <c r="M739" s="165"/>
      <c r="N739" s="165"/>
      <c r="O739" s="165"/>
      <c r="P739" s="165"/>
      <c r="Q739" s="134"/>
      <c r="R739" s="12"/>
      <c r="AJ739" s="12"/>
    </row>
    <row r="740" ht="15.75" customHeight="1">
      <c r="B740" s="12"/>
      <c r="C740" s="7"/>
      <c r="E740" s="165"/>
      <c r="F740" s="165"/>
      <c r="G740" s="165"/>
      <c r="H740" s="165"/>
      <c r="I740" s="165"/>
      <c r="J740" s="165"/>
      <c r="K740" s="165"/>
      <c r="L740" s="165"/>
      <c r="M740" s="165"/>
      <c r="N740" s="165"/>
      <c r="O740" s="165"/>
      <c r="P740" s="165"/>
      <c r="Q740" s="134"/>
      <c r="R740" s="12"/>
      <c r="AJ740" s="12"/>
    </row>
    <row r="741" ht="15.75" customHeight="1">
      <c r="B741" s="12"/>
      <c r="C741" s="7"/>
      <c r="E741" s="165"/>
      <c r="F741" s="165"/>
      <c r="G741" s="165"/>
      <c r="H741" s="165"/>
      <c r="I741" s="165"/>
      <c r="J741" s="165"/>
      <c r="K741" s="165"/>
      <c r="L741" s="165"/>
      <c r="M741" s="165"/>
      <c r="N741" s="165"/>
      <c r="O741" s="165"/>
      <c r="P741" s="165"/>
      <c r="Q741" s="134"/>
      <c r="R741" s="12"/>
      <c r="AJ741" s="12"/>
    </row>
    <row r="742" ht="15.75" customHeight="1">
      <c r="B742" s="12"/>
      <c r="C742" s="7"/>
      <c r="E742" s="165"/>
      <c r="F742" s="165"/>
      <c r="G742" s="165"/>
      <c r="H742" s="165"/>
      <c r="I742" s="165"/>
      <c r="J742" s="165"/>
      <c r="K742" s="165"/>
      <c r="L742" s="165"/>
      <c r="M742" s="165"/>
      <c r="N742" s="165"/>
      <c r="O742" s="165"/>
      <c r="P742" s="165"/>
      <c r="Q742" s="134"/>
      <c r="R742" s="12"/>
      <c r="AJ742" s="12"/>
    </row>
    <row r="743" ht="15.75" customHeight="1">
      <c r="B743" s="12"/>
      <c r="C743" s="7"/>
      <c r="E743" s="165"/>
      <c r="F743" s="165"/>
      <c r="G743" s="165"/>
      <c r="H743" s="165"/>
      <c r="I743" s="165"/>
      <c r="J743" s="165"/>
      <c r="K743" s="165"/>
      <c r="L743" s="165"/>
      <c r="M743" s="165"/>
      <c r="N743" s="165"/>
      <c r="O743" s="165"/>
      <c r="P743" s="165"/>
      <c r="Q743" s="134"/>
      <c r="R743" s="12"/>
      <c r="AJ743" s="12"/>
    </row>
    <row r="744" ht="15.75" customHeight="1">
      <c r="B744" s="12"/>
      <c r="C744" s="7"/>
      <c r="E744" s="165"/>
      <c r="F744" s="165"/>
      <c r="G744" s="165"/>
      <c r="H744" s="165"/>
      <c r="I744" s="165"/>
      <c r="J744" s="165"/>
      <c r="K744" s="165"/>
      <c r="L744" s="165"/>
      <c r="M744" s="165"/>
      <c r="N744" s="165"/>
      <c r="O744" s="165"/>
      <c r="P744" s="165"/>
      <c r="Q744" s="134"/>
      <c r="R744" s="12"/>
      <c r="AJ744" s="12"/>
    </row>
    <row r="745" ht="15.75" customHeight="1">
      <c r="B745" s="12"/>
      <c r="C745" s="7"/>
      <c r="E745" s="165"/>
      <c r="F745" s="165"/>
      <c r="G745" s="165"/>
      <c r="H745" s="165"/>
      <c r="I745" s="165"/>
      <c r="J745" s="165"/>
      <c r="K745" s="165"/>
      <c r="L745" s="165"/>
      <c r="M745" s="165"/>
      <c r="N745" s="165"/>
      <c r="O745" s="165"/>
      <c r="P745" s="165"/>
      <c r="Q745" s="134"/>
      <c r="R745" s="12"/>
      <c r="AJ745" s="12"/>
    </row>
    <row r="746" ht="15.75" customHeight="1">
      <c r="B746" s="12"/>
      <c r="C746" s="7"/>
      <c r="E746" s="165"/>
      <c r="F746" s="165"/>
      <c r="G746" s="165"/>
      <c r="H746" s="165"/>
      <c r="I746" s="165"/>
      <c r="J746" s="165"/>
      <c r="K746" s="165"/>
      <c r="L746" s="165"/>
      <c r="M746" s="165"/>
      <c r="N746" s="165"/>
      <c r="O746" s="165"/>
      <c r="P746" s="165"/>
      <c r="Q746" s="134"/>
      <c r="R746" s="12"/>
      <c r="AJ746" s="12"/>
    </row>
    <row r="747" ht="15.75" customHeight="1">
      <c r="B747" s="12"/>
      <c r="C747" s="7"/>
      <c r="E747" s="165"/>
      <c r="F747" s="165"/>
      <c r="G747" s="165"/>
      <c r="H747" s="165"/>
      <c r="I747" s="165"/>
      <c r="J747" s="165"/>
      <c r="K747" s="165"/>
      <c r="L747" s="165"/>
      <c r="M747" s="165"/>
      <c r="N747" s="165"/>
      <c r="O747" s="165"/>
      <c r="P747" s="165"/>
      <c r="Q747" s="134"/>
      <c r="R747" s="12"/>
      <c r="AJ747" s="12"/>
    </row>
    <row r="748" ht="15.75" customHeight="1">
      <c r="B748" s="12"/>
      <c r="C748" s="7"/>
      <c r="E748" s="165"/>
      <c r="F748" s="165"/>
      <c r="G748" s="165"/>
      <c r="H748" s="165"/>
      <c r="I748" s="165"/>
      <c r="J748" s="165"/>
      <c r="K748" s="165"/>
      <c r="L748" s="165"/>
      <c r="M748" s="165"/>
      <c r="N748" s="165"/>
      <c r="O748" s="165"/>
      <c r="P748" s="165"/>
      <c r="Q748" s="134"/>
      <c r="R748" s="12"/>
      <c r="AJ748" s="12"/>
    </row>
    <row r="749" ht="15.75" customHeight="1">
      <c r="B749" s="12"/>
      <c r="C749" s="7"/>
      <c r="E749" s="165"/>
      <c r="F749" s="165"/>
      <c r="G749" s="165"/>
      <c r="H749" s="165"/>
      <c r="I749" s="165"/>
      <c r="J749" s="165"/>
      <c r="K749" s="165"/>
      <c r="L749" s="165"/>
      <c r="M749" s="165"/>
      <c r="N749" s="165"/>
      <c r="O749" s="165"/>
      <c r="P749" s="165"/>
      <c r="Q749" s="134"/>
      <c r="R749" s="12"/>
      <c r="AJ749" s="12"/>
    </row>
    <row r="750" ht="15.75" customHeight="1">
      <c r="B750" s="12"/>
      <c r="C750" s="7"/>
      <c r="E750" s="165"/>
      <c r="F750" s="165"/>
      <c r="G750" s="165"/>
      <c r="H750" s="165"/>
      <c r="I750" s="165"/>
      <c r="J750" s="165"/>
      <c r="K750" s="165"/>
      <c r="L750" s="165"/>
      <c r="M750" s="165"/>
      <c r="N750" s="165"/>
      <c r="O750" s="165"/>
      <c r="P750" s="165"/>
      <c r="Q750" s="134"/>
      <c r="R750" s="12"/>
      <c r="AJ750" s="12"/>
    </row>
    <row r="751" ht="15.75" customHeight="1">
      <c r="B751" s="12"/>
      <c r="C751" s="7"/>
      <c r="E751" s="165"/>
      <c r="F751" s="165"/>
      <c r="G751" s="165"/>
      <c r="H751" s="165"/>
      <c r="I751" s="165"/>
      <c r="J751" s="165"/>
      <c r="K751" s="165"/>
      <c r="L751" s="165"/>
      <c r="M751" s="165"/>
      <c r="N751" s="165"/>
      <c r="O751" s="165"/>
      <c r="P751" s="165"/>
      <c r="Q751" s="134"/>
      <c r="R751" s="12"/>
      <c r="AJ751" s="12"/>
    </row>
    <row r="752" ht="15.75" customHeight="1">
      <c r="B752" s="12"/>
      <c r="C752" s="7"/>
      <c r="E752" s="165"/>
      <c r="F752" s="165"/>
      <c r="G752" s="165"/>
      <c r="H752" s="165"/>
      <c r="I752" s="165"/>
      <c r="J752" s="165"/>
      <c r="K752" s="165"/>
      <c r="L752" s="165"/>
      <c r="M752" s="165"/>
      <c r="N752" s="165"/>
      <c r="O752" s="165"/>
      <c r="P752" s="165"/>
      <c r="Q752" s="134"/>
      <c r="R752" s="12"/>
      <c r="AJ752" s="12"/>
    </row>
    <row r="753" ht="15.75" customHeight="1">
      <c r="B753" s="12"/>
      <c r="C753" s="7"/>
      <c r="E753" s="165"/>
      <c r="F753" s="165"/>
      <c r="G753" s="165"/>
      <c r="H753" s="165"/>
      <c r="I753" s="165"/>
      <c r="J753" s="165"/>
      <c r="K753" s="165"/>
      <c r="L753" s="165"/>
      <c r="M753" s="165"/>
      <c r="N753" s="165"/>
      <c r="O753" s="165"/>
      <c r="P753" s="165"/>
      <c r="Q753" s="134"/>
      <c r="R753" s="12"/>
      <c r="AJ753" s="12"/>
    </row>
    <row r="754" ht="15.75" customHeight="1">
      <c r="B754" s="12"/>
      <c r="C754" s="7"/>
      <c r="E754" s="165"/>
      <c r="F754" s="165"/>
      <c r="G754" s="165"/>
      <c r="H754" s="165"/>
      <c r="I754" s="165"/>
      <c r="J754" s="165"/>
      <c r="K754" s="165"/>
      <c r="L754" s="165"/>
      <c r="M754" s="165"/>
      <c r="N754" s="165"/>
      <c r="O754" s="165"/>
      <c r="P754" s="165"/>
      <c r="Q754" s="134"/>
      <c r="R754" s="12"/>
      <c r="AJ754" s="12"/>
    </row>
    <row r="755" ht="15.75" customHeight="1">
      <c r="B755" s="12"/>
      <c r="C755" s="7"/>
      <c r="E755" s="165"/>
      <c r="F755" s="165"/>
      <c r="G755" s="165"/>
      <c r="H755" s="165"/>
      <c r="I755" s="165"/>
      <c r="J755" s="165"/>
      <c r="K755" s="165"/>
      <c r="L755" s="165"/>
      <c r="M755" s="165"/>
      <c r="N755" s="165"/>
      <c r="O755" s="165"/>
      <c r="P755" s="165"/>
      <c r="Q755" s="134"/>
      <c r="R755" s="12"/>
      <c r="AJ755" s="12"/>
    </row>
    <row r="756" ht="15.75" customHeight="1">
      <c r="B756" s="12"/>
      <c r="C756" s="7"/>
      <c r="E756" s="165"/>
      <c r="F756" s="165"/>
      <c r="G756" s="165"/>
      <c r="H756" s="165"/>
      <c r="I756" s="165"/>
      <c r="J756" s="165"/>
      <c r="K756" s="165"/>
      <c r="L756" s="165"/>
      <c r="M756" s="165"/>
      <c r="N756" s="165"/>
      <c r="O756" s="165"/>
      <c r="P756" s="165"/>
      <c r="Q756" s="134"/>
      <c r="R756" s="12"/>
      <c r="AJ756" s="12"/>
    </row>
    <row r="757" ht="15.75" customHeight="1">
      <c r="B757" s="12"/>
      <c r="C757" s="7"/>
      <c r="E757" s="165"/>
      <c r="F757" s="165"/>
      <c r="G757" s="165"/>
      <c r="H757" s="165"/>
      <c r="I757" s="165"/>
      <c r="J757" s="165"/>
      <c r="K757" s="165"/>
      <c r="L757" s="165"/>
      <c r="M757" s="165"/>
      <c r="N757" s="165"/>
      <c r="O757" s="165"/>
      <c r="P757" s="165"/>
      <c r="Q757" s="134"/>
      <c r="R757" s="12"/>
      <c r="AJ757" s="12"/>
    </row>
    <row r="758" ht="15.75" customHeight="1">
      <c r="B758" s="12"/>
      <c r="C758" s="7"/>
      <c r="E758" s="165"/>
      <c r="F758" s="165"/>
      <c r="G758" s="165"/>
      <c r="H758" s="165"/>
      <c r="I758" s="165"/>
      <c r="J758" s="165"/>
      <c r="K758" s="165"/>
      <c r="L758" s="165"/>
      <c r="M758" s="165"/>
      <c r="N758" s="165"/>
      <c r="O758" s="165"/>
      <c r="P758" s="165"/>
      <c r="Q758" s="134"/>
      <c r="R758" s="12"/>
      <c r="AJ758" s="12"/>
    </row>
    <row r="759" ht="15.75" customHeight="1">
      <c r="B759" s="12"/>
      <c r="C759" s="7"/>
      <c r="E759" s="165"/>
      <c r="F759" s="165"/>
      <c r="G759" s="165"/>
      <c r="H759" s="165"/>
      <c r="I759" s="165"/>
      <c r="J759" s="165"/>
      <c r="K759" s="165"/>
      <c r="L759" s="165"/>
      <c r="M759" s="165"/>
      <c r="N759" s="165"/>
      <c r="O759" s="165"/>
      <c r="P759" s="165"/>
      <c r="Q759" s="134"/>
      <c r="R759" s="12"/>
      <c r="AJ759" s="12"/>
    </row>
    <row r="760" ht="15.75" customHeight="1">
      <c r="B760" s="12"/>
      <c r="C760" s="7"/>
      <c r="E760" s="165"/>
      <c r="F760" s="165"/>
      <c r="G760" s="165"/>
      <c r="H760" s="165"/>
      <c r="I760" s="165"/>
      <c r="J760" s="165"/>
      <c r="K760" s="165"/>
      <c r="L760" s="165"/>
      <c r="M760" s="165"/>
      <c r="N760" s="165"/>
      <c r="O760" s="165"/>
      <c r="P760" s="165"/>
      <c r="Q760" s="134"/>
      <c r="R760" s="12"/>
      <c r="AJ760" s="12"/>
    </row>
    <row r="761" ht="15.75" customHeight="1">
      <c r="B761" s="12"/>
      <c r="C761" s="7"/>
      <c r="E761" s="165"/>
      <c r="F761" s="165"/>
      <c r="G761" s="165"/>
      <c r="H761" s="165"/>
      <c r="I761" s="165"/>
      <c r="J761" s="165"/>
      <c r="K761" s="165"/>
      <c r="L761" s="165"/>
      <c r="M761" s="165"/>
      <c r="N761" s="165"/>
      <c r="O761" s="165"/>
      <c r="P761" s="165"/>
      <c r="Q761" s="134"/>
      <c r="R761" s="12"/>
      <c r="AJ761" s="12"/>
    </row>
    <row r="762" ht="15.75" customHeight="1">
      <c r="B762" s="12"/>
      <c r="C762" s="7"/>
      <c r="E762" s="165"/>
      <c r="F762" s="165"/>
      <c r="G762" s="165"/>
      <c r="H762" s="165"/>
      <c r="I762" s="165"/>
      <c r="J762" s="165"/>
      <c r="K762" s="165"/>
      <c r="L762" s="165"/>
      <c r="M762" s="165"/>
      <c r="N762" s="165"/>
      <c r="O762" s="165"/>
      <c r="P762" s="165"/>
      <c r="Q762" s="134"/>
      <c r="R762" s="12"/>
      <c r="AJ762" s="12"/>
    </row>
    <row r="763" ht="15.75" customHeight="1">
      <c r="B763" s="12"/>
      <c r="C763" s="7"/>
      <c r="E763" s="165"/>
      <c r="F763" s="165"/>
      <c r="G763" s="165"/>
      <c r="H763" s="165"/>
      <c r="I763" s="165"/>
      <c r="J763" s="165"/>
      <c r="K763" s="165"/>
      <c r="L763" s="165"/>
      <c r="M763" s="165"/>
      <c r="N763" s="165"/>
      <c r="O763" s="165"/>
      <c r="P763" s="165"/>
      <c r="Q763" s="134"/>
      <c r="R763" s="12"/>
      <c r="AJ763" s="12"/>
    </row>
    <row r="764" ht="15.75" customHeight="1">
      <c r="B764" s="12"/>
      <c r="C764" s="7"/>
      <c r="E764" s="165"/>
      <c r="F764" s="165"/>
      <c r="G764" s="165"/>
      <c r="H764" s="165"/>
      <c r="I764" s="165"/>
      <c r="J764" s="165"/>
      <c r="K764" s="165"/>
      <c r="L764" s="165"/>
      <c r="M764" s="165"/>
      <c r="N764" s="165"/>
      <c r="O764" s="165"/>
      <c r="P764" s="165"/>
      <c r="Q764" s="134"/>
      <c r="R764" s="12"/>
      <c r="AJ764" s="12"/>
    </row>
    <row r="765" ht="15.75" customHeight="1">
      <c r="B765" s="12"/>
      <c r="C765" s="7"/>
      <c r="E765" s="165"/>
      <c r="F765" s="165"/>
      <c r="G765" s="165"/>
      <c r="H765" s="165"/>
      <c r="I765" s="165"/>
      <c r="J765" s="165"/>
      <c r="K765" s="165"/>
      <c r="L765" s="165"/>
      <c r="M765" s="165"/>
      <c r="N765" s="165"/>
      <c r="O765" s="165"/>
      <c r="P765" s="165"/>
      <c r="Q765" s="134"/>
      <c r="R765" s="12"/>
      <c r="AJ765" s="12"/>
    </row>
    <row r="766" ht="15.75" customHeight="1">
      <c r="B766" s="12"/>
      <c r="C766" s="7"/>
      <c r="E766" s="165"/>
      <c r="F766" s="165"/>
      <c r="G766" s="165"/>
      <c r="H766" s="165"/>
      <c r="I766" s="165"/>
      <c r="J766" s="165"/>
      <c r="K766" s="165"/>
      <c r="L766" s="165"/>
      <c r="M766" s="165"/>
      <c r="N766" s="165"/>
      <c r="O766" s="165"/>
      <c r="P766" s="165"/>
      <c r="Q766" s="134"/>
      <c r="R766" s="12"/>
      <c r="AJ766" s="12"/>
    </row>
    <row r="767" ht="15.75" customHeight="1">
      <c r="B767" s="12"/>
      <c r="C767" s="7"/>
      <c r="E767" s="165"/>
      <c r="F767" s="165"/>
      <c r="G767" s="165"/>
      <c r="H767" s="165"/>
      <c r="I767" s="165"/>
      <c r="J767" s="165"/>
      <c r="K767" s="165"/>
      <c r="L767" s="165"/>
      <c r="M767" s="165"/>
      <c r="N767" s="165"/>
      <c r="O767" s="165"/>
      <c r="P767" s="165"/>
      <c r="Q767" s="134"/>
      <c r="R767" s="12"/>
      <c r="AJ767" s="12"/>
    </row>
    <row r="768" ht="15.75" customHeight="1">
      <c r="B768" s="12"/>
      <c r="C768" s="7"/>
      <c r="E768" s="165"/>
      <c r="F768" s="165"/>
      <c r="G768" s="165"/>
      <c r="H768" s="165"/>
      <c r="I768" s="165"/>
      <c r="J768" s="165"/>
      <c r="K768" s="165"/>
      <c r="L768" s="165"/>
      <c r="M768" s="165"/>
      <c r="N768" s="165"/>
      <c r="O768" s="165"/>
      <c r="P768" s="165"/>
      <c r="Q768" s="134"/>
      <c r="R768" s="12"/>
      <c r="AJ768" s="12"/>
    </row>
    <row r="769" ht="15.75" customHeight="1">
      <c r="B769" s="12"/>
      <c r="C769" s="7"/>
      <c r="E769" s="165"/>
      <c r="F769" s="165"/>
      <c r="G769" s="165"/>
      <c r="H769" s="165"/>
      <c r="I769" s="165"/>
      <c r="J769" s="165"/>
      <c r="K769" s="165"/>
      <c r="L769" s="165"/>
      <c r="M769" s="165"/>
      <c r="N769" s="165"/>
      <c r="O769" s="165"/>
      <c r="P769" s="165"/>
      <c r="Q769" s="134"/>
      <c r="R769" s="12"/>
      <c r="AJ769" s="12"/>
    </row>
    <row r="770" ht="15.75" customHeight="1">
      <c r="B770" s="12"/>
      <c r="C770" s="7"/>
      <c r="E770" s="165"/>
      <c r="F770" s="165"/>
      <c r="G770" s="165"/>
      <c r="H770" s="165"/>
      <c r="I770" s="165"/>
      <c r="J770" s="165"/>
      <c r="K770" s="165"/>
      <c r="L770" s="165"/>
      <c r="M770" s="165"/>
      <c r="N770" s="165"/>
      <c r="O770" s="165"/>
      <c r="P770" s="165"/>
      <c r="Q770" s="134"/>
      <c r="R770" s="12"/>
      <c r="AJ770" s="12"/>
    </row>
    <row r="771" ht="15.75" customHeight="1">
      <c r="B771" s="12"/>
      <c r="C771" s="7"/>
      <c r="E771" s="165"/>
      <c r="F771" s="165"/>
      <c r="G771" s="165"/>
      <c r="H771" s="165"/>
      <c r="I771" s="165"/>
      <c r="J771" s="165"/>
      <c r="K771" s="165"/>
      <c r="L771" s="165"/>
      <c r="M771" s="165"/>
      <c r="N771" s="165"/>
      <c r="O771" s="165"/>
      <c r="P771" s="165"/>
      <c r="Q771" s="134"/>
      <c r="R771" s="12"/>
      <c r="AJ771" s="12"/>
    </row>
    <row r="772" ht="15.75" customHeight="1">
      <c r="B772" s="12"/>
      <c r="C772" s="7"/>
      <c r="E772" s="165"/>
      <c r="F772" s="165"/>
      <c r="G772" s="165"/>
      <c r="H772" s="165"/>
      <c r="I772" s="165"/>
      <c r="J772" s="165"/>
      <c r="K772" s="165"/>
      <c r="L772" s="165"/>
      <c r="M772" s="165"/>
      <c r="N772" s="165"/>
      <c r="O772" s="165"/>
      <c r="P772" s="165"/>
      <c r="Q772" s="134"/>
      <c r="R772" s="12"/>
      <c r="AJ772" s="12"/>
    </row>
    <row r="773" ht="15.75" customHeight="1">
      <c r="B773" s="12"/>
      <c r="C773" s="7"/>
      <c r="E773" s="165"/>
      <c r="F773" s="165"/>
      <c r="G773" s="165"/>
      <c r="H773" s="165"/>
      <c r="I773" s="165"/>
      <c r="J773" s="165"/>
      <c r="K773" s="165"/>
      <c r="L773" s="165"/>
      <c r="M773" s="165"/>
      <c r="N773" s="165"/>
      <c r="O773" s="165"/>
      <c r="P773" s="165"/>
      <c r="Q773" s="134"/>
      <c r="R773" s="12"/>
      <c r="AJ773" s="12"/>
    </row>
    <row r="774" ht="15.75" customHeight="1">
      <c r="B774" s="12"/>
      <c r="C774" s="7"/>
      <c r="E774" s="165"/>
      <c r="F774" s="165"/>
      <c r="G774" s="165"/>
      <c r="H774" s="165"/>
      <c r="I774" s="165"/>
      <c r="J774" s="165"/>
      <c r="K774" s="165"/>
      <c r="L774" s="165"/>
      <c r="M774" s="165"/>
      <c r="N774" s="165"/>
      <c r="O774" s="165"/>
      <c r="P774" s="165"/>
      <c r="Q774" s="134"/>
      <c r="R774" s="12"/>
      <c r="AJ774" s="12"/>
    </row>
    <row r="775" ht="15.75" customHeight="1">
      <c r="B775" s="12"/>
      <c r="C775" s="7"/>
      <c r="E775" s="165"/>
      <c r="F775" s="165"/>
      <c r="G775" s="165"/>
      <c r="H775" s="165"/>
      <c r="I775" s="165"/>
      <c r="J775" s="165"/>
      <c r="K775" s="165"/>
      <c r="L775" s="165"/>
      <c r="M775" s="165"/>
      <c r="N775" s="165"/>
      <c r="O775" s="165"/>
      <c r="P775" s="165"/>
      <c r="Q775" s="134"/>
      <c r="R775" s="12"/>
      <c r="AJ775" s="12"/>
    </row>
    <row r="776" ht="15.75" customHeight="1">
      <c r="B776" s="12"/>
      <c r="C776" s="7"/>
      <c r="E776" s="165"/>
      <c r="F776" s="165"/>
      <c r="G776" s="165"/>
      <c r="H776" s="165"/>
      <c r="I776" s="165"/>
      <c r="J776" s="165"/>
      <c r="K776" s="165"/>
      <c r="L776" s="165"/>
      <c r="M776" s="165"/>
      <c r="N776" s="165"/>
      <c r="O776" s="165"/>
      <c r="P776" s="165"/>
      <c r="Q776" s="134"/>
      <c r="R776" s="12"/>
      <c r="AJ776" s="12"/>
    </row>
    <row r="777" ht="15.75" customHeight="1">
      <c r="B777" s="12"/>
      <c r="C777" s="7"/>
      <c r="E777" s="165"/>
      <c r="F777" s="165"/>
      <c r="G777" s="165"/>
      <c r="H777" s="165"/>
      <c r="I777" s="165"/>
      <c r="J777" s="165"/>
      <c r="K777" s="165"/>
      <c r="L777" s="165"/>
      <c r="M777" s="165"/>
      <c r="N777" s="165"/>
      <c r="O777" s="165"/>
      <c r="P777" s="165"/>
      <c r="Q777" s="134"/>
      <c r="R777" s="12"/>
      <c r="AJ777" s="12"/>
    </row>
    <row r="778" ht="15.75" customHeight="1">
      <c r="B778" s="12"/>
      <c r="C778" s="7"/>
      <c r="E778" s="165"/>
      <c r="F778" s="165"/>
      <c r="G778" s="165"/>
      <c r="H778" s="165"/>
      <c r="I778" s="165"/>
      <c r="J778" s="165"/>
      <c r="K778" s="165"/>
      <c r="L778" s="165"/>
      <c r="M778" s="165"/>
      <c r="N778" s="165"/>
      <c r="O778" s="165"/>
      <c r="P778" s="165"/>
      <c r="Q778" s="134"/>
      <c r="R778" s="12"/>
      <c r="AJ778" s="12"/>
    </row>
    <row r="779" ht="15.75" customHeight="1">
      <c r="B779" s="12"/>
      <c r="C779" s="7"/>
      <c r="E779" s="165"/>
      <c r="F779" s="165"/>
      <c r="G779" s="165"/>
      <c r="H779" s="165"/>
      <c r="I779" s="165"/>
      <c r="J779" s="165"/>
      <c r="K779" s="165"/>
      <c r="L779" s="165"/>
      <c r="M779" s="165"/>
      <c r="N779" s="165"/>
      <c r="O779" s="165"/>
      <c r="P779" s="165"/>
      <c r="Q779" s="134"/>
      <c r="R779" s="12"/>
      <c r="AJ779" s="12"/>
    </row>
    <row r="780" ht="15.75" customHeight="1">
      <c r="B780" s="12"/>
      <c r="C780" s="7"/>
      <c r="E780" s="165"/>
      <c r="F780" s="165"/>
      <c r="G780" s="165"/>
      <c r="H780" s="165"/>
      <c r="I780" s="165"/>
      <c r="J780" s="165"/>
      <c r="K780" s="165"/>
      <c r="L780" s="165"/>
      <c r="M780" s="165"/>
      <c r="N780" s="165"/>
      <c r="O780" s="165"/>
      <c r="P780" s="165"/>
      <c r="Q780" s="134"/>
      <c r="R780" s="12"/>
      <c r="AJ780" s="12"/>
    </row>
    <row r="781" ht="15.75" customHeight="1">
      <c r="B781" s="12"/>
      <c r="C781" s="7"/>
      <c r="E781" s="165"/>
      <c r="F781" s="165"/>
      <c r="G781" s="165"/>
      <c r="H781" s="165"/>
      <c r="I781" s="165"/>
      <c r="J781" s="165"/>
      <c r="K781" s="165"/>
      <c r="L781" s="165"/>
      <c r="M781" s="165"/>
      <c r="N781" s="165"/>
      <c r="O781" s="165"/>
      <c r="P781" s="165"/>
      <c r="Q781" s="134"/>
      <c r="R781" s="12"/>
      <c r="AJ781" s="12"/>
    </row>
    <row r="782" ht="15.75" customHeight="1">
      <c r="B782" s="12"/>
      <c r="C782" s="7"/>
      <c r="E782" s="165"/>
      <c r="F782" s="165"/>
      <c r="G782" s="165"/>
      <c r="H782" s="165"/>
      <c r="I782" s="165"/>
      <c r="J782" s="165"/>
      <c r="K782" s="165"/>
      <c r="L782" s="165"/>
      <c r="M782" s="165"/>
      <c r="N782" s="165"/>
      <c r="O782" s="165"/>
      <c r="P782" s="165"/>
      <c r="Q782" s="134"/>
      <c r="R782" s="12"/>
      <c r="AJ782" s="12"/>
    </row>
    <row r="783" ht="15.75" customHeight="1">
      <c r="B783" s="12"/>
      <c r="C783" s="7"/>
      <c r="E783" s="165"/>
      <c r="F783" s="165"/>
      <c r="G783" s="165"/>
      <c r="H783" s="165"/>
      <c r="I783" s="165"/>
      <c r="J783" s="165"/>
      <c r="K783" s="165"/>
      <c r="L783" s="165"/>
      <c r="M783" s="165"/>
      <c r="N783" s="165"/>
      <c r="O783" s="165"/>
      <c r="P783" s="165"/>
      <c r="Q783" s="134"/>
      <c r="R783" s="12"/>
      <c r="AJ783" s="12"/>
    </row>
    <row r="784" ht="15.75" customHeight="1">
      <c r="B784" s="12"/>
      <c r="C784" s="7"/>
      <c r="E784" s="165"/>
      <c r="F784" s="165"/>
      <c r="G784" s="165"/>
      <c r="H784" s="165"/>
      <c r="I784" s="165"/>
      <c r="J784" s="165"/>
      <c r="K784" s="165"/>
      <c r="L784" s="165"/>
      <c r="M784" s="165"/>
      <c r="N784" s="165"/>
      <c r="O784" s="165"/>
      <c r="P784" s="165"/>
      <c r="Q784" s="134"/>
      <c r="R784" s="12"/>
      <c r="AJ784" s="12"/>
    </row>
    <row r="785" ht="15.75" customHeight="1">
      <c r="B785" s="12"/>
      <c r="C785" s="7"/>
      <c r="E785" s="165"/>
      <c r="F785" s="165"/>
      <c r="G785" s="165"/>
      <c r="H785" s="165"/>
      <c r="I785" s="165"/>
      <c r="J785" s="165"/>
      <c r="K785" s="165"/>
      <c r="L785" s="165"/>
      <c r="M785" s="165"/>
      <c r="N785" s="165"/>
      <c r="O785" s="165"/>
      <c r="P785" s="165"/>
      <c r="Q785" s="134"/>
      <c r="R785" s="12"/>
      <c r="AJ785" s="12"/>
    </row>
    <row r="786" ht="15.75" customHeight="1">
      <c r="B786" s="12"/>
      <c r="C786" s="7"/>
      <c r="E786" s="165"/>
      <c r="F786" s="165"/>
      <c r="G786" s="165"/>
      <c r="H786" s="165"/>
      <c r="I786" s="165"/>
      <c r="J786" s="165"/>
      <c r="K786" s="165"/>
      <c r="L786" s="165"/>
      <c r="M786" s="165"/>
      <c r="N786" s="165"/>
      <c r="O786" s="165"/>
      <c r="P786" s="165"/>
      <c r="Q786" s="134"/>
      <c r="R786" s="12"/>
      <c r="AJ786" s="12"/>
    </row>
    <row r="787" ht="15.75" customHeight="1">
      <c r="B787" s="12"/>
      <c r="C787" s="7"/>
      <c r="E787" s="165"/>
      <c r="F787" s="165"/>
      <c r="G787" s="165"/>
      <c r="H787" s="165"/>
      <c r="I787" s="165"/>
      <c r="J787" s="165"/>
      <c r="K787" s="165"/>
      <c r="L787" s="165"/>
      <c r="M787" s="165"/>
      <c r="N787" s="165"/>
      <c r="O787" s="165"/>
      <c r="P787" s="165"/>
      <c r="Q787" s="134"/>
      <c r="R787" s="12"/>
      <c r="AJ787" s="12"/>
    </row>
    <row r="788" ht="15.75" customHeight="1">
      <c r="B788" s="12"/>
      <c r="C788" s="7"/>
      <c r="E788" s="165"/>
      <c r="F788" s="165"/>
      <c r="G788" s="165"/>
      <c r="H788" s="165"/>
      <c r="I788" s="165"/>
      <c r="J788" s="165"/>
      <c r="K788" s="165"/>
      <c r="L788" s="165"/>
      <c r="M788" s="165"/>
      <c r="N788" s="165"/>
      <c r="O788" s="165"/>
      <c r="P788" s="165"/>
      <c r="Q788" s="134"/>
      <c r="R788" s="12"/>
      <c r="AJ788" s="12"/>
    </row>
    <row r="789" ht="15.75" customHeight="1">
      <c r="B789" s="12"/>
      <c r="C789" s="7"/>
      <c r="E789" s="165"/>
      <c r="F789" s="165"/>
      <c r="G789" s="165"/>
      <c r="H789" s="165"/>
      <c r="I789" s="165"/>
      <c r="J789" s="165"/>
      <c r="K789" s="165"/>
      <c r="L789" s="165"/>
      <c r="M789" s="165"/>
      <c r="N789" s="165"/>
      <c r="O789" s="165"/>
      <c r="P789" s="165"/>
      <c r="Q789" s="134"/>
      <c r="R789" s="12"/>
      <c r="AJ789" s="12"/>
    </row>
    <row r="790" ht="15.75" customHeight="1">
      <c r="B790" s="12"/>
      <c r="C790" s="7"/>
      <c r="E790" s="165"/>
      <c r="F790" s="165"/>
      <c r="G790" s="165"/>
      <c r="H790" s="165"/>
      <c r="I790" s="165"/>
      <c r="J790" s="165"/>
      <c r="K790" s="165"/>
      <c r="L790" s="165"/>
      <c r="M790" s="165"/>
      <c r="N790" s="165"/>
      <c r="O790" s="165"/>
      <c r="P790" s="165"/>
      <c r="Q790" s="134"/>
      <c r="R790" s="12"/>
      <c r="AJ790" s="12"/>
    </row>
    <row r="791" ht="15.75" customHeight="1">
      <c r="B791" s="12"/>
      <c r="C791" s="7"/>
      <c r="E791" s="165"/>
      <c r="F791" s="165"/>
      <c r="G791" s="165"/>
      <c r="H791" s="165"/>
      <c r="I791" s="165"/>
      <c r="J791" s="165"/>
      <c r="K791" s="165"/>
      <c r="L791" s="165"/>
      <c r="M791" s="165"/>
      <c r="N791" s="165"/>
      <c r="O791" s="165"/>
      <c r="P791" s="165"/>
      <c r="Q791" s="134"/>
      <c r="R791" s="12"/>
      <c r="AJ791" s="12"/>
    </row>
    <row r="792" ht="15.75" customHeight="1">
      <c r="B792" s="12"/>
      <c r="C792" s="7"/>
      <c r="E792" s="165"/>
      <c r="F792" s="165"/>
      <c r="G792" s="165"/>
      <c r="H792" s="165"/>
      <c r="I792" s="165"/>
      <c r="J792" s="165"/>
      <c r="K792" s="165"/>
      <c r="L792" s="165"/>
      <c r="M792" s="165"/>
      <c r="N792" s="165"/>
      <c r="O792" s="165"/>
      <c r="P792" s="165"/>
      <c r="Q792" s="134"/>
      <c r="R792" s="12"/>
      <c r="AJ792" s="12"/>
    </row>
    <row r="793" ht="15.75" customHeight="1">
      <c r="B793" s="12"/>
      <c r="C793" s="7"/>
      <c r="E793" s="165"/>
      <c r="F793" s="165"/>
      <c r="G793" s="165"/>
      <c r="H793" s="165"/>
      <c r="I793" s="165"/>
      <c r="J793" s="165"/>
      <c r="K793" s="165"/>
      <c r="L793" s="165"/>
      <c r="M793" s="165"/>
      <c r="N793" s="165"/>
      <c r="O793" s="165"/>
      <c r="P793" s="165"/>
      <c r="Q793" s="134"/>
      <c r="R793" s="12"/>
      <c r="AJ793" s="12"/>
    </row>
    <row r="794" ht="15.75" customHeight="1">
      <c r="B794" s="12"/>
      <c r="C794" s="7"/>
      <c r="E794" s="165"/>
      <c r="F794" s="165"/>
      <c r="G794" s="165"/>
      <c r="H794" s="165"/>
      <c r="I794" s="165"/>
      <c r="J794" s="165"/>
      <c r="K794" s="165"/>
      <c r="L794" s="165"/>
      <c r="M794" s="165"/>
      <c r="N794" s="165"/>
      <c r="O794" s="165"/>
      <c r="P794" s="165"/>
      <c r="Q794" s="134"/>
      <c r="R794" s="12"/>
      <c r="AJ794" s="12"/>
    </row>
    <row r="795" ht="15.75" customHeight="1">
      <c r="B795" s="12"/>
      <c r="C795" s="7"/>
      <c r="E795" s="165"/>
      <c r="F795" s="165"/>
      <c r="G795" s="165"/>
      <c r="H795" s="165"/>
      <c r="I795" s="165"/>
      <c r="J795" s="165"/>
      <c r="K795" s="165"/>
      <c r="L795" s="165"/>
      <c r="M795" s="165"/>
      <c r="N795" s="165"/>
      <c r="O795" s="165"/>
      <c r="P795" s="165"/>
      <c r="Q795" s="134"/>
      <c r="R795" s="12"/>
      <c r="AJ795" s="12"/>
    </row>
    <row r="796" ht="15.75" customHeight="1">
      <c r="B796" s="12"/>
      <c r="C796" s="7"/>
      <c r="E796" s="165"/>
      <c r="F796" s="165"/>
      <c r="G796" s="165"/>
      <c r="H796" s="165"/>
      <c r="I796" s="165"/>
      <c r="J796" s="165"/>
      <c r="K796" s="165"/>
      <c r="L796" s="165"/>
      <c r="M796" s="165"/>
      <c r="N796" s="165"/>
      <c r="O796" s="165"/>
      <c r="P796" s="165"/>
      <c r="Q796" s="134"/>
      <c r="R796" s="12"/>
      <c r="AJ796" s="12"/>
    </row>
    <row r="797" ht="15.75" customHeight="1">
      <c r="B797" s="12"/>
      <c r="C797" s="7"/>
      <c r="E797" s="165"/>
      <c r="F797" s="165"/>
      <c r="G797" s="165"/>
      <c r="H797" s="165"/>
      <c r="I797" s="165"/>
      <c r="J797" s="165"/>
      <c r="K797" s="165"/>
      <c r="L797" s="165"/>
      <c r="M797" s="165"/>
      <c r="N797" s="165"/>
      <c r="O797" s="165"/>
      <c r="P797" s="165"/>
      <c r="Q797" s="134"/>
      <c r="R797" s="12"/>
      <c r="AJ797" s="12"/>
    </row>
    <row r="798" ht="15.75" customHeight="1">
      <c r="B798" s="12"/>
      <c r="C798" s="7"/>
      <c r="E798" s="165"/>
      <c r="F798" s="165"/>
      <c r="G798" s="165"/>
      <c r="H798" s="165"/>
      <c r="I798" s="165"/>
      <c r="J798" s="165"/>
      <c r="K798" s="165"/>
      <c r="L798" s="165"/>
      <c r="M798" s="165"/>
      <c r="N798" s="165"/>
      <c r="O798" s="165"/>
      <c r="P798" s="165"/>
      <c r="Q798" s="134"/>
      <c r="R798" s="12"/>
      <c r="AJ798" s="12"/>
    </row>
    <row r="799" ht="15.75" customHeight="1">
      <c r="B799" s="12"/>
      <c r="C799" s="7"/>
      <c r="E799" s="165"/>
      <c r="F799" s="165"/>
      <c r="G799" s="165"/>
      <c r="H799" s="165"/>
      <c r="I799" s="165"/>
      <c r="J799" s="165"/>
      <c r="K799" s="165"/>
      <c r="L799" s="165"/>
      <c r="M799" s="165"/>
      <c r="N799" s="165"/>
      <c r="O799" s="165"/>
      <c r="P799" s="165"/>
      <c r="Q799" s="134"/>
      <c r="R799" s="12"/>
      <c r="AJ799" s="12"/>
    </row>
    <row r="800" ht="15.75" customHeight="1">
      <c r="B800" s="12"/>
      <c r="C800" s="7"/>
      <c r="E800" s="165"/>
      <c r="F800" s="165"/>
      <c r="G800" s="165"/>
      <c r="H800" s="165"/>
      <c r="I800" s="165"/>
      <c r="J800" s="165"/>
      <c r="K800" s="165"/>
      <c r="L800" s="165"/>
      <c r="M800" s="165"/>
      <c r="N800" s="165"/>
      <c r="O800" s="165"/>
      <c r="P800" s="165"/>
      <c r="Q800" s="134"/>
      <c r="R800" s="12"/>
      <c r="AJ800" s="12"/>
    </row>
    <row r="801" ht="15.75" customHeight="1">
      <c r="B801" s="12"/>
      <c r="C801" s="7"/>
      <c r="E801" s="165"/>
      <c r="F801" s="165"/>
      <c r="G801" s="165"/>
      <c r="H801" s="165"/>
      <c r="I801" s="165"/>
      <c r="J801" s="165"/>
      <c r="K801" s="165"/>
      <c r="L801" s="165"/>
      <c r="M801" s="165"/>
      <c r="N801" s="165"/>
      <c r="O801" s="165"/>
      <c r="P801" s="165"/>
      <c r="Q801" s="134"/>
      <c r="R801" s="12"/>
      <c r="AJ801" s="12"/>
    </row>
    <row r="802" ht="15.75" customHeight="1">
      <c r="B802" s="12"/>
      <c r="C802" s="7"/>
      <c r="E802" s="165"/>
      <c r="F802" s="165"/>
      <c r="G802" s="165"/>
      <c r="H802" s="165"/>
      <c r="I802" s="165"/>
      <c r="J802" s="165"/>
      <c r="K802" s="165"/>
      <c r="L802" s="165"/>
      <c r="M802" s="165"/>
      <c r="N802" s="165"/>
      <c r="O802" s="165"/>
      <c r="P802" s="165"/>
      <c r="Q802" s="134"/>
      <c r="R802" s="12"/>
      <c r="AJ802" s="12"/>
    </row>
    <row r="803" ht="15.75" customHeight="1">
      <c r="B803" s="12"/>
      <c r="C803" s="7"/>
      <c r="E803" s="165"/>
      <c r="F803" s="165"/>
      <c r="G803" s="165"/>
      <c r="H803" s="165"/>
      <c r="I803" s="165"/>
      <c r="J803" s="165"/>
      <c r="K803" s="165"/>
      <c r="L803" s="165"/>
      <c r="M803" s="165"/>
      <c r="N803" s="165"/>
      <c r="O803" s="165"/>
      <c r="P803" s="165"/>
      <c r="Q803" s="134"/>
      <c r="R803" s="12"/>
      <c r="AJ803" s="12"/>
    </row>
    <row r="804" ht="15.75" customHeight="1">
      <c r="B804" s="12"/>
      <c r="C804" s="7"/>
      <c r="E804" s="165"/>
      <c r="F804" s="165"/>
      <c r="G804" s="165"/>
      <c r="H804" s="165"/>
      <c r="I804" s="165"/>
      <c r="J804" s="165"/>
      <c r="K804" s="165"/>
      <c r="L804" s="165"/>
      <c r="M804" s="165"/>
      <c r="N804" s="165"/>
      <c r="O804" s="165"/>
      <c r="P804" s="165"/>
      <c r="Q804" s="134"/>
      <c r="R804" s="12"/>
      <c r="AJ804" s="12"/>
    </row>
    <row r="805" ht="15.75" customHeight="1">
      <c r="B805" s="12"/>
      <c r="C805" s="7"/>
      <c r="E805" s="165"/>
      <c r="F805" s="165"/>
      <c r="G805" s="165"/>
      <c r="H805" s="165"/>
      <c r="I805" s="165"/>
      <c r="J805" s="165"/>
      <c r="K805" s="165"/>
      <c r="L805" s="165"/>
      <c r="M805" s="165"/>
      <c r="N805" s="165"/>
      <c r="O805" s="165"/>
      <c r="P805" s="165"/>
      <c r="Q805" s="134"/>
      <c r="R805" s="12"/>
      <c r="AJ805" s="12"/>
    </row>
    <row r="806" ht="15.75" customHeight="1">
      <c r="B806" s="12"/>
      <c r="C806" s="7"/>
      <c r="E806" s="165"/>
      <c r="F806" s="165"/>
      <c r="G806" s="165"/>
      <c r="H806" s="165"/>
      <c r="I806" s="165"/>
      <c r="J806" s="165"/>
      <c r="K806" s="165"/>
      <c r="L806" s="165"/>
      <c r="M806" s="165"/>
      <c r="N806" s="165"/>
      <c r="O806" s="165"/>
      <c r="P806" s="165"/>
      <c r="Q806" s="134"/>
      <c r="R806" s="12"/>
      <c r="AJ806" s="12"/>
    </row>
    <row r="807" ht="15.75" customHeight="1">
      <c r="B807" s="12"/>
      <c r="C807" s="7"/>
      <c r="E807" s="165"/>
      <c r="F807" s="165"/>
      <c r="G807" s="165"/>
      <c r="H807" s="165"/>
      <c r="I807" s="165"/>
      <c r="J807" s="165"/>
      <c r="K807" s="165"/>
      <c r="L807" s="165"/>
      <c r="M807" s="165"/>
      <c r="N807" s="165"/>
      <c r="O807" s="165"/>
      <c r="P807" s="165"/>
      <c r="Q807" s="134"/>
      <c r="R807" s="12"/>
      <c r="AJ807" s="12"/>
    </row>
    <row r="808" ht="15.75" customHeight="1">
      <c r="B808" s="12"/>
      <c r="C808" s="7"/>
      <c r="E808" s="165"/>
      <c r="F808" s="165"/>
      <c r="G808" s="165"/>
      <c r="H808" s="165"/>
      <c r="I808" s="165"/>
      <c r="J808" s="165"/>
      <c r="K808" s="165"/>
      <c r="L808" s="165"/>
      <c r="M808" s="165"/>
      <c r="N808" s="165"/>
      <c r="O808" s="165"/>
      <c r="P808" s="165"/>
      <c r="Q808" s="134"/>
      <c r="R808" s="12"/>
      <c r="AJ808" s="12"/>
    </row>
    <row r="809" ht="15.75" customHeight="1">
      <c r="B809" s="12"/>
      <c r="C809" s="7"/>
      <c r="E809" s="165"/>
      <c r="F809" s="165"/>
      <c r="G809" s="165"/>
      <c r="H809" s="165"/>
      <c r="I809" s="165"/>
      <c r="J809" s="165"/>
      <c r="K809" s="165"/>
      <c r="L809" s="165"/>
      <c r="M809" s="165"/>
      <c r="N809" s="165"/>
      <c r="O809" s="165"/>
      <c r="P809" s="165"/>
      <c r="Q809" s="134"/>
      <c r="R809" s="12"/>
      <c r="AJ809" s="12"/>
    </row>
    <row r="810" ht="15.75" customHeight="1">
      <c r="B810" s="12"/>
      <c r="C810" s="7"/>
      <c r="E810" s="165"/>
      <c r="F810" s="165"/>
      <c r="G810" s="165"/>
      <c r="H810" s="165"/>
      <c r="I810" s="165"/>
      <c r="J810" s="165"/>
      <c r="K810" s="165"/>
      <c r="L810" s="165"/>
      <c r="M810" s="165"/>
      <c r="N810" s="165"/>
      <c r="O810" s="165"/>
      <c r="P810" s="165"/>
      <c r="Q810" s="134"/>
      <c r="R810" s="12"/>
      <c r="AJ810" s="12"/>
    </row>
    <row r="811" ht="15.75" customHeight="1">
      <c r="B811" s="12"/>
      <c r="C811" s="7"/>
      <c r="E811" s="165"/>
      <c r="F811" s="165"/>
      <c r="G811" s="165"/>
      <c r="H811" s="165"/>
      <c r="I811" s="165"/>
      <c r="J811" s="165"/>
      <c r="K811" s="165"/>
      <c r="L811" s="165"/>
      <c r="M811" s="165"/>
      <c r="N811" s="165"/>
      <c r="O811" s="165"/>
      <c r="P811" s="165"/>
      <c r="Q811" s="134"/>
      <c r="R811" s="12"/>
      <c r="AJ811" s="12"/>
    </row>
    <row r="812" ht="15.75" customHeight="1">
      <c r="B812" s="12"/>
      <c r="C812" s="7"/>
      <c r="E812" s="165"/>
      <c r="F812" s="165"/>
      <c r="G812" s="165"/>
      <c r="H812" s="165"/>
      <c r="I812" s="165"/>
      <c r="J812" s="165"/>
      <c r="K812" s="165"/>
      <c r="L812" s="165"/>
      <c r="M812" s="165"/>
      <c r="N812" s="165"/>
      <c r="O812" s="165"/>
      <c r="P812" s="165"/>
      <c r="Q812" s="134"/>
      <c r="R812" s="12"/>
      <c r="AJ812" s="12"/>
    </row>
    <row r="813" ht="15.75" customHeight="1">
      <c r="B813" s="12"/>
      <c r="C813" s="7"/>
      <c r="E813" s="165"/>
      <c r="F813" s="165"/>
      <c r="G813" s="165"/>
      <c r="H813" s="165"/>
      <c r="I813" s="165"/>
      <c r="J813" s="165"/>
      <c r="K813" s="165"/>
      <c r="L813" s="165"/>
      <c r="M813" s="165"/>
      <c r="N813" s="165"/>
      <c r="O813" s="165"/>
      <c r="P813" s="165"/>
      <c r="Q813" s="134"/>
      <c r="R813" s="12"/>
      <c r="AJ813" s="12"/>
    </row>
    <row r="814" ht="15.75" customHeight="1">
      <c r="B814" s="12"/>
      <c r="C814" s="7"/>
      <c r="E814" s="165"/>
      <c r="F814" s="165"/>
      <c r="G814" s="165"/>
      <c r="H814" s="165"/>
      <c r="I814" s="165"/>
      <c r="J814" s="165"/>
      <c r="K814" s="165"/>
      <c r="L814" s="165"/>
      <c r="M814" s="165"/>
      <c r="N814" s="165"/>
      <c r="O814" s="165"/>
      <c r="P814" s="165"/>
      <c r="Q814" s="134"/>
      <c r="R814" s="12"/>
      <c r="AJ814" s="12"/>
    </row>
    <row r="815" ht="15.75" customHeight="1">
      <c r="B815" s="12"/>
      <c r="C815" s="7"/>
      <c r="E815" s="165"/>
      <c r="F815" s="165"/>
      <c r="G815" s="165"/>
      <c r="H815" s="165"/>
      <c r="I815" s="165"/>
      <c r="J815" s="165"/>
      <c r="K815" s="165"/>
      <c r="L815" s="165"/>
      <c r="M815" s="165"/>
      <c r="N815" s="165"/>
      <c r="O815" s="165"/>
      <c r="P815" s="165"/>
      <c r="Q815" s="134"/>
      <c r="R815" s="12"/>
      <c r="AJ815" s="12"/>
    </row>
    <row r="816" ht="15.75" customHeight="1">
      <c r="B816" s="12"/>
      <c r="C816" s="7"/>
      <c r="E816" s="165"/>
      <c r="F816" s="165"/>
      <c r="G816" s="165"/>
      <c r="H816" s="165"/>
      <c r="I816" s="165"/>
      <c r="J816" s="165"/>
      <c r="K816" s="165"/>
      <c r="L816" s="165"/>
      <c r="M816" s="165"/>
      <c r="N816" s="165"/>
      <c r="O816" s="165"/>
      <c r="P816" s="165"/>
      <c r="Q816" s="134"/>
      <c r="R816" s="12"/>
      <c r="AJ816" s="12"/>
    </row>
    <row r="817" ht="15.75" customHeight="1">
      <c r="B817" s="12"/>
      <c r="C817" s="7"/>
      <c r="E817" s="165"/>
      <c r="F817" s="165"/>
      <c r="G817" s="165"/>
      <c r="H817" s="165"/>
      <c r="I817" s="165"/>
      <c r="J817" s="165"/>
      <c r="K817" s="165"/>
      <c r="L817" s="165"/>
      <c r="M817" s="165"/>
      <c r="N817" s="165"/>
      <c r="O817" s="165"/>
      <c r="P817" s="165"/>
      <c r="Q817" s="134"/>
      <c r="R817" s="12"/>
      <c r="AJ817" s="12"/>
    </row>
    <row r="818" ht="15.75" customHeight="1">
      <c r="B818" s="12"/>
      <c r="C818" s="7"/>
      <c r="E818" s="165"/>
      <c r="F818" s="165"/>
      <c r="G818" s="165"/>
      <c r="H818" s="165"/>
      <c r="I818" s="165"/>
      <c r="J818" s="165"/>
      <c r="K818" s="165"/>
      <c r="L818" s="165"/>
      <c r="M818" s="165"/>
      <c r="N818" s="165"/>
      <c r="O818" s="165"/>
      <c r="P818" s="165"/>
      <c r="Q818" s="134"/>
      <c r="R818" s="12"/>
      <c r="AJ818" s="12"/>
    </row>
    <row r="819" ht="15.75" customHeight="1">
      <c r="B819" s="12"/>
      <c r="C819" s="7"/>
      <c r="E819" s="165"/>
      <c r="F819" s="165"/>
      <c r="G819" s="165"/>
      <c r="H819" s="165"/>
      <c r="I819" s="165"/>
      <c r="J819" s="165"/>
      <c r="K819" s="165"/>
      <c r="L819" s="165"/>
      <c r="M819" s="165"/>
      <c r="N819" s="165"/>
      <c r="O819" s="165"/>
      <c r="P819" s="165"/>
      <c r="Q819" s="134"/>
      <c r="R819" s="12"/>
      <c r="AJ819" s="12"/>
    </row>
    <row r="820" ht="15.75" customHeight="1">
      <c r="B820" s="12"/>
      <c r="C820" s="7"/>
      <c r="E820" s="165"/>
      <c r="F820" s="165"/>
      <c r="G820" s="165"/>
      <c r="H820" s="165"/>
      <c r="I820" s="165"/>
      <c r="J820" s="165"/>
      <c r="K820" s="165"/>
      <c r="L820" s="165"/>
      <c r="M820" s="165"/>
      <c r="N820" s="165"/>
      <c r="O820" s="165"/>
      <c r="P820" s="165"/>
      <c r="Q820" s="134"/>
      <c r="R820" s="12"/>
      <c r="AJ820" s="12"/>
    </row>
    <row r="821" ht="15.75" customHeight="1">
      <c r="B821" s="12"/>
      <c r="C821" s="7"/>
      <c r="E821" s="165"/>
      <c r="F821" s="165"/>
      <c r="G821" s="165"/>
      <c r="H821" s="165"/>
      <c r="I821" s="165"/>
      <c r="J821" s="165"/>
      <c r="K821" s="165"/>
      <c r="L821" s="165"/>
      <c r="M821" s="165"/>
      <c r="N821" s="165"/>
      <c r="O821" s="165"/>
      <c r="P821" s="165"/>
      <c r="Q821" s="134"/>
      <c r="R821" s="12"/>
      <c r="AJ821" s="12"/>
    </row>
    <row r="822" ht="15.75" customHeight="1">
      <c r="B822" s="12"/>
      <c r="C822" s="7"/>
      <c r="E822" s="165"/>
      <c r="F822" s="165"/>
      <c r="G822" s="165"/>
      <c r="H822" s="165"/>
      <c r="I822" s="165"/>
      <c r="J822" s="165"/>
      <c r="K822" s="165"/>
      <c r="L822" s="165"/>
      <c r="M822" s="165"/>
      <c r="N822" s="165"/>
      <c r="O822" s="165"/>
      <c r="P822" s="165"/>
      <c r="Q822" s="134"/>
      <c r="R822" s="12"/>
      <c r="AJ822" s="12"/>
    </row>
    <row r="823" ht="15.75" customHeight="1">
      <c r="B823" s="12"/>
      <c r="C823" s="7"/>
      <c r="E823" s="165"/>
      <c r="F823" s="165"/>
      <c r="G823" s="165"/>
      <c r="H823" s="165"/>
      <c r="I823" s="165"/>
      <c r="J823" s="165"/>
      <c r="K823" s="165"/>
      <c r="L823" s="165"/>
      <c r="M823" s="165"/>
      <c r="N823" s="165"/>
      <c r="O823" s="165"/>
      <c r="P823" s="165"/>
      <c r="Q823" s="134"/>
      <c r="R823" s="12"/>
      <c r="AJ823" s="12"/>
    </row>
    <row r="824" ht="15.75" customHeight="1">
      <c r="B824" s="12"/>
      <c r="C824" s="7"/>
      <c r="E824" s="165"/>
      <c r="F824" s="165"/>
      <c r="G824" s="165"/>
      <c r="H824" s="165"/>
      <c r="I824" s="165"/>
      <c r="J824" s="165"/>
      <c r="K824" s="165"/>
      <c r="L824" s="165"/>
      <c r="M824" s="165"/>
      <c r="N824" s="165"/>
      <c r="O824" s="165"/>
      <c r="P824" s="165"/>
      <c r="Q824" s="134"/>
      <c r="R824" s="12"/>
      <c r="AJ824" s="12"/>
    </row>
    <row r="825" ht="15.75" customHeight="1">
      <c r="B825" s="12"/>
      <c r="C825" s="7"/>
      <c r="E825" s="165"/>
      <c r="F825" s="165"/>
      <c r="G825" s="165"/>
      <c r="H825" s="165"/>
      <c r="I825" s="165"/>
      <c r="J825" s="165"/>
      <c r="K825" s="165"/>
      <c r="L825" s="165"/>
      <c r="M825" s="165"/>
      <c r="N825" s="165"/>
      <c r="O825" s="165"/>
      <c r="P825" s="165"/>
      <c r="Q825" s="134"/>
      <c r="R825" s="12"/>
      <c r="AJ825" s="12"/>
    </row>
    <row r="826" ht="15.75" customHeight="1">
      <c r="B826" s="12"/>
      <c r="C826" s="7"/>
      <c r="E826" s="165"/>
      <c r="F826" s="165"/>
      <c r="G826" s="165"/>
      <c r="H826" s="165"/>
      <c r="I826" s="165"/>
      <c r="J826" s="165"/>
      <c r="K826" s="165"/>
      <c r="L826" s="165"/>
      <c r="M826" s="165"/>
      <c r="N826" s="165"/>
      <c r="O826" s="165"/>
      <c r="P826" s="165"/>
      <c r="Q826" s="134"/>
      <c r="R826" s="12"/>
      <c r="AJ826" s="12"/>
    </row>
    <row r="827" ht="15.75" customHeight="1">
      <c r="B827" s="12"/>
      <c r="C827" s="7"/>
      <c r="E827" s="165"/>
      <c r="F827" s="165"/>
      <c r="G827" s="165"/>
      <c r="H827" s="165"/>
      <c r="I827" s="165"/>
      <c r="J827" s="165"/>
      <c r="K827" s="165"/>
      <c r="L827" s="165"/>
      <c r="M827" s="165"/>
      <c r="N827" s="165"/>
      <c r="O827" s="165"/>
      <c r="P827" s="165"/>
      <c r="Q827" s="134"/>
      <c r="R827" s="12"/>
      <c r="AJ827" s="12"/>
    </row>
    <row r="828" ht="15.75" customHeight="1">
      <c r="B828" s="12"/>
      <c r="C828" s="7"/>
      <c r="E828" s="165"/>
      <c r="F828" s="165"/>
      <c r="G828" s="165"/>
      <c r="H828" s="165"/>
      <c r="I828" s="165"/>
      <c r="J828" s="165"/>
      <c r="K828" s="165"/>
      <c r="L828" s="165"/>
      <c r="M828" s="165"/>
      <c r="N828" s="165"/>
      <c r="O828" s="165"/>
      <c r="P828" s="165"/>
      <c r="Q828" s="134"/>
      <c r="R828" s="12"/>
      <c r="AJ828" s="12"/>
    </row>
    <row r="829" ht="15.75" customHeight="1">
      <c r="B829" s="12"/>
      <c r="C829" s="7"/>
      <c r="E829" s="165"/>
      <c r="F829" s="165"/>
      <c r="G829" s="165"/>
      <c r="H829" s="165"/>
      <c r="I829" s="165"/>
      <c r="J829" s="165"/>
      <c r="K829" s="165"/>
      <c r="L829" s="165"/>
      <c r="M829" s="165"/>
      <c r="N829" s="165"/>
      <c r="O829" s="165"/>
      <c r="P829" s="165"/>
      <c r="Q829" s="134"/>
      <c r="R829" s="12"/>
      <c r="AJ829" s="12"/>
    </row>
    <row r="830" ht="15.75" customHeight="1">
      <c r="B830" s="12"/>
      <c r="C830" s="7"/>
      <c r="E830" s="165"/>
      <c r="F830" s="165"/>
      <c r="G830" s="165"/>
      <c r="H830" s="165"/>
      <c r="I830" s="165"/>
      <c r="J830" s="165"/>
      <c r="K830" s="165"/>
      <c r="L830" s="165"/>
      <c r="M830" s="165"/>
      <c r="N830" s="165"/>
      <c r="O830" s="165"/>
      <c r="P830" s="165"/>
      <c r="Q830" s="134"/>
      <c r="R830" s="12"/>
      <c r="AJ830" s="12"/>
    </row>
    <row r="831" ht="15.75" customHeight="1">
      <c r="B831" s="12"/>
      <c r="C831" s="7"/>
      <c r="E831" s="165"/>
      <c r="F831" s="165"/>
      <c r="G831" s="165"/>
      <c r="H831" s="165"/>
      <c r="I831" s="165"/>
      <c r="J831" s="165"/>
      <c r="K831" s="165"/>
      <c r="L831" s="165"/>
      <c r="M831" s="165"/>
      <c r="N831" s="165"/>
      <c r="O831" s="165"/>
      <c r="P831" s="165"/>
      <c r="Q831" s="134"/>
      <c r="R831" s="12"/>
      <c r="AJ831" s="12"/>
    </row>
    <row r="832" ht="15.75" customHeight="1">
      <c r="B832" s="12"/>
      <c r="C832" s="7"/>
      <c r="E832" s="165"/>
      <c r="F832" s="165"/>
      <c r="G832" s="165"/>
      <c r="H832" s="165"/>
      <c r="I832" s="165"/>
      <c r="J832" s="165"/>
      <c r="K832" s="165"/>
      <c r="L832" s="165"/>
      <c r="M832" s="165"/>
      <c r="N832" s="165"/>
      <c r="O832" s="165"/>
      <c r="P832" s="165"/>
      <c r="Q832" s="134"/>
      <c r="R832" s="12"/>
      <c r="AJ832" s="12"/>
    </row>
    <row r="833" ht="15.75" customHeight="1">
      <c r="B833" s="12"/>
      <c r="C833" s="7"/>
      <c r="E833" s="165"/>
      <c r="F833" s="165"/>
      <c r="G833" s="165"/>
      <c r="H833" s="165"/>
      <c r="I833" s="165"/>
      <c r="J833" s="165"/>
      <c r="K833" s="165"/>
      <c r="L833" s="165"/>
      <c r="M833" s="165"/>
      <c r="N833" s="165"/>
      <c r="O833" s="165"/>
      <c r="P833" s="165"/>
      <c r="Q833" s="134"/>
      <c r="R833" s="12"/>
      <c r="AJ833" s="12"/>
    </row>
    <row r="834" ht="15.75" customHeight="1">
      <c r="B834" s="12"/>
      <c r="C834" s="7"/>
      <c r="E834" s="165"/>
      <c r="F834" s="165"/>
      <c r="G834" s="165"/>
      <c r="H834" s="165"/>
      <c r="I834" s="165"/>
      <c r="J834" s="165"/>
      <c r="K834" s="165"/>
      <c r="L834" s="165"/>
      <c r="M834" s="165"/>
      <c r="N834" s="165"/>
      <c r="O834" s="165"/>
      <c r="P834" s="165"/>
      <c r="Q834" s="134"/>
      <c r="R834" s="12"/>
      <c r="AJ834" s="12"/>
    </row>
    <row r="835" ht="15.75" customHeight="1">
      <c r="B835" s="12"/>
      <c r="C835" s="7"/>
      <c r="E835" s="165"/>
      <c r="F835" s="165"/>
      <c r="G835" s="165"/>
      <c r="H835" s="165"/>
      <c r="I835" s="165"/>
      <c r="J835" s="165"/>
      <c r="K835" s="165"/>
      <c r="L835" s="165"/>
      <c r="M835" s="165"/>
      <c r="N835" s="165"/>
      <c r="O835" s="165"/>
      <c r="P835" s="165"/>
      <c r="Q835" s="134"/>
      <c r="R835" s="12"/>
      <c r="AJ835" s="12"/>
    </row>
    <row r="836" ht="15.75" customHeight="1">
      <c r="B836" s="12"/>
      <c r="C836" s="7"/>
      <c r="E836" s="165"/>
      <c r="F836" s="165"/>
      <c r="G836" s="165"/>
      <c r="H836" s="165"/>
      <c r="I836" s="165"/>
      <c r="J836" s="165"/>
      <c r="K836" s="165"/>
      <c r="L836" s="165"/>
      <c r="M836" s="165"/>
      <c r="N836" s="165"/>
      <c r="O836" s="165"/>
      <c r="P836" s="165"/>
      <c r="Q836" s="134"/>
      <c r="R836" s="12"/>
      <c r="AJ836" s="12"/>
    </row>
    <row r="837" ht="15.75" customHeight="1">
      <c r="B837" s="12"/>
      <c r="C837" s="7"/>
      <c r="E837" s="165"/>
      <c r="F837" s="165"/>
      <c r="G837" s="165"/>
      <c r="H837" s="165"/>
      <c r="I837" s="165"/>
      <c r="J837" s="165"/>
      <c r="K837" s="165"/>
      <c r="L837" s="165"/>
      <c r="M837" s="165"/>
      <c r="N837" s="165"/>
      <c r="O837" s="165"/>
      <c r="P837" s="165"/>
      <c r="Q837" s="134"/>
      <c r="R837" s="12"/>
      <c r="AJ837" s="12"/>
    </row>
    <row r="838" ht="15.75" customHeight="1">
      <c r="B838" s="12"/>
      <c r="C838" s="7"/>
      <c r="E838" s="165"/>
      <c r="F838" s="165"/>
      <c r="G838" s="165"/>
      <c r="H838" s="165"/>
      <c r="I838" s="165"/>
      <c r="J838" s="165"/>
      <c r="K838" s="165"/>
      <c r="L838" s="165"/>
      <c r="M838" s="165"/>
      <c r="N838" s="165"/>
      <c r="O838" s="165"/>
      <c r="P838" s="165"/>
      <c r="Q838" s="134"/>
      <c r="R838" s="12"/>
      <c r="AJ838" s="12"/>
    </row>
    <row r="839" ht="15.75" customHeight="1">
      <c r="B839" s="12"/>
      <c r="C839" s="7"/>
      <c r="E839" s="165"/>
      <c r="F839" s="165"/>
      <c r="G839" s="165"/>
      <c r="H839" s="165"/>
      <c r="I839" s="165"/>
      <c r="J839" s="165"/>
      <c r="K839" s="165"/>
      <c r="L839" s="165"/>
      <c r="M839" s="165"/>
      <c r="N839" s="165"/>
      <c r="O839" s="165"/>
      <c r="P839" s="165"/>
      <c r="Q839" s="134"/>
      <c r="R839" s="12"/>
      <c r="AJ839" s="12"/>
    </row>
    <row r="840" ht="15.75" customHeight="1">
      <c r="B840" s="12"/>
      <c r="C840" s="7"/>
      <c r="E840" s="165"/>
      <c r="F840" s="165"/>
      <c r="G840" s="165"/>
      <c r="H840" s="165"/>
      <c r="I840" s="165"/>
      <c r="J840" s="165"/>
      <c r="K840" s="165"/>
      <c r="L840" s="165"/>
      <c r="M840" s="165"/>
      <c r="N840" s="165"/>
      <c r="O840" s="165"/>
      <c r="P840" s="165"/>
      <c r="Q840" s="134"/>
      <c r="R840" s="12"/>
      <c r="AJ840" s="12"/>
    </row>
    <row r="841" ht="15.75" customHeight="1">
      <c r="B841" s="12"/>
      <c r="C841" s="7"/>
      <c r="E841" s="165"/>
      <c r="F841" s="165"/>
      <c r="G841" s="165"/>
      <c r="H841" s="165"/>
      <c r="I841" s="165"/>
      <c r="J841" s="165"/>
      <c r="K841" s="165"/>
      <c r="L841" s="165"/>
      <c r="M841" s="165"/>
      <c r="N841" s="165"/>
      <c r="O841" s="165"/>
      <c r="P841" s="165"/>
      <c r="Q841" s="134"/>
      <c r="R841" s="12"/>
      <c r="AJ841" s="12"/>
    </row>
    <row r="842" ht="15.75" customHeight="1">
      <c r="B842" s="12"/>
      <c r="C842" s="7"/>
      <c r="E842" s="165"/>
      <c r="F842" s="165"/>
      <c r="G842" s="165"/>
      <c r="H842" s="165"/>
      <c r="I842" s="165"/>
      <c r="J842" s="165"/>
      <c r="K842" s="165"/>
      <c r="L842" s="165"/>
      <c r="M842" s="165"/>
      <c r="N842" s="165"/>
      <c r="O842" s="165"/>
      <c r="P842" s="165"/>
      <c r="Q842" s="134"/>
      <c r="R842" s="12"/>
      <c r="AJ842" s="12"/>
    </row>
    <row r="843" ht="15.75" customHeight="1">
      <c r="B843" s="12"/>
      <c r="C843" s="7"/>
      <c r="E843" s="165"/>
      <c r="F843" s="165"/>
      <c r="G843" s="165"/>
      <c r="H843" s="165"/>
      <c r="I843" s="165"/>
      <c r="J843" s="165"/>
      <c r="K843" s="165"/>
      <c r="L843" s="165"/>
      <c r="M843" s="165"/>
      <c r="N843" s="165"/>
      <c r="O843" s="165"/>
      <c r="P843" s="165"/>
      <c r="Q843" s="134"/>
      <c r="R843" s="12"/>
      <c r="AJ843" s="12"/>
    </row>
    <row r="844" ht="15.75" customHeight="1">
      <c r="B844" s="12"/>
      <c r="C844" s="7"/>
      <c r="E844" s="165"/>
      <c r="F844" s="165"/>
      <c r="G844" s="165"/>
      <c r="H844" s="165"/>
      <c r="I844" s="165"/>
      <c r="J844" s="165"/>
      <c r="K844" s="165"/>
      <c r="L844" s="165"/>
      <c r="M844" s="165"/>
      <c r="N844" s="165"/>
      <c r="O844" s="165"/>
      <c r="P844" s="165"/>
      <c r="Q844" s="134"/>
      <c r="R844" s="12"/>
      <c r="AJ844" s="12"/>
    </row>
    <row r="845" ht="15.75" customHeight="1">
      <c r="B845" s="12"/>
      <c r="C845" s="7"/>
      <c r="E845" s="165"/>
      <c r="F845" s="165"/>
      <c r="G845" s="165"/>
      <c r="H845" s="165"/>
      <c r="I845" s="165"/>
      <c r="J845" s="165"/>
      <c r="K845" s="165"/>
      <c r="L845" s="165"/>
      <c r="M845" s="165"/>
      <c r="N845" s="165"/>
      <c r="O845" s="165"/>
      <c r="P845" s="165"/>
      <c r="Q845" s="134"/>
      <c r="R845" s="12"/>
      <c r="AJ845" s="12"/>
    </row>
    <row r="846" ht="15.75" customHeight="1">
      <c r="B846" s="12"/>
      <c r="C846" s="7"/>
      <c r="E846" s="165"/>
      <c r="F846" s="165"/>
      <c r="G846" s="165"/>
      <c r="H846" s="165"/>
      <c r="I846" s="165"/>
      <c r="J846" s="165"/>
      <c r="K846" s="165"/>
      <c r="L846" s="165"/>
      <c r="M846" s="165"/>
      <c r="N846" s="165"/>
      <c r="O846" s="165"/>
      <c r="P846" s="165"/>
      <c r="Q846" s="134"/>
      <c r="R846" s="12"/>
      <c r="AJ846" s="12"/>
    </row>
    <row r="847" ht="15.75" customHeight="1">
      <c r="B847" s="12"/>
      <c r="C847" s="7"/>
      <c r="E847" s="165"/>
      <c r="F847" s="165"/>
      <c r="G847" s="165"/>
      <c r="H847" s="165"/>
      <c r="I847" s="165"/>
      <c r="J847" s="165"/>
      <c r="K847" s="165"/>
      <c r="L847" s="165"/>
      <c r="M847" s="165"/>
      <c r="N847" s="165"/>
      <c r="O847" s="165"/>
      <c r="P847" s="165"/>
      <c r="Q847" s="134"/>
      <c r="R847" s="12"/>
      <c r="AJ847" s="12"/>
    </row>
    <row r="848" ht="15.75" customHeight="1">
      <c r="B848" s="12"/>
      <c r="C848" s="7"/>
      <c r="E848" s="165"/>
      <c r="F848" s="165"/>
      <c r="G848" s="165"/>
      <c r="H848" s="165"/>
      <c r="I848" s="165"/>
      <c r="J848" s="165"/>
      <c r="K848" s="165"/>
      <c r="L848" s="165"/>
      <c r="M848" s="165"/>
      <c r="N848" s="165"/>
      <c r="O848" s="165"/>
      <c r="P848" s="165"/>
      <c r="Q848" s="134"/>
      <c r="R848" s="12"/>
      <c r="AJ848" s="12"/>
    </row>
    <row r="849" ht="15.75" customHeight="1">
      <c r="B849" s="12"/>
      <c r="C849" s="7"/>
      <c r="E849" s="165"/>
      <c r="F849" s="165"/>
      <c r="G849" s="165"/>
      <c r="H849" s="165"/>
      <c r="I849" s="165"/>
      <c r="J849" s="165"/>
      <c r="K849" s="165"/>
      <c r="L849" s="165"/>
      <c r="M849" s="165"/>
      <c r="N849" s="165"/>
      <c r="O849" s="165"/>
      <c r="P849" s="165"/>
      <c r="Q849" s="134"/>
      <c r="R849" s="12"/>
      <c r="AJ849" s="12"/>
    </row>
    <row r="850" ht="15.75" customHeight="1">
      <c r="B850" s="12"/>
      <c r="C850" s="7"/>
      <c r="E850" s="165"/>
      <c r="F850" s="165"/>
      <c r="G850" s="165"/>
      <c r="H850" s="165"/>
      <c r="I850" s="165"/>
      <c r="J850" s="165"/>
      <c r="K850" s="165"/>
      <c r="L850" s="165"/>
      <c r="M850" s="165"/>
      <c r="N850" s="165"/>
      <c r="O850" s="165"/>
      <c r="P850" s="165"/>
      <c r="Q850" s="134"/>
      <c r="R850" s="12"/>
      <c r="AJ850" s="12"/>
    </row>
    <row r="851" ht="15.75" customHeight="1">
      <c r="B851" s="12"/>
      <c r="C851" s="7"/>
      <c r="E851" s="165"/>
      <c r="F851" s="165"/>
      <c r="G851" s="165"/>
      <c r="H851" s="165"/>
      <c r="I851" s="165"/>
      <c r="J851" s="165"/>
      <c r="K851" s="165"/>
      <c r="L851" s="165"/>
      <c r="M851" s="165"/>
      <c r="N851" s="165"/>
      <c r="O851" s="165"/>
      <c r="P851" s="165"/>
      <c r="Q851" s="134"/>
      <c r="R851" s="12"/>
      <c r="AJ851" s="12"/>
    </row>
    <row r="852" ht="15.75" customHeight="1">
      <c r="B852" s="12"/>
      <c r="C852" s="7"/>
      <c r="E852" s="165"/>
      <c r="F852" s="165"/>
      <c r="G852" s="165"/>
      <c r="H852" s="165"/>
      <c r="I852" s="165"/>
      <c r="J852" s="165"/>
      <c r="K852" s="165"/>
      <c r="L852" s="165"/>
      <c r="M852" s="165"/>
      <c r="N852" s="165"/>
      <c r="O852" s="165"/>
      <c r="P852" s="165"/>
      <c r="Q852" s="134"/>
      <c r="R852" s="12"/>
      <c r="AJ852" s="12"/>
    </row>
    <row r="853" ht="15.75" customHeight="1">
      <c r="B853" s="12"/>
      <c r="C853" s="7"/>
      <c r="E853" s="165"/>
      <c r="F853" s="165"/>
      <c r="G853" s="165"/>
      <c r="H853" s="165"/>
      <c r="I853" s="165"/>
      <c r="J853" s="165"/>
      <c r="K853" s="165"/>
      <c r="L853" s="165"/>
      <c r="M853" s="165"/>
      <c r="N853" s="165"/>
      <c r="O853" s="165"/>
      <c r="P853" s="165"/>
      <c r="Q853" s="134"/>
      <c r="R853" s="12"/>
      <c r="AJ853" s="12"/>
    </row>
    <row r="854" ht="15.75" customHeight="1">
      <c r="B854" s="12"/>
      <c r="C854" s="7"/>
      <c r="E854" s="165"/>
      <c r="F854" s="165"/>
      <c r="G854" s="165"/>
      <c r="H854" s="165"/>
      <c r="I854" s="165"/>
      <c r="J854" s="165"/>
      <c r="K854" s="165"/>
      <c r="L854" s="165"/>
      <c r="M854" s="165"/>
      <c r="N854" s="165"/>
      <c r="O854" s="165"/>
      <c r="P854" s="165"/>
      <c r="Q854" s="134"/>
      <c r="R854" s="12"/>
      <c r="AJ854" s="12"/>
    </row>
    <row r="855" ht="15.75" customHeight="1">
      <c r="B855" s="12"/>
      <c r="C855" s="7"/>
      <c r="E855" s="165"/>
      <c r="F855" s="165"/>
      <c r="G855" s="165"/>
      <c r="H855" s="165"/>
      <c r="I855" s="165"/>
      <c r="J855" s="165"/>
      <c r="K855" s="165"/>
      <c r="L855" s="165"/>
      <c r="M855" s="165"/>
      <c r="N855" s="165"/>
      <c r="O855" s="165"/>
      <c r="P855" s="165"/>
      <c r="Q855" s="134"/>
      <c r="R855" s="12"/>
      <c r="AJ855" s="12"/>
    </row>
    <row r="856" ht="15.75" customHeight="1">
      <c r="B856" s="12"/>
      <c r="C856" s="7"/>
      <c r="E856" s="165"/>
      <c r="F856" s="165"/>
      <c r="G856" s="165"/>
      <c r="H856" s="165"/>
      <c r="I856" s="165"/>
      <c r="J856" s="165"/>
      <c r="K856" s="165"/>
      <c r="L856" s="165"/>
      <c r="M856" s="165"/>
      <c r="N856" s="165"/>
      <c r="O856" s="165"/>
      <c r="P856" s="165"/>
      <c r="Q856" s="134"/>
      <c r="R856" s="12"/>
      <c r="AJ856" s="12"/>
    </row>
    <row r="857" ht="15.75" customHeight="1">
      <c r="B857" s="12"/>
      <c r="C857" s="7"/>
      <c r="E857" s="165"/>
      <c r="F857" s="165"/>
      <c r="G857" s="165"/>
      <c r="H857" s="165"/>
      <c r="I857" s="165"/>
      <c r="J857" s="165"/>
      <c r="K857" s="165"/>
      <c r="L857" s="165"/>
      <c r="M857" s="165"/>
      <c r="N857" s="165"/>
      <c r="O857" s="165"/>
      <c r="P857" s="165"/>
      <c r="Q857" s="134"/>
      <c r="R857" s="12"/>
      <c r="AJ857" s="12"/>
    </row>
    <row r="858" ht="15.75" customHeight="1">
      <c r="B858" s="12"/>
      <c r="C858" s="7"/>
      <c r="E858" s="165"/>
      <c r="F858" s="165"/>
      <c r="G858" s="165"/>
      <c r="H858" s="165"/>
      <c r="I858" s="165"/>
      <c r="J858" s="165"/>
      <c r="K858" s="165"/>
      <c r="L858" s="165"/>
      <c r="M858" s="165"/>
      <c r="N858" s="165"/>
      <c r="O858" s="165"/>
      <c r="P858" s="165"/>
      <c r="Q858" s="134"/>
      <c r="R858" s="12"/>
      <c r="AJ858" s="12"/>
    </row>
    <row r="859" ht="15.75" customHeight="1">
      <c r="B859" s="12"/>
      <c r="C859" s="7"/>
      <c r="E859" s="165"/>
      <c r="F859" s="165"/>
      <c r="G859" s="165"/>
      <c r="H859" s="165"/>
      <c r="I859" s="165"/>
      <c r="J859" s="165"/>
      <c r="K859" s="165"/>
      <c r="L859" s="165"/>
      <c r="M859" s="165"/>
      <c r="N859" s="165"/>
      <c r="O859" s="165"/>
      <c r="P859" s="165"/>
      <c r="Q859" s="134"/>
      <c r="R859" s="12"/>
      <c r="AJ859" s="12"/>
    </row>
    <row r="860" ht="15.75" customHeight="1">
      <c r="B860" s="12"/>
      <c r="C860" s="7"/>
      <c r="E860" s="165"/>
      <c r="F860" s="165"/>
      <c r="G860" s="165"/>
      <c r="H860" s="165"/>
      <c r="I860" s="165"/>
      <c r="J860" s="165"/>
      <c r="K860" s="165"/>
      <c r="L860" s="165"/>
      <c r="M860" s="165"/>
      <c r="N860" s="165"/>
      <c r="O860" s="165"/>
      <c r="P860" s="165"/>
      <c r="Q860" s="134"/>
      <c r="R860" s="12"/>
      <c r="AJ860" s="12"/>
    </row>
    <row r="861" ht="15.75" customHeight="1">
      <c r="B861" s="12"/>
      <c r="C861" s="7"/>
      <c r="E861" s="165"/>
      <c r="F861" s="165"/>
      <c r="G861" s="165"/>
      <c r="H861" s="165"/>
      <c r="I861" s="165"/>
      <c r="J861" s="165"/>
      <c r="K861" s="165"/>
      <c r="L861" s="165"/>
      <c r="M861" s="165"/>
      <c r="N861" s="165"/>
      <c r="O861" s="165"/>
      <c r="P861" s="165"/>
      <c r="Q861" s="134"/>
      <c r="R861" s="12"/>
      <c r="AJ861" s="12"/>
    </row>
    <row r="862" ht="15.75" customHeight="1">
      <c r="B862" s="12"/>
      <c r="C862" s="7"/>
      <c r="E862" s="165"/>
      <c r="F862" s="165"/>
      <c r="G862" s="165"/>
      <c r="H862" s="165"/>
      <c r="I862" s="165"/>
      <c r="J862" s="165"/>
      <c r="K862" s="165"/>
      <c r="L862" s="165"/>
      <c r="M862" s="165"/>
      <c r="N862" s="165"/>
      <c r="O862" s="165"/>
      <c r="P862" s="165"/>
      <c r="Q862" s="134"/>
      <c r="R862" s="12"/>
      <c r="AJ862" s="12"/>
    </row>
    <row r="863" ht="15.75" customHeight="1">
      <c r="B863" s="12"/>
      <c r="C863" s="7"/>
      <c r="E863" s="165"/>
      <c r="F863" s="165"/>
      <c r="G863" s="165"/>
      <c r="H863" s="165"/>
      <c r="I863" s="165"/>
      <c r="J863" s="165"/>
      <c r="K863" s="165"/>
      <c r="L863" s="165"/>
      <c r="M863" s="165"/>
      <c r="N863" s="165"/>
      <c r="O863" s="165"/>
      <c r="P863" s="165"/>
      <c r="Q863" s="134"/>
      <c r="R863" s="12"/>
      <c r="AJ863" s="12"/>
    </row>
    <row r="864" ht="15.75" customHeight="1">
      <c r="B864" s="12"/>
      <c r="C864" s="7"/>
      <c r="E864" s="165"/>
      <c r="F864" s="165"/>
      <c r="G864" s="165"/>
      <c r="H864" s="165"/>
      <c r="I864" s="165"/>
      <c r="J864" s="165"/>
      <c r="K864" s="165"/>
      <c r="L864" s="165"/>
      <c r="M864" s="165"/>
      <c r="N864" s="165"/>
      <c r="O864" s="165"/>
      <c r="P864" s="165"/>
      <c r="Q864" s="134"/>
      <c r="R864" s="12"/>
      <c r="AJ864" s="12"/>
    </row>
    <row r="865" ht="15.75" customHeight="1">
      <c r="B865" s="12"/>
      <c r="C865" s="7"/>
      <c r="E865" s="165"/>
      <c r="F865" s="165"/>
      <c r="G865" s="165"/>
      <c r="H865" s="165"/>
      <c r="I865" s="165"/>
      <c r="J865" s="165"/>
      <c r="K865" s="165"/>
      <c r="L865" s="165"/>
      <c r="M865" s="165"/>
      <c r="N865" s="165"/>
      <c r="O865" s="165"/>
      <c r="P865" s="165"/>
      <c r="Q865" s="134"/>
      <c r="R865" s="12"/>
      <c r="AJ865" s="12"/>
    </row>
    <row r="866" ht="15.75" customHeight="1">
      <c r="B866" s="12"/>
      <c r="C866" s="7"/>
      <c r="E866" s="165"/>
      <c r="F866" s="165"/>
      <c r="G866" s="165"/>
      <c r="H866" s="165"/>
      <c r="I866" s="165"/>
      <c r="J866" s="165"/>
      <c r="K866" s="165"/>
      <c r="L866" s="165"/>
      <c r="M866" s="165"/>
      <c r="N866" s="165"/>
      <c r="O866" s="165"/>
      <c r="P866" s="165"/>
      <c r="Q866" s="134"/>
      <c r="R866" s="12"/>
      <c r="AJ866" s="12"/>
    </row>
    <row r="867" ht="15.75" customHeight="1">
      <c r="B867" s="12"/>
      <c r="C867" s="7"/>
      <c r="E867" s="165"/>
      <c r="F867" s="165"/>
      <c r="G867" s="165"/>
      <c r="H867" s="165"/>
      <c r="I867" s="165"/>
      <c r="J867" s="165"/>
      <c r="K867" s="165"/>
      <c r="L867" s="165"/>
      <c r="M867" s="165"/>
      <c r="N867" s="165"/>
      <c r="O867" s="165"/>
      <c r="P867" s="165"/>
      <c r="Q867" s="134"/>
      <c r="R867" s="12"/>
      <c r="AJ867" s="12"/>
    </row>
    <row r="868" ht="15.75" customHeight="1">
      <c r="B868" s="12"/>
      <c r="C868" s="7"/>
      <c r="E868" s="165"/>
      <c r="F868" s="165"/>
      <c r="G868" s="165"/>
      <c r="H868" s="165"/>
      <c r="I868" s="165"/>
      <c r="J868" s="165"/>
      <c r="K868" s="165"/>
      <c r="L868" s="165"/>
      <c r="M868" s="165"/>
      <c r="N868" s="165"/>
      <c r="O868" s="165"/>
      <c r="P868" s="165"/>
      <c r="Q868" s="134"/>
      <c r="R868" s="12"/>
      <c r="AJ868" s="12"/>
    </row>
    <row r="869" ht="15.75" customHeight="1">
      <c r="B869" s="12"/>
      <c r="C869" s="7"/>
      <c r="E869" s="165"/>
      <c r="F869" s="165"/>
      <c r="G869" s="165"/>
      <c r="H869" s="165"/>
      <c r="I869" s="165"/>
      <c r="J869" s="165"/>
      <c r="K869" s="165"/>
      <c r="L869" s="165"/>
      <c r="M869" s="165"/>
      <c r="N869" s="165"/>
      <c r="O869" s="165"/>
      <c r="P869" s="165"/>
      <c r="Q869" s="134"/>
      <c r="R869" s="12"/>
      <c r="AJ869" s="12"/>
    </row>
    <row r="870" ht="15.75" customHeight="1">
      <c r="B870" s="12"/>
      <c r="C870" s="7"/>
      <c r="E870" s="165"/>
      <c r="F870" s="165"/>
      <c r="G870" s="165"/>
      <c r="H870" s="165"/>
      <c r="I870" s="165"/>
      <c r="J870" s="165"/>
      <c r="K870" s="165"/>
      <c r="L870" s="165"/>
      <c r="M870" s="165"/>
      <c r="N870" s="165"/>
      <c r="O870" s="165"/>
      <c r="P870" s="165"/>
      <c r="Q870" s="134"/>
      <c r="R870" s="12"/>
      <c r="AJ870" s="12"/>
    </row>
    <row r="871" ht="15.75" customHeight="1">
      <c r="B871" s="12"/>
      <c r="C871" s="7"/>
      <c r="E871" s="165"/>
      <c r="F871" s="165"/>
      <c r="G871" s="165"/>
      <c r="H871" s="165"/>
      <c r="I871" s="165"/>
      <c r="J871" s="165"/>
      <c r="K871" s="165"/>
      <c r="L871" s="165"/>
      <c r="M871" s="165"/>
      <c r="N871" s="165"/>
      <c r="O871" s="165"/>
      <c r="P871" s="165"/>
      <c r="Q871" s="134"/>
      <c r="R871" s="12"/>
      <c r="AJ871" s="12"/>
    </row>
    <row r="872" ht="15.75" customHeight="1">
      <c r="B872" s="12"/>
      <c r="C872" s="7"/>
      <c r="E872" s="165"/>
      <c r="F872" s="165"/>
      <c r="G872" s="165"/>
      <c r="H872" s="165"/>
      <c r="I872" s="165"/>
      <c r="J872" s="165"/>
      <c r="K872" s="165"/>
      <c r="L872" s="165"/>
      <c r="M872" s="165"/>
      <c r="N872" s="165"/>
      <c r="O872" s="165"/>
      <c r="P872" s="165"/>
      <c r="Q872" s="134"/>
      <c r="R872" s="12"/>
      <c r="AJ872" s="12"/>
    </row>
    <row r="873" ht="15.75" customHeight="1">
      <c r="B873" s="12"/>
      <c r="C873" s="7"/>
      <c r="E873" s="165"/>
      <c r="F873" s="165"/>
      <c r="G873" s="165"/>
      <c r="H873" s="165"/>
      <c r="I873" s="165"/>
      <c r="J873" s="165"/>
      <c r="K873" s="165"/>
      <c r="L873" s="165"/>
      <c r="M873" s="165"/>
      <c r="N873" s="165"/>
      <c r="O873" s="165"/>
      <c r="P873" s="165"/>
      <c r="Q873" s="134"/>
      <c r="R873" s="12"/>
      <c r="AJ873" s="12"/>
    </row>
    <row r="874" ht="15.75" customHeight="1">
      <c r="B874" s="12"/>
      <c r="C874" s="7"/>
      <c r="E874" s="165"/>
      <c r="F874" s="165"/>
      <c r="G874" s="165"/>
      <c r="H874" s="165"/>
      <c r="I874" s="165"/>
      <c r="J874" s="165"/>
      <c r="K874" s="165"/>
      <c r="L874" s="165"/>
      <c r="M874" s="165"/>
      <c r="N874" s="165"/>
      <c r="O874" s="165"/>
      <c r="P874" s="165"/>
      <c r="Q874" s="134"/>
      <c r="R874" s="12"/>
      <c r="AJ874" s="12"/>
    </row>
    <row r="875" ht="15.75" customHeight="1">
      <c r="B875" s="12"/>
      <c r="C875" s="7"/>
      <c r="E875" s="165"/>
      <c r="F875" s="165"/>
      <c r="G875" s="165"/>
      <c r="H875" s="165"/>
      <c r="I875" s="165"/>
      <c r="J875" s="165"/>
      <c r="K875" s="165"/>
      <c r="L875" s="165"/>
      <c r="M875" s="165"/>
      <c r="N875" s="165"/>
      <c r="O875" s="165"/>
      <c r="P875" s="165"/>
      <c r="Q875" s="134"/>
      <c r="R875" s="12"/>
      <c r="AJ875" s="12"/>
    </row>
    <row r="876" ht="15.75" customHeight="1">
      <c r="B876" s="12"/>
      <c r="C876" s="7"/>
      <c r="E876" s="165"/>
      <c r="F876" s="165"/>
      <c r="G876" s="165"/>
      <c r="H876" s="165"/>
      <c r="I876" s="165"/>
      <c r="J876" s="165"/>
      <c r="K876" s="165"/>
      <c r="L876" s="165"/>
      <c r="M876" s="165"/>
      <c r="N876" s="165"/>
      <c r="O876" s="165"/>
      <c r="P876" s="165"/>
      <c r="Q876" s="134"/>
      <c r="R876" s="12"/>
      <c r="AJ876" s="12"/>
    </row>
    <row r="877" ht="15.75" customHeight="1">
      <c r="B877" s="12"/>
      <c r="C877" s="7"/>
      <c r="E877" s="165"/>
      <c r="F877" s="165"/>
      <c r="G877" s="165"/>
      <c r="H877" s="165"/>
      <c r="I877" s="165"/>
      <c r="J877" s="165"/>
      <c r="K877" s="165"/>
      <c r="L877" s="165"/>
      <c r="M877" s="165"/>
      <c r="N877" s="165"/>
      <c r="O877" s="165"/>
      <c r="P877" s="165"/>
      <c r="Q877" s="134"/>
      <c r="R877" s="12"/>
      <c r="AJ877" s="12"/>
    </row>
    <row r="878" ht="15.75" customHeight="1">
      <c r="B878" s="12"/>
      <c r="C878" s="7"/>
      <c r="E878" s="165"/>
      <c r="F878" s="165"/>
      <c r="G878" s="165"/>
      <c r="H878" s="165"/>
      <c r="I878" s="165"/>
      <c r="J878" s="165"/>
      <c r="K878" s="165"/>
      <c r="L878" s="165"/>
      <c r="M878" s="165"/>
      <c r="N878" s="165"/>
      <c r="O878" s="165"/>
      <c r="P878" s="165"/>
      <c r="Q878" s="134"/>
      <c r="R878" s="12"/>
      <c r="AJ878" s="12"/>
    </row>
    <row r="879" ht="15.75" customHeight="1">
      <c r="B879" s="12"/>
      <c r="C879" s="7"/>
      <c r="E879" s="165"/>
      <c r="F879" s="165"/>
      <c r="G879" s="165"/>
      <c r="H879" s="165"/>
      <c r="I879" s="165"/>
      <c r="J879" s="165"/>
      <c r="K879" s="165"/>
      <c r="L879" s="165"/>
      <c r="M879" s="165"/>
      <c r="N879" s="165"/>
      <c r="O879" s="165"/>
      <c r="P879" s="165"/>
      <c r="Q879" s="134"/>
      <c r="R879" s="12"/>
      <c r="AJ879" s="12"/>
    </row>
    <row r="880" ht="15.75" customHeight="1">
      <c r="B880" s="12"/>
      <c r="C880" s="7"/>
      <c r="E880" s="165"/>
      <c r="F880" s="165"/>
      <c r="G880" s="165"/>
      <c r="H880" s="165"/>
      <c r="I880" s="165"/>
      <c r="J880" s="165"/>
      <c r="K880" s="165"/>
      <c r="L880" s="165"/>
      <c r="M880" s="165"/>
      <c r="N880" s="165"/>
      <c r="O880" s="165"/>
      <c r="P880" s="165"/>
      <c r="Q880" s="134"/>
      <c r="R880" s="12"/>
      <c r="AJ880" s="12"/>
    </row>
    <row r="881" ht="15.75" customHeight="1">
      <c r="B881" s="12"/>
      <c r="C881" s="7"/>
      <c r="E881" s="165"/>
      <c r="F881" s="165"/>
      <c r="G881" s="165"/>
      <c r="H881" s="165"/>
      <c r="I881" s="165"/>
      <c r="J881" s="165"/>
      <c r="K881" s="165"/>
      <c r="L881" s="165"/>
      <c r="M881" s="165"/>
      <c r="N881" s="165"/>
      <c r="O881" s="165"/>
      <c r="P881" s="165"/>
      <c r="Q881" s="134"/>
      <c r="R881" s="12"/>
      <c r="AJ881" s="12"/>
    </row>
    <row r="882" ht="15.75" customHeight="1">
      <c r="B882" s="12"/>
      <c r="C882" s="7"/>
      <c r="E882" s="165"/>
      <c r="F882" s="165"/>
      <c r="G882" s="165"/>
      <c r="H882" s="165"/>
      <c r="I882" s="165"/>
      <c r="J882" s="165"/>
      <c r="K882" s="165"/>
      <c r="L882" s="165"/>
      <c r="M882" s="165"/>
      <c r="N882" s="165"/>
      <c r="O882" s="165"/>
      <c r="P882" s="165"/>
      <c r="Q882" s="134"/>
      <c r="R882" s="12"/>
      <c r="AJ882" s="12"/>
    </row>
    <row r="883" ht="15.75" customHeight="1">
      <c r="B883" s="12"/>
      <c r="C883" s="7"/>
      <c r="E883" s="165"/>
      <c r="F883" s="165"/>
      <c r="G883" s="165"/>
      <c r="H883" s="165"/>
      <c r="I883" s="165"/>
      <c r="J883" s="165"/>
      <c r="K883" s="165"/>
      <c r="L883" s="165"/>
      <c r="M883" s="165"/>
      <c r="N883" s="165"/>
      <c r="O883" s="165"/>
      <c r="P883" s="165"/>
      <c r="Q883" s="134"/>
      <c r="R883" s="12"/>
      <c r="AJ883" s="12"/>
    </row>
    <row r="884" ht="15.75" customHeight="1">
      <c r="B884" s="12"/>
      <c r="C884" s="7"/>
      <c r="E884" s="165"/>
      <c r="F884" s="165"/>
      <c r="G884" s="165"/>
      <c r="H884" s="165"/>
      <c r="I884" s="165"/>
      <c r="J884" s="165"/>
      <c r="K884" s="165"/>
      <c r="L884" s="165"/>
      <c r="M884" s="165"/>
      <c r="N884" s="165"/>
      <c r="O884" s="165"/>
      <c r="P884" s="165"/>
      <c r="Q884" s="134"/>
      <c r="R884" s="12"/>
      <c r="AJ884" s="12"/>
    </row>
    <row r="885" ht="15.75" customHeight="1">
      <c r="B885" s="12"/>
      <c r="C885" s="7"/>
      <c r="E885" s="165"/>
      <c r="F885" s="165"/>
      <c r="G885" s="165"/>
      <c r="H885" s="165"/>
      <c r="I885" s="165"/>
      <c r="J885" s="165"/>
      <c r="K885" s="165"/>
      <c r="L885" s="165"/>
      <c r="M885" s="165"/>
      <c r="N885" s="165"/>
      <c r="O885" s="165"/>
      <c r="P885" s="165"/>
      <c r="Q885" s="134"/>
      <c r="R885" s="12"/>
      <c r="AJ885" s="12"/>
    </row>
    <row r="886" ht="15.75" customHeight="1">
      <c r="B886" s="12"/>
      <c r="C886" s="7"/>
      <c r="E886" s="165"/>
      <c r="F886" s="165"/>
      <c r="G886" s="165"/>
      <c r="H886" s="165"/>
      <c r="I886" s="165"/>
      <c r="J886" s="165"/>
      <c r="K886" s="165"/>
      <c r="L886" s="165"/>
      <c r="M886" s="165"/>
      <c r="N886" s="165"/>
      <c r="O886" s="165"/>
      <c r="P886" s="165"/>
      <c r="Q886" s="134"/>
      <c r="R886" s="12"/>
      <c r="AJ886" s="12"/>
    </row>
    <row r="887" ht="15.75" customHeight="1">
      <c r="B887" s="12"/>
      <c r="C887" s="7"/>
      <c r="E887" s="165"/>
      <c r="F887" s="165"/>
      <c r="G887" s="165"/>
      <c r="H887" s="165"/>
      <c r="I887" s="165"/>
      <c r="J887" s="165"/>
      <c r="K887" s="165"/>
      <c r="L887" s="165"/>
      <c r="M887" s="165"/>
      <c r="N887" s="165"/>
      <c r="O887" s="165"/>
      <c r="P887" s="165"/>
      <c r="Q887" s="134"/>
      <c r="R887" s="12"/>
      <c r="AJ887" s="12"/>
    </row>
    <row r="888" ht="15.75" customHeight="1">
      <c r="B888" s="12"/>
      <c r="C888" s="7"/>
      <c r="E888" s="165"/>
      <c r="F888" s="165"/>
      <c r="G888" s="165"/>
      <c r="H888" s="165"/>
      <c r="I888" s="165"/>
      <c r="J888" s="165"/>
      <c r="K888" s="165"/>
      <c r="L888" s="165"/>
      <c r="M888" s="165"/>
      <c r="N888" s="165"/>
      <c r="O888" s="165"/>
      <c r="P888" s="165"/>
      <c r="Q888" s="134"/>
      <c r="R888" s="12"/>
      <c r="AJ888" s="12"/>
    </row>
    <row r="889" ht="15.75" customHeight="1">
      <c r="B889" s="12"/>
      <c r="C889" s="7"/>
      <c r="E889" s="165"/>
      <c r="F889" s="165"/>
      <c r="G889" s="165"/>
      <c r="H889" s="165"/>
      <c r="I889" s="165"/>
      <c r="J889" s="165"/>
      <c r="K889" s="165"/>
      <c r="L889" s="165"/>
      <c r="M889" s="165"/>
      <c r="N889" s="165"/>
      <c r="O889" s="165"/>
      <c r="P889" s="165"/>
      <c r="Q889" s="134"/>
      <c r="R889" s="12"/>
      <c r="AJ889" s="12"/>
    </row>
    <row r="890" ht="15.75" customHeight="1">
      <c r="B890" s="12"/>
      <c r="C890" s="7"/>
      <c r="E890" s="165"/>
      <c r="F890" s="165"/>
      <c r="G890" s="165"/>
      <c r="H890" s="165"/>
      <c r="I890" s="165"/>
      <c r="J890" s="165"/>
      <c r="K890" s="165"/>
      <c r="L890" s="165"/>
      <c r="M890" s="165"/>
      <c r="N890" s="165"/>
      <c r="O890" s="165"/>
      <c r="P890" s="165"/>
      <c r="Q890" s="134"/>
      <c r="R890" s="12"/>
      <c r="AJ890" s="12"/>
    </row>
    <row r="891" ht="15.75" customHeight="1">
      <c r="B891" s="12"/>
      <c r="C891" s="7"/>
      <c r="E891" s="165"/>
      <c r="F891" s="165"/>
      <c r="G891" s="165"/>
      <c r="H891" s="165"/>
      <c r="I891" s="165"/>
      <c r="J891" s="165"/>
      <c r="K891" s="165"/>
      <c r="L891" s="165"/>
      <c r="M891" s="165"/>
      <c r="N891" s="165"/>
      <c r="O891" s="165"/>
      <c r="P891" s="165"/>
      <c r="Q891" s="134"/>
      <c r="R891" s="12"/>
      <c r="AJ891" s="12"/>
    </row>
    <row r="892" ht="15.75" customHeight="1">
      <c r="B892" s="12"/>
      <c r="C892" s="7"/>
      <c r="E892" s="165"/>
      <c r="F892" s="165"/>
      <c r="G892" s="165"/>
      <c r="H892" s="165"/>
      <c r="I892" s="165"/>
      <c r="J892" s="165"/>
      <c r="K892" s="165"/>
      <c r="L892" s="165"/>
      <c r="M892" s="165"/>
      <c r="N892" s="165"/>
      <c r="O892" s="165"/>
      <c r="P892" s="165"/>
      <c r="Q892" s="134"/>
      <c r="R892" s="12"/>
      <c r="AJ892" s="12"/>
    </row>
    <row r="893" ht="15.75" customHeight="1">
      <c r="B893" s="12"/>
      <c r="C893" s="7"/>
      <c r="E893" s="165"/>
      <c r="F893" s="165"/>
      <c r="G893" s="165"/>
      <c r="H893" s="165"/>
      <c r="I893" s="165"/>
      <c r="J893" s="165"/>
      <c r="K893" s="165"/>
      <c r="L893" s="165"/>
      <c r="M893" s="165"/>
      <c r="N893" s="165"/>
      <c r="O893" s="165"/>
      <c r="P893" s="165"/>
      <c r="Q893" s="134"/>
      <c r="R893" s="12"/>
      <c r="AJ893" s="12"/>
    </row>
    <row r="894" ht="15.75" customHeight="1">
      <c r="B894" s="12"/>
      <c r="C894" s="7"/>
      <c r="E894" s="165"/>
      <c r="F894" s="165"/>
      <c r="G894" s="165"/>
      <c r="H894" s="165"/>
      <c r="I894" s="165"/>
      <c r="J894" s="165"/>
      <c r="K894" s="165"/>
      <c r="L894" s="165"/>
      <c r="M894" s="165"/>
      <c r="N894" s="165"/>
      <c r="O894" s="165"/>
      <c r="P894" s="165"/>
      <c r="Q894" s="134"/>
      <c r="R894" s="12"/>
      <c r="AJ894" s="12"/>
    </row>
    <row r="895" ht="15.75" customHeight="1">
      <c r="B895" s="12"/>
      <c r="C895" s="7"/>
      <c r="E895" s="165"/>
      <c r="F895" s="165"/>
      <c r="G895" s="165"/>
      <c r="H895" s="165"/>
      <c r="I895" s="165"/>
      <c r="J895" s="165"/>
      <c r="K895" s="165"/>
      <c r="L895" s="165"/>
      <c r="M895" s="165"/>
      <c r="N895" s="165"/>
      <c r="O895" s="165"/>
      <c r="P895" s="165"/>
      <c r="Q895" s="134"/>
      <c r="R895" s="12"/>
      <c r="AJ895" s="12"/>
    </row>
    <row r="896" ht="15.75" customHeight="1">
      <c r="B896" s="12"/>
      <c r="C896" s="7"/>
      <c r="E896" s="165"/>
      <c r="F896" s="165"/>
      <c r="G896" s="165"/>
      <c r="H896" s="165"/>
      <c r="I896" s="165"/>
      <c r="J896" s="165"/>
      <c r="K896" s="165"/>
      <c r="L896" s="165"/>
      <c r="M896" s="165"/>
      <c r="N896" s="165"/>
      <c r="O896" s="165"/>
      <c r="P896" s="165"/>
      <c r="Q896" s="134"/>
      <c r="R896" s="12"/>
      <c r="AJ896" s="12"/>
    </row>
    <row r="897" ht="15.75" customHeight="1">
      <c r="B897" s="12"/>
      <c r="C897" s="7"/>
      <c r="E897" s="165"/>
      <c r="F897" s="165"/>
      <c r="G897" s="165"/>
      <c r="H897" s="165"/>
      <c r="I897" s="165"/>
      <c r="J897" s="165"/>
      <c r="K897" s="165"/>
      <c r="L897" s="165"/>
      <c r="M897" s="165"/>
      <c r="N897" s="165"/>
      <c r="O897" s="165"/>
      <c r="P897" s="165"/>
      <c r="Q897" s="134"/>
      <c r="R897" s="12"/>
      <c r="AJ897" s="12"/>
    </row>
    <row r="898" ht="15.75" customHeight="1">
      <c r="B898" s="12"/>
      <c r="C898" s="7"/>
      <c r="E898" s="165"/>
      <c r="F898" s="165"/>
      <c r="G898" s="165"/>
      <c r="H898" s="165"/>
      <c r="I898" s="165"/>
      <c r="J898" s="165"/>
      <c r="K898" s="165"/>
      <c r="L898" s="165"/>
      <c r="M898" s="165"/>
      <c r="N898" s="165"/>
      <c r="O898" s="165"/>
      <c r="P898" s="165"/>
      <c r="Q898" s="134"/>
      <c r="R898" s="12"/>
      <c r="AJ898" s="12"/>
    </row>
    <row r="899" ht="15.75" customHeight="1">
      <c r="B899" s="12"/>
      <c r="C899" s="7"/>
      <c r="E899" s="165"/>
      <c r="F899" s="165"/>
      <c r="G899" s="165"/>
      <c r="H899" s="165"/>
      <c r="I899" s="165"/>
      <c r="J899" s="165"/>
      <c r="K899" s="165"/>
      <c r="L899" s="165"/>
      <c r="M899" s="165"/>
      <c r="N899" s="165"/>
      <c r="O899" s="165"/>
      <c r="P899" s="165"/>
      <c r="Q899" s="134"/>
      <c r="R899" s="12"/>
      <c r="AJ899" s="12"/>
    </row>
    <row r="900" ht="15.75" customHeight="1">
      <c r="B900" s="12"/>
      <c r="C900" s="7"/>
      <c r="E900" s="165"/>
      <c r="F900" s="165"/>
      <c r="G900" s="165"/>
      <c r="H900" s="165"/>
      <c r="I900" s="165"/>
      <c r="J900" s="165"/>
      <c r="K900" s="165"/>
      <c r="L900" s="165"/>
      <c r="M900" s="165"/>
      <c r="N900" s="165"/>
      <c r="O900" s="165"/>
      <c r="P900" s="165"/>
      <c r="Q900" s="134"/>
      <c r="R900" s="12"/>
      <c r="AJ900" s="12"/>
    </row>
    <row r="901" ht="15.75" customHeight="1">
      <c r="B901" s="12"/>
      <c r="C901" s="7"/>
      <c r="E901" s="165"/>
      <c r="F901" s="165"/>
      <c r="G901" s="165"/>
      <c r="H901" s="165"/>
      <c r="I901" s="165"/>
      <c r="J901" s="165"/>
      <c r="K901" s="165"/>
      <c r="L901" s="165"/>
      <c r="M901" s="165"/>
      <c r="N901" s="165"/>
      <c r="O901" s="165"/>
      <c r="P901" s="165"/>
      <c r="Q901" s="134"/>
      <c r="R901" s="12"/>
      <c r="AJ901" s="12"/>
    </row>
    <row r="902" ht="15.75" customHeight="1">
      <c r="B902" s="12"/>
      <c r="C902" s="7"/>
      <c r="E902" s="165"/>
      <c r="F902" s="165"/>
      <c r="G902" s="165"/>
      <c r="H902" s="165"/>
      <c r="I902" s="165"/>
      <c r="J902" s="165"/>
      <c r="K902" s="165"/>
      <c r="L902" s="165"/>
      <c r="M902" s="165"/>
      <c r="N902" s="165"/>
      <c r="O902" s="165"/>
      <c r="P902" s="165"/>
      <c r="Q902" s="134"/>
      <c r="R902" s="12"/>
      <c r="AJ902" s="12"/>
    </row>
    <row r="903" ht="15.75" customHeight="1">
      <c r="B903" s="12"/>
      <c r="C903" s="7"/>
      <c r="E903" s="165"/>
      <c r="F903" s="165"/>
      <c r="G903" s="165"/>
      <c r="H903" s="165"/>
      <c r="I903" s="165"/>
      <c r="J903" s="165"/>
      <c r="K903" s="165"/>
      <c r="L903" s="165"/>
      <c r="M903" s="165"/>
      <c r="N903" s="165"/>
      <c r="O903" s="165"/>
      <c r="P903" s="165"/>
      <c r="Q903" s="134"/>
      <c r="R903" s="12"/>
      <c r="AJ903" s="12"/>
    </row>
    <row r="904" ht="15.75" customHeight="1">
      <c r="B904" s="12"/>
      <c r="C904" s="7"/>
      <c r="E904" s="165"/>
      <c r="F904" s="165"/>
      <c r="G904" s="165"/>
      <c r="H904" s="165"/>
      <c r="I904" s="165"/>
      <c r="J904" s="165"/>
      <c r="K904" s="165"/>
      <c r="L904" s="165"/>
      <c r="M904" s="165"/>
      <c r="N904" s="165"/>
      <c r="O904" s="165"/>
      <c r="P904" s="165"/>
      <c r="Q904" s="134"/>
      <c r="R904" s="12"/>
      <c r="AJ904" s="12"/>
    </row>
    <row r="905" ht="15.75" customHeight="1">
      <c r="B905" s="12"/>
      <c r="C905" s="7"/>
      <c r="E905" s="165"/>
      <c r="F905" s="165"/>
      <c r="G905" s="165"/>
      <c r="H905" s="165"/>
      <c r="I905" s="165"/>
      <c r="J905" s="165"/>
      <c r="K905" s="165"/>
      <c r="L905" s="165"/>
      <c r="M905" s="165"/>
      <c r="N905" s="165"/>
      <c r="O905" s="165"/>
      <c r="P905" s="165"/>
      <c r="Q905" s="134"/>
      <c r="R905" s="12"/>
      <c r="AJ905" s="12"/>
    </row>
    <row r="906" ht="15.75" customHeight="1">
      <c r="B906" s="12"/>
      <c r="C906" s="7"/>
      <c r="E906" s="165"/>
      <c r="F906" s="165"/>
      <c r="G906" s="165"/>
      <c r="H906" s="165"/>
      <c r="I906" s="165"/>
      <c r="J906" s="165"/>
      <c r="K906" s="165"/>
      <c r="L906" s="165"/>
      <c r="M906" s="165"/>
      <c r="N906" s="165"/>
      <c r="O906" s="165"/>
      <c r="P906" s="165"/>
      <c r="Q906" s="134"/>
      <c r="R906" s="12"/>
      <c r="AJ906" s="12"/>
    </row>
    <row r="907" ht="15.75" customHeight="1">
      <c r="B907" s="12"/>
      <c r="C907" s="7"/>
      <c r="E907" s="165"/>
      <c r="F907" s="165"/>
      <c r="G907" s="165"/>
      <c r="H907" s="165"/>
      <c r="I907" s="165"/>
      <c r="J907" s="165"/>
      <c r="K907" s="165"/>
      <c r="L907" s="165"/>
      <c r="M907" s="165"/>
      <c r="N907" s="165"/>
      <c r="O907" s="165"/>
      <c r="P907" s="165"/>
      <c r="Q907" s="134"/>
      <c r="R907" s="12"/>
      <c r="AJ907" s="12"/>
    </row>
    <row r="908" ht="15.75" customHeight="1">
      <c r="B908" s="12"/>
      <c r="C908" s="7"/>
      <c r="E908" s="165"/>
      <c r="F908" s="165"/>
      <c r="G908" s="165"/>
      <c r="H908" s="165"/>
      <c r="I908" s="165"/>
      <c r="J908" s="165"/>
      <c r="K908" s="165"/>
      <c r="L908" s="165"/>
      <c r="M908" s="165"/>
      <c r="N908" s="165"/>
      <c r="O908" s="165"/>
      <c r="P908" s="165"/>
      <c r="Q908" s="134"/>
      <c r="R908" s="12"/>
      <c r="AJ908" s="12"/>
    </row>
    <row r="909" ht="15.75" customHeight="1">
      <c r="B909" s="12"/>
      <c r="C909" s="7"/>
      <c r="E909" s="165"/>
      <c r="F909" s="165"/>
      <c r="G909" s="165"/>
      <c r="H909" s="165"/>
      <c r="I909" s="165"/>
      <c r="J909" s="165"/>
      <c r="K909" s="165"/>
      <c r="L909" s="165"/>
      <c r="M909" s="165"/>
      <c r="N909" s="165"/>
      <c r="O909" s="165"/>
      <c r="P909" s="165"/>
      <c r="Q909" s="134"/>
      <c r="R909" s="12"/>
      <c r="AJ909" s="12"/>
    </row>
    <row r="910" ht="15.75" customHeight="1">
      <c r="B910" s="12"/>
      <c r="C910" s="7"/>
      <c r="E910" s="165"/>
      <c r="F910" s="165"/>
      <c r="G910" s="165"/>
      <c r="H910" s="165"/>
      <c r="I910" s="165"/>
      <c r="J910" s="165"/>
      <c r="K910" s="165"/>
      <c r="L910" s="165"/>
      <c r="M910" s="165"/>
      <c r="N910" s="165"/>
      <c r="O910" s="165"/>
      <c r="P910" s="165"/>
      <c r="Q910" s="134"/>
      <c r="R910" s="12"/>
      <c r="AJ910" s="12"/>
    </row>
    <row r="911" ht="15.75" customHeight="1">
      <c r="B911" s="12"/>
      <c r="C911" s="7"/>
      <c r="E911" s="165"/>
      <c r="F911" s="165"/>
      <c r="G911" s="165"/>
      <c r="H911" s="165"/>
      <c r="I911" s="165"/>
      <c r="J911" s="165"/>
      <c r="K911" s="165"/>
      <c r="L911" s="165"/>
      <c r="M911" s="165"/>
      <c r="N911" s="165"/>
      <c r="O911" s="165"/>
      <c r="P911" s="165"/>
      <c r="Q911" s="134"/>
      <c r="R911" s="12"/>
      <c r="AJ911" s="12"/>
    </row>
    <row r="912" ht="15.75" customHeight="1">
      <c r="B912" s="12"/>
      <c r="C912" s="7"/>
      <c r="E912" s="165"/>
      <c r="F912" s="165"/>
      <c r="G912" s="165"/>
      <c r="H912" s="165"/>
      <c r="I912" s="165"/>
      <c r="J912" s="165"/>
      <c r="K912" s="165"/>
      <c r="L912" s="165"/>
      <c r="M912" s="165"/>
      <c r="N912" s="165"/>
      <c r="O912" s="165"/>
      <c r="P912" s="165"/>
      <c r="Q912" s="134"/>
      <c r="R912" s="12"/>
      <c r="AJ912" s="12"/>
    </row>
    <row r="913" ht="15.75" customHeight="1">
      <c r="B913" s="12"/>
      <c r="C913" s="7"/>
      <c r="E913" s="165"/>
      <c r="F913" s="165"/>
      <c r="G913" s="165"/>
      <c r="H913" s="165"/>
      <c r="I913" s="165"/>
      <c r="J913" s="165"/>
      <c r="K913" s="165"/>
      <c r="L913" s="165"/>
      <c r="M913" s="165"/>
      <c r="N913" s="165"/>
      <c r="O913" s="165"/>
      <c r="P913" s="165"/>
      <c r="Q913" s="134"/>
      <c r="R913" s="12"/>
      <c r="AJ913" s="12"/>
    </row>
    <row r="914" ht="15.75" customHeight="1">
      <c r="B914" s="12"/>
      <c r="C914" s="7"/>
      <c r="E914" s="165"/>
      <c r="F914" s="165"/>
      <c r="G914" s="165"/>
      <c r="H914" s="165"/>
      <c r="I914" s="165"/>
      <c r="J914" s="165"/>
      <c r="K914" s="165"/>
      <c r="L914" s="165"/>
      <c r="M914" s="165"/>
      <c r="N914" s="165"/>
      <c r="O914" s="165"/>
      <c r="P914" s="165"/>
      <c r="Q914" s="134"/>
      <c r="R914" s="12"/>
      <c r="AJ914" s="12"/>
    </row>
    <row r="915" ht="15.75" customHeight="1">
      <c r="B915" s="12"/>
      <c r="C915" s="7"/>
      <c r="E915" s="165"/>
      <c r="F915" s="165"/>
      <c r="G915" s="165"/>
      <c r="H915" s="165"/>
      <c r="I915" s="165"/>
      <c r="J915" s="165"/>
      <c r="K915" s="165"/>
      <c r="L915" s="165"/>
      <c r="M915" s="165"/>
      <c r="N915" s="165"/>
      <c r="O915" s="165"/>
      <c r="P915" s="165"/>
      <c r="Q915" s="134"/>
      <c r="R915" s="12"/>
      <c r="AJ915" s="12"/>
    </row>
    <row r="916" ht="15.75" customHeight="1">
      <c r="B916" s="12"/>
      <c r="C916" s="7"/>
      <c r="E916" s="165"/>
      <c r="F916" s="165"/>
      <c r="G916" s="165"/>
      <c r="H916" s="165"/>
      <c r="I916" s="165"/>
      <c r="J916" s="165"/>
      <c r="K916" s="165"/>
      <c r="L916" s="165"/>
      <c r="M916" s="165"/>
      <c r="N916" s="165"/>
      <c r="O916" s="165"/>
      <c r="P916" s="165"/>
      <c r="Q916" s="134"/>
      <c r="R916" s="12"/>
      <c r="AJ916" s="12"/>
    </row>
    <row r="917" ht="15.75" customHeight="1">
      <c r="B917" s="12"/>
      <c r="C917" s="7"/>
      <c r="E917" s="165"/>
      <c r="F917" s="165"/>
      <c r="G917" s="165"/>
      <c r="H917" s="165"/>
      <c r="I917" s="165"/>
      <c r="J917" s="165"/>
      <c r="K917" s="165"/>
      <c r="L917" s="165"/>
      <c r="M917" s="165"/>
      <c r="N917" s="165"/>
      <c r="O917" s="165"/>
      <c r="P917" s="165"/>
      <c r="Q917" s="134"/>
      <c r="R917" s="12"/>
      <c r="AJ917" s="12"/>
    </row>
    <row r="918" ht="15.75" customHeight="1">
      <c r="B918" s="12"/>
      <c r="C918" s="7"/>
      <c r="E918" s="165"/>
      <c r="F918" s="165"/>
      <c r="G918" s="165"/>
      <c r="H918" s="165"/>
      <c r="I918" s="165"/>
      <c r="J918" s="165"/>
      <c r="K918" s="165"/>
      <c r="L918" s="165"/>
      <c r="M918" s="165"/>
      <c r="N918" s="165"/>
      <c r="O918" s="165"/>
      <c r="P918" s="165"/>
      <c r="Q918" s="134"/>
      <c r="R918" s="12"/>
      <c r="AJ918" s="12"/>
    </row>
    <row r="919" ht="15.75" customHeight="1">
      <c r="B919" s="12"/>
      <c r="C919" s="7"/>
      <c r="E919" s="165"/>
      <c r="F919" s="165"/>
      <c r="G919" s="165"/>
      <c r="H919" s="165"/>
      <c r="I919" s="165"/>
      <c r="J919" s="165"/>
      <c r="K919" s="165"/>
      <c r="L919" s="165"/>
      <c r="M919" s="165"/>
      <c r="N919" s="165"/>
      <c r="O919" s="165"/>
      <c r="P919" s="165"/>
      <c r="Q919" s="134"/>
      <c r="R919" s="12"/>
      <c r="AJ919" s="12"/>
    </row>
    <row r="920" ht="15.75" customHeight="1">
      <c r="B920" s="12"/>
      <c r="C920" s="7"/>
      <c r="E920" s="165"/>
      <c r="F920" s="165"/>
      <c r="G920" s="165"/>
      <c r="H920" s="165"/>
      <c r="I920" s="165"/>
      <c r="J920" s="165"/>
      <c r="K920" s="165"/>
      <c r="L920" s="165"/>
      <c r="M920" s="165"/>
      <c r="N920" s="165"/>
      <c r="O920" s="165"/>
      <c r="P920" s="165"/>
      <c r="Q920" s="134"/>
      <c r="R920" s="12"/>
      <c r="AJ920" s="12"/>
    </row>
    <row r="921" ht="15.75" customHeight="1">
      <c r="B921" s="12"/>
      <c r="C921" s="7"/>
      <c r="E921" s="165"/>
      <c r="F921" s="165"/>
      <c r="G921" s="165"/>
      <c r="H921" s="165"/>
      <c r="I921" s="165"/>
      <c r="J921" s="165"/>
      <c r="K921" s="165"/>
      <c r="L921" s="165"/>
      <c r="M921" s="165"/>
      <c r="N921" s="165"/>
      <c r="O921" s="165"/>
      <c r="P921" s="165"/>
      <c r="Q921" s="134"/>
      <c r="R921" s="12"/>
      <c r="AJ921" s="12"/>
    </row>
    <row r="922" ht="15.75" customHeight="1">
      <c r="B922" s="12"/>
      <c r="C922" s="7"/>
      <c r="E922" s="165"/>
      <c r="F922" s="165"/>
      <c r="G922" s="165"/>
      <c r="H922" s="165"/>
      <c r="I922" s="165"/>
      <c r="J922" s="165"/>
      <c r="K922" s="165"/>
      <c r="L922" s="165"/>
      <c r="M922" s="165"/>
      <c r="N922" s="165"/>
      <c r="O922" s="165"/>
      <c r="P922" s="165"/>
      <c r="Q922" s="134"/>
      <c r="R922" s="12"/>
      <c r="AJ922" s="12"/>
    </row>
    <row r="923" ht="15.75" customHeight="1">
      <c r="B923" s="12"/>
      <c r="C923" s="7"/>
      <c r="E923" s="165"/>
      <c r="F923" s="165"/>
      <c r="G923" s="165"/>
      <c r="H923" s="165"/>
      <c r="I923" s="165"/>
      <c r="J923" s="165"/>
      <c r="K923" s="165"/>
      <c r="L923" s="165"/>
      <c r="M923" s="165"/>
      <c r="N923" s="165"/>
      <c r="O923" s="165"/>
      <c r="P923" s="165"/>
      <c r="Q923" s="134"/>
      <c r="R923" s="12"/>
      <c r="AJ923" s="12"/>
    </row>
    <row r="924" ht="15.75" customHeight="1">
      <c r="B924" s="12"/>
      <c r="C924" s="7"/>
      <c r="E924" s="165"/>
      <c r="F924" s="165"/>
      <c r="G924" s="165"/>
      <c r="H924" s="165"/>
      <c r="I924" s="165"/>
      <c r="J924" s="165"/>
      <c r="K924" s="165"/>
      <c r="L924" s="165"/>
      <c r="M924" s="165"/>
      <c r="N924" s="165"/>
      <c r="O924" s="165"/>
      <c r="P924" s="165"/>
      <c r="Q924" s="134"/>
      <c r="R924" s="12"/>
      <c r="AJ924" s="12"/>
    </row>
    <row r="925" ht="15.75" customHeight="1">
      <c r="B925" s="12"/>
      <c r="C925" s="7"/>
      <c r="E925" s="165"/>
      <c r="F925" s="165"/>
      <c r="G925" s="165"/>
      <c r="H925" s="165"/>
      <c r="I925" s="165"/>
      <c r="J925" s="165"/>
      <c r="K925" s="165"/>
      <c r="L925" s="165"/>
      <c r="M925" s="165"/>
      <c r="N925" s="165"/>
      <c r="O925" s="165"/>
      <c r="P925" s="165"/>
      <c r="Q925" s="134"/>
      <c r="R925" s="12"/>
      <c r="AJ925" s="12"/>
    </row>
    <row r="926" ht="15.75" customHeight="1">
      <c r="B926" s="12"/>
      <c r="C926" s="7"/>
      <c r="E926" s="165"/>
      <c r="F926" s="165"/>
      <c r="G926" s="165"/>
      <c r="H926" s="165"/>
      <c r="I926" s="165"/>
      <c r="J926" s="165"/>
      <c r="K926" s="165"/>
      <c r="L926" s="165"/>
      <c r="M926" s="165"/>
      <c r="N926" s="165"/>
      <c r="O926" s="165"/>
      <c r="P926" s="165"/>
      <c r="Q926" s="134"/>
      <c r="R926" s="12"/>
      <c r="AJ926" s="12"/>
    </row>
    <row r="927" ht="15.75" customHeight="1">
      <c r="B927" s="12"/>
      <c r="C927" s="7"/>
      <c r="E927" s="165"/>
      <c r="F927" s="165"/>
      <c r="G927" s="165"/>
      <c r="H927" s="165"/>
      <c r="I927" s="165"/>
      <c r="J927" s="165"/>
      <c r="K927" s="165"/>
      <c r="L927" s="165"/>
      <c r="M927" s="165"/>
      <c r="N927" s="165"/>
      <c r="O927" s="165"/>
      <c r="P927" s="165"/>
      <c r="Q927" s="134"/>
      <c r="R927" s="12"/>
      <c r="AJ927" s="12"/>
    </row>
    <row r="928" ht="15.75" customHeight="1">
      <c r="B928" s="12"/>
      <c r="C928" s="7"/>
      <c r="E928" s="165"/>
      <c r="F928" s="165"/>
      <c r="G928" s="165"/>
      <c r="H928" s="165"/>
      <c r="I928" s="165"/>
      <c r="J928" s="165"/>
      <c r="K928" s="165"/>
      <c r="L928" s="165"/>
      <c r="M928" s="165"/>
      <c r="N928" s="165"/>
      <c r="O928" s="165"/>
      <c r="P928" s="165"/>
      <c r="Q928" s="134"/>
      <c r="R928" s="12"/>
      <c r="AJ928" s="12"/>
    </row>
    <row r="929" ht="15.75" customHeight="1">
      <c r="B929" s="12"/>
      <c r="C929" s="7"/>
      <c r="E929" s="165"/>
      <c r="F929" s="165"/>
      <c r="G929" s="165"/>
      <c r="H929" s="165"/>
      <c r="I929" s="165"/>
      <c r="J929" s="165"/>
      <c r="K929" s="165"/>
      <c r="L929" s="165"/>
      <c r="M929" s="165"/>
      <c r="N929" s="165"/>
      <c r="O929" s="165"/>
      <c r="P929" s="165"/>
      <c r="Q929" s="134"/>
      <c r="R929" s="12"/>
      <c r="AJ929" s="12"/>
    </row>
    <row r="930" ht="15.75" customHeight="1">
      <c r="B930" s="12"/>
      <c r="C930" s="7"/>
      <c r="E930" s="165"/>
      <c r="F930" s="165"/>
      <c r="G930" s="165"/>
      <c r="H930" s="165"/>
      <c r="I930" s="165"/>
      <c r="J930" s="165"/>
      <c r="K930" s="165"/>
      <c r="L930" s="165"/>
      <c r="M930" s="165"/>
      <c r="N930" s="165"/>
      <c r="O930" s="165"/>
      <c r="P930" s="165"/>
      <c r="Q930" s="134"/>
      <c r="R930" s="12"/>
      <c r="AJ930" s="12"/>
    </row>
    <row r="931" ht="15.75" customHeight="1">
      <c r="B931" s="12"/>
      <c r="C931" s="7"/>
      <c r="E931" s="165"/>
      <c r="F931" s="165"/>
      <c r="G931" s="165"/>
      <c r="H931" s="165"/>
      <c r="I931" s="165"/>
      <c r="J931" s="165"/>
      <c r="K931" s="165"/>
      <c r="L931" s="165"/>
      <c r="M931" s="165"/>
      <c r="N931" s="165"/>
      <c r="O931" s="165"/>
      <c r="P931" s="165"/>
      <c r="Q931" s="134"/>
      <c r="R931" s="12"/>
      <c r="AJ931" s="12"/>
    </row>
    <row r="932" ht="15.75" customHeight="1">
      <c r="B932" s="12"/>
      <c r="C932" s="7"/>
      <c r="E932" s="165"/>
      <c r="F932" s="165"/>
      <c r="G932" s="165"/>
      <c r="H932" s="165"/>
      <c r="I932" s="165"/>
      <c r="J932" s="165"/>
      <c r="K932" s="165"/>
      <c r="L932" s="165"/>
      <c r="M932" s="165"/>
      <c r="N932" s="165"/>
      <c r="O932" s="165"/>
      <c r="P932" s="165"/>
      <c r="Q932" s="134"/>
      <c r="R932" s="12"/>
      <c r="AJ932" s="12"/>
    </row>
    <row r="933" ht="15.75" customHeight="1">
      <c r="B933" s="12"/>
      <c r="C933" s="7"/>
      <c r="E933" s="165"/>
      <c r="F933" s="165"/>
      <c r="G933" s="165"/>
      <c r="H933" s="165"/>
      <c r="I933" s="165"/>
      <c r="J933" s="165"/>
      <c r="K933" s="165"/>
      <c r="L933" s="165"/>
      <c r="M933" s="165"/>
      <c r="N933" s="165"/>
      <c r="O933" s="165"/>
      <c r="P933" s="165"/>
      <c r="Q933" s="134"/>
      <c r="R933" s="12"/>
      <c r="AJ933" s="12"/>
    </row>
    <row r="934" ht="15.75" customHeight="1">
      <c r="B934" s="12"/>
      <c r="C934" s="7"/>
      <c r="E934" s="165"/>
      <c r="F934" s="165"/>
      <c r="G934" s="165"/>
      <c r="H934" s="165"/>
      <c r="I934" s="165"/>
      <c r="J934" s="165"/>
      <c r="K934" s="165"/>
      <c r="L934" s="165"/>
      <c r="M934" s="165"/>
      <c r="N934" s="165"/>
      <c r="O934" s="165"/>
      <c r="P934" s="165"/>
      <c r="Q934" s="134"/>
      <c r="R934" s="12"/>
      <c r="AJ934" s="12"/>
    </row>
    <row r="935" ht="15.75" customHeight="1">
      <c r="B935" s="12"/>
      <c r="C935" s="7"/>
      <c r="E935" s="165"/>
      <c r="F935" s="165"/>
      <c r="G935" s="165"/>
      <c r="H935" s="165"/>
      <c r="I935" s="165"/>
      <c r="J935" s="165"/>
      <c r="K935" s="165"/>
      <c r="L935" s="165"/>
      <c r="M935" s="165"/>
      <c r="N935" s="165"/>
      <c r="O935" s="165"/>
      <c r="P935" s="165"/>
      <c r="Q935" s="134"/>
      <c r="R935" s="12"/>
      <c r="AJ935" s="12"/>
    </row>
    <row r="936" ht="15.75" customHeight="1">
      <c r="B936" s="12"/>
      <c r="C936" s="7"/>
      <c r="E936" s="165"/>
      <c r="F936" s="165"/>
      <c r="G936" s="165"/>
      <c r="H936" s="165"/>
      <c r="I936" s="165"/>
      <c r="J936" s="165"/>
      <c r="K936" s="165"/>
      <c r="L936" s="165"/>
      <c r="M936" s="165"/>
      <c r="N936" s="165"/>
      <c r="O936" s="165"/>
      <c r="P936" s="165"/>
      <c r="Q936" s="134"/>
      <c r="R936" s="12"/>
      <c r="AJ936" s="12"/>
    </row>
    <row r="937" ht="15.75" customHeight="1">
      <c r="B937" s="12"/>
      <c r="C937" s="7"/>
      <c r="E937" s="165"/>
      <c r="F937" s="165"/>
      <c r="G937" s="165"/>
      <c r="H937" s="165"/>
      <c r="I937" s="165"/>
      <c r="J937" s="165"/>
      <c r="K937" s="165"/>
      <c r="L937" s="165"/>
      <c r="M937" s="165"/>
      <c r="N937" s="165"/>
      <c r="O937" s="165"/>
      <c r="P937" s="165"/>
      <c r="Q937" s="134"/>
      <c r="R937" s="12"/>
      <c r="AJ937" s="12"/>
    </row>
    <row r="938" ht="15.75" customHeight="1">
      <c r="B938" s="12"/>
      <c r="C938" s="7"/>
      <c r="E938" s="165"/>
      <c r="F938" s="165"/>
      <c r="G938" s="165"/>
      <c r="H938" s="165"/>
      <c r="I938" s="165"/>
      <c r="J938" s="165"/>
      <c r="K938" s="165"/>
      <c r="L938" s="165"/>
      <c r="M938" s="165"/>
      <c r="N938" s="165"/>
      <c r="O938" s="165"/>
      <c r="P938" s="165"/>
      <c r="Q938" s="134"/>
      <c r="R938" s="12"/>
      <c r="AJ938" s="12"/>
    </row>
    <row r="939" ht="15.75" customHeight="1">
      <c r="B939" s="12"/>
      <c r="C939" s="7"/>
      <c r="E939" s="165"/>
      <c r="F939" s="165"/>
      <c r="G939" s="165"/>
      <c r="H939" s="165"/>
      <c r="I939" s="165"/>
      <c r="J939" s="165"/>
      <c r="K939" s="165"/>
      <c r="L939" s="165"/>
      <c r="M939" s="165"/>
      <c r="N939" s="165"/>
      <c r="O939" s="165"/>
      <c r="P939" s="165"/>
      <c r="Q939" s="134"/>
      <c r="R939" s="12"/>
      <c r="AJ939" s="12"/>
    </row>
    <row r="940" ht="15.75" customHeight="1">
      <c r="B940" s="12"/>
      <c r="C940" s="7"/>
      <c r="E940" s="165"/>
      <c r="F940" s="165"/>
      <c r="G940" s="165"/>
      <c r="H940" s="165"/>
      <c r="I940" s="165"/>
      <c r="J940" s="165"/>
      <c r="K940" s="165"/>
      <c r="L940" s="165"/>
      <c r="M940" s="165"/>
      <c r="N940" s="165"/>
      <c r="O940" s="165"/>
      <c r="P940" s="165"/>
      <c r="Q940" s="134"/>
      <c r="R940" s="12"/>
      <c r="AJ940" s="12"/>
    </row>
    <row r="941" ht="15.75" customHeight="1">
      <c r="B941" s="12"/>
      <c r="C941" s="7"/>
      <c r="E941" s="165"/>
      <c r="F941" s="165"/>
      <c r="G941" s="165"/>
      <c r="H941" s="165"/>
      <c r="I941" s="165"/>
      <c r="J941" s="165"/>
      <c r="K941" s="165"/>
      <c r="L941" s="165"/>
      <c r="M941" s="165"/>
      <c r="N941" s="165"/>
      <c r="O941" s="165"/>
      <c r="P941" s="165"/>
      <c r="Q941" s="134"/>
      <c r="R941" s="12"/>
      <c r="AJ941" s="12"/>
    </row>
    <row r="942" ht="15.75" customHeight="1">
      <c r="B942" s="12"/>
      <c r="C942" s="7"/>
      <c r="E942" s="165"/>
      <c r="F942" s="165"/>
      <c r="G942" s="165"/>
      <c r="H942" s="165"/>
      <c r="I942" s="165"/>
      <c r="J942" s="165"/>
      <c r="K942" s="165"/>
      <c r="L942" s="165"/>
      <c r="M942" s="165"/>
      <c r="N942" s="165"/>
      <c r="O942" s="165"/>
      <c r="P942" s="165"/>
      <c r="Q942" s="134"/>
      <c r="R942" s="12"/>
      <c r="AJ942" s="12"/>
    </row>
    <row r="943" ht="15.75" customHeight="1">
      <c r="B943" s="12"/>
      <c r="C943" s="7"/>
      <c r="E943" s="165"/>
      <c r="F943" s="165"/>
      <c r="G943" s="165"/>
      <c r="H943" s="165"/>
      <c r="I943" s="165"/>
      <c r="J943" s="165"/>
      <c r="K943" s="165"/>
      <c r="L943" s="165"/>
      <c r="M943" s="165"/>
      <c r="N943" s="165"/>
      <c r="O943" s="165"/>
      <c r="P943" s="165"/>
      <c r="Q943" s="134"/>
      <c r="R943" s="12"/>
      <c r="AJ943" s="12"/>
    </row>
    <row r="944" ht="15.75" customHeight="1">
      <c r="B944" s="12"/>
      <c r="C944" s="7"/>
      <c r="E944" s="165"/>
      <c r="F944" s="165"/>
      <c r="G944" s="165"/>
      <c r="H944" s="165"/>
      <c r="I944" s="165"/>
      <c r="J944" s="165"/>
      <c r="K944" s="165"/>
      <c r="L944" s="165"/>
      <c r="M944" s="165"/>
      <c r="N944" s="165"/>
      <c r="O944" s="165"/>
      <c r="P944" s="165"/>
      <c r="Q944" s="134"/>
      <c r="R944" s="12"/>
      <c r="AJ944" s="12"/>
    </row>
    <row r="945" ht="15.75" customHeight="1">
      <c r="B945" s="12"/>
      <c r="C945" s="7"/>
      <c r="E945" s="165"/>
      <c r="F945" s="165"/>
      <c r="G945" s="165"/>
      <c r="H945" s="165"/>
      <c r="I945" s="165"/>
      <c r="J945" s="165"/>
      <c r="K945" s="165"/>
      <c r="L945" s="165"/>
      <c r="M945" s="165"/>
      <c r="N945" s="165"/>
      <c r="O945" s="165"/>
      <c r="P945" s="165"/>
      <c r="Q945" s="134"/>
      <c r="R945" s="12"/>
      <c r="AJ945" s="12"/>
    </row>
    <row r="946" ht="15.75" customHeight="1">
      <c r="B946" s="12"/>
      <c r="C946" s="7"/>
      <c r="E946" s="165"/>
      <c r="F946" s="165"/>
      <c r="G946" s="165"/>
      <c r="H946" s="165"/>
      <c r="I946" s="165"/>
      <c r="J946" s="165"/>
      <c r="K946" s="165"/>
      <c r="L946" s="165"/>
      <c r="M946" s="165"/>
      <c r="N946" s="165"/>
      <c r="O946" s="165"/>
      <c r="P946" s="165"/>
      <c r="Q946" s="134"/>
      <c r="R946" s="12"/>
      <c r="AJ946" s="12"/>
    </row>
    <row r="947" ht="15.75" customHeight="1">
      <c r="B947" s="12"/>
      <c r="C947" s="7"/>
      <c r="E947" s="165"/>
      <c r="F947" s="165"/>
      <c r="G947" s="165"/>
      <c r="H947" s="165"/>
      <c r="I947" s="165"/>
      <c r="J947" s="165"/>
      <c r="K947" s="165"/>
      <c r="L947" s="165"/>
      <c r="M947" s="165"/>
      <c r="N947" s="165"/>
      <c r="O947" s="165"/>
      <c r="P947" s="165"/>
      <c r="Q947" s="134"/>
      <c r="R947" s="12"/>
      <c r="AJ947" s="12"/>
    </row>
    <row r="948" ht="15.75" customHeight="1">
      <c r="B948" s="12"/>
      <c r="C948" s="7"/>
      <c r="E948" s="165"/>
      <c r="F948" s="165"/>
      <c r="G948" s="165"/>
      <c r="H948" s="165"/>
      <c r="I948" s="165"/>
      <c r="J948" s="165"/>
      <c r="K948" s="165"/>
      <c r="L948" s="165"/>
      <c r="M948" s="165"/>
      <c r="N948" s="165"/>
      <c r="O948" s="165"/>
      <c r="P948" s="165"/>
      <c r="Q948" s="134"/>
      <c r="R948" s="12"/>
      <c r="AJ948" s="12"/>
    </row>
    <row r="949" ht="15.75" customHeight="1">
      <c r="B949" s="12"/>
      <c r="C949" s="7"/>
      <c r="E949" s="165"/>
      <c r="F949" s="165"/>
      <c r="G949" s="165"/>
      <c r="H949" s="165"/>
      <c r="I949" s="165"/>
      <c r="J949" s="165"/>
      <c r="K949" s="165"/>
      <c r="L949" s="165"/>
      <c r="M949" s="165"/>
      <c r="N949" s="165"/>
      <c r="O949" s="165"/>
      <c r="P949" s="165"/>
      <c r="Q949" s="134"/>
      <c r="R949" s="12"/>
      <c r="AJ949" s="12"/>
    </row>
    <row r="950" ht="15.75" customHeight="1">
      <c r="B950" s="12"/>
      <c r="C950" s="7"/>
      <c r="E950" s="165"/>
      <c r="F950" s="165"/>
      <c r="G950" s="165"/>
      <c r="H950" s="165"/>
      <c r="I950" s="165"/>
      <c r="J950" s="165"/>
      <c r="K950" s="165"/>
      <c r="L950" s="165"/>
      <c r="M950" s="165"/>
      <c r="N950" s="165"/>
      <c r="O950" s="165"/>
      <c r="P950" s="165"/>
      <c r="Q950" s="134"/>
      <c r="R950" s="12"/>
      <c r="AJ950" s="12"/>
    </row>
    <row r="951" ht="15.75" customHeight="1">
      <c r="B951" s="12"/>
      <c r="C951" s="7"/>
      <c r="E951" s="165"/>
      <c r="F951" s="165"/>
      <c r="G951" s="165"/>
      <c r="H951" s="165"/>
      <c r="I951" s="165"/>
      <c r="J951" s="165"/>
      <c r="K951" s="165"/>
      <c r="L951" s="165"/>
      <c r="M951" s="165"/>
      <c r="N951" s="165"/>
      <c r="O951" s="165"/>
      <c r="P951" s="165"/>
      <c r="Q951" s="134"/>
      <c r="R951" s="12"/>
      <c r="AJ951" s="12"/>
    </row>
    <row r="952" ht="15.75" customHeight="1">
      <c r="B952" s="12"/>
      <c r="C952" s="7"/>
      <c r="E952" s="165"/>
      <c r="F952" s="165"/>
      <c r="G952" s="165"/>
      <c r="H952" s="165"/>
      <c r="I952" s="165"/>
      <c r="J952" s="165"/>
      <c r="K952" s="165"/>
      <c r="L952" s="165"/>
      <c r="M952" s="165"/>
      <c r="N952" s="165"/>
      <c r="O952" s="165"/>
      <c r="P952" s="165"/>
      <c r="Q952" s="134"/>
      <c r="R952" s="12"/>
      <c r="AJ952" s="12"/>
    </row>
    <row r="953" ht="15.75" customHeight="1">
      <c r="B953" s="12"/>
      <c r="C953" s="7"/>
      <c r="E953" s="165"/>
      <c r="F953" s="165"/>
      <c r="G953" s="165"/>
      <c r="H953" s="165"/>
      <c r="I953" s="165"/>
      <c r="J953" s="165"/>
      <c r="K953" s="165"/>
      <c r="L953" s="165"/>
      <c r="M953" s="165"/>
      <c r="N953" s="165"/>
      <c r="O953" s="165"/>
      <c r="P953" s="165"/>
      <c r="Q953" s="134"/>
      <c r="R953" s="12"/>
      <c r="AJ953" s="12"/>
    </row>
    <row r="954" ht="15.75" customHeight="1">
      <c r="B954" s="12"/>
      <c r="C954" s="7"/>
      <c r="E954" s="165"/>
      <c r="F954" s="165"/>
      <c r="G954" s="165"/>
      <c r="H954" s="165"/>
      <c r="I954" s="165"/>
      <c r="J954" s="165"/>
      <c r="K954" s="165"/>
      <c r="L954" s="165"/>
      <c r="M954" s="165"/>
      <c r="N954" s="165"/>
      <c r="O954" s="165"/>
      <c r="P954" s="165"/>
      <c r="Q954" s="134"/>
      <c r="R954" s="12"/>
      <c r="AJ954" s="12"/>
    </row>
    <row r="955" ht="15.75" customHeight="1">
      <c r="B955" s="12"/>
      <c r="C955" s="7"/>
      <c r="E955" s="165"/>
      <c r="F955" s="165"/>
      <c r="G955" s="165"/>
      <c r="H955" s="165"/>
      <c r="I955" s="165"/>
      <c r="J955" s="165"/>
      <c r="K955" s="165"/>
      <c r="L955" s="165"/>
      <c r="M955" s="165"/>
      <c r="N955" s="165"/>
      <c r="O955" s="165"/>
      <c r="P955" s="165"/>
      <c r="Q955" s="134"/>
      <c r="R955" s="12"/>
      <c r="AJ955" s="12"/>
    </row>
    <row r="956" ht="15.75" customHeight="1">
      <c r="B956" s="12"/>
      <c r="C956" s="7"/>
      <c r="E956" s="165"/>
      <c r="F956" s="165"/>
      <c r="G956" s="165"/>
      <c r="H956" s="165"/>
      <c r="I956" s="165"/>
      <c r="J956" s="165"/>
      <c r="K956" s="165"/>
      <c r="L956" s="165"/>
      <c r="M956" s="165"/>
      <c r="N956" s="165"/>
      <c r="O956" s="165"/>
      <c r="P956" s="165"/>
      <c r="Q956" s="134"/>
      <c r="R956" s="12"/>
      <c r="AJ956" s="12"/>
    </row>
    <row r="957" ht="15.75" customHeight="1">
      <c r="B957" s="12"/>
      <c r="C957" s="7"/>
      <c r="E957" s="165"/>
      <c r="F957" s="165"/>
      <c r="G957" s="165"/>
      <c r="H957" s="165"/>
      <c r="I957" s="165"/>
      <c r="J957" s="165"/>
      <c r="K957" s="165"/>
      <c r="L957" s="165"/>
      <c r="M957" s="165"/>
      <c r="N957" s="165"/>
      <c r="O957" s="165"/>
      <c r="P957" s="165"/>
      <c r="Q957" s="134"/>
      <c r="R957" s="12"/>
      <c r="AJ957" s="12"/>
    </row>
    <row r="958" ht="15.75" customHeight="1">
      <c r="B958" s="12"/>
      <c r="C958" s="7"/>
      <c r="E958" s="165"/>
      <c r="F958" s="165"/>
      <c r="G958" s="165"/>
      <c r="H958" s="165"/>
      <c r="I958" s="165"/>
      <c r="J958" s="165"/>
      <c r="K958" s="165"/>
      <c r="L958" s="165"/>
      <c r="M958" s="165"/>
      <c r="N958" s="165"/>
      <c r="O958" s="165"/>
      <c r="P958" s="165"/>
      <c r="Q958" s="134"/>
      <c r="R958" s="12"/>
      <c r="AJ958" s="12"/>
    </row>
    <row r="959" ht="15.75" customHeight="1">
      <c r="B959" s="12"/>
      <c r="C959" s="7"/>
      <c r="E959" s="165"/>
      <c r="F959" s="165"/>
      <c r="G959" s="165"/>
      <c r="H959" s="165"/>
      <c r="I959" s="165"/>
      <c r="J959" s="165"/>
      <c r="K959" s="165"/>
      <c r="L959" s="165"/>
      <c r="M959" s="165"/>
      <c r="N959" s="165"/>
      <c r="O959" s="165"/>
      <c r="P959" s="165"/>
      <c r="Q959" s="134"/>
      <c r="R959" s="12"/>
      <c r="AJ959" s="12"/>
    </row>
    <row r="960" ht="15.75" customHeight="1">
      <c r="B960" s="12"/>
      <c r="C960" s="7"/>
      <c r="E960" s="165"/>
      <c r="F960" s="165"/>
      <c r="G960" s="165"/>
      <c r="H960" s="165"/>
      <c r="I960" s="165"/>
      <c r="J960" s="165"/>
      <c r="K960" s="165"/>
      <c r="L960" s="165"/>
      <c r="M960" s="165"/>
      <c r="N960" s="165"/>
      <c r="O960" s="165"/>
      <c r="P960" s="165"/>
      <c r="Q960" s="134"/>
      <c r="R960" s="12"/>
      <c r="AJ960" s="12"/>
    </row>
    <row r="961" ht="15.75" customHeight="1">
      <c r="B961" s="12"/>
      <c r="C961" s="7"/>
      <c r="E961" s="165"/>
      <c r="F961" s="165"/>
      <c r="G961" s="165"/>
      <c r="H961" s="165"/>
      <c r="I961" s="165"/>
      <c r="J961" s="165"/>
      <c r="K961" s="165"/>
      <c r="L961" s="165"/>
      <c r="M961" s="165"/>
      <c r="N961" s="165"/>
      <c r="O961" s="165"/>
      <c r="P961" s="165"/>
      <c r="Q961" s="134"/>
      <c r="R961" s="12"/>
      <c r="AJ961" s="12"/>
    </row>
    <row r="962" ht="15.75" customHeight="1">
      <c r="B962" s="12"/>
      <c r="C962" s="7"/>
      <c r="E962" s="165"/>
      <c r="F962" s="165"/>
      <c r="G962" s="165"/>
      <c r="H962" s="165"/>
      <c r="I962" s="165"/>
      <c r="J962" s="165"/>
      <c r="K962" s="165"/>
      <c r="L962" s="165"/>
      <c r="M962" s="165"/>
      <c r="N962" s="165"/>
      <c r="O962" s="165"/>
      <c r="P962" s="165"/>
      <c r="Q962" s="134"/>
      <c r="R962" s="12"/>
      <c r="AJ962" s="12"/>
    </row>
    <row r="963" ht="15.75" customHeight="1">
      <c r="B963" s="12"/>
      <c r="C963" s="7"/>
      <c r="E963" s="165"/>
      <c r="F963" s="165"/>
      <c r="G963" s="165"/>
      <c r="H963" s="165"/>
      <c r="I963" s="165"/>
      <c r="J963" s="165"/>
      <c r="K963" s="165"/>
      <c r="L963" s="165"/>
      <c r="M963" s="165"/>
      <c r="N963" s="165"/>
      <c r="O963" s="165"/>
      <c r="P963" s="165"/>
      <c r="Q963" s="134"/>
      <c r="R963" s="12"/>
      <c r="AJ963" s="12"/>
    </row>
    <row r="964" ht="15.75" customHeight="1">
      <c r="B964" s="12"/>
      <c r="C964" s="7"/>
      <c r="E964" s="165"/>
      <c r="F964" s="165"/>
      <c r="G964" s="165"/>
      <c r="H964" s="165"/>
      <c r="I964" s="165"/>
      <c r="J964" s="165"/>
      <c r="K964" s="165"/>
      <c r="L964" s="165"/>
      <c r="M964" s="165"/>
      <c r="N964" s="165"/>
      <c r="O964" s="165"/>
      <c r="P964" s="165"/>
      <c r="Q964" s="134"/>
      <c r="R964" s="12"/>
      <c r="AJ964" s="12"/>
    </row>
    <row r="965" ht="15.75" customHeight="1">
      <c r="B965" s="12"/>
      <c r="C965" s="7"/>
      <c r="E965" s="165"/>
      <c r="F965" s="165"/>
      <c r="G965" s="165"/>
      <c r="H965" s="165"/>
      <c r="I965" s="165"/>
      <c r="J965" s="165"/>
      <c r="K965" s="165"/>
      <c r="L965" s="165"/>
      <c r="M965" s="165"/>
      <c r="N965" s="165"/>
      <c r="O965" s="165"/>
      <c r="P965" s="165"/>
      <c r="Q965" s="134"/>
      <c r="R965" s="12"/>
      <c r="AJ965" s="12"/>
    </row>
    <row r="966" ht="15.75" customHeight="1">
      <c r="B966" s="12"/>
      <c r="C966" s="7"/>
      <c r="E966" s="165"/>
      <c r="F966" s="165"/>
      <c r="G966" s="165"/>
      <c r="H966" s="165"/>
      <c r="I966" s="165"/>
      <c r="J966" s="165"/>
      <c r="K966" s="165"/>
      <c r="L966" s="165"/>
      <c r="M966" s="165"/>
      <c r="N966" s="165"/>
      <c r="O966" s="165"/>
      <c r="P966" s="165"/>
      <c r="Q966" s="134"/>
      <c r="R966" s="12"/>
      <c r="AJ966" s="12"/>
    </row>
    <row r="967" ht="15.75" customHeight="1">
      <c r="B967" s="12"/>
      <c r="C967" s="7"/>
      <c r="E967" s="165"/>
      <c r="F967" s="165"/>
      <c r="G967" s="165"/>
      <c r="H967" s="165"/>
      <c r="I967" s="165"/>
      <c r="J967" s="165"/>
      <c r="K967" s="165"/>
      <c r="L967" s="165"/>
      <c r="M967" s="165"/>
      <c r="N967" s="165"/>
      <c r="O967" s="165"/>
      <c r="P967" s="165"/>
      <c r="Q967" s="134"/>
      <c r="R967" s="12"/>
      <c r="AJ967" s="12"/>
    </row>
    <row r="968" ht="15.75" customHeight="1">
      <c r="B968" s="12"/>
      <c r="C968" s="7"/>
      <c r="E968" s="165"/>
      <c r="F968" s="165"/>
      <c r="G968" s="165"/>
      <c r="H968" s="165"/>
      <c r="I968" s="165"/>
      <c r="J968" s="165"/>
      <c r="K968" s="165"/>
      <c r="L968" s="165"/>
      <c r="M968" s="165"/>
      <c r="N968" s="165"/>
      <c r="O968" s="165"/>
      <c r="P968" s="165"/>
      <c r="Q968" s="134"/>
      <c r="R968" s="12"/>
      <c r="AJ968" s="12"/>
    </row>
    <row r="969" ht="15.75" customHeight="1">
      <c r="B969" s="12"/>
      <c r="C969" s="7"/>
      <c r="E969" s="165"/>
      <c r="F969" s="165"/>
      <c r="G969" s="165"/>
      <c r="H969" s="165"/>
      <c r="I969" s="165"/>
      <c r="J969" s="165"/>
      <c r="K969" s="165"/>
      <c r="L969" s="165"/>
      <c r="M969" s="165"/>
      <c r="N969" s="165"/>
      <c r="O969" s="165"/>
      <c r="P969" s="165"/>
      <c r="Q969" s="134"/>
      <c r="R969" s="12"/>
      <c r="AJ969" s="12"/>
    </row>
    <row r="970" ht="15.75" customHeight="1">
      <c r="B970" s="12"/>
      <c r="C970" s="7"/>
      <c r="E970" s="165"/>
      <c r="F970" s="165"/>
      <c r="G970" s="165"/>
      <c r="H970" s="165"/>
      <c r="I970" s="165"/>
      <c r="J970" s="165"/>
      <c r="K970" s="165"/>
      <c r="L970" s="165"/>
      <c r="M970" s="165"/>
      <c r="N970" s="165"/>
      <c r="O970" s="165"/>
      <c r="P970" s="165"/>
      <c r="Q970" s="134"/>
      <c r="R970" s="12"/>
      <c r="AJ970" s="12"/>
    </row>
    <row r="971" ht="15.75" customHeight="1">
      <c r="B971" s="12"/>
      <c r="C971" s="7"/>
      <c r="E971" s="165"/>
      <c r="F971" s="165"/>
      <c r="G971" s="165"/>
      <c r="H971" s="165"/>
      <c r="I971" s="165"/>
      <c r="J971" s="165"/>
      <c r="K971" s="165"/>
      <c r="L971" s="165"/>
      <c r="M971" s="165"/>
      <c r="N971" s="165"/>
      <c r="O971" s="165"/>
      <c r="P971" s="165"/>
      <c r="Q971" s="134"/>
      <c r="R971" s="12"/>
      <c r="AJ971" s="12"/>
    </row>
    <row r="972" ht="15.75" customHeight="1">
      <c r="B972" s="12"/>
      <c r="C972" s="7"/>
      <c r="E972" s="165"/>
      <c r="F972" s="165"/>
      <c r="G972" s="165"/>
      <c r="H972" s="165"/>
      <c r="I972" s="165"/>
      <c r="J972" s="165"/>
      <c r="K972" s="165"/>
      <c r="L972" s="165"/>
      <c r="M972" s="165"/>
      <c r="N972" s="165"/>
      <c r="O972" s="165"/>
      <c r="P972" s="165"/>
      <c r="Q972" s="134"/>
      <c r="R972" s="12"/>
      <c r="AJ972" s="12"/>
    </row>
    <row r="973" ht="15.75" customHeight="1">
      <c r="B973" s="12"/>
      <c r="C973" s="7"/>
      <c r="E973" s="165"/>
      <c r="F973" s="165"/>
      <c r="G973" s="165"/>
      <c r="H973" s="165"/>
      <c r="I973" s="165"/>
      <c r="J973" s="165"/>
      <c r="K973" s="165"/>
      <c r="L973" s="165"/>
      <c r="M973" s="165"/>
      <c r="N973" s="165"/>
      <c r="O973" s="165"/>
      <c r="P973" s="165"/>
      <c r="Q973" s="134"/>
      <c r="R973" s="12"/>
      <c r="AJ973" s="12"/>
    </row>
    <row r="974" ht="15.75" customHeight="1">
      <c r="B974" s="12"/>
      <c r="C974" s="7"/>
      <c r="E974" s="165"/>
      <c r="F974" s="165"/>
      <c r="G974" s="165"/>
      <c r="H974" s="165"/>
      <c r="I974" s="165"/>
      <c r="J974" s="165"/>
      <c r="K974" s="165"/>
      <c r="L974" s="165"/>
      <c r="M974" s="165"/>
      <c r="N974" s="165"/>
      <c r="O974" s="165"/>
      <c r="P974" s="165"/>
      <c r="Q974" s="134"/>
      <c r="R974" s="12"/>
      <c r="AJ974" s="12"/>
    </row>
    <row r="975" ht="15.75" customHeight="1">
      <c r="B975" s="12"/>
      <c r="C975" s="7"/>
      <c r="E975" s="165"/>
      <c r="F975" s="165"/>
      <c r="G975" s="165"/>
      <c r="H975" s="165"/>
      <c r="I975" s="165"/>
      <c r="J975" s="165"/>
      <c r="K975" s="165"/>
      <c r="L975" s="165"/>
      <c r="M975" s="165"/>
      <c r="N975" s="165"/>
      <c r="O975" s="165"/>
      <c r="P975" s="165"/>
      <c r="Q975" s="134"/>
      <c r="R975" s="12"/>
      <c r="AJ975" s="12"/>
    </row>
    <row r="976" ht="15.75" customHeight="1">
      <c r="B976" s="12"/>
      <c r="C976" s="7"/>
      <c r="E976" s="165"/>
      <c r="F976" s="165"/>
      <c r="G976" s="165"/>
      <c r="H976" s="165"/>
      <c r="I976" s="165"/>
      <c r="J976" s="165"/>
      <c r="K976" s="165"/>
      <c r="L976" s="165"/>
      <c r="M976" s="165"/>
      <c r="N976" s="165"/>
      <c r="O976" s="165"/>
      <c r="P976" s="165"/>
      <c r="Q976" s="134"/>
      <c r="R976" s="12"/>
      <c r="AJ976" s="12"/>
    </row>
    <row r="977" ht="15.75" customHeight="1">
      <c r="B977" s="12"/>
      <c r="C977" s="7"/>
      <c r="E977" s="165"/>
      <c r="F977" s="165"/>
      <c r="G977" s="165"/>
      <c r="H977" s="165"/>
      <c r="I977" s="165"/>
      <c r="J977" s="165"/>
      <c r="K977" s="165"/>
      <c r="L977" s="165"/>
      <c r="M977" s="165"/>
      <c r="N977" s="165"/>
      <c r="O977" s="165"/>
      <c r="P977" s="165"/>
      <c r="Q977" s="134"/>
      <c r="R977" s="12"/>
      <c r="AJ977" s="12"/>
    </row>
    <row r="978" ht="15.75" customHeight="1">
      <c r="B978" s="12"/>
      <c r="C978" s="7"/>
      <c r="E978" s="165"/>
      <c r="F978" s="165"/>
      <c r="G978" s="165"/>
      <c r="H978" s="165"/>
      <c r="I978" s="165"/>
      <c r="J978" s="165"/>
      <c r="K978" s="165"/>
      <c r="L978" s="165"/>
      <c r="M978" s="165"/>
      <c r="N978" s="165"/>
      <c r="O978" s="165"/>
      <c r="P978" s="165"/>
      <c r="Q978" s="134"/>
      <c r="R978" s="12"/>
      <c r="AJ978" s="12"/>
    </row>
    <row r="979" ht="15.75" customHeight="1">
      <c r="B979" s="12"/>
      <c r="C979" s="7"/>
      <c r="E979" s="165"/>
      <c r="F979" s="165"/>
      <c r="G979" s="165"/>
      <c r="H979" s="165"/>
      <c r="I979" s="165"/>
      <c r="J979" s="165"/>
      <c r="K979" s="165"/>
      <c r="L979" s="165"/>
      <c r="M979" s="165"/>
      <c r="N979" s="165"/>
      <c r="O979" s="165"/>
      <c r="P979" s="165"/>
      <c r="Q979" s="134"/>
      <c r="R979" s="12"/>
      <c r="AJ979" s="12"/>
    </row>
    <row r="980" ht="15.75" customHeight="1">
      <c r="B980" s="12"/>
      <c r="C980" s="7"/>
      <c r="E980" s="165"/>
      <c r="F980" s="165"/>
      <c r="G980" s="165"/>
      <c r="H980" s="165"/>
      <c r="I980" s="165"/>
      <c r="J980" s="165"/>
      <c r="K980" s="165"/>
      <c r="L980" s="165"/>
      <c r="M980" s="165"/>
      <c r="N980" s="165"/>
      <c r="O980" s="165"/>
      <c r="P980" s="165"/>
      <c r="Q980" s="134"/>
      <c r="R980" s="12"/>
      <c r="AJ980" s="12"/>
    </row>
    <row r="981" ht="15.75" customHeight="1">
      <c r="B981" s="12"/>
      <c r="C981" s="7"/>
      <c r="E981" s="165"/>
      <c r="F981" s="165"/>
      <c r="G981" s="165"/>
      <c r="H981" s="165"/>
      <c r="I981" s="165"/>
      <c r="J981" s="165"/>
      <c r="K981" s="165"/>
      <c r="L981" s="165"/>
      <c r="M981" s="165"/>
      <c r="N981" s="165"/>
      <c r="O981" s="165"/>
      <c r="P981" s="165"/>
      <c r="Q981" s="134"/>
      <c r="R981" s="12"/>
      <c r="AJ981" s="12"/>
    </row>
    <row r="982" ht="15.75" customHeight="1">
      <c r="B982" s="12"/>
      <c r="C982" s="7"/>
      <c r="E982" s="165"/>
      <c r="F982" s="165"/>
      <c r="G982" s="165"/>
      <c r="H982" s="165"/>
      <c r="I982" s="165"/>
      <c r="J982" s="165"/>
      <c r="K982" s="165"/>
      <c r="L982" s="165"/>
      <c r="M982" s="165"/>
      <c r="N982" s="165"/>
      <c r="O982" s="165"/>
      <c r="P982" s="165"/>
      <c r="Q982" s="134"/>
      <c r="R982" s="12"/>
      <c r="AJ982" s="12"/>
    </row>
    <row r="983" ht="15.75" customHeight="1">
      <c r="B983" s="12"/>
      <c r="C983" s="7"/>
      <c r="E983" s="165"/>
      <c r="F983" s="165"/>
      <c r="G983" s="165"/>
      <c r="H983" s="165"/>
      <c r="I983" s="165"/>
      <c r="J983" s="165"/>
      <c r="K983" s="165"/>
      <c r="L983" s="165"/>
      <c r="M983" s="165"/>
      <c r="N983" s="165"/>
      <c r="O983" s="165"/>
      <c r="P983" s="165"/>
      <c r="Q983" s="134"/>
      <c r="R983" s="12"/>
      <c r="AJ983" s="12"/>
    </row>
    <row r="984" ht="15.75" customHeight="1">
      <c r="B984" s="12"/>
      <c r="C984" s="7"/>
      <c r="E984" s="165"/>
      <c r="F984" s="165"/>
      <c r="G984" s="165"/>
      <c r="H984" s="165"/>
      <c r="I984" s="165"/>
      <c r="J984" s="165"/>
      <c r="K984" s="165"/>
      <c r="L984" s="165"/>
      <c r="M984" s="165"/>
      <c r="N984" s="165"/>
      <c r="O984" s="165"/>
      <c r="P984" s="165"/>
      <c r="Q984" s="134"/>
      <c r="R984" s="12"/>
      <c r="AJ984" s="12"/>
    </row>
    <row r="985" ht="15.75" customHeight="1">
      <c r="B985" s="12"/>
      <c r="C985" s="7"/>
      <c r="E985" s="165"/>
      <c r="F985" s="165"/>
      <c r="G985" s="165"/>
      <c r="H985" s="165"/>
      <c r="I985" s="165"/>
      <c r="J985" s="165"/>
      <c r="K985" s="165"/>
      <c r="L985" s="165"/>
      <c r="M985" s="165"/>
      <c r="N985" s="165"/>
      <c r="O985" s="165"/>
      <c r="P985" s="165"/>
      <c r="Q985" s="134"/>
      <c r="R985" s="12"/>
      <c r="AJ985" s="12"/>
    </row>
    <row r="986" ht="15.75" customHeight="1">
      <c r="B986" s="12"/>
      <c r="C986" s="7"/>
      <c r="E986" s="165"/>
      <c r="F986" s="165"/>
      <c r="G986" s="165"/>
      <c r="H986" s="165"/>
      <c r="I986" s="165"/>
      <c r="J986" s="165"/>
      <c r="K986" s="165"/>
      <c r="L986" s="165"/>
      <c r="M986" s="165"/>
      <c r="N986" s="165"/>
      <c r="O986" s="165"/>
      <c r="P986" s="165"/>
      <c r="Q986" s="134"/>
      <c r="R986" s="12"/>
      <c r="AJ986" s="12"/>
    </row>
    <row r="987" ht="15.75" customHeight="1">
      <c r="B987" s="12"/>
      <c r="C987" s="7"/>
      <c r="E987" s="165"/>
      <c r="F987" s="165"/>
      <c r="G987" s="165"/>
      <c r="H987" s="165"/>
      <c r="I987" s="165"/>
      <c r="J987" s="165"/>
      <c r="K987" s="165"/>
      <c r="L987" s="165"/>
      <c r="M987" s="165"/>
      <c r="N987" s="165"/>
      <c r="O987" s="165"/>
      <c r="P987" s="165"/>
      <c r="Q987" s="134"/>
      <c r="R987" s="12"/>
      <c r="AJ987" s="12"/>
    </row>
    <row r="988" ht="15.75" customHeight="1">
      <c r="B988" s="12"/>
      <c r="C988" s="7"/>
      <c r="E988" s="165"/>
      <c r="F988" s="165"/>
      <c r="G988" s="165"/>
      <c r="H988" s="165"/>
      <c r="I988" s="165"/>
      <c r="J988" s="165"/>
      <c r="K988" s="165"/>
      <c r="L988" s="165"/>
      <c r="M988" s="165"/>
      <c r="N988" s="165"/>
      <c r="O988" s="165"/>
      <c r="P988" s="165"/>
      <c r="Q988" s="134"/>
      <c r="R988" s="12"/>
      <c r="AJ988" s="12"/>
    </row>
    <row r="989" ht="15.75" customHeight="1">
      <c r="B989" s="12"/>
      <c r="C989" s="7"/>
      <c r="E989" s="165"/>
      <c r="F989" s="165"/>
      <c r="G989" s="165"/>
      <c r="H989" s="165"/>
      <c r="I989" s="165"/>
      <c r="J989" s="165"/>
      <c r="K989" s="165"/>
      <c r="L989" s="165"/>
      <c r="M989" s="165"/>
      <c r="N989" s="165"/>
      <c r="O989" s="165"/>
      <c r="P989" s="165"/>
      <c r="Q989" s="134"/>
      <c r="R989" s="12"/>
      <c r="AJ989" s="12"/>
    </row>
    <row r="990" ht="15.75" customHeight="1">
      <c r="B990" s="12"/>
      <c r="C990" s="7"/>
      <c r="E990" s="165"/>
      <c r="F990" s="165"/>
      <c r="G990" s="165"/>
      <c r="H990" s="165"/>
      <c r="I990" s="165"/>
      <c r="J990" s="165"/>
      <c r="K990" s="165"/>
      <c r="L990" s="165"/>
      <c r="M990" s="165"/>
      <c r="N990" s="165"/>
      <c r="O990" s="165"/>
      <c r="P990" s="165"/>
      <c r="Q990" s="134"/>
      <c r="R990" s="12"/>
      <c r="AJ990" s="12"/>
    </row>
    <row r="991" ht="15.75" customHeight="1">
      <c r="B991" s="12"/>
      <c r="C991" s="7"/>
      <c r="E991" s="165"/>
      <c r="F991" s="165"/>
      <c r="G991" s="165"/>
      <c r="H991" s="165"/>
      <c r="I991" s="165"/>
      <c r="J991" s="165"/>
      <c r="K991" s="165"/>
      <c r="L991" s="165"/>
      <c r="M991" s="165"/>
      <c r="N991" s="165"/>
      <c r="O991" s="165"/>
      <c r="P991" s="165"/>
      <c r="Q991" s="134"/>
      <c r="R991" s="12"/>
      <c r="AJ991" s="12"/>
    </row>
    <row r="992" ht="15.75" customHeight="1">
      <c r="B992" s="12"/>
      <c r="C992" s="7"/>
      <c r="E992" s="165"/>
      <c r="F992" s="165"/>
      <c r="G992" s="165"/>
      <c r="H992" s="165"/>
      <c r="I992" s="165"/>
      <c r="J992" s="165"/>
      <c r="K992" s="165"/>
      <c r="L992" s="165"/>
      <c r="M992" s="165"/>
      <c r="N992" s="165"/>
      <c r="O992" s="165"/>
      <c r="P992" s="165"/>
      <c r="Q992" s="134"/>
      <c r="R992" s="12"/>
      <c r="AJ992" s="12"/>
    </row>
    <row r="993" ht="15.75" customHeight="1">
      <c r="B993" s="12"/>
      <c r="C993" s="7"/>
      <c r="E993" s="165"/>
      <c r="F993" s="165"/>
      <c r="G993" s="165"/>
      <c r="H993" s="165"/>
      <c r="I993" s="165"/>
      <c r="J993" s="165"/>
      <c r="K993" s="165"/>
      <c r="L993" s="165"/>
      <c r="M993" s="165"/>
      <c r="N993" s="165"/>
      <c r="O993" s="165"/>
      <c r="P993" s="165"/>
      <c r="Q993" s="134"/>
      <c r="R993" s="12"/>
      <c r="AJ993" s="12"/>
    </row>
    <row r="994" ht="15.75" customHeight="1">
      <c r="B994" s="12"/>
      <c r="C994" s="7"/>
      <c r="E994" s="165"/>
      <c r="F994" s="165"/>
      <c r="G994" s="165"/>
      <c r="H994" s="165"/>
      <c r="I994" s="165"/>
      <c r="J994" s="165"/>
      <c r="K994" s="165"/>
      <c r="L994" s="165"/>
      <c r="M994" s="165"/>
      <c r="N994" s="165"/>
      <c r="O994" s="165"/>
      <c r="P994" s="165"/>
      <c r="Q994" s="134"/>
      <c r="R994" s="12"/>
      <c r="AJ994" s="12"/>
    </row>
    <row r="995" ht="15.75" customHeight="1">
      <c r="B995" s="12"/>
      <c r="C995" s="7"/>
      <c r="E995" s="165"/>
      <c r="F995" s="165"/>
      <c r="G995" s="165"/>
      <c r="H995" s="165"/>
      <c r="I995" s="165"/>
      <c r="J995" s="165"/>
      <c r="K995" s="165"/>
      <c r="L995" s="165"/>
      <c r="M995" s="165"/>
      <c r="N995" s="165"/>
      <c r="O995" s="165"/>
      <c r="P995" s="165"/>
      <c r="Q995" s="134"/>
      <c r="R995" s="12"/>
      <c r="AJ995" s="12"/>
    </row>
    <row r="996" ht="15.75" customHeight="1">
      <c r="B996" s="12"/>
      <c r="C996" s="7"/>
      <c r="E996" s="165"/>
      <c r="F996" s="165"/>
      <c r="G996" s="165"/>
      <c r="H996" s="165"/>
      <c r="I996" s="165"/>
      <c r="J996" s="165"/>
      <c r="K996" s="165"/>
      <c r="L996" s="165"/>
      <c r="M996" s="165"/>
      <c r="N996" s="165"/>
      <c r="O996" s="165"/>
      <c r="P996" s="165"/>
      <c r="Q996" s="134"/>
      <c r="R996" s="12"/>
      <c r="AJ996" s="12"/>
    </row>
    <row r="997" ht="15.75" customHeight="1">
      <c r="B997" s="12"/>
      <c r="C997" s="7"/>
      <c r="E997" s="165"/>
      <c r="F997" s="165"/>
      <c r="G997" s="165"/>
      <c r="H997" s="165"/>
      <c r="I997" s="165"/>
      <c r="J997" s="165"/>
      <c r="K997" s="165"/>
      <c r="L997" s="165"/>
      <c r="M997" s="165"/>
      <c r="N997" s="165"/>
      <c r="O997" s="165"/>
      <c r="P997" s="165"/>
      <c r="Q997" s="134"/>
      <c r="R997" s="12"/>
      <c r="AJ997" s="12"/>
    </row>
    <row r="998" ht="15.75" customHeight="1">
      <c r="B998" s="12"/>
      <c r="C998" s="7"/>
      <c r="E998" s="165"/>
      <c r="F998" s="165"/>
      <c r="G998" s="165"/>
      <c r="H998" s="165"/>
      <c r="I998" s="165"/>
      <c r="J998" s="165"/>
      <c r="K998" s="165"/>
      <c r="L998" s="165"/>
      <c r="M998" s="165"/>
      <c r="N998" s="165"/>
      <c r="O998" s="165"/>
      <c r="P998" s="165"/>
      <c r="Q998" s="134"/>
      <c r="R998" s="12"/>
      <c r="AJ998" s="12"/>
    </row>
    <row r="999" ht="15.75" customHeight="1">
      <c r="B999" s="12"/>
      <c r="C999" s="7"/>
      <c r="E999" s="165"/>
      <c r="F999" s="165"/>
      <c r="G999" s="165"/>
      <c r="H999" s="165"/>
      <c r="I999" s="165"/>
      <c r="J999" s="165"/>
      <c r="K999" s="165"/>
      <c r="L999" s="165"/>
      <c r="M999" s="165"/>
      <c r="N999" s="165"/>
      <c r="O999" s="165"/>
      <c r="P999" s="165"/>
      <c r="Q999" s="134"/>
      <c r="R999" s="12"/>
      <c r="AJ999" s="12"/>
    </row>
    <row r="1000" ht="15.75" customHeight="1">
      <c r="B1000" s="12"/>
      <c r="C1000" s="7"/>
      <c r="E1000" s="165"/>
      <c r="F1000" s="165"/>
      <c r="G1000" s="165"/>
      <c r="H1000" s="165"/>
      <c r="I1000" s="165"/>
      <c r="J1000" s="165"/>
      <c r="K1000" s="165"/>
      <c r="L1000" s="165"/>
      <c r="M1000" s="165"/>
      <c r="N1000" s="165"/>
      <c r="O1000" s="165"/>
      <c r="P1000" s="165"/>
      <c r="Q1000" s="134"/>
      <c r="R1000" s="12"/>
      <c r="AJ1000" s="12"/>
    </row>
  </sheetData>
  <mergeCells count="4">
    <mergeCell ref="E45:G45"/>
    <mergeCell ref="I45:L45"/>
    <mergeCell ref="N45:R45"/>
    <mergeCell ref="N56:R56"/>
  </mergeCells>
  <conditionalFormatting sqref="N58:P65">
    <cfRule type="expression" dxfId="3" priority="1">
      <formula>MOD(ROW(),2)=0</formula>
    </cfRule>
  </conditionalFormatting>
  <conditionalFormatting sqref="N47:R54">
    <cfRule type="expression" dxfId="3" priority="2">
      <formula>MOD(ROW(),2)=1</formula>
    </cfRule>
  </conditionalFormatting>
  <printOptions/>
  <pageMargins bottom="0.42" footer="0.0" header="0.0" left="0.16" right="0.19" top="0.32"/>
  <pageSetup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showGridLines="0" workbookViewId="0"/>
  </sheetViews>
  <sheetFormatPr customHeight="1" defaultColWidth="12.63" defaultRowHeight="15.0"/>
  <cols>
    <col customWidth="1" min="1" max="1" width="25.63"/>
    <col customWidth="1" min="2" max="2" width="12.38"/>
    <col customWidth="1" min="3" max="3" width="6.88"/>
    <col customWidth="1" min="4" max="4" width="11.25"/>
    <col customWidth="1" min="5" max="6" width="11.13"/>
    <col customWidth="1" min="7" max="7" width="9.88"/>
    <col customWidth="1" min="8" max="26" width="7.75"/>
  </cols>
  <sheetData>
    <row r="1" ht="27.75" customHeight="1">
      <c r="A1" s="1" t="s">
        <v>269</v>
      </c>
      <c r="B1" s="1"/>
      <c r="C1" s="1"/>
      <c r="D1" s="209"/>
      <c r="E1" s="2"/>
      <c r="F1" s="1"/>
    </row>
    <row r="2" ht="17.25" customHeight="1">
      <c r="A2" s="8" t="str">
        <f>IF(ISBLANK(Company_Name),"Capital Requirements",Company_Name&amp;"| Capital Requirements")</f>
        <v>OTW Paints| Capital Requirements</v>
      </c>
      <c r="B2" s="10"/>
      <c r="C2" s="10"/>
      <c r="D2" s="10"/>
      <c r="E2" s="10"/>
      <c r="F2" s="10"/>
      <c r="G2" s="10"/>
      <c r="H2" s="16"/>
      <c r="I2" s="16"/>
      <c r="J2" s="16"/>
      <c r="K2" s="16"/>
      <c r="L2" s="16"/>
      <c r="M2" s="16"/>
      <c r="N2" s="16"/>
      <c r="O2" s="16"/>
      <c r="P2" s="16"/>
      <c r="Q2" s="16"/>
      <c r="R2" s="16"/>
      <c r="S2" s="16"/>
      <c r="T2" s="16"/>
      <c r="U2" s="16"/>
      <c r="V2" s="16"/>
      <c r="W2" s="16"/>
      <c r="X2" s="16"/>
      <c r="Y2" s="16"/>
      <c r="Z2" s="16"/>
    </row>
    <row r="3" ht="16.5" customHeight="1">
      <c r="A3" s="11"/>
      <c r="B3" s="11"/>
      <c r="C3" s="11"/>
      <c r="D3" s="11"/>
      <c r="E3" s="210" t="str">
        <f>"Financial Projections Start Date: "&amp;TEXT(Projected_Start_Date,"mm/dd/yy")</f>
        <v>Financial Projections Start Date: 01/01/16</v>
      </c>
      <c r="F3" s="129"/>
      <c r="G3" s="130"/>
      <c r="O3" s="16"/>
    </row>
    <row r="4">
      <c r="D4" s="211"/>
      <c r="E4" s="7"/>
    </row>
    <row r="5">
      <c r="A5" s="212" t="s">
        <v>270</v>
      </c>
      <c r="D5" s="211"/>
      <c r="E5" s="7"/>
      <c r="K5" s="213"/>
    </row>
    <row r="6" ht="31.5" customHeight="1">
      <c r="A6" s="214" t="s">
        <v>271</v>
      </c>
      <c r="B6" s="19"/>
      <c r="C6" s="19"/>
      <c r="D6" s="215" t="s">
        <v>272</v>
      </c>
      <c r="E6" s="216"/>
      <c r="F6" s="216"/>
      <c r="G6" s="217"/>
      <c r="J6" s="218" t="str">
        <f>IF(D8&gt;=1,"Funding Obtained!","You have "&amp;TEXT(D8,"0.00%")&amp;" of your goal.")</f>
        <v>Funding Obtained!</v>
      </c>
    </row>
    <row r="7">
      <c r="A7" s="105"/>
      <c r="B7" s="12"/>
      <c r="D7" s="211"/>
      <c r="E7" s="7"/>
      <c r="F7" s="12"/>
      <c r="G7" s="219"/>
    </row>
    <row r="8">
      <c r="A8" s="220" t="s">
        <v>273</v>
      </c>
      <c r="B8" s="153">
        <f>'Expenses Summary'!B44</f>
        <v>20060</v>
      </c>
      <c r="C8" s="12"/>
      <c r="D8" s="223">
        <f>IF(F29&gt;0,1,IFERROR(1-(B29/'Expenses Summary'!B44),0))</f>
        <v>1</v>
      </c>
      <c r="E8" s="223" t="s">
        <v>276</v>
      </c>
      <c r="F8" s="224"/>
      <c r="G8" s="219"/>
    </row>
    <row r="9">
      <c r="A9" s="105"/>
      <c r="B9" s="153"/>
      <c r="C9" s="12"/>
      <c r="D9" s="226"/>
      <c r="E9" s="228"/>
      <c r="F9" s="230"/>
      <c r="G9" s="219"/>
    </row>
    <row r="10">
      <c r="A10" s="232" t="s">
        <v>278</v>
      </c>
      <c r="B10" s="153"/>
      <c r="D10" s="211"/>
      <c r="E10" s="7"/>
      <c r="F10" s="12"/>
      <c r="G10" s="219"/>
    </row>
    <row r="11">
      <c r="A11" s="220" t="s">
        <v>279</v>
      </c>
      <c r="B11" s="234"/>
      <c r="C11" s="12"/>
      <c r="D11" s="236" t="s">
        <v>280</v>
      </c>
      <c r="E11" s="234"/>
      <c r="F11" s="234"/>
      <c r="G11" s="219"/>
    </row>
    <row r="12">
      <c r="A12" s="86" t="s">
        <v>281</v>
      </c>
      <c r="B12" s="153">
        <f>'A. Background'!D49</f>
        <v>10000</v>
      </c>
      <c r="C12" s="12"/>
      <c r="D12" s="237" t="s">
        <v>282</v>
      </c>
      <c r="E12" s="7"/>
      <c r="F12" s="238">
        <f>'A. Background'!$D$52</f>
        <v>40000</v>
      </c>
      <c r="G12" s="219"/>
    </row>
    <row r="13">
      <c r="A13" s="86" t="s">
        <v>283</v>
      </c>
      <c r="B13" s="153">
        <f>'A. Background'!D50</f>
        <v>0</v>
      </c>
      <c r="C13" s="12"/>
      <c r="D13" s="211"/>
      <c r="E13" s="7"/>
      <c r="F13" s="12"/>
      <c r="G13" s="219"/>
    </row>
    <row r="14">
      <c r="A14" s="239"/>
      <c r="B14" s="153"/>
      <c r="C14" s="12"/>
      <c r="D14" s="211"/>
      <c r="E14" s="7"/>
      <c r="F14" s="12"/>
      <c r="G14" s="219"/>
    </row>
    <row r="15">
      <c r="A15" s="232" t="s">
        <v>284</v>
      </c>
      <c r="B15" s="153"/>
      <c r="F15" s="12"/>
      <c r="G15" s="219"/>
    </row>
    <row r="16">
      <c r="A16" s="220" t="s">
        <v>285</v>
      </c>
      <c r="B16" s="234"/>
      <c r="C16" s="12"/>
      <c r="D16" s="236" t="s">
        <v>286</v>
      </c>
      <c r="E16" s="234"/>
      <c r="F16" s="241"/>
      <c r="G16" s="219"/>
    </row>
    <row r="17">
      <c r="A17" s="86" t="s">
        <v>287</v>
      </c>
      <c r="B17" s="153">
        <f>'F. Capital Required'!Total_Debt_Funds</f>
        <v>0</v>
      </c>
      <c r="C17" s="12"/>
      <c r="D17" s="237" t="s">
        <v>288</v>
      </c>
      <c r="E17" s="7"/>
      <c r="F17" s="238">
        <f>'A. Background'!D51</f>
        <v>20000</v>
      </c>
      <c r="G17" s="219"/>
    </row>
    <row r="18">
      <c r="A18" s="86"/>
      <c r="C18" s="12"/>
      <c r="D18" s="211"/>
      <c r="E18" s="7"/>
      <c r="F18" s="12"/>
      <c r="G18" s="219"/>
    </row>
    <row r="19">
      <c r="A19" s="53" t="s">
        <v>289</v>
      </c>
      <c r="B19" s="55" t="s">
        <v>290</v>
      </c>
      <c r="C19" s="55" t="s">
        <v>176</v>
      </c>
      <c r="D19" s="244" t="s">
        <v>291</v>
      </c>
      <c r="E19" s="57" t="s">
        <v>292</v>
      </c>
      <c r="F19" s="57" t="s">
        <v>293</v>
      </c>
      <c r="G19" s="59" t="s">
        <v>294</v>
      </c>
    </row>
    <row r="20">
      <c r="A20" s="86" t="s">
        <v>295</v>
      </c>
      <c r="B20" s="238"/>
      <c r="C20" s="12"/>
      <c r="D20" s="245">
        <v>0.0</v>
      </c>
      <c r="E20" s="246">
        <v>0.0</v>
      </c>
      <c r="F20" s="69">
        <f>IFERROR(ABS(PMT(D20/12,E20,'F. Capital Required'!Business_Loans)),0)</f>
        <v>0</v>
      </c>
      <c r="G20" s="247">
        <v>42370.0</v>
      </c>
      <c r="H20" s="38" t="s">
        <v>296</v>
      </c>
    </row>
    <row r="21" ht="15.75" customHeight="1">
      <c r="A21" s="86" t="s">
        <v>297</v>
      </c>
      <c r="B21" s="238"/>
      <c r="C21" s="12"/>
      <c r="D21" s="245">
        <v>0.0</v>
      </c>
      <c r="E21" s="246">
        <v>0.0</v>
      </c>
      <c r="F21" s="69">
        <f>IFERROR(ABS(PMT(D21/12,E21,'F. Capital Required'!Commercial_Mortgages)),0)</f>
        <v>0</v>
      </c>
      <c r="G21" s="247">
        <v>42371.0</v>
      </c>
    </row>
    <row r="22" ht="15.75" customHeight="1">
      <c r="A22" s="86" t="s">
        <v>298</v>
      </c>
      <c r="B22" s="238"/>
      <c r="C22" s="12"/>
      <c r="D22" s="245">
        <v>0.0</v>
      </c>
      <c r="E22" s="246">
        <v>0.0</v>
      </c>
      <c r="F22" s="69">
        <f>IFERROR(ABS(PMT(D22/12,E22,Vehicle_Loans)),0)</f>
        <v>0</v>
      </c>
      <c r="G22" s="247">
        <v>42372.0</v>
      </c>
    </row>
    <row r="23" ht="15.75" customHeight="1">
      <c r="A23" s="248" t="s">
        <v>300</v>
      </c>
      <c r="B23" s="238"/>
      <c r="C23" s="12"/>
      <c r="D23" s="245">
        <v>0.0</v>
      </c>
      <c r="E23" s="246">
        <v>0.0</v>
      </c>
      <c r="F23" s="69">
        <f>IFERROR(ABS(PMT(D23/12,E23,CreditCard_CashAdvance)),0)</f>
        <v>0</v>
      </c>
      <c r="G23" s="247">
        <v>42373.0</v>
      </c>
    </row>
    <row r="24" ht="15.75" customHeight="1">
      <c r="A24" s="86" t="s">
        <v>302</v>
      </c>
      <c r="B24" s="238"/>
      <c r="C24" s="12"/>
      <c r="D24" s="245">
        <v>0.0</v>
      </c>
      <c r="E24" s="246">
        <v>0.0</v>
      </c>
      <c r="F24" s="69">
        <f>IFERROR(ABS(PMT(D24/12,E24,Other_Debt)),0)</f>
        <v>0</v>
      </c>
      <c r="G24" s="247">
        <v>42374.0</v>
      </c>
    </row>
    <row r="25" ht="15.75" customHeight="1">
      <c r="A25" s="249" t="s">
        <v>304</v>
      </c>
      <c r="B25" s="153">
        <f>SUM(B20:B24)</f>
        <v>0</v>
      </c>
      <c r="C25" s="12"/>
      <c r="D25" s="211"/>
      <c r="E25" s="7"/>
      <c r="F25" s="12"/>
      <c r="G25" s="219"/>
    </row>
    <row r="26" ht="15.75" customHeight="1">
      <c r="A26" s="249"/>
      <c r="B26" s="153"/>
      <c r="C26" s="12"/>
      <c r="D26" s="211"/>
      <c r="E26" s="7"/>
      <c r="F26" s="12"/>
      <c r="G26" s="219"/>
    </row>
    <row r="27" ht="15.75" customHeight="1">
      <c r="A27" s="249"/>
      <c r="B27" s="153"/>
      <c r="C27" s="12"/>
      <c r="D27" s="211"/>
      <c r="E27" s="7"/>
      <c r="F27" s="12"/>
      <c r="G27" s="219"/>
    </row>
    <row r="28" ht="15.75" customHeight="1">
      <c r="A28" s="250" t="s">
        <v>305</v>
      </c>
      <c r="B28" s="153"/>
      <c r="C28" s="12"/>
      <c r="D28" s="211"/>
      <c r="E28" s="7"/>
      <c r="F28" s="12"/>
      <c r="G28" s="219"/>
    </row>
    <row r="29" ht="15.75" customHeight="1">
      <c r="A29" s="251" t="s">
        <v>306</v>
      </c>
      <c r="B29" s="252" t="str">
        <f>IF((B8-SUM(B12:B13,F12)-B17)&gt;0,(B8-SUM(B12:B13,F12,F17)-B17),"")</f>
        <v/>
      </c>
      <c r="C29" s="253"/>
      <c r="D29" s="254" t="s">
        <v>307</v>
      </c>
      <c r="E29" s="255"/>
      <c r="F29" s="256">
        <f>IF((B8-SUM(B12:B13)-B17)&lt;=0,ABS((B8-SUM(B12:B13)-B17)),0)</f>
        <v>0</v>
      </c>
      <c r="G29" s="258"/>
    </row>
    <row r="30" ht="15.75" customHeight="1">
      <c r="D30" s="211"/>
      <c r="E30" s="7"/>
    </row>
    <row r="31" ht="15.75" customHeight="1">
      <c r="D31" s="211"/>
      <c r="E31" s="7"/>
    </row>
    <row r="32" ht="15.75" customHeight="1">
      <c r="A32" s="17" t="s">
        <v>308</v>
      </c>
      <c r="B32" s="259">
        <f>DATE(YEAR(Projected_Start_Date),1,1)</f>
        <v>42370</v>
      </c>
      <c r="C32" s="259"/>
      <c r="D32" s="259">
        <f>DATE(YEAR(Projected_Start_Date)+1,1,1)</f>
        <v>42736</v>
      </c>
      <c r="E32" s="259">
        <f>DATE(YEAR(Projected_Start_Date)+2,1,1)</f>
        <v>43101</v>
      </c>
      <c r="F32" s="259">
        <f>DATE(YEAR(Projected_Start_Date)+3,1,1)</f>
        <v>43466</v>
      </c>
      <c r="G32" s="259">
        <f>DATE(YEAR(Projected_Start_Date)+4,1,1)</f>
        <v>43831</v>
      </c>
    </row>
    <row r="33" ht="15.75" customHeight="1">
      <c r="A33" s="53"/>
      <c r="B33" s="12"/>
      <c r="C33" s="12"/>
      <c r="D33" s="211"/>
      <c r="E33" s="7"/>
      <c r="F33" s="12"/>
      <c r="G33" s="219"/>
    </row>
    <row r="34" ht="15.75" customHeight="1">
      <c r="A34" s="249" t="s">
        <v>309</v>
      </c>
      <c r="B34" s="153">
        <f>'5-Year Projection'!B14</f>
        <v>63750</v>
      </c>
      <c r="C34" s="12"/>
      <c r="D34" s="153">
        <f>'5-Year Projection'!C14</f>
        <v>111562.5</v>
      </c>
      <c r="E34" s="153">
        <f>'5-Year Projection'!D14</f>
        <v>234281.25</v>
      </c>
      <c r="F34" s="153">
        <f>'5-Year Projection'!E14</f>
        <v>585703.125</v>
      </c>
      <c r="G34" s="261">
        <f>'5-Year Projection'!F14</f>
        <v>1903535.156</v>
      </c>
    </row>
    <row r="35" ht="15.75" customHeight="1">
      <c r="A35" s="249" t="s">
        <v>131</v>
      </c>
      <c r="B35" s="153">
        <f>'5-Year Projection'!B25+'5-Year Projection'!B30+'5-Year Projection'!B68+'5-Year Projection'!B74+'5-Year Projection'!B77</f>
        <v>108375.0718</v>
      </c>
      <c r="D35" s="153">
        <f>'5-Year Projection'!C25+'5-Year Projection'!C30+'5-Year Projection'!C68+'5-Year Projection'!C74+'5-Year Projection'!C77</f>
        <v>127782.5</v>
      </c>
      <c r="E35" s="153">
        <f>'5-Year Projection'!D25+'5-Year Projection'!D30+'5-Year Projection'!D68+'5-Year Projection'!D74+'5-Year Projection'!D77</f>
        <v>171563.75</v>
      </c>
      <c r="F35" s="153">
        <f>'5-Year Projection'!E25+'5-Year Projection'!E30+'5-Year Projection'!E68+'5-Year Projection'!E74+'5-Year Projection'!E77</f>
        <v>289808.9906</v>
      </c>
      <c r="G35" s="261">
        <f>'5-Year Projection'!F25+'5-Year Projection'!F30+'5-Year Projection'!F68+'5-Year Projection'!F74+'5-Year Projection'!F77</f>
        <v>723077.1745</v>
      </c>
    </row>
    <row r="36" ht="15.75" customHeight="1">
      <c r="A36" s="267" t="s">
        <v>312</v>
      </c>
      <c r="B36" s="270">
        <f>B34-B35</f>
        <v>-44625.07184</v>
      </c>
      <c r="C36" s="272"/>
      <c r="D36" s="270">
        <f t="shared" ref="D36:G36" si="1">D34-D35</f>
        <v>-16220</v>
      </c>
      <c r="E36" s="270">
        <f t="shared" si="1"/>
        <v>62717.5</v>
      </c>
      <c r="F36" s="270">
        <f t="shared" si="1"/>
        <v>295894.1344</v>
      </c>
      <c r="G36" s="276">
        <f t="shared" si="1"/>
        <v>1180457.982</v>
      </c>
    </row>
    <row r="37" ht="15.75" customHeight="1">
      <c r="D37" s="211"/>
      <c r="E37" s="7"/>
    </row>
    <row r="38" ht="15.75" customHeight="1">
      <c r="D38" s="211"/>
      <c r="E38" s="7"/>
    </row>
    <row r="39" ht="15.75" customHeight="1">
      <c r="D39" s="211"/>
      <c r="E39" s="7"/>
    </row>
    <row r="40" ht="15.75" customHeight="1">
      <c r="D40" s="211"/>
      <c r="E40" s="7"/>
    </row>
    <row r="41" ht="13.5" customHeight="1">
      <c r="D41" s="211"/>
      <c r="E41" s="7"/>
    </row>
    <row r="42" ht="15.75" customHeight="1">
      <c r="D42" s="211"/>
      <c r="E42" s="7"/>
    </row>
    <row r="43" ht="15.75" customHeight="1">
      <c r="D43" s="211"/>
      <c r="E43" s="7"/>
    </row>
    <row r="44" ht="15.75" customHeight="1">
      <c r="D44" s="211"/>
      <c r="E44" s="7"/>
    </row>
    <row r="45" ht="15.75" customHeight="1">
      <c r="D45" s="211"/>
      <c r="E45" s="7"/>
    </row>
    <row r="46" ht="15.75" customHeight="1">
      <c r="D46" s="211"/>
      <c r="E46" s="7"/>
    </row>
    <row r="47" ht="15.75" customHeight="1">
      <c r="D47" s="211"/>
      <c r="E47" s="7"/>
    </row>
    <row r="48" ht="15.75" customHeight="1">
      <c r="D48" s="211"/>
      <c r="E48" s="7"/>
    </row>
    <row r="49" ht="15.75" customHeight="1">
      <c r="D49" s="211"/>
      <c r="E49" s="7"/>
    </row>
    <row r="50" ht="15.75" customHeight="1">
      <c r="D50" s="211"/>
      <c r="E50" s="7"/>
    </row>
    <row r="51" ht="15.75" customHeight="1">
      <c r="D51" s="211"/>
      <c r="E51" s="7"/>
    </row>
    <row r="52" ht="15.75" customHeight="1">
      <c r="D52" s="211"/>
      <c r="E52" s="7"/>
    </row>
    <row r="53" ht="15.75" customHeight="1">
      <c r="D53" s="211"/>
      <c r="E53" s="7"/>
    </row>
    <row r="54" ht="15.75" customHeight="1">
      <c r="D54" s="211"/>
      <c r="E54" s="7"/>
    </row>
    <row r="55" ht="15.75" customHeight="1">
      <c r="D55" s="211"/>
      <c r="E55" s="7"/>
    </row>
    <row r="56" ht="15.75" customHeight="1">
      <c r="D56" s="211"/>
      <c r="E56" s="7"/>
    </row>
    <row r="57" ht="15.75" customHeight="1">
      <c r="D57" s="211"/>
      <c r="E57" s="7"/>
    </row>
    <row r="58" ht="15.75" customHeight="1">
      <c r="D58" s="211"/>
      <c r="E58" s="7"/>
    </row>
    <row r="59" ht="15.75" customHeight="1">
      <c r="D59" s="211"/>
      <c r="E59" s="7"/>
    </row>
    <row r="60" ht="15.75" customHeight="1">
      <c r="D60" s="211"/>
      <c r="E60" s="7"/>
    </row>
    <row r="61" ht="15.75" customHeight="1">
      <c r="D61" s="211"/>
      <c r="E61" s="7"/>
    </row>
    <row r="62" ht="15.75" customHeight="1">
      <c r="D62" s="211"/>
      <c r="E62" s="7"/>
    </row>
    <row r="63" ht="15.75" customHeight="1">
      <c r="D63" s="211"/>
      <c r="E63" s="7"/>
    </row>
    <row r="64" ht="15.75" customHeight="1">
      <c r="D64" s="211"/>
      <c r="E64" s="7"/>
    </row>
    <row r="65" ht="15.75" customHeight="1">
      <c r="D65" s="211"/>
      <c r="E65" s="7"/>
    </row>
    <row r="66" ht="15.75" customHeight="1">
      <c r="D66" s="211"/>
      <c r="E66" s="7"/>
    </row>
    <row r="67" ht="15.75" customHeight="1">
      <c r="D67" s="211"/>
      <c r="E67" s="7"/>
    </row>
    <row r="68" ht="15.75" customHeight="1">
      <c r="D68" s="211"/>
      <c r="E68" s="7"/>
    </row>
    <row r="69" ht="15.75" customHeight="1">
      <c r="D69" s="211"/>
      <c r="E69" s="7"/>
    </row>
    <row r="70" ht="15.75" customHeight="1">
      <c r="D70" s="211"/>
      <c r="E70" s="7"/>
    </row>
    <row r="71" ht="15.75" customHeight="1">
      <c r="D71" s="211"/>
      <c r="E71" s="7"/>
    </row>
    <row r="72" ht="15.75" customHeight="1">
      <c r="D72" s="211"/>
      <c r="E72" s="7"/>
    </row>
    <row r="73" ht="15.75" customHeight="1">
      <c r="D73" s="211"/>
      <c r="E73" s="7"/>
    </row>
    <row r="74" ht="15.75" customHeight="1">
      <c r="D74" s="211"/>
      <c r="E74" s="7"/>
    </row>
    <row r="75" ht="15.75" customHeight="1">
      <c r="D75" s="211"/>
      <c r="E75" s="7"/>
    </row>
    <row r="76" ht="15.75" customHeight="1">
      <c r="D76" s="211"/>
      <c r="E76" s="7"/>
    </row>
    <row r="77" ht="15.75" customHeight="1">
      <c r="D77" s="211"/>
      <c r="E77" s="7"/>
    </row>
    <row r="78" ht="15.75" customHeight="1">
      <c r="D78" s="211"/>
      <c r="E78" s="7"/>
    </row>
    <row r="79" ht="15.75" customHeight="1">
      <c r="D79" s="211"/>
      <c r="E79" s="7"/>
    </row>
    <row r="80" ht="15.75" customHeight="1">
      <c r="D80" s="211"/>
      <c r="E80" s="7"/>
    </row>
    <row r="81" ht="15.75" customHeight="1">
      <c r="D81" s="211"/>
      <c r="E81" s="7"/>
    </row>
    <row r="82" ht="15.75" customHeight="1">
      <c r="D82" s="211"/>
      <c r="E82" s="7"/>
    </row>
    <row r="83" ht="15.75" customHeight="1">
      <c r="D83" s="211"/>
      <c r="E83" s="7"/>
    </row>
    <row r="84" ht="15.75" customHeight="1">
      <c r="D84" s="211"/>
      <c r="E84" s="7"/>
    </row>
    <row r="85" ht="15.75" customHeight="1">
      <c r="D85" s="211"/>
      <c r="E85" s="7"/>
    </row>
    <row r="86" ht="15.75" customHeight="1">
      <c r="D86" s="211"/>
      <c r="E86" s="7"/>
    </row>
    <row r="87" ht="15.75" customHeight="1">
      <c r="D87" s="211"/>
      <c r="E87" s="7"/>
    </row>
    <row r="88" ht="15.75" customHeight="1">
      <c r="D88" s="211"/>
      <c r="E88" s="7"/>
    </row>
    <row r="89" ht="15.75" customHeight="1">
      <c r="D89" s="211"/>
      <c r="E89" s="7"/>
    </row>
    <row r="90" ht="15.75" customHeight="1">
      <c r="D90" s="211"/>
      <c r="E90" s="7"/>
    </row>
    <row r="91" ht="15.75" customHeight="1">
      <c r="D91" s="211"/>
      <c r="E91" s="7"/>
    </row>
    <row r="92" ht="15.75" customHeight="1">
      <c r="D92" s="211"/>
      <c r="E92" s="7"/>
    </row>
    <row r="93" ht="15.75" customHeight="1">
      <c r="D93" s="211"/>
      <c r="E93" s="7"/>
    </row>
    <row r="94" ht="15.75" customHeight="1">
      <c r="D94" s="211"/>
      <c r="E94" s="7"/>
    </row>
    <row r="95" ht="15.75" customHeight="1">
      <c r="D95" s="211"/>
      <c r="E95" s="7"/>
    </row>
    <row r="96" ht="15.75" customHeight="1">
      <c r="D96" s="211"/>
      <c r="E96" s="7"/>
    </row>
    <row r="97" ht="15.75" customHeight="1">
      <c r="D97" s="211"/>
      <c r="E97" s="7"/>
    </row>
    <row r="98" ht="15.75" customHeight="1">
      <c r="D98" s="211"/>
      <c r="E98" s="7"/>
    </row>
    <row r="99" ht="15.75" customHeight="1">
      <c r="D99" s="211"/>
      <c r="E99" s="7"/>
    </row>
    <row r="100" ht="15.75" customHeight="1">
      <c r="D100" s="211"/>
      <c r="E100" s="7"/>
    </row>
    <row r="101" ht="15.75" customHeight="1">
      <c r="D101" s="211"/>
      <c r="E101" s="7"/>
    </row>
    <row r="102" ht="15.75" customHeight="1">
      <c r="D102" s="211"/>
      <c r="E102" s="7"/>
    </row>
    <row r="103" ht="15.75" customHeight="1">
      <c r="D103" s="211"/>
      <c r="E103" s="7"/>
    </row>
    <row r="104" ht="15.75" customHeight="1">
      <c r="D104" s="211"/>
      <c r="E104" s="7"/>
    </row>
    <row r="105" ht="15.75" customHeight="1">
      <c r="D105" s="211"/>
      <c r="E105" s="7"/>
    </row>
    <row r="106" ht="15.75" customHeight="1">
      <c r="D106" s="211"/>
      <c r="E106" s="7"/>
    </row>
    <row r="107" ht="15.75" customHeight="1">
      <c r="D107" s="211"/>
      <c r="E107" s="7"/>
    </row>
    <row r="108" ht="15.75" customHeight="1">
      <c r="D108" s="211"/>
      <c r="E108" s="7"/>
    </row>
    <row r="109" ht="15.75" customHeight="1">
      <c r="D109" s="211"/>
      <c r="E109" s="7"/>
    </row>
    <row r="110" ht="15.75" customHeight="1">
      <c r="D110" s="211"/>
      <c r="E110" s="7"/>
    </row>
    <row r="111" ht="15.75" customHeight="1">
      <c r="D111" s="211"/>
      <c r="E111" s="7"/>
    </row>
    <row r="112" ht="15.75" customHeight="1">
      <c r="D112" s="211"/>
      <c r="E112" s="7"/>
    </row>
    <row r="113" ht="15.75" customHeight="1">
      <c r="D113" s="211"/>
      <c r="E113" s="7"/>
    </row>
    <row r="114" ht="15.75" customHeight="1">
      <c r="D114" s="211"/>
      <c r="E114" s="7"/>
    </row>
    <row r="115" ht="15.75" customHeight="1">
      <c r="D115" s="211"/>
      <c r="E115" s="7"/>
    </row>
    <row r="116" ht="15.75" customHeight="1">
      <c r="D116" s="211"/>
      <c r="E116" s="7"/>
    </row>
    <row r="117" ht="15.75" customHeight="1">
      <c r="D117" s="211"/>
      <c r="E117" s="7"/>
    </row>
    <row r="118" ht="15.75" customHeight="1">
      <c r="D118" s="211"/>
      <c r="E118" s="7"/>
    </row>
    <row r="119" ht="15.75" customHeight="1">
      <c r="D119" s="211"/>
      <c r="E119" s="7"/>
    </row>
    <row r="120" ht="15.75" customHeight="1">
      <c r="D120" s="211"/>
      <c r="E120" s="7"/>
    </row>
    <row r="121" ht="15.75" customHeight="1">
      <c r="D121" s="211"/>
      <c r="E121" s="7"/>
    </row>
    <row r="122" ht="15.75" customHeight="1">
      <c r="D122" s="211"/>
      <c r="E122" s="7"/>
    </row>
    <row r="123" ht="15.75" customHeight="1">
      <c r="D123" s="211"/>
      <c r="E123" s="7"/>
    </row>
    <row r="124" ht="15.75" customHeight="1">
      <c r="D124" s="211"/>
      <c r="E124" s="7"/>
    </row>
    <row r="125" ht="15.75" customHeight="1">
      <c r="D125" s="211"/>
      <c r="E125" s="7"/>
    </row>
    <row r="126" ht="15.75" customHeight="1">
      <c r="D126" s="211"/>
      <c r="E126" s="7"/>
    </row>
    <row r="127" ht="15.75" customHeight="1">
      <c r="D127" s="211"/>
      <c r="E127" s="7"/>
    </row>
    <row r="128" ht="15.75" customHeight="1">
      <c r="D128" s="211"/>
      <c r="E128" s="7"/>
    </row>
    <row r="129" ht="15.75" customHeight="1">
      <c r="D129" s="211"/>
      <c r="E129" s="7"/>
    </row>
    <row r="130" ht="15.75" customHeight="1">
      <c r="D130" s="211"/>
      <c r="E130" s="7"/>
    </row>
    <row r="131" ht="15.75" customHeight="1">
      <c r="D131" s="211"/>
      <c r="E131" s="7"/>
    </row>
    <row r="132" ht="15.75" customHeight="1">
      <c r="D132" s="211"/>
      <c r="E132" s="7"/>
    </row>
    <row r="133" ht="15.75" customHeight="1">
      <c r="D133" s="211"/>
      <c r="E133" s="7"/>
    </row>
    <row r="134" ht="15.75" customHeight="1">
      <c r="D134" s="211"/>
      <c r="E134" s="7"/>
    </row>
    <row r="135" ht="15.75" customHeight="1">
      <c r="D135" s="211"/>
      <c r="E135" s="7"/>
    </row>
    <row r="136" ht="15.75" customHeight="1">
      <c r="D136" s="211"/>
      <c r="E136" s="7"/>
    </row>
    <row r="137" ht="15.75" customHeight="1">
      <c r="D137" s="211"/>
      <c r="E137" s="7"/>
    </row>
    <row r="138" ht="15.75" customHeight="1">
      <c r="D138" s="211"/>
      <c r="E138" s="7"/>
    </row>
    <row r="139" ht="15.75" customHeight="1">
      <c r="D139" s="211"/>
      <c r="E139" s="7"/>
    </row>
    <row r="140" ht="15.75" customHeight="1">
      <c r="D140" s="211"/>
      <c r="E140" s="7"/>
    </row>
    <row r="141" ht="15.75" customHeight="1">
      <c r="D141" s="211"/>
      <c r="E141" s="7"/>
    </row>
    <row r="142" ht="15.75" customHeight="1">
      <c r="D142" s="211"/>
      <c r="E142" s="7"/>
    </row>
    <row r="143" ht="15.75" customHeight="1">
      <c r="D143" s="211"/>
      <c r="E143" s="7"/>
    </row>
    <row r="144" ht="15.75" customHeight="1">
      <c r="D144" s="211"/>
      <c r="E144" s="7"/>
    </row>
    <row r="145" ht="15.75" customHeight="1">
      <c r="D145" s="211"/>
      <c r="E145" s="7"/>
    </row>
    <row r="146" ht="15.75" customHeight="1">
      <c r="D146" s="211"/>
      <c r="E146" s="7"/>
    </row>
    <row r="147" ht="15.75" customHeight="1">
      <c r="D147" s="211"/>
      <c r="E147" s="7"/>
    </row>
    <row r="148" ht="15.75" customHeight="1">
      <c r="D148" s="211"/>
      <c r="E148" s="7"/>
    </row>
    <row r="149" ht="15.75" customHeight="1">
      <c r="D149" s="211"/>
      <c r="E149" s="7"/>
    </row>
    <row r="150" ht="15.75" customHeight="1">
      <c r="D150" s="211"/>
      <c r="E150" s="7"/>
    </row>
    <row r="151" ht="15.75" customHeight="1">
      <c r="D151" s="211"/>
      <c r="E151" s="7"/>
    </row>
    <row r="152" ht="15.75" customHeight="1">
      <c r="D152" s="211"/>
      <c r="E152" s="7"/>
    </row>
    <row r="153" ht="15.75" customHeight="1">
      <c r="D153" s="211"/>
      <c r="E153" s="7"/>
    </row>
    <row r="154" ht="15.75" customHeight="1">
      <c r="D154" s="211"/>
      <c r="E154" s="7"/>
    </row>
    <row r="155" ht="15.75" customHeight="1">
      <c r="D155" s="211"/>
      <c r="E155" s="7"/>
    </row>
    <row r="156" ht="15.75" customHeight="1">
      <c r="D156" s="211"/>
      <c r="E156" s="7"/>
    </row>
    <row r="157" ht="15.75" customHeight="1">
      <c r="D157" s="211"/>
      <c r="E157" s="7"/>
    </row>
    <row r="158" ht="15.75" customHeight="1">
      <c r="D158" s="211"/>
      <c r="E158" s="7"/>
    </row>
    <row r="159" ht="15.75" customHeight="1">
      <c r="D159" s="211"/>
      <c r="E159" s="7"/>
    </row>
    <row r="160" ht="15.75" customHeight="1">
      <c r="D160" s="211"/>
      <c r="E160" s="7"/>
    </row>
    <row r="161" ht="15.75" customHeight="1">
      <c r="D161" s="211"/>
      <c r="E161" s="7"/>
    </row>
    <row r="162" ht="15.75" customHeight="1">
      <c r="D162" s="211"/>
      <c r="E162" s="7"/>
    </row>
    <row r="163" ht="15.75" customHeight="1">
      <c r="D163" s="211"/>
      <c r="E163" s="7"/>
    </row>
    <row r="164" ht="15.75" customHeight="1">
      <c r="D164" s="211"/>
      <c r="E164" s="7"/>
    </row>
    <row r="165" ht="15.75" customHeight="1">
      <c r="D165" s="211"/>
      <c r="E165" s="7"/>
    </row>
    <row r="166" ht="15.75" customHeight="1">
      <c r="D166" s="211"/>
      <c r="E166" s="7"/>
    </row>
    <row r="167" ht="15.75" customHeight="1">
      <c r="D167" s="211"/>
      <c r="E167" s="7"/>
    </row>
    <row r="168" ht="15.75" customHeight="1">
      <c r="D168" s="211"/>
      <c r="E168" s="7"/>
    </row>
    <row r="169" ht="15.75" customHeight="1">
      <c r="D169" s="211"/>
      <c r="E169" s="7"/>
    </row>
    <row r="170" ht="15.75" customHeight="1">
      <c r="D170" s="211"/>
      <c r="E170" s="7"/>
    </row>
    <row r="171" ht="15.75" customHeight="1">
      <c r="D171" s="211"/>
      <c r="E171" s="7"/>
    </row>
    <row r="172" ht="15.75" customHeight="1">
      <c r="D172" s="211"/>
      <c r="E172" s="7"/>
    </row>
    <row r="173" ht="15.75" customHeight="1">
      <c r="D173" s="211"/>
      <c r="E173" s="7"/>
    </row>
    <row r="174" ht="15.75" customHeight="1">
      <c r="D174" s="211"/>
      <c r="E174" s="7"/>
    </row>
    <row r="175" ht="15.75" customHeight="1">
      <c r="D175" s="211"/>
      <c r="E175" s="7"/>
    </row>
    <row r="176" ht="15.75" customHeight="1">
      <c r="D176" s="211"/>
      <c r="E176" s="7"/>
    </row>
    <row r="177" ht="15.75" customHeight="1">
      <c r="D177" s="211"/>
      <c r="E177" s="7"/>
    </row>
    <row r="178" ht="15.75" customHeight="1">
      <c r="D178" s="211"/>
      <c r="E178" s="7"/>
    </row>
    <row r="179" ht="15.75" customHeight="1">
      <c r="D179" s="211"/>
      <c r="E179" s="7"/>
    </row>
    <row r="180" ht="15.75" customHeight="1">
      <c r="D180" s="211"/>
      <c r="E180" s="7"/>
    </row>
    <row r="181" ht="15.75" customHeight="1">
      <c r="D181" s="211"/>
      <c r="E181" s="7"/>
    </row>
    <row r="182" ht="15.75" customHeight="1">
      <c r="D182" s="211"/>
      <c r="E182" s="7"/>
    </row>
    <row r="183" ht="15.75" customHeight="1">
      <c r="D183" s="211"/>
      <c r="E183" s="7"/>
    </row>
    <row r="184" ht="15.75" customHeight="1">
      <c r="D184" s="211"/>
      <c r="E184" s="7"/>
    </row>
    <row r="185" ht="15.75" customHeight="1">
      <c r="D185" s="211"/>
      <c r="E185" s="7"/>
    </row>
    <row r="186" ht="15.75" customHeight="1">
      <c r="D186" s="211"/>
      <c r="E186" s="7"/>
    </row>
    <row r="187" ht="15.75" customHeight="1">
      <c r="D187" s="211"/>
      <c r="E187" s="7"/>
    </row>
    <row r="188" ht="15.75" customHeight="1">
      <c r="D188" s="211"/>
      <c r="E188" s="7"/>
    </row>
    <row r="189" ht="15.75" customHeight="1">
      <c r="D189" s="211"/>
      <c r="E189" s="7"/>
    </row>
    <row r="190" ht="15.75" customHeight="1">
      <c r="D190" s="211"/>
      <c r="E190" s="7"/>
    </row>
    <row r="191" ht="15.75" customHeight="1">
      <c r="D191" s="211"/>
      <c r="E191" s="7"/>
    </row>
    <row r="192" ht="15.75" customHeight="1">
      <c r="D192" s="211"/>
      <c r="E192" s="7"/>
    </row>
    <row r="193" ht="15.75" customHeight="1">
      <c r="D193" s="211"/>
      <c r="E193" s="7"/>
    </row>
    <row r="194" ht="15.75" customHeight="1">
      <c r="D194" s="211"/>
      <c r="E194" s="7"/>
    </row>
    <row r="195" ht="15.75" customHeight="1">
      <c r="D195" s="211"/>
      <c r="E195" s="7"/>
    </row>
    <row r="196" ht="15.75" customHeight="1">
      <c r="D196" s="211"/>
      <c r="E196" s="7"/>
    </row>
    <row r="197" ht="15.75" customHeight="1">
      <c r="D197" s="211"/>
      <c r="E197" s="7"/>
    </row>
    <row r="198" ht="15.75" customHeight="1">
      <c r="D198" s="211"/>
      <c r="E198" s="7"/>
    </row>
    <row r="199" ht="15.75" customHeight="1">
      <c r="D199" s="211"/>
      <c r="E199" s="7"/>
    </row>
    <row r="200" ht="15.75" customHeight="1">
      <c r="D200" s="211"/>
      <c r="E200" s="7"/>
    </row>
    <row r="201" ht="15.75" customHeight="1">
      <c r="D201" s="211"/>
      <c r="E201" s="7"/>
    </row>
    <row r="202" ht="15.75" customHeight="1">
      <c r="D202" s="211"/>
      <c r="E202" s="7"/>
    </row>
    <row r="203" ht="15.75" customHeight="1">
      <c r="D203" s="211"/>
      <c r="E203" s="7"/>
    </row>
    <row r="204" ht="15.75" customHeight="1">
      <c r="D204" s="211"/>
      <c r="E204" s="7"/>
    </row>
    <row r="205" ht="15.75" customHeight="1">
      <c r="D205" s="211"/>
      <c r="E205" s="7"/>
    </row>
    <row r="206" ht="15.75" customHeight="1">
      <c r="D206" s="211"/>
      <c r="E206" s="7"/>
    </row>
    <row r="207" ht="15.75" customHeight="1">
      <c r="D207" s="211"/>
      <c r="E207" s="7"/>
    </row>
    <row r="208" ht="15.75" customHeight="1">
      <c r="D208" s="211"/>
      <c r="E208" s="7"/>
    </row>
    <row r="209" ht="15.75" customHeight="1">
      <c r="D209" s="211"/>
      <c r="E209" s="7"/>
    </row>
    <row r="210" ht="15.75" customHeight="1">
      <c r="D210" s="211"/>
      <c r="E210" s="7"/>
    </row>
    <row r="211" ht="15.75" customHeight="1">
      <c r="D211" s="211"/>
      <c r="E211" s="7"/>
    </row>
    <row r="212" ht="15.75" customHeight="1">
      <c r="D212" s="211"/>
      <c r="E212" s="7"/>
    </row>
    <row r="213" ht="15.75" customHeight="1">
      <c r="D213" s="211"/>
      <c r="E213" s="7"/>
    </row>
    <row r="214" ht="15.75" customHeight="1">
      <c r="D214" s="211"/>
      <c r="E214" s="7"/>
    </row>
    <row r="215" ht="15.75" customHeight="1">
      <c r="D215" s="211"/>
      <c r="E215" s="7"/>
    </row>
    <row r="216" ht="15.75" customHeight="1">
      <c r="D216" s="211"/>
      <c r="E216" s="7"/>
    </row>
    <row r="217" ht="15.75" customHeight="1">
      <c r="D217" s="211"/>
      <c r="E217" s="7"/>
    </row>
    <row r="218" ht="15.75" customHeight="1">
      <c r="D218" s="211"/>
      <c r="E218" s="7"/>
    </row>
    <row r="219" ht="15.75" customHeight="1">
      <c r="D219" s="211"/>
      <c r="E219" s="7"/>
    </row>
    <row r="220" ht="15.75" customHeight="1">
      <c r="D220" s="211"/>
      <c r="E220" s="7"/>
    </row>
    <row r="221" ht="15.75" customHeight="1">
      <c r="D221" s="211"/>
      <c r="E221" s="7"/>
    </row>
    <row r="222" ht="15.75" customHeight="1">
      <c r="D222" s="211"/>
      <c r="E222" s="7"/>
    </row>
    <row r="223" ht="15.75" customHeight="1">
      <c r="D223" s="211"/>
      <c r="E223" s="7"/>
    </row>
    <row r="224" ht="15.75" customHeight="1">
      <c r="D224" s="211"/>
      <c r="E224" s="7"/>
    </row>
    <row r="225" ht="15.75" customHeight="1">
      <c r="D225" s="211"/>
      <c r="E225" s="7"/>
    </row>
    <row r="226" ht="15.75" customHeight="1">
      <c r="D226" s="211"/>
      <c r="E226" s="7"/>
    </row>
    <row r="227" ht="15.75" customHeight="1">
      <c r="D227" s="211"/>
      <c r="E227" s="7"/>
    </row>
    <row r="228" ht="15.75" customHeight="1">
      <c r="D228" s="211"/>
      <c r="E228" s="7"/>
    </row>
    <row r="229" ht="15.75" customHeight="1">
      <c r="D229" s="211"/>
      <c r="E229" s="7"/>
    </row>
    <row r="230" ht="15.75" customHeight="1">
      <c r="D230" s="211"/>
      <c r="E230" s="7"/>
    </row>
    <row r="231" ht="15.75" customHeight="1">
      <c r="D231" s="211"/>
      <c r="E231" s="7"/>
    </row>
    <row r="232" ht="15.75" customHeight="1">
      <c r="D232" s="211"/>
      <c r="E232" s="7"/>
    </row>
    <row r="233" ht="15.75" customHeight="1">
      <c r="D233" s="211"/>
      <c r="E233" s="7"/>
    </row>
    <row r="234" ht="15.75" customHeight="1">
      <c r="D234" s="211"/>
      <c r="E234" s="7"/>
    </row>
    <row r="235" ht="15.75" customHeight="1">
      <c r="D235" s="211"/>
      <c r="E235" s="7"/>
    </row>
    <row r="236" ht="15.75" customHeight="1">
      <c r="D236" s="211"/>
      <c r="E236" s="7"/>
    </row>
    <row r="237" ht="15.75" customHeight="1">
      <c r="D237" s="211"/>
      <c r="E237" s="7"/>
    </row>
    <row r="238" ht="15.75" customHeight="1">
      <c r="D238" s="211"/>
      <c r="E238" s="7"/>
    </row>
    <row r="239" ht="15.75" customHeight="1">
      <c r="D239" s="211"/>
      <c r="E239" s="7"/>
    </row>
    <row r="240" ht="15.75" customHeight="1">
      <c r="D240" s="211"/>
      <c r="E240" s="7"/>
    </row>
    <row r="241" ht="15.75" customHeight="1">
      <c r="D241" s="211"/>
      <c r="E241" s="7"/>
    </row>
    <row r="242" ht="15.75" customHeight="1">
      <c r="D242" s="211"/>
      <c r="E242" s="7"/>
    </row>
    <row r="243" ht="15.75" customHeight="1">
      <c r="D243" s="211"/>
      <c r="E243" s="7"/>
    </row>
    <row r="244" ht="15.75" customHeight="1">
      <c r="D244" s="211"/>
      <c r="E244" s="7"/>
    </row>
    <row r="245" ht="15.75" customHeight="1">
      <c r="D245" s="211"/>
      <c r="E245" s="7"/>
    </row>
    <row r="246" ht="15.75" customHeight="1">
      <c r="D246" s="211"/>
      <c r="E246" s="7"/>
    </row>
    <row r="247" ht="15.75" customHeight="1">
      <c r="D247" s="211"/>
      <c r="E247" s="7"/>
    </row>
    <row r="248" ht="15.75" customHeight="1">
      <c r="D248" s="211"/>
      <c r="E248" s="7"/>
    </row>
    <row r="249" ht="15.75" customHeight="1">
      <c r="D249" s="211"/>
      <c r="E249" s="7"/>
    </row>
    <row r="250" ht="15.75" customHeight="1">
      <c r="D250" s="211"/>
      <c r="E250" s="7"/>
    </row>
    <row r="251" ht="15.75" customHeight="1">
      <c r="D251" s="211"/>
      <c r="E251" s="7"/>
    </row>
    <row r="252" ht="15.75" customHeight="1">
      <c r="D252" s="211"/>
      <c r="E252" s="7"/>
    </row>
    <row r="253" ht="15.75" customHeight="1">
      <c r="D253" s="211"/>
      <c r="E253" s="7"/>
    </row>
    <row r="254" ht="15.75" customHeight="1">
      <c r="D254" s="211"/>
      <c r="E254" s="7"/>
    </row>
    <row r="255" ht="15.75" customHeight="1">
      <c r="D255" s="211"/>
      <c r="E255" s="7"/>
    </row>
    <row r="256" ht="15.75" customHeight="1">
      <c r="D256" s="211"/>
      <c r="E256" s="7"/>
    </row>
    <row r="257" ht="15.75" customHeight="1">
      <c r="D257" s="211"/>
      <c r="E257" s="7"/>
    </row>
    <row r="258" ht="15.75" customHeight="1">
      <c r="D258" s="211"/>
      <c r="E258" s="7"/>
    </row>
    <row r="259" ht="15.75" customHeight="1">
      <c r="D259" s="211"/>
      <c r="E259" s="7"/>
    </row>
    <row r="260" ht="15.75" customHeight="1">
      <c r="D260" s="211"/>
      <c r="E260" s="7"/>
    </row>
    <row r="261" ht="15.75" customHeight="1">
      <c r="D261" s="211"/>
      <c r="E261" s="7"/>
    </row>
    <row r="262" ht="15.75" customHeight="1">
      <c r="D262" s="211"/>
      <c r="E262" s="7"/>
    </row>
    <row r="263" ht="15.75" customHeight="1">
      <c r="D263" s="211"/>
      <c r="E263" s="7"/>
    </row>
    <row r="264" ht="15.75" customHeight="1">
      <c r="D264" s="211"/>
      <c r="E264" s="7"/>
    </row>
    <row r="265" ht="15.75" customHeight="1">
      <c r="D265" s="211"/>
      <c r="E265" s="7"/>
    </row>
    <row r="266" ht="15.75" customHeight="1">
      <c r="D266" s="211"/>
      <c r="E266" s="7"/>
    </row>
    <row r="267" ht="15.75" customHeight="1">
      <c r="D267" s="211"/>
      <c r="E267" s="7"/>
    </row>
    <row r="268" ht="15.75" customHeight="1">
      <c r="D268" s="211"/>
      <c r="E268" s="7"/>
    </row>
    <row r="269" ht="15.75" customHeight="1">
      <c r="D269" s="211"/>
      <c r="E269" s="7"/>
    </row>
    <row r="270" ht="15.75" customHeight="1">
      <c r="D270" s="211"/>
      <c r="E270" s="7"/>
    </row>
    <row r="271" ht="15.75" customHeight="1">
      <c r="D271" s="211"/>
      <c r="E271" s="7"/>
    </row>
    <row r="272" ht="15.75" customHeight="1">
      <c r="D272" s="211"/>
      <c r="E272" s="7"/>
    </row>
    <row r="273" ht="15.75" customHeight="1">
      <c r="D273" s="211"/>
      <c r="E273" s="7"/>
    </row>
    <row r="274" ht="15.75" customHeight="1">
      <c r="D274" s="211"/>
      <c r="E274" s="7"/>
    </row>
    <row r="275" ht="15.75" customHeight="1">
      <c r="D275" s="211"/>
      <c r="E275" s="7"/>
    </row>
    <row r="276" ht="15.75" customHeight="1">
      <c r="D276" s="211"/>
      <c r="E276" s="7"/>
    </row>
    <row r="277" ht="15.75" customHeight="1">
      <c r="D277" s="211"/>
      <c r="E277" s="7"/>
    </row>
    <row r="278" ht="15.75" customHeight="1">
      <c r="D278" s="211"/>
      <c r="E278" s="7"/>
    </row>
    <row r="279" ht="15.75" customHeight="1">
      <c r="D279" s="211"/>
      <c r="E279" s="7"/>
    </row>
    <row r="280" ht="15.75" customHeight="1">
      <c r="D280" s="211"/>
      <c r="E280" s="7"/>
    </row>
    <row r="281" ht="15.75" customHeight="1">
      <c r="D281" s="211"/>
      <c r="E281" s="7"/>
    </row>
    <row r="282" ht="15.75" customHeight="1">
      <c r="D282" s="211"/>
      <c r="E282" s="7"/>
    </row>
    <row r="283" ht="15.75" customHeight="1">
      <c r="D283" s="211"/>
      <c r="E283" s="7"/>
    </row>
    <row r="284" ht="15.75" customHeight="1">
      <c r="D284" s="211"/>
      <c r="E284" s="7"/>
    </row>
    <row r="285" ht="15.75" customHeight="1">
      <c r="D285" s="211"/>
      <c r="E285" s="7"/>
    </row>
    <row r="286" ht="15.75" customHeight="1">
      <c r="D286" s="211"/>
      <c r="E286" s="7"/>
    </row>
    <row r="287" ht="15.75" customHeight="1">
      <c r="D287" s="211"/>
      <c r="E287" s="7"/>
    </row>
    <row r="288" ht="15.75" customHeight="1">
      <c r="D288" s="211"/>
      <c r="E288" s="7"/>
    </row>
    <row r="289" ht="15.75" customHeight="1">
      <c r="D289" s="211"/>
      <c r="E289" s="7"/>
    </row>
    <row r="290" ht="15.75" customHeight="1">
      <c r="D290" s="211"/>
      <c r="E290" s="7"/>
    </row>
    <row r="291" ht="15.75" customHeight="1">
      <c r="D291" s="211"/>
      <c r="E291" s="7"/>
    </row>
    <row r="292" ht="15.75" customHeight="1">
      <c r="D292" s="211"/>
      <c r="E292" s="7"/>
    </row>
    <row r="293" ht="15.75" customHeight="1">
      <c r="D293" s="211"/>
      <c r="E293" s="7"/>
    </row>
    <row r="294" ht="15.75" customHeight="1">
      <c r="D294" s="211"/>
      <c r="E294" s="7"/>
    </row>
    <row r="295" ht="15.75" customHeight="1">
      <c r="D295" s="211"/>
      <c r="E295" s="7"/>
    </row>
    <row r="296" ht="15.75" customHeight="1">
      <c r="D296" s="211"/>
      <c r="E296" s="7"/>
    </row>
    <row r="297" ht="15.75" customHeight="1">
      <c r="D297" s="211"/>
      <c r="E297" s="7"/>
    </row>
    <row r="298" ht="15.75" customHeight="1">
      <c r="D298" s="211"/>
      <c r="E298" s="7"/>
    </row>
    <row r="299" ht="15.75" customHeight="1">
      <c r="D299" s="211"/>
      <c r="E299" s="7"/>
    </row>
    <row r="300" ht="15.75" customHeight="1">
      <c r="D300" s="211"/>
      <c r="E300" s="7"/>
    </row>
    <row r="301" ht="15.75" customHeight="1">
      <c r="D301" s="211"/>
      <c r="E301" s="7"/>
    </row>
    <row r="302" ht="15.75" customHeight="1">
      <c r="D302" s="211"/>
      <c r="E302" s="7"/>
    </row>
    <row r="303" ht="15.75" customHeight="1">
      <c r="D303" s="211"/>
      <c r="E303" s="7"/>
    </row>
    <row r="304" ht="15.75" customHeight="1">
      <c r="D304" s="211"/>
      <c r="E304" s="7"/>
    </row>
    <row r="305" ht="15.75" customHeight="1">
      <c r="D305" s="211"/>
      <c r="E305" s="7"/>
    </row>
    <row r="306" ht="15.75" customHeight="1">
      <c r="D306" s="211"/>
      <c r="E306" s="7"/>
    </row>
    <row r="307" ht="15.75" customHeight="1">
      <c r="D307" s="211"/>
      <c r="E307" s="7"/>
    </row>
    <row r="308" ht="15.75" customHeight="1">
      <c r="D308" s="211"/>
      <c r="E308" s="7"/>
    </row>
    <row r="309" ht="15.75" customHeight="1">
      <c r="D309" s="211"/>
      <c r="E309" s="7"/>
    </row>
    <row r="310" ht="15.75" customHeight="1">
      <c r="D310" s="211"/>
      <c r="E310" s="7"/>
    </row>
    <row r="311" ht="15.75" customHeight="1">
      <c r="D311" s="211"/>
      <c r="E311" s="7"/>
    </row>
    <row r="312" ht="15.75" customHeight="1">
      <c r="D312" s="211"/>
      <c r="E312" s="7"/>
    </row>
    <row r="313" ht="15.75" customHeight="1">
      <c r="D313" s="211"/>
      <c r="E313" s="7"/>
    </row>
    <row r="314" ht="15.75" customHeight="1">
      <c r="D314" s="211"/>
      <c r="E314" s="7"/>
    </row>
    <row r="315" ht="15.75" customHeight="1">
      <c r="D315" s="211"/>
      <c r="E315" s="7"/>
    </row>
    <row r="316" ht="15.75" customHeight="1">
      <c r="D316" s="211"/>
      <c r="E316" s="7"/>
    </row>
    <row r="317" ht="15.75" customHeight="1">
      <c r="D317" s="211"/>
      <c r="E317" s="7"/>
    </row>
    <row r="318" ht="15.75" customHeight="1">
      <c r="D318" s="211"/>
      <c r="E318" s="7"/>
    </row>
    <row r="319" ht="15.75" customHeight="1">
      <c r="D319" s="211"/>
      <c r="E319" s="7"/>
    </row>
    <row r="320" ht="15.75" customHeight="1">
      <c r="D320" s="211"/>
      <c r="E320" s="7"/>
    </row>
    <row r="321" ht="15.75" customHeight="1">
      <c r="D321" s="211"/>
      <c r="E321" s="7"/>
    </row>
    <row r="322" ht="15.75" customHeight="1">
      <c r="D322" s="211"/>
      <c r="E322" s="7"/>
    </row>
    <row r="323" ht="15.75" customHeight="1">
      <c r="D323" s="211"/>
      <c r="E323" s="7"/>
    </row>
    <row r="324" ht="15.75" customHeight="1">
      <c r="D324" s="211"/>
      <c r="E324" s="7"/>
    </row>
    <row r="325" ht="15.75" customHeight="1">
      <c r="D325" s="211"/>
      <c r="E325" s="7"/>
    </row>
    <row r="326" ht="15.75" customHeight="1">
      <c r="D326" s="211"/>
      <c r="E326" s="7"/>
    </row>
    <row r="327" ht="15.75" customHeight="1">
      <c r="D327" s="211"/>
      <c r="E327" s="7"/>
    </row>
    <row r="328" ht="15.75" customHeight="1">
      <c r="D328" s="211"/>
      <c r="E328" s="7"/>
    </row>
    <row r="329" ht="15.75" customHeight="1">
      <c r="D329" s="211"/>
      <c r="E329" s="7"/>
    </row>
    <row r="330" ht="15.75" customHeight="1">
      <c r="D330" s="211"/>
      <c r="E330" s="7"/>
    </row>
    <row r="331" ht="15.75" customHeight="1">
      <c r="D331" s="211"/>
      <c r="E331" s="7"/>
    </row>
    <row r="332" ht="15.75" customHeight="1">
      <c r="D332" s="211"/>
      <c r="E332" s="7"/>
    </row>
    <row r="333" ht="15.75" customHeight="1">
      <c r="D333" s="211"/>
      <c r="E333" s="7"/>
    </row>
    <row r="334" ht="15.75" customHeight="1">
      <c r="D334" s="211"/>
      <c r="E334" s="7"/>
    </row>
    <row r="335" ht="15.75" customHeight="1">
      <c r="D335" s="211"/>
      <c r="E335" s="7"/>
    </row>
    <row r="336" ht="15.75" customHeight="1">
      <c r="D336" s="211"/>
      <c r="E336" s="7"/>
    </row>
    <row r="337" ht="15.75" customHeight="1">
      <c r="D337" s="211"/>
      <c r="E337" s="7"/>
    </row>
    <row r="338" ht="15.75" customHeight="1">
      <c r="D338" s="211"/>
      <c r="E338" s="7"/>
    </row>
    <row r="339" ht="15.75" customHeight="1">
      <c r="D339" s="211"/>
      <c r="E339" s="7"/>
    </row>
    <row r="340" ht="15.75" customHeight="1">
      <c r="D340" s="211"/>
      <c r="E340" s="7"/>
    </row>
    <row r="341" ht="15.75" customHeight="1">
      <c r="D341" s="211"/>
      <c r="E341" s="7"/>
    </row>
    <row r="342" ht="15.75" customHeight="1">
      <c r="D342" s="211"/>
      <c r="E342" s="7"/>
    </row>
    <row r="343" ht="15.75" customHeight="1">
      <c r="D343" s="211"/>
      <c r="E343" s="7"/>
    </row>
    <row r="344" ht="15.75" customHeight="1">
      <c r="D344" s="211"/>
      <c r="E344" s="7"/>
    </row>
    <row r="345" ht="15.75" customHeight="1">
      <c r="D345" s="211"/>
      <c r="E345" s="7"/>
    </row>
    <row r="346" ht="15.75" customHeight="1">
      <c r="D346" s="211"/>
      <c r="E346" s="7"/>
    </row>
    <row r="347" ht="15.75" customHeight="1">
      <c r="D347" s="211"/>
      <c r="E347" s="7"/>
    </row>
    <row r="348" ht="15.75" customHeight="1">
      <c r="D348" s="211"/>
      <c r="E348" s="7"/>
    </row>
    <row r="349" ht="15.75" customHeight="1">
      <c r="D349" s="211"/>
      <c r="E349" s="7"/>
    </row>
    <row r="350" ht="15.75" customHeight="1">
      <c r="D350" s="211"/>
      <c r="E350" s="7"/>
    </row>
    <row r="351" ht="15.75" customHeight="1">
      <c r="D351" s="211"/>
      <c r="E351" s="7"/>
    </row>
    <row r="352" ht="15.75" customHeight="1">
      <c r="D352" s="211"/>
      <c r="E352" s="7"/>
    </row>
    <row r="353" ht="15.75" customHeight="1">
      <c r="D353" s="211"/>
      <c r="E353" s="7"/>
    </row>
    <row r="354" ht="15.75" customHeight="1">
      <c r="D354" s="211"/>
      <c r="E354" s="7"/>
    </row>
    <row r="355" ht="15.75" customHeight="1">
      <c r="D355" s="211"/>
      <c r="E355" s="7"/>
    </row>
    <row r="356" ht="15.75" customHeight="1">
      <c r="D356" s="211"/>
      <c r="E356" s="7"/>
    </row>
    <row r="357" ht="15.75" customHeight="1">
      <c r="D357" s="211"/>
      <c r="E357" s="7"/>
    </row>
    <row r="358" ht="15.75" customHeight="1">
      <c r="D358" s="211"/>
      <c r="E358" s="7"/>
    </row>
    <row r="359" ht="15.75" customHeight="1">
      <c r="D359" s="211"/>
      <c r="E359" s="7"/>
    </row>
    <row r="360" ht="15.75" customHeight="1">
      <c r="D360" s="211"/>
      <c r="E360" s="7"/>
    </row>
    <row r="361" ht="15.75" customHeight="1">
      <c r="D361" s="211"/>
      <c r="E361" s="7"/>
    </row>
    <row r="362" ht="15.75" customHeight="1">
      <c r="D362" s="211"/>
      <c r="E362" s="7"/>
    </row>
    <row r="363" ht="15.75" customHeight="1">
      <c r="D363" s="211"/>
      <c r="E363" s="7"/>
    </row>
    <row r="364" ht="15.75" customHeight="1">
      <c r="D364" s="211"/>
      <c r="E364" s="7"/>
    </row>
    <row r="365" ht="15.75" customHeight="1">
      <c r="D365" s="211"/>
      <c r="E365" s="7"/>
    </row>
    <row r="366" ht="15.75" customHeight="1">
      <c r="D366" s="211"/>
      <c r="E366" s="7"/>
    </row>
    <row r="367" ht="15.75" customHeight="1">
      <c r="D367" s="211"/>
      <c r="E367" s="7"/>
    </row>
    <row r="368" ht="15.75" customHeight="1">
      <c r="D368" s="211"/>
      <c r="E368" s="7"/>
    </row>
    <row r="369" ht="15.75" customHeight="1">
      <c r="D369" s="211"/>
      <c r="E369" s="7"/>
    </row>
    <row r="370" ht="15.75" customHeight="1">
      <c r="D370" s="211"/>
      <c r="E370" s="7"/>
    </row>
    <row r="371" ht="15.75" customHeight="1">
      <c r="D371" s="211"/>
      <c r="E371" s="7"/>
    </row>
    <row r="372" ht="15.75" customHeight="1">
      <c r="D372" s="211"/>
      <c r="E372" s="7"/>
    </row>
    <row r="373" ht="15.75" customHeight="1">
      <c r="D373" s="211"/>
      <c r="E373" s="7"/>
    </row>
    <row r="374" ht="15.75" customHeight="1">
      <c r="D374" s="211"/>
      <c r="E374" s="7"/>
    </row>
    <row r="375" ht="15.75" customHeight="1">
      <c r="D375" s="211"/>
      <c r="E375" s="7"/>
    </row>
    <row r="376" ht="15.75" customHeight="1">
      <c r="D376" s="211"/>
      <c r="E376" s="7"/>
    </row>
    <row r="377" ht="15.75" customHeight="1">
      <c r="D377" s="211"/>
      <c r="E377" s="7"/>
    </row>
    <row r="378" ht="15.75" customHeight="1">
      <c r="D378" s="211"/>
      <c r="E378" s="7"/>
    </row>
    <row r="379" ht="15.75" customHeight="1">
      <c r="D379" s="211"/>
      <c r="E379" s="7"/>
    </row>
    <row r="380" ht="15.75" customHeight="1">
      <c r="D380" s="211"/>
      <c r="E380" s="7"/>
    </row>
    <row r="381" ht="15.75" customHeight="1">
      <c r="D381" s="211"/>
      <c r="E381" s="7"/>
    </row>
    <row r="382" ht="15.75" customHeight="1">
      <c r="D382" s="211"/>
      <c r="E382" s="7"/>
    </row>
    <row r="383" ht="15.75" customHeight="1">
      <c r="D383" s="211"/>
      <c r="E383" s="7"/>
    </row>
    <row r="384" ht="15.75" customHeight="1">
      <c r="D384" s="211"/>
      <c r="E384" s="7"/>
    </row>
    <row r="385" ht="15.75" customHeight="1">
      <c r="D385" s="211"/>
      <c r="E385" s="7"/>
    </row>
    <row r="386" ht="15.75" customHeight="1">
      <c r="D386" s="211"/>
      <c r="E386" s="7"/>
    </row>
    <row r="387" ht="15.75" customHeight="1">
      <c r="D387" s="211"/>
      <c r="E387" s="7"/>
    </row>
    <row r="388" ht="15.75" customHeight="1">
      <c r="D388" s="211"/>
      <c r="E388" s="7"/>
    </row>
    <row r="389" ht="15.75" customHeight="1">
      <c r="D389" s="211"/>
      <c r="E389" s="7"/>
    </row>
    <row r="390" ht="15.75" customHeight="1">
      <c r="D390" s="211"/>
      <c r="E390" s="7"/>
    </row>
    <row r="391" ht="15.75" customHeight="1">
      <c r="D391" s="211"/>
      <c r="E391" s="7"/>
    </row>
    <row r="392" ht="15.75" customHeight="1">
      <c r="D392" s="211"/>
      <c r="E392" s="7"/>
    </row>
    <row r="393" ht="15.75" customHeight="1">
      <c r="D393" s="211"/>
      <c r="E393" s="7"/>
    </row>
    <row r="394" ht="15.75" customHeight="1">
      <c r="D394" s="211"/>
      <c r="E394" s="7"/>
    </row>
    <row r="395" ht="15.75" customHeight="1">
      <c r="D395" s="211"/>
      <c r="E395" s="7"/>
    </row>
    <row r="396" ht="15.75" customHeight="1">
      <c r="D396" s="211"/>
      <c r="E396" s="7"/>
    </row>
    <row r="397" ht="15.75" customHeight="1">
      <c r="D397" s="211"/>
      <c r="E397" s="7"/>
    </row>
    <row r="398" ht="15.75" customHeight="1">
      <c r="D398" s="211"/>
      <c r="E398" s="7"/>
    </row>
    <row r="399" ht="15.75" customHeight="1">
      <c r="D399" s="211"/>
      <c r="E399" s="7"/>
    </row>
    <row r="400" ht="15.75" customHeight="1">
      <c r="D400" s="211"/>
      <c r="E400" s="7"/>
    </row>
    <row r="401" ht="15.75" customHeight="1">
      <c r="D401" s="211"/>
      <c r="E401" s="7"/>
    </row>
    <row r="402" ht="15.75" customHeight="1">
      <c r="D402" s="211"/>
      <c r="E402" s="7"/>
    </row>
    <row r="403" ht="15.75" customHeight="1">
      <c r="D403" s="211"/>
      <c r="E403" s="7"/>
    </row>
    <row r="404" ht="15.75" customHeight="1">
      <c r="D404" s="211"/>
      <c r="E404" s="7"/>
    </row>
    <row r="405" ht="15.75" customHeight="1">
      <c r="D405" s="211"/>
      <c r="E405" s="7"/>
    </row>
    <row r="406" ht="15.75" customHeight="1">
      <c r="D406" s="211"/>
      <c r="E406" s="7"/>
    </row>
    <row r="407" ht="15.75" customHeight="1">
      <c r="D407" s="211"/>
      <c r="E407" s="7"/>
    </row>
    <row r="408" ht="15.75" customHeight="1">
      <c r="D408" s="211"/>
      <c r="E408" s="7"/>
    </row>
    <row r="409" ht="15.75" customHeight="1">
      <c r="D409" s="211"/>
      <c r="E409" s="7"/>
    </row>
    <row r="410" ht="15.75" customHeight="1">
      <c r="D410" s="211"/>
      <c r="E410" s="7"/>
    </row>
    <row r="411" ht="15.75" customHeight="1">
      <c r="D411" s="211"/>
      <c r="E411" s="7"/>
    </row>
    <row r="412" ht="15.75" customHeight="1">
      <c r="D412" s="211"/>
      <c r="E412" s="7"/>
    </row>
    <row r="413" ht="15.75" customHeight="1">
      <c r="D413" s="211"/>
      <c r="E413" s="7"/>
    </row>
    <row r="414" ht="15.75" customHeight="1">
      <c r="D414" s="211"/>
      <c r="E414" s="7"/>
    </row>
    <row r="415" ht="15.75" customHeight="1">
      <c r="D415" s="211"/>
      <c r="E415" s="7"/>
    </row>
    <row r="416" ht="15.75" customHeight="1">
      <c r="D416" s="211"/>
      <c r="E416" s="7"/>
    </row>
    <row r="417" ht="15.75" customHeight="1">
      <c r="D417" s="211"/>
      <c r="E417" s="7"/>
    </row>
    <row r="418" ht="15.75" customHeight="1">
      <c r="D418" s="211"/>
      <c r="E418" s="7"/>
    </row>
    <row r="419" ht="15.75" customHeight="1">
      <c r="D419" s="211"/>
      <c r="E419" s="7"/>
    </row>
    <row r="420" ht="15.75" customHeight="1">
      <c r="D420" s="211"/>
      <c r="E420" s="7"/>
    </row>
    <row r="421" ht="15.75" customHeight="1">
      <c r="D421" s="211"/>
      <c r="E421" s="7"/>
    </row>
    <row r="422" ht="15.75" customHeight="1">
      <c r="D422" s="211"/>
      <c r="E422" s="7"/>
    </row>
    <row r="423" ht="15.75" customHeight="1">
      <c r="D423" s="211"/>
      <c r="E423" s="7"/>
    </row>
    <row r="424" ht="15.75" customHeight="1">
      <c r="D424" s="211"/>
      <c r="E424" s="7"/>
    </row>
    <row r="425" ht="15.75" customHeight="1">
      <c r="D425" s="211"/>
      <c r="E425" s="7"/>
    </row>
    <row r="426" ht="15.75" customHeight="1">
      <c r="D426" s="211"/>
      <c r="E426" s="7"/>
    </row>
    <row r="427" ht="15.75" customHeight="1">
      <c r="D427" s="211"/>
      <c r="E427" s="7"/>
    </row>
    <row r="428" ht="15.75" customHeight="1">
      <c r="D428" s="211"/>
      <c r="E428" s="7"/>
    </row>
    <row r="429" ht="15.75" customHeight="1">
      <c r="D429" s="211"/>
      <c r="E429" s="7"/>
    </row>
    <row r="430" ht="15.75" customHeight="1">
      <c r="D430" s="211"/>
      <c r="E430" s="7"/>
    </row>
    <row r="431" ht="15.75" customHeight="1">
      <c r="D431" s="211"/>
      <c r="E431" s="7"/>
    </row>
    <row r="432" ht="15.75" customHeight="1">
      <c r="D432" s="211"/>
      <c r="E432" s="7"/>
    </row>
    <row r="433" ht="15.75" customHeight="1">
      <c r="D433" s="211"/>
      <c r="E433" s="7"/>
    </row>
    <row r="434" ht="15.75" customHeight="1">
      <c r="D434" s="211"/>
      <c r="E434" s="7"/>
    </row>
    <row r="435" ht="15.75" customHeight="1">
      <c r="D435" s="211"/>
      <c r="E435" s="7"/>
    </row>
    <row r="436" ht="15.75" customHeight="1">
      <c r="D436" s="211"/>
      <c r="E436" s="7"/>
    </row>
    <row r="437" ht="15.75" customHeight="1">
      <c r="D437" s="211"/>
      <c r="E437" s="7"/>
    </row>
    <row r="438" ht="15.75" customHeight="1">
      <c r="D438" s="211"/>
      <c r="E438" s="7"/>
    </row>
    <row r="439" ht="15.75" customHeight="1">
      <c r="D439" s="211"/>
      <c r="E439" s="7"/>
    </row>
    <row r="440" ht="15.75" customHeight="1">
      <c r="D440" s="211"/>
      <c r="E440" s="7"/>
    </row>
    <row r="441" ht="15.75" customHeight="1">
      <c r="D441" s="211"/>
      <c r="E441" s="7"/>
    </row>
    <row r="442" ht="15.75" customHeight="1">
      <c r="D442" s="211"/>
      <c r="E442" s="7"/>
    </row>
    <row r="443" ht="15.75" customHeight="1">
      <c r="D443" s="211"/>
      <c r="E443" s="7"/>
    </row>
    <row r="444" ht="15.75" customHeight="1">
      <c r="D444" s="211"/>
      <c r="E444" s="7"/>
    </row>
    <row r="445" ht="15.75" customHeight="1">
      <c r="D445" s="211"/>
      <c r="E445" s="7"/>
    </row>
    <row r="446" ht="15.75" customHeight="1">
      <c r="D446" s="211"/>
      <c r="E446" s="7"/>
    </row>
    <row r="447" ht="15.75" customHeight="1">
      <c r="D447" s="211"/>
      <c r="E447" s="7"/>
    </row>
    <row r="448" ht="15.75" customHeight="1">
      <c r="D448" s="211"/>
      <c r="E448" s="7"/>
    </row>
    <row r="449" ht="15.75" customHeight="1">
      <c r="D449" s="211"/>
      <c r="E449" s="7"/>
    </row>
    <row r="450" ht="15.75" customHeight="1">
      <c r="D450" s="211"/>
      <c r="E450" s="7"/>
    </row>
    <row r="451" ht="15.75" customHeight="1">
      <c r="D451" s="211"/>
      <c r="E451" s="7"/>
    </row>
    <row r="452" ht="15.75" customHeight="1">
      <c r="D452" s="211"/>
      <c r="E452" s="7"/>
    </row>
    <row r="453" ht="15.75" customHeight="1">
      <c r="D453" s="211"/>
      <c r="E453" s="7"/>
    </row>
    <row r="454" ht="15.75" customHeight="1">
      <c r="D454" s="211"/>
      <c r="E454" s="7"/>
    </row>
    <row r="455" ht="15.75" customHeight="1">
      <c r="D455" s="211"/>
      <c r="E455" s="7"/>
    </row>
    <row r="456" ht="15.75" customHeight="1">
      <c r="D456" s="211"/>
      <c r="E456" s="7"/>
    </row>
    <row r="457" ht="15.75" customHeight="1">
      <c r="D457" s="211"/>
      <c r="E457" s="7"/>
    </row>
    <row r="458" ht="15.75" customHeight="1">
      <c r="D458" s="211"/>
      <c r="E458" s="7"/>
    </row>
    <row r="459" ht="15.75" customHeight="1">
      <c r="D459" s="211"/>
      <c r="E459" s="7"/>
    </row>
    <row r="460" ht="15.75" customHeight="1">
      <c r="D460" s="211"/>
      <c r="E460" s="7"/>
    </row>
    <row r="461" ht="15.75" customHeight="1">
      <c r="D461" s="211"/>
      <c r="E461" s="7"/>
    </row>
    <row r="462" ht="15.75" customHeight="1">
      <c r="D462" s="211"/>
      <c r="E462" s="7"/>
    </row>
    <row r="463" ht="15.75" customHeight="1">
      <c r="D463" s="211"/>
      <c r="E463" s="7"/>
    </row>
    <row r="464" ht="15.75" customHeight="1">
      <c r="D464" s="211"/>
      <c r="E464" s="7"/>
    </row>
    <row r="465" ht="15.75" customHeight="1">
      <c r="D465" s="211"/>
      <c r="E465" s="7"/>
    </row>
    <row r="466" ht="15.75" customHeight="1">
      <c r="D466" s="211"/>
      <c r="E466" s="7"/>
    </row>
    <row r="467" ht="15.75" customHeight="1">
      <c r="D467" s="211"/>
      <c r="E467" s="7"/>
    </row>
    <row r="468" ht="15.75" customHeight="1">
      <c r="D468" s="211"/>
      <c r="E468" s="7"/>
    </row>
    <row r="469" ht="15.75" customHeight="1">
      <c r="D469" s="211"/>
      <c r="E469" s="7"/>
    </row>
    <row r="470" ht="15.75" customHeight="1">
      <c r="D470" s="211"/>
      <c r="E470" s="7"/>
    </row>
    <row r="471" ht="15.75" customHeight="1">
      <c r="D471" s="211"/>
      <c r="E471" s="7"/>
    </row>
    <row r="472" ht="15.75" customHeight="1">
      <c r="D472" s="211"/>
      <c r="E472" s="7"/>
    </row>
    <row r="473" ht="15.75" customHeight="1">
      <c r="D473" s="211"/>
      <c r="E473" s="7"/>
    </row>
    <row r="474" ht="15.75" customHeight="1">
      <c r="D474" s="211"/>
      <c r="E474" s="7"/>
    </row>
    <row r="475" ht="15.75" customHeight="1">
      <c r="D475" s="211"/>
      <c r="E475" s="7"/>
    </row>
    <row r="476" ht="15.75" customHeight="1">
      <c r="D476" s="211"/>
      <c r="E476" s="7"/>
    </row>
    <row r="477" ht="15.75" customHeight="1">
      <c r="D477" s="211"/>
      <c r="E477" s="7"/>
    </row>
    <row r="478" ht="15.75" customHeight="1">
      <c r="D478" s="211"/>
      <c r="E478" s="7"/>
    </row>
    <row r="479" ht="15.75" customHeight="1">
      <c r="D479" s="211"/>
      <c r="E479" s="7"/>
    </row>
    <row r="480" ht="15.75" customHeight="1">
      <c r="D480" s="211"/>
      <c r="E480" s="7"/>
    </row>
    <row r="481" ht="15.75" customHeight="1">
      <c r="D481" s="211"/>
      <c r="E481" s="7"/>
    </row>
    <row r="482" ht="15.75" customHeight="1">
      <c r="D482" s="211"/>
      <c r="E482" s="7"/>
    </row>
    <row r="483" ht="15.75" customHeight="1">
      <c r="D483" s="211"/>
      <c r="E483" s="7"/>
    </row>
    <row r="484" ht="15.75" customHeight="1">
      <c r="D484" s="211"/>
      <c r="E484" s="7"/>
    </row>
    <row r="485" ht="15.75" customHeight="1">
      <c r="D485" s="211"/>
      <c r="E485" s="7"/>
    </row>
    <row r="486" ht="15.75" customHeight="1">
      <c r="D486" s="211"/>
      <c r="E486" s="7"/>
    </row>
    <row r="487" ht="15.75" customHeight="1">
      <c r="D487" s="211"/>
      <c r="E487" s="7"/>
    </row>
    <row r="488" ht="15.75" customHeight="1">
      <c r="D488" s="211"/>
      <c r="E488" s="7"/>
    </row>
    <row r="489" ht="15.75" customHeight="1">
      <c r="D489" s="211"/>
      <c r="E489" s="7"/>
    </row>
    <row r="490" ht="15.75" customHeight="1">
      <c r="D490" s="211"/>
      <c r="E490" s="7"/>
    </row>
    <row r="491" ht="15.75" customHeight="1">
      <c r="D491" s="211"/>
      <c r="E491" s="7"/>
    </row>
    <row r="492" ht="15.75" customHeight="1">
      <c r="D492" s="211"/>
      <c r="E492" s="7"/>
    </row>
    <row r="493" ht="15.75" customHeight="1">
      <c r="D493" s="211"/>
      <c r="E493" s="7"/>
    </row>
    <row r="494" ht="15.75" customHeight="1">
      <c r="D494" s="211"/>
      <c r="E494" s="7"/>
    </row>
    <row r="495" ht="15.75" customHeight="1">
      <c r="D495" s="211"/>
      <c r="E495" s="7"/>
    </row>
    <row r="496" ht="15.75" customHeight="1">
      <c r="D496" s="211"/>
      <c r="E496" s="7"/>
    </row>
    <row r="497" ht="15.75" customHeight="1">
      <c r="D497" s="211"/>
      <c r="E497" s="7"/>
    </row>
    <row r="498" ht="15.75" customHeight="1">
      <c r="D498" s="211"/>
      <c r="E498" s="7"/>
    </row>
    <row r="499" ht="15.75" customHeight="1">
      <c r="D499" s="211"/>
      <c r="E499" s="7"/>
    </row>
    <row r="500" ht="15.75" customHeight="1">
      <c r="D500" s="211"/>
      <c r="E500" s="7"/>
    </row>
    <row r="501" ht="15.75" customHeight="1">
      <c r="D501" s="211"/>
      <c r="E501" s="7"/>
    </row>
    <row r="502" ht="15.75" customHeight="1">
      <c r="D502" s="211"/>
      <c r="E502" s="7"/>
    </row>
    <row r="503" ht="15.75" customHeight="1">
      <c r="D503" s="211"/>
      <c r="E503" s="7"/>
    </row>
    <row r="504" ht="15.75" customHeight="1">
      <c r="D504" s="211"/>
      <c r="E504" s="7"/>
    </row>
    <row r="505" ht="15.75" customHeight="1">
      <c r="D505" s="211"/>
      <c r="E505" s="7"/>
    </row>
    <row r="506" ht="15.75" customHeight="1">
      <c r="D506" s="211"/>
      <c r="E506" s="7"/>
    </row>
    <row r="507" ht="15.75" customHeight="1">
      <c r="D507" s="211"/>
      <c r="E507" s="7"/>
    </row>
    <row r="508" ht="15.75" customHeight="1">
      <c r="D508" s="211"/>
      <c r="E508" s="7"/>
    </row>
    <row r="509" ht="15.75" customHeight="1">
      <c r="D509" s="211"/>
      <c r="E509" s="7"/>
    </row>
    <row r="510" ht="15.75" customHeight="1">
      <c r="D510" s="211"/>
      <c r="E510" s="7"/>
    </row>
    <row r="511" ht="15.75" customHeight="1">
      <c r="D511" s="211"/>
      <c r="E511" s="7"/>
    </row>
    <row r="512" ht="15.75" customHeight="1">
      <c r="D512" s="211"/>
      <c r="E512" s="7"/>
    </row>
    <row r="513" ht="15.75" customHeight="1">
      <c r="D513" s="211"/>
      <c r="E513" s="7"/>
    </row>
    <row r="514" ht="15.75" customHeight="1">
      <c r="D514" s="211"/>
      <c r="E514" s="7"/>
    </row>
    <row r="515" ht="15.75" customHeight="1">
      <c r="D515" s="211"/>
      <c r="E515" s="7"/>
    </row>
    <row r="516" ht="15.75" customHeight="1">
      <c r="D516" s="211"/>
      <c r="E516" s="7"/>
    </row>
    <row r="517" ht="15.75" customHeight="1">
      <c r="D517" s="211"/>
      <c r="E517" s="7"/>
    </row>
    <row r="518" ht="15.75" customHeight="1">
      <c r="D518" s="211"/>
      <c r="E518" s="7"/>
    </row>
    <row r="519" ht="15.75" customHeight="1">
      <c r="D519" s="211"/>
      <c r="E519" s="7"/>
    </row>
    <row r="520" ht="15.75" customHeight="1">
      <c r="D520" s="211"/>
      <c r="E520" s="7"/>
    </row>
    <row r="521" ht="15.75" customHeight="1">
      <c r="D521" s="211"/>
      <c r="E521" s="7"/>
    </row>
    <row r="522" ht="15.75" customHeight="1">
      <c r="D522" s="211"/>
      <c r="E522" s="7"/>
    </row>
    <row r="523" ht="15.75" customHeight="1">
      <c r="D523" s="211"/>
      <c r="E523" s="7"/>
    </row>
    <row r="524" ht="15.75" customHeight="1">
      <c r="D524" s="211"/>
      <c r="E524" s="7"/>
    </row>
    <row r="525" ht="15.75" customHeight="1">
      <c r="D525" s="211"/>
      <c r="E525" s="7"/>
    </row>
    <row r="526" ht="15.75" customHeight="1">
      <c r="D526" s="211"/>
      <c r="E526" s="7"/>
    </row>
    <row r="527" ht="15.75" customHeight="1">
      <c r="D527" s="211"/>
      <c r="E527" s="7"/>
    </row>
    <row r="528" ht="15.75" customHeight="1">
      <c r="D528" s="211"/>
      <c r="E528" s="7"/>
    </row>
    <row r="529" ht="15.75" customHeight="1">
      <c r="D529" s="211"/>
      <c r="E529" s="7"/>
    </row>
    <row r="530" ht="15.75" customHeight="1">
      <c r="D530" s="211"/>
      <c r="E530" s="7"/>
    </row>
    <row r="531" ht="15.75" customHeight="1">
      <c r="D531" s="211"/>
      <c r="E531" s="7"/>
    </row>
    <row r="532" ht="15.75" customHeight="1">
      <c r="D532" s="211"/>
      <c r="E532" s="7"/>
    </row>
    <row r="533" ht="15.75" customHeight="1">
      <c r="D533" s="211"/>
      <c r="E533" s="7"/>
    </row>
    <row r="534" ht="15.75" customHeight="1">
      <c r="D534" s="211"/>
      <c r="E534" s="7"/>
    </row>
    <row r="535" ht="15.75" customHeight="1">
      <c r="D535" s="211"/>
      <c r="E535" s="7"/>
    </row>
    <row r="536" ht="15.75" customHeight="1">
      <c r="D536" s="211"/>
      <c r="E536" s="7"/>
    </row>
    <row r="537" ht="15.75" customHeight="1">
      <c r="D537" s="211"/>
      <c r="E537" s="7"/>
    </row>
    <row r="538" ht="15.75" customHeight="1">
      <c r="D538" s="211"/>
      <c r="E538" s="7"/>
    </row>
    <row r="539" ht="15.75" customHeight="1">
      <c r="D539" s="211"/>
      <c r="E539" s="7"/>
    </row>
    <row r="540" ht="15.75" customHeight="1">
      <c r="D540" s="211"/>
      <c r="E540" s="7"/>
    </row>
    <row r="541" ht="15.75" customHeight="1">
      <c r="D541" s="211"/>
      <c r="E541" s="7"/>
    </row>
    <row r="542" ht="15.75" customHeight="1">
      <c r="D542" s="211"/>
      <c r="E542" s="7"/>
    </row>
    <row r="543" ht="15.75" customHeight="1">
      <c r="D543" s="211"/>
      <c r="E543" s="7"/>
    </row>
    <row r="544" ht="15.75" customHeight="1">
      <c r="D544" s="211"/>
      <c r="E544" s="7"/>
    </row>
    <row r="545" ht="15.75" customHeight="1">
      <c r="D545" s="211"/>
      <c r="E545" s="7"/>
    </row>
    <row r="546" ht="15.75" customHeight="1">
      <c r="D546" s="211"/>
      <c r="E546" s="7"/>
    </row>
    <row r="547" ht="15.75" customHeight="1">
      <c r="D547" s="211"/>
      <c r="E547" s="7"/>
    </row>
    <row r="548" ht="15.75" customHeight="1">
      <c r="D548" s="211"/>
      <c r="E548" s="7"/>
    </row>
    <row r="549" ht="15.75" customHeight="1">
      <c r="D549" s="211"/>
      <c r="E549" s="7"/>
    </row>
    <row r="550" ht="15.75" customHeight="1">
      <c r="D550" s="211"/>
      <c r="E550" s="7"/>
    </row>
    <row r="551" ht="15.75" customHeight="1">
      <c r="D551" s="211"/>
      <c r="E551" s="7"/>
    </row>
    <row r="552" ht="15.75" customHeight="1">
      <c r="D552" s="211"/>
      <c r="E552" s="7"/>
    </row>
    <row r="553" ht="15.75" customHeight="1">
      <c r="D553" s="211"/>
      <c r="E553" s="7"/>
    </row>
    <row r="554" ht="15.75" customHeight="1">
      <c r="D554" s="211"/>
      <c r="E554" s="7"/>
    </row>
    <row r="555" ht="15.75" customHeight="1">
      <c r="D555" s="211"/>
      <c r="E555" s="7"/>
    </row>
    <row r="556" ht="15.75" customHeight="1">
      <c r="D556" s="211"/>
      <c r="E556" s="7"/>
    </row>
    <row r="557" ht="15.75" customHeight="1">
      <c r="D557" s="211"/>
      <c r="E557" s="7"/>
    </row>
    <row r="558" ht="15.75" customHeight="1">
      <c r="D558" s="211"/>
      <c r="E558" s="7"/>
    </row>
    <row r="559" ht="15.75" customHeight="1">
      <c r="D559" s="211"/>
      <c r="E559" s="7"/>
    </row>
    <row r="560" ht="15.75" customHeight="1">
      <c r="D560" s="211"/>
      <c r="E560" s="7"/>
    </row>
    <row r="561" ht="15.75" customHeight="1">
      <c r="D561" s="211"/>
      <c r="E561" s="7"/>
    </row>
    <row r="562" ht="15.75" customHeight="1">
      <c r="D562" s="211"/>
      <c r="E562" s="7"/>
    </row>
    <row r="563" ht="15.75" customHeight="1">
      <c r="D563" s="211"/>
      <c r="E563" s="7"/>
    </row>
    <row r="564" ht="15.75" customHeight="1">
      <c r="D564" s="211"/>
      <c r="E564" s="7"/>
    </row>
    <row r="565" ht="15.75" customHeight="1">
      <c r="D565" s="211"/>
      <c r="E565" s="7"/>
    </row>
    <row r="566" ht="15.75" customHeight="1">
      <c r="D566" s="211"/>
      <c r="E566" s="7"/>
    </row>
    <row r="567" ht="15.75" customHeight="1">
      <c r="D567" s="211"/>
      <c r="E567" s="7"/>
    </row>
    <row r="568" ht="15.75" customHeight="1">
      <c r="D568" s="211"/>
      <c r="E568" s="7"/>
    </row>
    <row r="569" ht="15.75" customHeight="1">
      <c r="D569" s="211"/>
      <c r="E569" s="7"/>
    </row>
    <row r="570" ht="15.75" customHeight="1">
      <c r="D570" s="211"/>
      <c r="E570" s="7"/>
    </row>
    <row r="571" ht="15.75" customHeight="1">
      <c r="D571" s="211"/>
      <c r="E571" s="7"/>
    </row>
    <row r="572" ht="15.75" customHeight="1">
      <c r="D572" s="211"/>
      <c r="E572" s="7"/>
    </row>
    <row r="573" ht="15.75" customHeight="1">
      <c r="D573" s="211"/>
      <c r="E573" s="7"/>
    </row>
    <row r="574" ht="15.75" customHeight="1">
      <c r="D574" s="211"/>
      <c r="E574" s="7"/>
    </row>
    <row r="575" ht="15.75" customHeight="1">
      <c r="D575" s="211"/>
      <c r="E575" s="7"/>
    </row>
    <row r="576" ht="15.75" customHeight="1">
      <c r="D576" s="211"/>
      <c r="E576" s="7"/>
    </row>
    <row r="577" ht="15.75" customHeight="1">
      <c r="D577" s="211"/>
      <c r="E577" s="7"/>
    </row>
    <row r="578" ht="15.75" customHeight="1">
      <c r="D578" s="211"/>
      <c r="E578" s="7"/>
    </row>
    <row r="579" ht="15.75" customHeight="1">
      <c r="D579" s="211"/>
      <c r="E579" s="7"/>
    </row>
    <row r="580" ht="15.75" customHeight="1">
      <c r="D580" s="211"/>
      <c r="E580" s="7"/>
    </row>
    <row r="581" ht="15.75" customHeight="1">
      <c r="D581" s="211"/>
      <c r="E581" s="7"/>
    </row>
    <row r="582" ht="15.75" customHeight="1">
      <c r="D582" s="211"/>
      <c r="E582" s="7"/>
    </row>
    <row r="583" ht="15.75" customHeight="1">
      <c r="D583" s="211"/>
      <c r="E583" s="7"/>
    </row>
    <row r="584" ht="15.75" customHeight="1">
      <c r="D584" s="211"/>
      <c r="E584" s="7"/>
    </row>
    <row r="585" ht="15.75" customHeight="1">
      <c r="D585" s="211"/>
      <c r="E585" s="7"/>
    </row>
    <row r="586" ht="15.75" customHeight="1">
      <c r="D586" s="211"/>
      <c r="E586" s="7"/>
    </row>
    <row r="587" ht="15.75" customHeight="1">
      <c r="D587" s="211"/>
      <c r="E587" s="7"/>
    </row>
    <row r="588" ht="15.75" customHeight="1">
      <c r="D588" s="211"/>
      <c r="E588" s="7"/>
    </row>
    <row r="589" ht="15.75" customHeight="1">
      <c r="D589" s="211"/>
      <c r="E589" s="7"/>
    </row>
    <row r="590" ht="15.75" customHeight="1">
      <c r="D590" s="211"/>
      <c r="E590" s="7"/>
    </row>
    <row r="591" ht="15.75" customHeight="1">
      <c r="D591" s="211"/>
      <c r="E591" s="7"/>
    </row>
    <row r="592" ht="15.75" customHeight="1">
      <c r="D592" s="211"/>
      <c r="E592" s="7"/>
    </row>
    <row r="593" ht="15.75" customHeight="1">
      <c r="D593" s="211"/>
      <c r="E593" s="7"/>
    </row>
    <row r="594" ht="15.75" customHeight="1">
      <c r="D594" s="211"/>
      <c r="E594" s="7"/>
    </row>
    <row r="595" ht="15.75" customHeight="1">
      <c r="D595" s="211"/>
      <c r="E595" s="7"/>
    </row>
    <row r="596" ht="15.75" customHeight="1">
      <c r="D596" s="211"/>
      <c r="E596" s="7"/>
    </row>
    <row r="597" ht="15.75" customHeight="1">
      <c r="D597" s="211"/>
      <c r="E597" s="7"/>
    </row>
    <row r="598" ht="15.75" customHeight="1">
      <c r="D598" s="211"/>
      <c r="E598" s="7"/>
    </row>
    <row r="599" ht="15.75" customHeight="1">
      <c r="D599" s="211"/>
      <c r="E599" s="7"/>
    </row>
    <row r="600" ht="15.75" customHeight="1">
      <c r="D600" s="211"/>
      <c r="E600" s="7"/>
    </row>
    <row r="601" ht="15.75" customHeight="1">
      <c r="D601" s="211"/>
      <c r="E601" s="7"/>
    </row>
    <row r="602" ht="15.75" customHeight="1">
      <c r="D602" s="211"/>
      <c r="E602" s="7"/>
    </row>
    <row r="603" ht="15.75" customHeight="1">
      <c r="D603" s="211"/>
      <c r="E603" s="7"/>
    </row>
    <row r="604" ht="15.75" customHeight="1">
      <c r="D604" s="211"/>
      <c r="E604" s="7"/>
    </row>
    <row r="605" ht="15.75" customHeight="1">
      <c r="D605" s="211"/>
      <c r="E605" s="7"/>
    </row>
    <row r="606" ht="15.75" customHeight="1">
      <c r="D606" s="211"/>
      <c r="E606" s="7"/>
    </row>
    <row r="607" ht="15.75" customHeight="1">
      <c r="D607" s="211"/>
      <c r="E607" s="7"/>
    </row>
    <row r="608" ht="15.75" customHeight="1">
      <c r="D608" s="211"/>
      <c r="E608" s="7"/>
    </row>
    <row r="609" ht="15.75" customHeight="1">
      <c r="D609" s="211"/>
      <c r="E609" s="7"/>
    </row>
    <row r="610" ht="15.75" customHeight="1">
      <c r="D610" s="211"/>
      <c r="E610" s="7"/>
    </row>
    <row r="611" ht="15.75" customHeight="1">
      <c r="D611" s="211"/>
      <c r="E611" s="7"/>
    </row>
    <row r="612" ht="15.75" customHeight="1">
      <c r="D612" s="211"/>
      <c r="E612" s="7"/>
    </row>
    <row r="613" ht="15.75" customHeight="1">
      <c r="D613" s="211"/>
      <c r="E613" s="7"/>
    </row>
    <row r="614" ht="15.75" customHeight="1">
      <c r="D614" s="211"/>
      <c r="E614" s="7"/>
    </row>
    <row r="615" ht="15.75" customHeight="1">
      <c r="D615" s="211"/>
      <c r="E615" s="7"/>
    </row>
    <row r="616" ht="15.75" customHeight="1">
      <c r="D616" s="211"/>
      <c r="E616" s="7"/>
    </row>
    <row r="617" ht="15.75" customHeight="1">
      <c r="D617" s="211"/>
      <c r="E617" s="7"/>
    </row>
    <row r="618" ht="15.75" customHeight="1">
      <c r="D618" s="211"/>
      <c r="E618" s="7"/>
    </row>
    <row r="619" ht="15.75" customHeight="1">
      <c r="D619" s="211"/>
      <c r="E619" s="7"/>
    </row>
    <row r="620" ht="15.75" customHeight="1">
      <c r="D620" s="211"/>
      <c r="E620" s="7"/>
    </row>
    <row r="621" ht="15.75" customHeight="1">
      <c r="D621" s="211"/>
      <c r="E621" s="7"/>
    </row>
    <row r="622" ht="15.75" customHeight="1">
      <c r="D622" s="211"/>
      <c r="E622" s="7"/>
    </row>
    <row r="623" ht="15.75" customHeight="1">
      <c r="D623" s="211"/>
      <c r="E623" s="7"/>
    </row>
    <row r="624" ht="15.75" customHeight="1">
      <c r="D624" s="211"/>
      <c r="E624" s="7"/>
    </row>
    <row r="625" ht="15.75" customHeight="1">
      <c r="D625" s="211"/>
      <c r="E625" s="7"/>
    </row>
    <row r="626" ht="15.75" customHeight="1">
      <c r="D626" s="211"/>
      <c r="E626" s="7"/>
    </row>
    <row r="627" ht="15.75" customHeight="1">
      <c r="D627" s="211"/>
      <c r="E627" s="7"/>
    </row>
    <row r="628" ht="15.75" customHeight="1">
      <c r="D628" s="211"/>
      <c r="E628" s="7"/>
    </row>
    <row r="629" ht="15.75" customHeight="1">
      <c r="D629" s="211"/>
      <c r="E629" s="7"/>
    </row>
    <row r="630" ht="15.75" customHeight="1">
      <c r="D630" s="211"/>
      <c r="E630" s="7"/>
    </row>
    <row r="631" ht="15.75" customHeight="1">
      <c r="D631" s="211"/>
      <c r="E631" s="7"/>
    </row>
    <row r="632" ht="15.75" customHeight="1">
      <c r="D632" s="211"/>
      <c r="E632" s="7"/>
    </row>
    <row r="633" ht="15.75" customHeight="1">
      <c r="D633" s="211"/>
      <c r="E633" s="7"/>
    </row>
    <row r="634" ht="15.75" customHeight="1">
      <c r="D634" s="211"/>
      <c r="E634" s="7"/>
    </row>
    <row r="635" ht="15.75" customHeight="1">
      <c r="D635" s="211"/>
      <c r="E635" s="7"/>
    </row>
    <row r="636" ht="15.75" customHeight="1">
      <c r="D636" s="211"/>
      <c r="E636" s="7"/>
    </row>
    <row r="637" ht="15.75" customHeight="1">
      <c r="D637" s="211"/>
      <c r="E637" s="7"/>
    </row>
    <row r="638" ht="15.75" customHeight="1">
      <c r="D638" s="211"/>
      <c r="E638" s="7"/>
    </row>
    <row r="639" ht="15.75" customHeight="1">
      <c r="D639" s="211"/>
      <c r="E639" s="7"/>
    </row>
    <row r="640" ht="15.75" customHeight="1">
      <c r="D640" s="211"/>
      <c r="E640" s="7"/>
    </row>
    <row r="641" ht="15.75" customHeight="1">
      <c r="D641" s="211"/>
      <c r="E641" s="7"/>
    </row>
    <row r="642" ht="15.75" customHeight="1">
      <c r="D642" s="211"/>
      <c r="E642" s="7"/>
    </row>
    <row r="643" ht="15.75" customHeight="1">
      <c r="D643" s="211"/>
      <c r="E643" s="7"/>
    </row>
    <row r="644" ht="15.75" customHeight="1">
      <c r="D644" s="211"/>
      <c r="E644" s="7"/>
    </row>
    <row r="645" ht="15.75" customHeight="1">
      <c r="D645" s="211"/>
      <c r="E645" s="7"/>
    </row>
    <row r="646" ht="15.75" customHeight="1">
      <c r="D646" s="211"/>
      <c r="E646" s="7"/>
    </row>
    <row r="647" ht="15.75" customHeight="1">
      <c r="D647" s="211"/>
      <c r="E647" s="7"/>
    </row>
    <row r="648" ht="15.75" customHeight="1">
      <c r="D648" s="211"/>
      <c r="E648" s="7"/>
    </row>
    <row r="649" ht="15.75" customHeight="1">
      <c r="D649" s="211"/>
      <c r="E649" s="7"/>
    </row>
    <row r="650" ht="15.75" customHeight="1">
      <c r="D650" s="211"/>
      <c r="E650" s="7"/>
    </row>
    <row r="651" ht="15.75" customHeight="1">
      <c r="D651" s="211"/>
      <c r="E651" s="7"/>
    </row>
    <row r="652" ht="15.75" customHeight="1">
      <c r="D652" s="211"/>
      <c r="E652" s="7"/>
    </row>
    <row r="653" ht="15.75" customHeight="1">
      <c r="D653" s="211"/>
      <c r="E653" s="7"/>
    </row>
    <row r="654" ht="15.75" customHeight="1">
      <c r="D654" s="211"/>
      <c r="E654" s="7"/>
    </row>
    <row r="655" ht="15.75" customHeight="1">
      <c r="D655" s="211"/>
      <c r="E655" s="7"/>
    </row>
    <row r="656" ht="15.75" customHeight="1">
      <c r="D656" s="211"/>
      <c r="E656" s="7"/>
    </row>
    <row r="657" ht="15.75" customHeight="1">
      <c r="D657" s="211"/>
      <c r="E657" s="7"/>
    </row>
    <row r="658" ht="15.75" customHeight="1">
      <c r="D658" s="211"/>
      <c r="E658" s="7"/>
    </row>
    <row r="659" ht="15.75" customHeight="1">
      <c r="D659" s="211"/>
      <c r="E659" s="7"/>
    </row>
    <row r="660" ht="15.75" customHeight="1">
      <c r="D660" s="211"/>
      <c r="E660" s="7"/>
    </row>
    <row r="661" ht="15.75" customHeight="1">
      <c r="D661" s="211"/>
      <c r="E661" s="7"/>
    </row>
    <row r="662" ht="15.75" customHeight="1">
      <c r="D662" s="211"/>
      <c r="E662" s="7"/>
    </row>
    <row r="663" ht="15.75" customHeight="1">
      <c r="D663" s="211"/>
      <c r="E663" s="7"/>
    </row>
    <row r="664" ht="15.75" customHeight="1">
      <c r="D664" s="211"/>
      <c r="E664" s="7"/>
    </row>
    <row r="665" ht="15.75" customHeight="1">
      <c r="D665" s="211"/>
      <c r="E665" s="7"/>
    </row>
    <row r="666" ht="15.75" customHeight="1">
      <c r="D666" s="211"/>
      <c r="E666" s="7"/>
    </row>
    <row r="667" ht="15.75" customHeight="1">
      <c r="D667" s="211"/>
      <c r="E667" s="7"/>
    </row>
    <row r="668" ht="15.75" customHeight="1">
      <c r="D668" s="211"/>
      <c r="E668" s="7"/>
    </row>
    <row r="669" ht="15.75" customHeight="1">
      <c r="D669" s="211"/>
      <c r="E669" s="7"/>
    </row>
    <row r="670" ht="15.75" customHeight="1">
      <c r="D670" s="211"/>
      <c r="E670" s="7"/>
    </row>
    <row r="671" ht="15.75" customHeight="1">
      <c r="D671" s="211"/>
      <c r="E671" s="7"/>
    </row>
    <row r="672" ht="15.75" customHeight="1">
      <c r="D672" s="211"/>
      <c r="E672" s="7"/>
    </row>
    <row r="673" ht="15.75" customHeight="1">
      <c r="D673" s="211"/>
      <c r="E673" s="7"/>
    </row>
    <row r="674" ht="15.75" customHeight="1">
      <c r="D674" s="211"/>
      <c r="E674" s="7"/>
    </row>
    <row r="675" ht="15.75" customHeight="1">
      <c r="D675" s="211"/>
      <c r="E675" s="7"/>
    </row>
    <row r="676" ht="15.75" customHeight="1">
      <c r="D676" s="211"/>
      <c r="E676" s="7"/>
    </row>
    <row r="677" ht="15.75" customHeight="1">
      <c r="D677" s="211"/>
      <c r="E677" s="7"/>
    </row>
    <row r="678" ht="15.75" customHeight="1">
      <c r="D678" s="211"/>
      <c r="E678" s="7"/>
    </row>
    <row r="679" ht="15.75" customHeight="1">
      <c r="D679" s="211"/>
      <c r="E679" s="7"/>
    </row>
    <row r="680" ht="15.75" customHeight="1">
      <c r="D680" s="211"/>
      <c r="E680" s="7"/>
    </row>
    <row r="681" ht="15.75" customHeight="1">
      <c r="D681" s="211"/>
      <c r="E681" s="7"/>
    </row>
    <row r="682" ht="15.75" customHeight="1">
      <c r="D682" s="211"/>
      <c r="E682" s="7"/>
    </row>
    <row r="683" ht="15.75" customHeight="1">
      <c r="D683" s="211"/>
      <c r="E683" s="7"/>
    </row>
    <row r="684" ht="15.75" customHeight="1">
      <c r="D684" s="211"/>
      <c r="E684" s="7"/>
    </row>
    <row r="685" ht="15.75" customHeight="1">
      <c r="D685" s="211"/>
      <c r="E685" s="7"/>
    </row>
    <row r="686" ht="15.75" customHeight="1">
      <c r="D686" s="211"/>
      <c r="E686" s="7"/>
    </row>
    <row r="687" ht="15.75" customHeight="1">
      <c r="D687" s="211"/>
      <c r="E687" s="7"/>
    </row>
    <row r="688" ht="15.75" customHeight="1">
      <c r="D688" s="211"/>
      <c r="E688" s="7"/>
    </row>
    <row r="689" ht="15.75" customHeight="1">
      <c r="D689" s="211"/>
      <c r="E689" s="7"/>
    </row>
    <row r="690" ht="15.75" customHeight="1">
      <c r="D690" s="211"/>
      <c r="E690" s="7"/>
    </row>
    <row r="691" ht="15.75" customHeight="1">
      <c r="D691" s="211"/>
      <c r="E691" s="7"/>
    </row>
    <row r="692" ht="15.75" customHeight="1">
      <c r="D692" s="211"/>
      <c r="E692" s="7"/>
    </row>
    <row r="693" ht="15.75" customHeight="1">
      <c r="D693" s="211"/>
      <c r="E693" s="7"/>
    </row>
    <row r="694" ht="15.75" customHeight="1">
      <c r="D694" s="211"/>
      <c r="E694" s="7"/>
    </row>
    <row r="695" ht="15.75" customHeight="1">
      <c r="D695" s="211"/>
      <c r="E695" s="7"/>
    </row>
    <row r="696" ht="15.75" customHeight="1">
      <c r="D696" s="211"/>
      <c r="E696" s="7"/>
    </row>
    <row r="697" ht="15.75" customHeight="1">
      <c r="D697" s="211"/>
      <c r="E697" s="7"/>
    </row>
    <row r="698" ht="15.75" customHeight="1">
      <c r="D698" s="211"/>
      <c r="E698" s="7"/>
    </row>
    <row r="699" ht="15.75" customHeight="1">
      <c r="D699" s="211"/>
      <c r="E699" s="7"/>
    </row>
    <row r="700" ht="15.75" customHeight="1">
      <c r="D700" s="211"/>
      <c r="E700" s="7"/>
    </row>
    <row r="701" ht="15.75" customHeight="1">
      <c r="D701" s="211"/>
      <c r="E701" s="7"/>
    </row>
    <row r="702" ht="15.75" customHeight="1">
      <c r="D702" s="211"/>
      <c r="E702" s="7"/>
    </row>
    <row r="703" ht="15.75" customHeight="1">
      <c r="D703" s="211"/>
      <c r="E703" s="7"/>
    </row>
    <row r="704" ht="15.75" customHeight="1">
      <c r="D704" s="211"/>
      <c r="E704" s="7"/>
    </row>
    <row r="705" ht="15.75" customHeight="1">
      <c r="D705" s="211"/>
      <c r="E705" s="7"/>
    </row>
    <row r="706" ht="15.75" customHeight="1">
      <c r="D706" s="211"/>
      <c r="E706" s="7"/>
    </row>
    <row r="707" ht="15.75" customHeight="1">
      <c r="D707" s="211"/>
      <c r="E707" s="7"/>
    </row>
    <row r="708" ht="15.75" customHeight="1">
      <c r="D708" s="211"/>
      <c r="E708" s="7"/>
    </row>
    <row r="709" ht="15.75" customHeight="1">
      <c r="D709" s="211"/>
      <c r="E709" s="7"/>
    </row>
    <row r="710" ht="15.75" customHeight="1">
      <c r="D710" s="211"/>
      <c r="E710" s="7"/>
    </row>
    <row r="711" ht="15.75" customHeight="1">
      <c r="D711" s="211"/>
      <c r="E711" s="7"/>
    </row>
    <row r="712" ht="15.75" customHeight="1">
      <c r="D712" s="211"/>
      <c r="E712" s="7"/>
    </row>
    <row r="713" ht="15.75" customHeight="1">
      <c r="D713" s="211"/>
      <c r="E713" s="7"/>
    </row>
    <row r="714" ht="15.75" customHeight="1">
      <c r="D714" s="211"/>
      <c r="E714" s="7"/>
    </row>
    <row r="715" ht="15.75" customHeight="1">
      <c r="D715" s="211"/>
      <c r="E715" s="7"/>
    </row>
    <row r="716" ht="15.75" customHeight="1">
      <c r="D716" s="211"/>
      <c r="E716" s="7"/>
    </row>
    <row r="717" ht="15.75" customHeight="1">
      <c r="D717" s="211"/>
      <c r="E717" s="7"/>
    </row>
    <row r="718" ht="15.75" customHeight="1">
      <c r="D718" s="211"/>
      <c r="E718" s="7"/>
    </row>
    <row r="719" ht="15.75" customHeight="1">
      <c r="D719" s="211"/>
      <c r="E719" s="7"/>
    </row>
    <row r="720" ht="15.75" customHeight="1">
      <c r="D720" s="211"/>
      <c r="E720" s="7"/>
    </row>
    <row r="721" ht="15.75" customHeight="1">
      <c r="D721" s="211"/>
      <c r="E721" s="7"/>
    </row>
    <row r="722" ht="15.75" customHeight="1">
      <c r="D722" s="211"/>
      <c r="E722" s="7"/>
    </row>
    <row r="723" ht="15.75" customHeight="1">
      <c r="D723" s="211"/>
      <c r="E723" s="7"/>
    </row>
    <row r="724" ht="15.75" customHeight="1">
      <c r="D724" s="211"/>
      <c r="E724" s="7"/>
    </row>
    <row r="725" ht="15.75" customHeight="1">
      <c r="D725" s="211"/>
      <c r="E725" s="7"/>
    </row>
    <row r="726" ht="15.75" customHeight="1">
      <c r="D726" s="211"/>
      <c r="E726" s="7"/>
    </row>
    <row r="727" ht="15.75" customHeight="1">
      <c r="D727" s="211"/>
      <c r="E727" s="7"/>
    </row>
    <row r="728" ht="15.75" customHeight="1">
      <c r="D728" s="211"/>
      <c r="E728" s="7"/>
    </row>
    <row r="729" ht="15.75" customHeight="1">
      <c r="D729" s="211"/>
      <c r="E729" s="7"/>
    </row>
    <row r="730" ht="15.75" customHeight="1">
      <c r="D730" s="211"/>
      <c r="E730" s="7"/>
    </row>
    <row r="731" ht="15.75" customHeight="1">
      <c r="D731" s="211"/>
      <c r="E731" s="7"/>
    </row>
    <row r="732" ht="15.75" customHeight="1">
      <c r="D732" s="211"/>
      <c r="E732" s="7"/>
    </row>
    <row r="733" ht="15.75" customHeight="1">
      <c r="D733" s="211"/>
      <c r="E733" s="7"/>
    </row>
    <row r="734" ht="15.75" customHeight="1">
      <c r="D734" s="211"/>
      <c r="E734" s="7"/>
    </row>
    <row r="735" ht="15.75" customHeight="1">
      <c r="D735" s="211"/>
      <c r="E735" s="7"/>
    </row>
    <row r="736" ht="15.75" customHeight="1">
      <c r="D736" s="211"/>
      <c r="E736" s="7"/>
    </row>
    <row r="737" ht="15.75" customHeight="1">
      <c r="D737" s="211"/>
      <c r="E737" s="7"/>
    </row>
    <row r="738" ht="15.75" customHeight="1">
      <c r="D738" s="211"/>
      <c r="E738" s="7"/>
    </row>
    <row r="739" ht="15.75" customHeight="1">
      <c r="D739" s="211"/>
      <c r="E739" s="7"/>
    </row>
    <row r="740" ht="15.75" customHeight="1">
      <c r="D740" s="211"/>
      <c r="E740" s="7"/>
    </row>
    <row r="741" ht="15.75" customHeight="1">
      <c r="D741" s="211"/>
      <c r="E741" s="7"/>
    </row>
    <row r="742" ht="15.75" customHeight="1">
      <c r="D742" s="211"/>
      <c r="E742" s="7"/>
    </row>
    <row r="743" ht="15.75" customHeight="1">
      <c r="D743" s="211"/>
      <c r="E743" s="7"/>
    </row>
    <row r="744" ht="15.75" customHeight="1">
      <c r="D744" s="211"/>
      <c r="E744" s="7"/>
    </row>
    <row r="745" ht="15.75" customHeight="1">
      <c r="D745" s="211"/>
      <c r="E745" s="7"/>
    </row>
    <row r="746" ht="15.75" customHeight="1">
      <c r="D746" s="211"/>
      <c r="E746" s="7"/>
    </row>
    <row r="747" ht="15.75" customHeight="1">
      <c r="D747" s="211"/>
      <c r="E747" s="7"/>
    </row>
    <row r="748" ht="15.75" customHeight="1">
      <c r="D748" s="211"/>
      <c r="E748" s="7"/>
    </row>
    <row r="749" ht="15.75" customHeight="1">
      <c r="D749" s="211"/>
      <c r="E749" s="7"/>
    </row>
    <row r="750" ht="15.75" customHeight="1">
      <c r="D750" s="211"/>
      <c r="E750" s="7"/>
    </row>
    <row r="751" ht="15.75" customHeight="1">
      <c r="D751" s="211"/>
      <c r="E751" s="7"/>
    </row>
    <row r="752" ht="15.75" customHeight="1">
      <c r="D752" s="211"/>
      <c r="E752" s="7"/>
    </row>
    <row r="753" ht="15.75" customHeight="1">
      <c r="D753" s="211"/>
      <c r="E753" s="7"/>
    </row>
    <row r="754" ht="15.75" customHeight="1">
      <c r="D754" s="211"/>
      <c r="E754" s="7"/>
    </row>
    <row r="755" ht="15.75" customHeight="1">
      <c r="D755" s="211"/>
      <c r="E755" s="7"/>
    </row>
    <row r="756" ht="15.75" customHeight="1">
      <c r="D756" s="211"/>
      <c r="E756" s="7"/>
    </row>
    <row r="757" ht="15.75" customHeight="1">
      <c r="D757" s="211"/>
      <c r="E757" s="7"/>
    </row>
    <row r="758" ht="15.75" customHeight="1">
      <c r="D758" s="211"/>
      <c r="E758" s="7"/>
    </row>
    <row r="759" ht="15.75" customHeight="1">
      <c r="D759" s="211"/>
      <c r="E759" s="7"/>
    </row>
    <row r="760" ht="15.75" customHeight="1">
      <c r="D760" s="211"/>
      <c r="E760" s="7"/>
    </row>
    <row r="761" ht="15.75" customHeight="1">
      <c r="D761" s="211"/>
      <c r="E761" s="7"/>
    </row>
    <row r="762" ht="15.75" customHeight="1">
      <c r="D762" s="211"/>
      <c r="E762" s="7"/>
    </row>
    <row r="763" ht="15.75" customHeight="1">
      <c r="D763" s="211"/>
      <c r="E763" s="7"/>
    </row>
    <row r="764" ht="15.75" customHeight="1">
      <c r="D764" s="211"/>
      <c r="E764" s="7"/>
    </row>
    <row r="765" ht="15.75" customHeight="1">
      <c r="D765" s="211"/>
      <c r="E765" s="7"/>
    </row>
    <row r="766" ht="15.75" customHeight="1">
      <c r="D766" s="211"/>
      <c r="E766" s="7"/>
    </row>
    <row r="767" ht="15.75" customHeight="1">
      <c r="D767" s="211"/>
      <c r="E767" s="7"/>
    </row>
    <row r="768" ht="15.75" customHeight="1">
      <c r="D768" s="211"/>
      <c r="E768" s="7"/>
    </row>
    <row r="769" ht="15.75" customHeight="1">
      <c r="D769" s="211"/>
      <c r="E769" s="7"/>
    </row>
    <row r="770" ht="15.75" customHeight="1">
      <c r="D770" s="211"/>
      <c r="E770" s="7"/>
    </row>
    <row r="771" ht="15.75" customHeight="1">
      <c r="D771" s="211"/>
      <c r="E771" s="7"/>
    </row>
    <row r="772" ht="15.75" customHeight="1">
      <c r="D772" s="211"/>
      <c r="E772" s="7"/>
    </row>
    <row r="773" ht="15.75" customHeight="1">
      <c r="D773" s="211"/>
      <c r="E773" s="7"/>
    </row>
    <row r="774" ht="15.75" customHeight="1">
      <c r="D774" s="211"/>
      <c r="E774" s="7"/>
    </row>
    <row r="775" ht="15.75" customHeight="1">
      <c r="D775" s="211"/>
      <c r="E775" s="7"/>
    </row>
    <row r="776" ht="15.75" customHeight="1">
      <c r="D776" s="211"/>
      <c r="E776" s="7"/>
    </row>
    <row r="777" ht="15.75" customHeight="1">
      <c r="D777" s="211"/>
      <c r="E777" s="7"/>
    </row>
    <row r="778" ht="15.75" customHeight="1">
      <c r="D778" s="211"/>
      <c r="E778" s="7"/>
    </row>
    <row r="779" ht="15.75" customHeight="1">
      <c r="D779" s="211"/>
      <c r="E779" s="7"/>
    </row>
    <row r="780" ht="15.75" customHeight="1">
      <c r="D780" s="211"/>
      <c r="E780" s="7"/>
    </row>
    <row r="781" ht="15.75" customHeight="1">
      <c r="D781" s="211"/>
      <c r="E781" s="7"/>
    </row>
    <row r="782" ht="15.75" customHeight="1">
      <c r="D782" s="211"/>
      <c r="E782" s="7"/>
    </row>
    <row r="783" ht="15.75" customHeight="1">
      <c r="D783" s="211"/>
      <c r="E783" s="7"/>
    </row>
    <row r="784" ht="15.75" customHeight="1">
      <c r="D784" s="211"/>
      <c r="E784" s="7"/>
    </row>
    <row r="785" ht="15.75" customHeight="1">
      <c r="D785" s="211"/>
      <c r="E785" s="7"/>
    </row>
    <row r="786" ht="15.75" customHeight="1">
      <c r="D786" s="211"/>
      <c r="E786" s="7"/>
    </row>
    <row r="787" ht="15.75" customHeight="1">
      <c r="D787" s="211"/>
      <c r="E787" s="7"/>
    </row>
    <row r="788" ht="15.75" customHeight="1">
      <c r="D788" s="211"/>
      <c r="E788" s="7"/>
    </row>
    <row r="789" ht="15.75" customHeight="1">
      <c r="D789" s="211"/>
      <c r="E789" s="7"/>
    </row>
    <row r="790" ht="15.75" customHeight="1">
      <c r="D790" s="211"/>
      <c r="E790" s="7"/>
    </row>
    <row r="791" ht="15.75" customHeight="1">
      <c r="D791" s="211"/>
      <c r="E791" s="7"/>
    </row>
    <row r="792" ht="15.75" customHeight="1">
      <c r="D792" s="211"/>
      <c r="E792" s="7"/>
    </row>
    <row r="793" ht="15.75" customHeight="1">
      <c r="D793" s="211"/>
      <c r="E793" s="7"/>
    </row>
    <row r="794" ht="15.75" customHeight="1">
      <c r="D794" s="211"/>
      <c r="E794" s="7"/>
    </row>
    <row r="795" ht="15.75" customHeight="1">
      <c r="D795" s="211"/>
      <c r="E795" s="7"/>
    </row>
    <row r="796" ht="15.75" customHeight="1">
      <c r="D796" s="211"/>
      <c r="E796" s="7"/>
    </row>
    <row r="797" ht="15.75" customHeight="1">
      <c r="D797" s="211"/>
      <c r="E797" s="7"/>
    </row>
    <row r="798" ht="15.75" customHeight="1">
      <c r="D798" s="211"/>
      <c r="E798" s="7"/>
    </row>
    <row r="799" ht="15.75" customHeight="1">
      <c r="D799" s="211"/>
      <c r="E799" s="7"/>
    </row>
    <row r="800" ht="15.75" customHeight="1">
      <c r="D800" s="211"/>
      <c r="E800" s="7"/>
    </row>
    <row r="801" ht="15.75" customHeight="1">
      <c r="D801" s="211"/>
      <c r="E801" s="7"/>
    </row>
    <row r="802" ht="15.75" customHeight="1">
      <c r="D802" s="211"/>
      <c r="E802" s="7"/>
    </row>
    <row r="803" ht="15.75" customHeight="1">
      <c r="D803" s="211"/>
      <c r="E803" s="7"/>
    </row>
    <row r="804" ht="15.75" customHeight="1">
      <c r="D804" s="211"/>
      <c r="E804" s="7"/>
    </row>
    <row r="805" ht="15.75" customHeight="1">
      <c r="D805" s="211"/>
      <c r="E805" s="7"/>
    </row>
    <row r="806" ht="15.75" customHeight="1">
      <c r="D806" s="211"/>
      <c r="E806" s="7"/>
    </row>
    <row r="807" ht="15.75" customHeight="1">
      <c r="D807" s="211"/>
      <c r="E807" s="7"/>
    </row>
    <row r="808" ht="15.75" customHeight="1">
      <c r="D808" s="211"/>
      <c r="E808" s="7"/>
    </row>
    <row r="809" ht="15.75" customHeight="1">
      <c r="D809" s="211"/>
      <c r="E809" s="7"/>
    </row>
    <row r="810" ht="15.75" customHeight="1">
      <c r="D810" s="211"/>
      <c r="E810" s="7"/>
    </row>
    <row r="811" ht="15.75" customHeight="1">
      <c r="D811" s="211"/>
      <c r="E811" s="7"/>
    </row>
    <row r="812" ht="15.75" customHeight="1">
      <c r="D812" s="211"/>
      <c r="E812" s="7"/>
    </row>
    <row r="813" ht="15.75" customHeight="1">
      <c r="D813" s="211"/>
      <c r="E813" s="7"/>
    </row>
    <row r="814" ht="15.75" customHeight="1">
      <c r="D814" s="211"/>
      <c r="E814" s="7"/>
    </row>
    <row r="815" ht="15.75" customHeight="1">
      <c r="D815" s="211"/>
      <c r="E815" s="7"/>
    </row>
    <row r="816" ht="15.75" customHeight="1">
      <c r="D816" s="211"/>
      <c r="E816" s="7"/>
    </row>
    <row r="817" ht="15.75" customHeight="1">
      <c r="D817" s="211"/>
      <c r="E817" s="7"/>
    </row>
    <row r="818" ht="15.75" customHeight="1">
      <c r="D818" s="211"/>
      <c r="E818" s="7"/>
    </row>
    <row r="819" ht="15.75" customHeight="1">
      <c r="D819" s="211"/>
      <c r="E819" s="7"/>
    </row>
    <row r="820" ht="15.75" customHeight="1">
      <c r="D820" s="211"/>
      <c r="E820" s="7"/>
    </row>
    <row r="821" ht="15.75" customHeight="1">
      <c r="D821" s="211"/>
      <c r="E821" s="7"/>
    </row>
    <row r="822" ht="15.75" customHeight="1">
      <c r="D822" s="211"/>
      <c r="E822" s="7"/>
    </row>
    <row r="823" ht="15.75" customHeight="1">
      <c r="D823" s="211"/>
      <c r="E823" s="7"/>
    </row>
    <row r="824" ht="15.75" customHeight="1">
      <c r="D824" s="211"/>
      <c r="E824" s="7"/>
    </row>
    <row r="825" ht="15.75" customHeight="1">
      <c r="D825" s="211"/>
      <c r="E825" s="7"/>
    </row>
    <row r="826" ht="15.75" customHeight="1">
      <c r="D826" s="211"/>
      <c r="E826" s="7"/>
    </row>
    <row r="827" ht="15.75" customHeight="1">
      <c r="D827" s="211"/>
      <c r="E827" s="7"/>
    </row>
    <row r="828" ht="15.75" customHeight="1">
      <c r="D828" s="211"/>
      <c r="E828" s="7"/>
    </row>
    <row r="829" ht="15.75" customHeight="1">
      <c r="D829" s="211"/>
      <c r="E829" s="7"/>
    </row>
    <row r="830" ht="15.75" customHeight="1">
      <c r="D830" s="211"/>
      <c r="E830" s="7"/>
    </row>
    <row r="831" ht="15.75" customHeight="1">
      <c r="D831" s="211"/>
      <c r="E831" s="7"/>
    </row>
    <row r="832" ht="15.75" customHeight="1">
      <c r="D832" s="211"/>
      <c r="E832" s="7"/>
    </row>
    <row r="833" ht="15.75" customHeight="1">
      <c r="D833" s="211"/>
      <c r="E833" s="7"/>
    </row>
    <row r="834" ht="15.75" customHeight="1">
      <c r="D834" s="211"/>
      <c r="E834" s="7"/>
    </row>
    <row r="835" ht="15.75" customHeight="1">
      <c r="D835" s="211"/>
      <c r="E835" s="7"/>
    </row>
    <row r="836" ht="15.75" customHeight="1">
      <c r="D836" s="211"/>
      <c r="E836" s="7"/>
    </row>
    <row r="837" ht="15.75" customHeight="1">
      <c r="D837" s="211"/>
      <c r="E837" s="7"/>
    </row>
    <row r="838" ht="15.75" customHeight="1">
      <c r="D838" s="211"/>
      <c r="E838" s="7"/>
    </row>
    <row r="839" ht="15.75" customHeight="1">
      <c r="D839" s="211"/>
      <c r="E839" s="7"/>
    </row>
    <row r="840" ht="15.75" customHeight="1">
      <c r="D840" s="211"/>
      <c r="E840" s="7"/>
    </row>
    <row r="841" ht="15.75" customHeight="1">
      <c r="D841" s="211"/>
      <c r="E841" s="7"/>
    </row>
    <row r="842" ht="15.75" customHeight="1">
      <c r="D842" s="211"/>
      <c r="E842" s="7"/>
    </row>
    <row r="843" ht="15.75" customHeight="1">
      <c r="D843" s="211"/>
      <c r="E843" s="7"/>
    </row>
    <row r="844" ht="15.75" customHeight="1">
      <c r="D844" s="211"/>
      <c r="E844" s="7"/>
    </row>
    <row r="845" ht="15.75" customHeight="1">
      <c r="D845" s="211"/>
      <c r="E845" s="7"/>
    </row>
    <row r="846" ht="15.75" customHeight="1">
      <c r="D846" s="211"/>
      <c r="E846" s="7"/>
    </row>
    <row r="847" ht="15.75" customHeight="1">
      <c r="D847" s="211"/>
      <c r="E847" s="7"/>
    </row>
    <row r="848" ht="15.75" customHeight="1">
      <c r="D848" s="211"/>
      <c r="E848" s="7"/>
    </row>
    <row r="849" ht="15.75" customHeight="1">
      <c r="D849" s="211"/>
      <c r="E849" s="7"/>
    </row>
    <row r="850" ht="15.75" customHeight="1">
      <c r="D850" s="211"/>
      <c r="E850" s="7"/>
    </row>
    <row r="851" ht="15.75" customHeight="1">
      <c r="D851" s="211"/>
      <c r="E851" s="7"/>
    </row>
    <row r="852" ht="15.75" customHeight="1">
      <c r="D852" s="211"/>
      <c r="E852" s="7"/>
    </row>
    <row r="853" ht="15.75" customHeight="1">
      <c r="D853" s="211"/>
      <c r="E853" s="7"/>
    </row>
    <row r="854" ht="15.75" customHeight="1">
      <c r="D854" s="211"/>
      <c r="E854" s="7"/>
    </row>
    <row r="855" ht="15.75" customHeight="1">
      <c r="D855" s="211"/>
      <c r="E855" s="7"/>
    </row>
    <row r="856" ht="15.75" customHeight="1">
      <c r="D856" s="211"/>
      <c r="E856" s="7"/>
    </row>
    <row r="857" ht="15.75" customHeight="1">
      <c r="D857" s="211"/>
      <c r="E857" s="7"/>
    </row>
    <row r="858" ht="15.75" customHeight="1">
      <c r="D858" s="211"/>
      <c r="E858" s="7"/>
    </row>
    <row r="859" ht="15.75" customHeight="1">
      <c r="D859" s="211"/>
      <c r="E859" s="7"/>
    </row>
    <row r="860" ht="15.75" customHeight="1">
      <c r="D860" s="211"/>
      <c r="E860" s="7"/>
    </row>
    <row r="861" ht="15.75" customHeight="1">
      <c r="D861" s="211"/>
      <c r="E861" s="7"/>
    </row>
    <row r="862" ht="15.75" customHeight="1">
      <c r="D862" s="211"/>
      <c r="E862" s="7"/>
    </row>
    <row r="863" ht="15.75" customHeight="1">
      <c r="D863" s="211"/>
      <c r="E863" s="7"/>
    </row>
    <row r="864" ht="15.75" customHeight="1">
      <c r="D864" s="211"/>
      <c r="E864" s="7"/>
    </row>
    <row r="865" ht="15.75" customHeight="1">
      <c r="D865" s="211"/>
      <c r="E865" s="7"/>
    </row>
    <row r="866" ht="15.75" customHeight="1">
      <c r="D866" s="211"/>
      <c r="E866" s="7"/>
    </row>
    <row r="867" ht="15.75" customHeight="1">
      <c r="D867" s="211"/>
      <c r="E867" s="7"/>
    </row>
    <row r="868" ht="15.75" customHeight="1">
      <c r="D868" s="211"/>
      <c r="E868" s="7"/>
    </row>
    <row r="869" ht="15.75" customHeight="1">
      <c r="D869" s="211"/>
      <c r="E869" s="7"/>
    </row>
    <row r="870" ht="15.75" customHeight="1">
      <c r="D870" s="211"/>
      <c r="E870" s="7"/>
    </row>
    <row r="871" ht="15.75" customHeight="1">
      <c r="D871" s="211"/>
      <c r="E871" s="7"/>
    </row>
    <row r="872" ht="15.75" customHeight="1">
      <c r="D872" s="211"/>
      <c r="E872" s="7"/>
    </row>
    <row r="873" ht="15.75" customHeight="1">
      <c r="D873" s="211"/>
      <c r="E873" s="7"/>
    </row>
    <row r="874" ht="15.75" customHeight="1">
      <c r="D874" s="211"/>
      <c r="E874" s="7"/>
    </row>
    <row r="875" ht="15.75" customHeight="1">
      <c r="D875" s="211"/>
      <c r="E875" s="7"/>
    </row>
    <row r="876" ht="15.75" customHeight="1">
      <c r="D876" s="211"/>
      <c r="E876" s="7"/>
    </row>
    <row r="877" ht="15.75" customHeight="1">
      <c r="D877" s="211"/>
      <c r="E877" s="7"/>
    </row>
    <row r="878" ht="15.75" customHeight="1">
      <c r="D878" s="211"/>
      <c r="E878" s="7"/>
    </row>
    <row r="879" ht="15.75" customHeight="1">
      <c r="D879" s="211"/>
      <c r="E879" s="7"/>
    </row>
    <row r="880" ht="15.75" customHeight="1">
      <c r="D880" s="211"/>
      <c r="E880" s="7"/>
    </row>
    <row r="881" ht="15.75" customHeight="1">
      <c r="D881" s="211"/>
      <c r="E881" s="7"/>
    </row>
    <row r="882" ht="15.75" customHeight="1">
      <c r="D882" s="211"/>
      <c r="E882" s="7"/>
    </row>
    <row r="883" ht="15.75" customHeight="1">
      <c r="D883" s="211"/>
      <c r="E883" s="7"/>
    </row>
    <row r="884" ht="15.75" customHeight="1">
      <c r="D884" s="211"/>
      <c r="E884" s="7"/>
    </row>
    <row r="885" ht="15.75" customHeight="1">
      <c r="D885" s="211"/>
      <c r="E885" s="7"/>
    </row>
    <row r="886" ht="15.75" customHeight="1">
      <c r="D886" s="211"/>
      <c r="E886" s="7"/>
    </row>
    <row r="887" ht="15.75" customHeight="1">
      <c r="D887" s="211"/>
      <c r="E887" s="7"/>
    </row>
    <row r="888" ht="15.75" customHeight="1">
      <c r="D888" s="211"/>
      <c r="E888" s="7"/>
    </row>
    <row r="889" ht="15.75" customHeight="1">
      <c r="D889" s="211"/>
      <c r="E889" s="7"/>
    </row>
    <row r="890" ht="15.75" customHeight="1">
      <c r="D890" s="211"/>
      <c r="E890" s="7"/>
    </row>
    <row r="891" ht="15.75" customHeight="1">
      <c r="D891" s="211"/>
      <c r="E891" s="7"/>
    </row>
    <row r="892" ht="15.75" customHeight="1">
      <c r="D892" s="211"/>
      <c r="E892" s="7"/>
    </row>
    <row r="893" ht="15.75" customHeight="1">
      <c r="D893" s="211"/>
      <c r="E893" s="7"/>
    </row>
    <row r="894" ht="15.75" customHeight="1">
      <c r="D894" s="211"/>
      <c r="E894" s="7"/>
    </row>
    <row r="895" ht="15.75" customHeight="1">
      <c r="D895" s="211"/>
      <c r="E895" s="7"/>
    </row>
    <row r="896" ht="15.75" customHeight="1">
      <c r="D896" s="211"/>
      <c r="E896" s="7"/>
    </row>
    <row r="897" ht="15.75" customHeight="1">
      <c r="D897" s="211"/>
      <c r="E897" s="7"/>
    </row>
    <row r="898" ht="15.75" customHeight="1">
      <c r="D898" s="211"/>
      <c r="E898" s="7"/>
    </row>
    <row r="899" ht="15.75" customHeight="1">
      <c r="D899" s="211"/>
      <c r="E899" s="7"/>
    </row>
    <row r="900" ht="15.75" customHeight="1">
      <c r="D900" s="211"/>
      <c r="E900" s="7"/>
    </row>
    <row r="901" ht="15.75" customHeight="1">
      <c r="D901" s="211"/>
      <c r="E901" s="7"/>
    </row>
    <row r="902" ht="15.75" customHeight="1">
      <c r="D902" s="211"/>
      <c r="E902" s="7"/>
    </row>
    <row r="903" ht="15.75" customHeight="1">
      <c r="D903" s="211"/>
      <c r="E903" s="7"/>
    </row>
    <row r="904" ht="15.75" customHeight="1">
      <c r="D904" s="211"/>
      <c r="E904" s="7"/>
    </row>
    <row r="905" ht="15.75" customHeight="1">
      <c r="D905" s="211"/>
      <c r="E905" s="7"/>
    </row>
    <row r="906" ht="15.75" customHeight="1">
      <c r="D906" s="211"/>
      <c r="E906" s="7"/>
    </row>
    <row r="907" ht="15.75" customHeight="1">
      <c r="D907" s="211"/>
      <c r="E907" s="7"/>
    </row>
    <row r="908" ht="15.75" customHeight="1">
      <c r="D908" s="211"/>
      <c r="E908" s="7"/>
    </row>
    <row r="909" ht="15.75" customHeight="1">
      <c r="D909" s="211"/>
      <c r="E909" s="7"/>
    </row>
    <row r="910" ht="15.75" customHeight="1">
      <c r="D910" s="211"/>
      <c r="E910" s="7"/>
    </row>
    <row r="911" ht="15.75" customHeight="1">
      <c r="D911" s="211"/>
      <c r="E911" s="7"/>
    </row>
    <row r="912" ht="15.75" customHeight="1">
      <c r="D912" s="211"/>
      <c r="E912" s="7"/>
    </row>
    <row r="913" ht="15.75" customHeight="1">
      <c r="D913" s="211"/>
      <c r="E913" s="7"/>
    </row>
    <row r="914" ht="15.75" customHeight="1">
      <c r="D914" s="211"/>
      <c r="E914" s="7"/>
    </row>
    <row r="915" ht="15.75" customHeight="1">
      <c r="D915" s="211"/>
      <c r="E915" s="7"/>
    </row>
    <row r="916" ht="15.75" customHeight="1">
      <c r="D916" s="211"/>
      <c r="E916" s="7"/>
    </row>
    <row r="917" ht="15.75" customHeight="1">
      <c r="D917" s="211"/>
      <c r="E917" s="7"/>
    </row>
    <row r="918" ht="15.75" customHeight="1">
      <c r="D918" s="211"/>
      <c r="E918" s="7"/>
    </row>
    <row r="919" ht="15.75" customHeight="1">
      <c r="D919" s="211"/>
      <c r="E919" s="7"/>
    </row>
    <row r="920" ht="15.75" customHeight="1">
      <c r="D920" s="211"/>
      <c r="E920" s="7"/>
    </row>
    <row r="921" ht="15.75" customHeight="1">
      <c r="D921" s="211"/>
      <c r="E921" s="7"/>
    </row>
    <row r="922" ht="15.75" customHeight="1">
      <c r="D922" s="211"/>
      <c r="E922" s="7"/>
    </row>
    <row r="923" ht="15.75" customHeight="1">
      <c r="D923" s="211"/>
      <c r="E923" s="7"/>
    </row>
    <row r="924" ht="15.75" customHeight="1">
      <c r="D924" s="211"/>
      <c r="E924" s="7"/>
    </row>
    <row r="925" ht="15.75" customHeight="1">
      <c r="D925" s="211"/>
      <c r="E925" s="7"/>
    </row>
    <row r="926" ht="15.75" customHeight="1">
      <c r="D926" s="211"/>
      <c r="E926" s="7"/>
    </row>
    <row r="927" ht="15.75" customHeight="1">
      <c r="D927" s="211"/>
      <c r="E927" s="7"/>
    </row>
    <row r="928" ht="15.75" customHeight="1">
      <c r="D928" s="211"/>
      <c r="E928" s="7"/>
    </row>
    <row r="929" ht="15.75" customHeight="1">
      <c r="D929" s="211"/>
      <c r="E929" s="7"/>
    </row>
    <row r="930" ht="15.75" customHeight="1">
      <c r="D930" s="211"/>
      <c r="E930" s="7"/>
    </row>
    <row r="931" ht="15.75" customHeight="1">
      <c r="D931" s="211"/>
      <c r="E931" s="7"/>
    </row>
    <row r="932" ht="15.75" customHeight="1">
      <c r="D932" s="211"/>
      <c r="E932" s="7"/>
    </row>
    <row r="933" ht="15.75" customHeight="1">
      <c r="D933" s="211"/>
      <c r="E933" s="7"/>
    </row>
    <row r="934" ht="15.75" customHeight="1">
      <c r="D934" s="211"/>
      <c r="E934" s="7"/>
    </row>
    <row r="935" ht="15.75" customHeight="1">
      <c r="D935" s="211"/>
      <c r="E935" s="7"/>
    </row>
    <row r="936" ht="15.75" customHeight="1">
      <c r="D936" s="211"/>
      <c r="E936" s="7"/>
    </row>
    <row r="937" ht="15.75" customHeight="1">
      <c r="D937" s="211"/>
      <c r="E937" s="7"/>
    </row>
    <row r="938" ht="15.75" customHeight="1">
      <c r="D938" s="211"/>
      <c r="E938" s="7"/>
    </row>
    <row r="939" ht="15.75" customHeight="1">
      <c r="D939" s="211"/>
      <c r="E939" s="7"/>
    </row>
    <row r="940" ht="15.75" customHeight="1">
      <c r="D940" s="211"/>
      <c r="E940" s="7"/>
    </row>
    <row r="941" ht="15.75" customHeight="1">
      <c r="D941" s="211"/>
      <c r="E941" s="7"/>
    </row>
    <row r="942" ht="15.75" customHeight="1">
      <c r="D942" s="211"/>
      <c r="E942" s="7"/>
    </row>
    <row r="943" ht="15.75" customHeight="1">
      <c r="D943" s="211"/>
      <c r="E943" s="7"/>
    </row>
    <row r="944" ht="15.75" customHeight="1">
      <c r="D944" s="211"/>
      <c r="E944" s="7"/>
    </row>
    <row r="945" ht="15.75" customHeight="1">
      <c r="D945" s="211"/>
      <c r="E945" s="7"/>
    </row>
    <row r="946" ht="15.75" customHeight="1">
      <c r="D946" s="211"/>
      <c r="E946" s="7"/>
    </row>
    <row r="947" ht="15.75" customHeight="1">
      <c r="D947" s="211"/>
      <c r="E947" s="7"/>
    </row>
    <row r="948" ht="15.75" customHeight="1">
      <c r="D948" s="211"/>
      <c r="E948" s="7"/>
    </row>
    <row r="949" ht="15.75" customHeight="1">
      <c r="D949" s="211"/>
      <c r="E949" s="7"/>
    </row>
    <row r="950" ht="15.75" customHeight="1">
      <c r="D950" s="211"/>
      <c r="E950" s="7"/>
    </row>
    <row r="951" ht="15.75" customHeight="1">
      <c r="D951" s="211"/>
      <c r="E951" s="7"/>
    </row>
    <row r="952" ht="15.75" customHeight="1">
      <c r="D952" s="211"/>
      <c r="E952" s="7"/>
    </row>
    <row r="953" ht="15.75" customHeight="1">
      <c r="D953" s="211"/>
      <c r="E953" s="7"/>
    </row>
    <row r="954" ht="15.75" customHeight="1">
      <c r="D954" s="211"/>
      <c r="E954" s="7"/>
    </row>
    <row r="955" ht="15.75" customHeight="1">
      <c r="D955" s="211"/>
      <c r="E955" s="7"/>
    </row>
    <row r="956" ht="15.75" customHeight="1">
      <c r="D956" s="211"/>
      <c r="E956" s="7"/>
    </row>
    <row r="957" ht="15.75" customHeight="1">
      <c r="D957" s="211"/>
      <c r="E957" s="7"/>
    </row>
    <row r="958" ht="15.75" customHeight="1">
      <c r="D958" s="211"/>
      <c r="E958" s="7"/>
    </row>
    <row r="959" ht="15.75" customHeight="1">
      <c r="D959" s="211"/>
      <c r="E959" s="7"/>
    </row>
    <row r="960" ht="15.75" customHeight="1">
      <c r="D960" s="211"/>
      <c r="E960" s="7"/>
    </row>
    <row r="961" ht="15.75" customHeight="1">
      <c r="D961" s="211"/>
      <c r="E961" s="7"/>
    </row>
    <row r="962" ht="15.75" customHeight="1">
      <c r="D962" s="211"/>
      <c r="E962" s="7"/>
    </row>
    <row r="963" ht="15.75" customHeight="1">
      <c r="D963" s="211"/>
      <c r="E963" s="7"/>
    </row>
    <row r="964" ht="15.75" customHeight="1">
      <c r="D964" s="211"/>
      <c r="E964" s="7"/>
    </row>
    <row r="965" ht="15.75" customHeight="1">
      <c r="D965" s="211"/>
      <c r="E965" s="7"/>
    </row>
    <row r="966" ht="15.75" customHeight="1">
      <c r="D966" s="211"/>
      <c r="E966" s="7"/>
    </row>
    <row r="967" ht="15.75" customHeight="1">
      <c r="D967" s="211"/>
      <c r="E967" s="7"/>
    </row>
    <row r="968" ht="15.75" customHeight="1">
      <c r="D968" s="211"/>
      <c r="E968" s="7"/>
    </row>
    <row r="969" ht="15.75" customHeight="1">
      <c r="D969" s="211"/>
      <c r="E969" s="7"/>
    </row>
    <row r="970" ht="15.75" customHeight="1">
      <c r="D970" s="211"/>
      <c r="E970" s="7"/>
    </row>
    <row r="971" ht="15.75" customHeight="1">
      <c r="D971" s="211"/>
      <c r="E971" s="7"/>
    </row>
    <row r="972" ht="15.75" customHeight="1">
      <c r="D972" s="211"/>
      <c r="E972" s="7"/>
    </row>
    <row r="973" ht="15.75" customHeight="1">
      <c r="D973" s="211"/>
      <c r="E973" s="7"/>
    </row>
    <row r="974" ht="15.75" customHeight="1">
      <c r="D974" s="211"/>
      <c r="E974" s="7"/>
    </row>
    <row r="975" ht="15.75" customHeight="1">
      <c r="D975" s="211"/>
      <c r="E975" s="7"/>
    </row>
    <row r="976" ht="15.75" customHeight="1">
      <c r="D976" s="211"/>
      <c r="E976" s="7"/>
    </row>
    <row r="977" ht="15.75" customHeight="1">
      <c r="D977" s="211"/>
      <c r="E977" s="7"/>
    </row>
    <row r="978" ht="15.75" customHeight="1">
      <c r="D978" s="211"/>
      <c r="E978" s="7"/>
    </row>
    <row r="979" ht="15.75" customHeight="1">
      <c r="D979" s="211"/>
      <c r="E979" s="7"/>
    </row>
    <row r="980" ht="15.75" customHeight="1">
      <c r="D980" s="211"/>
      <c r="E980" s="7"/>
    </row>
    <row r="981" ht="15.75" customHeight="1">
      <c r="D981" s="211"/>
      <c r="E981" s="7"/>
    </row>
    <row r="982" ht="15.75" customHeight="1">
      <c r="D982" s="211"/>
      <c r="E982" s="7"/>
    </row>
    <row r="983" ht="15.75" customHeight="1">
      <c r="D983" s="211"/>
      <c r="E983" s="7"/>
    </row>
    <row r="984" ht="15.75" customHeight="1">
      <c r="D984" s="211"/>
      <c r="E984" s="7"/>
    </row>
    <row r="985" ht="15.75" customHeight="1">
      <c r="D985" s="211"/>
      <c r="E985" s="7"/>
    </row>
    <row r="986" ht="15.75" customHeight="1">
      <c r="D986" s="211"/>
      <c r="E986" s="7"/>
    </row>
    <row r="987" ht="15.75" customHeight="1">
      <c r="D987" s="211"/>
      <c r="E987" s="7"/>
    </row>
    <row r="988" ht="15.75" customHeight="1">
      <c r="D988" s="211"/>
      <c r="E988" s="7"/>
    </row>
    <row r="989" ht="15.75" customHeight="1">
      <c r="D989" s="211"/>
      <c r="E989" s="7"/>
    </row>
    <row r="990" ht="15.75" customHeight="1">
      <c r="D990" s="211"/>
      <c r="E990" s="7"/>
    </row>
    <row r="991" ht="15.75" customHeight="1">
      <c r="D991" s="211"/>
      <c r="E991" s="7"/>
    </row>
    <row r="992" ht="15.75" customHeight="1">
      <c r="D992" s="211"/>
      <c r="E992" s="7"/>
    </row>
    <row r="993" ht="15.75" customHeight="1">
      <c r="D993" s="211"/>
      <c r="E993" s="7"/>
    </row>
    <row r="994" ht="15.75" customHeight="1">
      <c r="D994" s="211"/>
      <c r="E994" s="7"/>
    </row>
    <row r="995" ht="15.75" customHeight="1">
      <c r="D995" s="211"/>
      <c r="E995" s="7"/>
    </row>
    <row r="996" ht="15.75" customHeight="1">
      <c r="D996" s="211"/>
      <c r="E996" s="7"/>
    </row>
    <row r="997" ht="15.75" customHeight="1">
      <c r="D997" s="211"/>
      <c r="E997" s="7"/>
    </row>
    <row r="998" ht="15.75" customHeight="1">
      <c r="D998" s="211"/>
      <c r="E998" s="7"/>
    </row>
    <row r="999" ht="15.75" customHeight="1">
      <c r="D999" s="211"/>
      <c r="E999" s="7"/>
    </row>
    <row r="1000" ht="15.75" customHeight="1">
      <c r="D1000" s="211"/>
      <c r="E1000" s="7"/>
    </row>
  </sheetData>
  <mergeCells count="4">
    <mergeCell ref="A2:G2"/>
    <mergeCell ref="D29:E29"/>
    <mergeCell ref="D6:G6"/>
    <mergeCell ref="E3:G3"/>
  </mergeCells>
  <conditionalFormatting sqref="B29">
    <cfRule type="cellIs" dxfId="1" priority="1" operator="equal">
      <formula>0</formula>
    </cfRule>
  </conditionalFormatting>
  <conditionalFormatting sqref="B29">
    <cfRule type="cellIs" dxfId="2" priority="2" operator="greaterThan">
      <formula>0</formula>
    </cfRule>
  </conditionalFormatting>
  <dataValidations>
    <dataValidation type="custom" allowBlank="1" showInputMessage="1" showErrorMessage="1" prompt="Adjust the start date - The start date for your loan must occur on the same date or after the start date for your financials. If your financials begin on May 3, then your loans must start on May 3 or later." sqref="G20:G24">
      <formula1>IF(G20&gt;=Projected_Start_Date,TRUE,FALSE)</formula1>
    </dataValidation>
    <dataValidation type="custom" allowBlank="1" showInputMessage="1" prompt="Wait a minute... - Please check to make sure the number of payment months is greater than zero." sqref="E20:E24">
      <formula1>E20&gt;0</formula1>
    </dataValidation>
    <dataValidation type="custom" allowBlank="1" showInputMessage="1" showErrorMessage="1" prompt="Check the mortgage loan amount - This worksheet assumes the mortgage loan is only used for land and building so the amount of the loan must equal the sum of the land and building expenses. Please update the land/building values on the Start-up sheet." sqref="B21">
      <formula1>IF(B21=Sum_LandBuilding,TRUE,FALSE)</formula1>
    </dataValidation>
  </dataValidations>
  <printOptions/>
  <pageMargins bottom="0.49" footer="0.0" header="0.0" left="0.3" right="0.26" top="0.3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15784"/>
    <pageSetUpPr fitToPage="1"/>
  </sheetPr>
  <sheetViews>
    <sheetView showGridLines="0" workbookViewId="0"/>
  </sheetViews>
  <sheetFormatPr customHeight="1" defaultColWidth="12.63" defaultRowHeight="15.0"/>
  <cols>
    <col customWidth="1" min="1" max="1" width="3.63"/>
    <col customWidth="1" min="2" max="2" width="55.38"/>
    <col customWidth="1" min="3" max="3" width="23.75"/>
    <col customWidth="1" min="4" max="26" width="7.75"/>
  </cols>
  <sheetData>
    <row r="1">
      <c r="A1" s="1" t="s">
        <v>0</v>
      </c>
      <c r="B1" s="2"/>
      <c r="C1" s="1"/>
    </row>
    <row r="2">
      <c r="A2" s="8" t="str">
        <f>IF(ISBLANK(Company_Name),"Capital Assets","Capital Assets for "&amp;Company_Name)</f>
        <v>Capital Assets for OTW Paints</v>
      </c>
      <c r="B2" s="10"/>
      <c r="C2" s="10"/>
    </row>
    <row r="3" ht="15.75" customHeight="1">
      <c r="A3" s="14"/>
      <c r="B3" s="221" t="str">
        <f>"Financial Projections Start Date:  "&amp;IF(ISBLANK(Projected_Start_Date),"",TEXT(Projected_Start_Date,"mm/dd/yy"))</f>
        <v>Financial Projections Start Date:  01/01/16</v>
      </c>
      <c r="C3" s="130"/>
    </row>
    <row r="4">
      <c r="A4" s="114" t="s">
        <v>274</v>
      </c>
      <c r="B4" s="30"/>
      <c r="C4" s="30"/>
    </row>
    <row r="5">
      <c r="A5" s="222"/>
      <c r="B5" s="222" t="s">
        <v>275</v>
      </c>
      <c r="C5" s="222"/>
    </row>
    <row r="6">
      <c r="A6" s="115"/>
      <c r="B6" s="115"/>
      <c r="C6" s="225" t="str">
        <f>"Total Assets "&amp;TEXT(SUM(C32),"$0.00")</f>
        <v>Total Assets $0.00</v>
      </c>
    </row>
    <row r="7" ht="23.25" customHeight="1">
      <c r="A7" s="227"/>
      <c r="B7" s="229" t="s">
        <v>277</v>
      </c>
      <c r="C7" s="37" t="s">
        <v>41</v>
      </c>
    </row>
    <row r="8" ht="23.25" customHeight="1">
      <c r="A8" s="219">
        <v>1.0</v>
      </c>
      <c r="B8" s="231"/>
      <c r="C8" s="233"/>
    </row>
    <row r="9" ht="23.25" customHeight="1">
      <c r="A9" s="219">
        <v>2.0</v>
      </c>
      <c r="B9" s="231"/>
      <c r="C9" s="235"/>
    </row>
    <row r="10" ht="23.25" customHeight="1">
      <c r="A10" s="219">
        <v>3.0</v>
      </c>
      <c r="B10" s="231"/>
      <c r="C10" s="235"/>
    </row>
    <row r="11" ht="23.25" customHeight="1">
      <c r="A11" s="219">
        <v>4.0</v>
      </c>
      <c r="B11" s="231"/>
      <c r="C11" s="235"/>
    </row>
    <row r="12" ht="23.25" customHeight="1">
      <c r="A12" s="219">
        <v>5.0</v>
      </c>
      <c r="B12" s="231"/>
      <c r="C12" s="235"/>
    </row>
    <row r="13" ht="23.25" customHeight="1">
      <c r="A13" s="219">
        <v>6.0</v>
      </c>
      <c r="B13" s="231"/>
      <c r="C13" s="235"/>
    </row>
    <row r="14" ht="23.25" customHeight="1">
      <c r="A14" s="219">
        <v>7.0</v>
      </c>
      <c r="B14" s="231"/>
      <c r="C14" s="235"/>
    </row>
    <row r="15" ht="23.25" customHeight="1">
      <c r="A15" s="219">
        <v>8.0</v>
      </c>
      <c r="B15" s="231"/>
      <c r="C15" s="235"/>
    </row>
    <row r="16" ht="23.25" customHeight="1">
      <c r="A16" s="219">
        <v>9.0</v>
      </c>
      <c r="B16" s="231"/>
      <c r="C16" s="235"/>
    </row>
    <row r="17" ht="23.25" customHeight="1">
      <c r="A17" s="219">
        <v>10.0</v>
      </c>
      <c r="B17" s="231"/>
      <c r="C17" s="235"/>
    </row>
    <row r="18" ht="23.25" customHeight="1">
      <c r="A18" s="219">
        <v>11.0</v>
      </c>
      <c r="B18" s="231"/>
      <c r="C18" s="235"/>
    </row>
    <row r="19" ht="23.25" customHeight="1">
      <c r="A19" s="219">
        <v>12.0</v>
      </c>
      <c r="B19" s="231"/>
      <c r="C19" s="235"/>
    </row>
    <row r="20" ht="23.25" customHeight="1">
      <c r="A20" s="219">
        <v>13.0</v>
      </c>
      <c r="B20" s="231"/>
      <c r="C20" s="235"/>
    </row>
    <row r="21" ht="23.25" customHeight="1">
      <c r="A21" s="219">
        <v>14.0</v>
      </c>
      <c r="B21" s="231"/>
      <c r="C21" s="235"/>
    </row>
    <row r="22" ht="23.25" customHeight="1">
      <c r="A22" s="219">
        <v>15.0</v>
      </c>
      <c r="B22" s="231"/>
      <c r="C22" s="235"/>
    </row>
    <row r="23" ht="23.25" customHeight="1">
      <c r="A23" s="219">
        <v>16.0</v>
      </c>
      <c r="B23" s="231"/>
      <c r="C23" s="235"/>
    </row>
    <row r="24" ht="23.25" customHeight="1">
      <c r="A24" s="219">
        <v>17.0</v>
      </c>
      <c r="B24" s="231"/>
      <c r="C24" s="235"/>
    </row>
    <row r="25" ht="23.25" customHeight="1">
      <c r="A25" s="219">
        <v>18.0</v>
      </c>
      <c r="B25" s="231"/>
      <c r="C25" s="235"/>
    </row>
    <row r="26" ht="23.25" customHeight="1">
      <c r="A26" s="219">
        <v>19.0</v>
      </c>
      <c r="B26" s="231"/>
      <c r="C26" s="235"/>
    </row>
    <row r="27" ht="23.25" customHeight="1">
      <c r="A27" s="219">
        <v>20.0</v>
      </c>
      <c r="B27" s="240"/>
      <c r="C27" s="235"/>
    </row>
    <row r="28" ht="23.25" customHeight="1">
      <c r="A28" s="219">
        <v>21.0</v>
      </c>
      <c r="B28" s="240"/>
      <c r="C28" s="235"/>
    </row>
    <row r="29" ht="23.25" customHeight="1">
      <c r="A29" s="219">
        <v>22.0</v>
      </c>
      <c r="B29" s="240"/>
      <c r="C29" s="235"/>
    </row>
    <row r="30" ht="23.25" customHeight="1">
      <c r="A30" s="219">
        <v>23.0</v>
      </c>
      <c r="B30" s="240"/>
      <c r="C30" s="235"/>
    </row>
    <row r="31" ht="23.25" customHeight="1">
      <c r="A31" s="219">
        <v>24.0</v>
      </c>
      <c r="B31" s="240"/>
      <c r="C31" s="242"/>
    </row>
    <row r="32" ht="21.75" customHeight="1">
      <c r="A32" s="12"/>
      <c r="B32" s="12"/>
      <c r="C32" s="243">
        <f>SUM(C8:C31)</f>
        <v>0</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C2"/>
    <mergeCell ref="A4:C4"/>
    <mergeCell ref="B3:C3"/>
  </mergeCells>
  <printOptions/>
  <pageMargins bottom="0.75" footer="0.0" header="0.0" left="0.49" right="0.4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15784"/>
    <pageSetUpPr fitToPage="1"/>
  </sheetPr>
  <sheetViews>
    <sheetView showGridLines="0" workbookViewId="0"/>
  </sheetViews>
  <sheetFormatPr customHeight="1" defaultColWidth="12.63" defaultRowHeight="15.0"/>
  <cols>
    <col customWidth="1" min="1" max="1" width="3.63"/>
    <col customWidth="1" min="2" max="2" width="55.38"/>
    <col customWidth="1" min="3" max="3" width="23.75"/>
    <col customWidth="1" min="4" max="26" width="7.75"/>
  </cols>
  <sheetData>
    <row r="1">
      <c r="A1" s="1" t="s">
        <v>299</v>
      </c>
      <c r="B1" s="2"/>
      <c r="C1" s="1"/>
    </row>
    <row r="2">
      <c r="A2" s="8" t="str">
        <f>IF(ISBLANK(Company_Name),"Miscellaneous Costs","Misc. Costs for "&amp;Company_Name)</f>
        <v>Misc. Costs for OTW Paints</v>
      </c>
      <c r="B2" s="10"/>
      <c r="C2" s="10"/>
    </row>
    <row r="3" ht="15.75" customHeight="1">
      <c r="A3" s="14"/>
      <c r="B3" s="221" t="str">
        <f>"Financial Projections Start Date:  "&amp;IF(ISBLANK(Projected_Start_Date),"",TEXT(Projected_Start_Date,"mm/dd/yy"))</f>
        <v>Financial Projections Start Date:  01/01/16</v>
      </c>
      <c r="C3" s="130"/>
    </row>
    <row r="4">
      <c r="A4" s="114" t="s">
        <v>301</v>
      </c>
      <c r="B4" s="30"/>
      <c r="C4" s="30"/>
    </row>
    <row r="5">
      <c r="A5" s="222"/>
      <c r="B5" s="222"/>
      <c r="C5" s="222"/>
    </row>
    <row r="6">
      <c r="A6" s="115"/>
      <c r="B6" s="115"/>
      <c r="C6" s="225" t="str">
        <f>"Total Costs "&amp;TEXT(SUM(C32),"$0.00")</f>
        <v>Total Costs $0.00</v>
      </c>
    </row>
    <row r="7" ht="23.25" customHeight="1">
      <c r="A7" s="227"/>
      <c r="B7" s="229" t="s">
        <v>303</v>
      </c>
      <c r="C7" s="37" t="s">
        <v>41</v>
      </c>
    </row>
    <row r="8" ht="23.25" customHeight="1">
      <c r="A8" s="219">
        <v>1.0</v>
      </c>
      <c r="B8" s="231"/>
      <c r="C8" s="233"/>
    </row>
    <row r="9" ht="23.25" customHeight="1">
      <c r="A9" s="219">
        <v>2.0</v>
      </c>
      <c r="B9" s="231"/>
      <c r="C9" s="235"/>
    </row>
    <row r="10" ht="23.25" customHeight="1">
      <c r="A10" s="219">
        <v>3.0</v>
      </c>
      <c r="B10" s="231"/>
      <c r="C10" s="235"/>
    </row>
    <row r="11" ht="23.25" customHeight="1">
      <c r="A11" s="219">
        <v>4.0</v>
      </c>
      <c r="B11" s="231"/>
      <c r="C11" s="235"/>
    </row>
    <row r="12" ht="23.25" customHeight="1">
      <c r="A12" s="219">
        <v>5.0</v>
      </c>
      <c r="B12" s="231"/>
      <c r="C12" s="235"/>
    </row>
    <row r="13" ht="23.25" customHeight="1">
      <c r="A13" s="219">
        <v>6.0</v>
      </c>
      <c r="B13" s="231"/>
      <c r="C13" s="235"/>
    </row>
    <row r="14" ht="23.25" customHeight="1">
      <c r="A14" s="219">
        <v>7.0</v>
      </c>
      <c r="B14" s="231"/>
      <c r="C14" s="235"/>
    </row>
    <row r="15" ht="23.25" customHeight="1">
      <c r="A15" s="219">
        <v>8.0</v>
      </c>
      <c r="B15" s="231"/>
      <c r="C15" s="235"/>
    </row>
    <row r="16" ht="23.25" customHeight="1">
      <c r="A16" s="219">
        <v>9.0</v>
      </c>
      <c r="B16" s="231"/>
      <c r="C16" s="235"/>
    </row>
    <row r="17" ht="23.25" customHeight="1">
      <c r="A17" s="219">
        <v>10.0</v>
      </c>
      <c r="B17" s="231"/>
      <c r="C17" s="235"/>
    </row>
    <row r="18" ht="23.25" customHeight="1">
      <c r="A18" s="219">
        <v>11.0</v>
      </c>
      <c r="B18" s="231"/>
      <c r="C18" s="235"/>
    </row>
    <row r="19" ht="23.25" customHeight="1">
      <c r="A19" s="219">
        <v>12.0</v>
      </c>
      <c r="B19" s="231"/>
      <c r="C19" s="235"/>
    </row>
    <row r="20" ht="23.25" customHeight="1">
      <c r="A20" s="219">
        <v>13.0</v>
      </c>
      <c r="B20" s="231"/>
      <c r="C20" s="235"/>
    </row>
    <row r="21" ht="23.25" customHeight="1">
      <c r="A21" s="219">
        <v>14.0</v>
      </c>
      <c r="B21" s="231"/>
      <c r="C21" s="235"/>
    </row>
    <row r="22" ht="23.25" customHeight="1">
      <c r="A22" s="219">
        <v>15.0</v>
      </c>
      <c r="B22" s="231"/>
      <c r="C22" s="235"/>
    </row>
    <row r="23" ht="23.25" customHeight="1">
      <c r="A23" s="219">
        <v>16.0</v>
      </c>
      <c r="B23" s="231"/>
      <c r="C23" s="235"/>
    </row>
    <row r="24" ht="23.25" customHeight="1">
      <c r="A24" s="219">
        <v>17.0</v>
      </c>
      <c r="B24" s="231"/>
      <c r="C24" s="235"/>
    </row>
    <row r="25" ht="23.25" customHeight="1">
      <c r="A25" s="219">
        <v>18.0</v>
      </c>
      <c r="B25" s="231"/>
      <c r="C25" s="235"/>
    </row>
    <row r="26" ht="23.25" customHeight="1">
      <c r="A26" s="219">
        <v>19.0</v>
      </c>
      <c r="B26" s="231"/>
      <c r="C26" s="235"/>
    </row>
    <row r="27" ht="23.25" customHeight="1">
      <c r="A27" s="219">
        <v>20.0</v>
      </c>
      <c r="B27" s="240"/>
      <c r="C27" s="235"/>
    </row>
    <row r="28" ht="23.25" customHeight="1">
      <c r="A28" s="219">
        <v>21.0</v>
      </c>
      <c r="B28" s="240"/>
      <c r="C28" s="235"/>
    </row>
    <row r="29" ht="23.25" customHeight="1">
      <c r="A29" s="219">
        <v>22.0</v>
      </c>
      <c r="B29" s="240"/>
      <c r="C29" s="235"/>
    </row>
    <row r="30" ht="23.25" customHeight="1">
      <c r="A30" s="219">
        <v>23.0</v>
      </c>
      <c r="B30" s="240"/>
      <c r="C30" s="235"/>
    </row>
    <row r="31" ht="23.25" customHeight="1">
      <c r="A31" s="219">
        <v>24.0</v>
      </c>
      <c r="B31" s="240"/>
      <c r="C31" s="242"/>
    </row>
    <row r="32" ht="21.75" customHeight="1">
      <c r="A32" s="12"/>
      <c r="B32" s="12"/>
      <c r="C32" s="243">
        <f>SUM(C8:C31)</f>
        <v>0</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C2"/>
    <mergeCell ref="B3:C3"/>
    <mergeCell ref="A4:C4"/>
  </mergeCells>
  <printOptions/>
  <pageMargins bottom="0.75" footer="0.0" header="0.0" left="0.49" right="0.4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7.0" topLeftCell="A8" activePane="bottomLeft" state="frozen"/>
      <selection activeCell="B9" sqref="B9" pane="bottomLeft"/>
    </sheetView>
  </sheetViews>
  <sheetFormatPr customHeight="1" defaultColWidth="12.63" defaultRowHeight="15.0"/>
  <cols>
    <col customWidth="1" min="1" max="1" width="24.38"/>
    <col customWidth="1" min="2" max="2" width="13.38"/>
    <col customWidth="1" min="3" max="3" width="1.75"/>
    <col customWidth="1" min="4" max="4" width="9.75"/>
    <col customWidth="1" min="5" max="5" width="2.13"/>
    <col customWidth="1" min="6" max="6" width="3.25"/>
    <col customWidth="1" min="7" max="7" width="32.13"/>
    <col customWidth="1" min="8" max="8" width="10.88"/>
    <col customWidth="1" min="9" max="9" width="1.63"/>
    <col customWidth="1" min="10" max="13" width="13.5"/>
    <col customWidth="1" min="14" max="14" width="14.88"/>
    <col customWidth="1" min="15" max="15" width="9.38"/>
    <col customWidth="1" hidden="1" min="16" max="16" width="15.63"/>
    <col customWidth="1" hidden="1" min="17" max="18" width="9.38"/>
    <col customWidth="1" hidden="1" min="19" max="19" width="10.63"/>
    <col customWidth="1" hidden="1" min="20" max="20" width="8.25"/>
    <col customWidth="1" min="21" max="27" width="7.75"/>
  </cols>
  <sheetData>
    <row r="1" ht="18.0" customHeight="1">
      <c r="A1" s="1" t="s">
        <v>0</v>
      </c>
      <c r="B1" s="1"/>
      <c r="C1" s="1"/>
      <c r="D1" s="1"/>
      <c r="E1" s="1"/>
      <c r="F1" s="1"/>
      <c r="G1" s="126"/>
      <c r="H1" s="126"/>
      <c r="O1" s="12"/>
      <c r="P1" s="12"/>
      <c r="Q1" s="7"/>
      <c r="R1" s="7"/>
      <c r="S1" s="7"/>
      <c r="T1" s="12"/>
    </row>
    <row r="2" ht="17.25" customHeight="1">
      <c r="A2" s="8" t="str">
        <f>IF(ISBLANK(Company_Name),"Start-up or Base Summary",Company_Name&amp;"| Start-up or Base Summary")</f>
        <v>OTW Paints| Start-up or Base Summary</v>
      </c>
      <c r="B2" s="10"/>
      <c r="C2" s="10"/>
      <c r="D2" s="10"/>
      <c r="E2" s="16"/>
      <c r="F2" s="264"/>
      <c r="G2" s="5" t="str">
        <f>IF(ISBLANK(Company_Name),"Monthly Operating Expenses",Company_Name&amp;"| Monthly Operating Expenses")</f>
        <v>OTW Paints| Monthly Operating Expenses</v>
      </c>
      <c r="O2" s="12"/>
      <c r="P2" s="16"/>
      <c r="Q2" s="265"/>
      <c r="R2" s="265"/>
      <c r="S2" s="265"/>
      <c r="T2" s="16"/>
      <c r="U2" s="16"/>
      <c r="V2" s="16"/>
      <c r="W2" s="16"/>
      <c r="X2" s="16"/>
      <c r="Y2" s="16"/>
      <c r="Z2" s="16"/>
      <c r="AA2" s="16"/>
    </row>
    <row r="3" ht="26.25" customHeight="1">
      <c r="A3" s="9"/>
      <c r="B3" s="11"/>
      <c r="C3" s="11"/>
      <c r="D3" s="11"/>
      <c r="E3" s="11"/>
      <c r="F3" s="12"/>
      <c r="G3" s="167"/>
      <c r="H3" s="11"/>
      <c r="I3" s="11"/>
      <c r="J3" s="11"/>
      <c r="K3" s="11"/>
      <c r="L3" s="11"/>
      <c r="M3" s="11"/>
      <c r="N3" s="11"/>
      <c r="O3" s="12"/>
      <c r="P3" s="269"/>
      <c r="Q3" s="171"/>
      <c r="R3" s="7"/>
      <c r="S3" s="7"/>
      <c r="T3" s="12"/>
    </row>
    <row r="4">
      <c r="A4" s="12"/>
      <c r="B4" s="12"/>
      <c r="C4" s="12"/>
      <c r="D4" s="12"/>
      <c r="E4" s="12"/>
      <c r="F4" s="12"/>
      <c r="G4" s="12"/>
      <c r="H4" s="12"/>
      <c r="I4" s="12"/>
      <c r="J4" s="271" t="s">
        <v>313</v>
      </c>
      <c r="O4" s="12"/>
      <c r="P4" s="273"/>
      <c r="Q4" s="7"/>
      <c r="R4" s="7"/>
      <c r="S4" s="7"/>
      <c r="T4" s="12"/>
    </row>
    <row r="5">
      <c r="A5" s="274" t="s">
        <v>314</v>
      </c>
      <c r="B5" s="12"/>
      <c r="C5" s="12"/>
      <c r="D5" s="12"/>
      <c r="E5" s="12"/>
      <c r="F5" s="12"/>
      <c r="G5" s="277"/>
      <c r="H5" s="12"/>
      <c r="I5" s="12"/>
      <c r="J5" s="279" t="s">
        <v>315</v>
      </c>
      <c r="K5" s="279" t="s">
        <v>107</v>
      </c>
      <c r="L5" s="279" t="s">
        <v>109</v>
      </c>
      <c r="M5" s="279" t="s">
        <v>110</v>
      </c>
      <c r="N5" s="279" t="s">
        <v>111</v>
      </c>
      <c r="O5" s="12"/>
      <c r="P5" s="273"/>
      <c r="Q5" s="7"/>
      <c r="R5" s="7"/>
      <c r="S5" s="7"/>
      <c r="T5" s="12"/>
    </row>
    <row r="6" ht="31.5" customHeight="1">
      <c r="A6" s="17" t="s">
        <v>317</v>
      </c>
      <c r="B6" s="19"/>
      <c r="C6" s="19"/>
      <c r="D6" s="283" t="s">
        <v>318</v>
      </c>
      <c r="E6" s="230"/>
      <c r="F6" s="12"/>
      <c r="G6" s="17" t="s">
        <v>319</v>
      </c>
      <c r="H6" s="19"/>
      <c r="I6" s="19"/>
      <c r="J6" s="19"/>
      <c r="K6" s="79">
        <f>YR2_Expenses_Increase</f>
        <v>0.05</v>
      </c>
      <c r="L6" s="79">
        <f>YR3_Expenses_Increase</f>
        <v>0.05</v>
      </c>
      <c r="M6" s="79">
        <f>YR4_Expenses_Increase</f>
        <v>0.05</v>
      </c>
      <c r="N6" s="288">
        <f>YR5_Expenses_Increase</f>
        <v>0.05</v>
      </c>
      <c r="O6" s="12"/>
      <c r="P6" s="25" t="s">
        <v>318</v>
      </c>
      <c r="Q6" s="7"/>
      <c r="R6" s="55" t="s">
        <v>244</v>
      </c>
      <c r="S6" s="55" t="s">
        <v>263</v>
      </c>
      <c r="T6" s="7"/>
    </row>
    <row r="7">
      <c r="A7" s="23" t="s">
        <v>321</v>
      </c>
      <c r="B7" s="55" t="s">
        <v>41</v>
      </c>
      <c r="C7" s="55"/>
      <c r="D7" s="290" t="s">
        <v>322</v>
      </c>
      <c r="E7" s="230"/>
      <c r="F7" s="12"/>
      <c r="G7" s="53"/>
      <c r="H7" s="25" t="s">
        <v>244</v>
      </c>
      <c r="I7" s="12"/>
      <c r="J7" s="291" t="s">
        <v>315</v>
      </c>
      <c r="K7" s="291" t="s">
        <v>107</v>
      </c>
      <c r="L7" s="291" t="s">
        <v>109</v>
      </c>
      <c r="M7" s="291" t="s">
        <v>110</v>
      </c>
      <c r="N7" s="292" t="s">
        <v>111</v>
      </c>
      <c r="O7" s="12"/>
      <c r="P7" s="12"/>
      <c r="Q7" s="55" t="s">
        <v>323</v>
      </c>
      <c r="R7" s="55" t="s">
        <v>324</v>
      </c>
      <c r="S7" s="55" t="s">
        <v>325</v>
      </c>
      <c r="T7" s="55" t="s">
        <v>326</v>
      </c>
    </row>
    <row r="8">
      <c r="A8" s="86" t="s">
        <v>43</v>
      </c>
      <c r="B8" s="153" t="str">
        <f>Land</f>
        <v/>
      </c>
      <c r="C8" s="153"/>
      <c r="D8" s="293"/>
      <c r="E8" s="294"/>
      <c r="F8" s="295"/>
      <c r="G8" s="86" t="s">
        <v>178</v>
      </c>
      <c r="H8" s="153" t="str">
        <f>Mo_Mortgage</f>
        <v/>
      </c>
      <c r="I8" s="12"/>
      <c r="J8" s="153">
        <f t="shared" ref="J8:J34" si="1">H8*12</f>
        <v>0</v>
      </c>
      <c r="K8" s="153">
        <f>J8*(1+YR2_Expenses_Increase)</f>
        <v>0</v>
      </c>
      <c r="L8" s="153">
        <f>K8*(1+YR3_Expenses_Increase)</f>
        <v>0</v>
      </c>
      <c r="M8" s="153">
        <f>L8*(1+YR4_Expenses_Increase)</f>
        <v>0</v>
      </c>
      <c r="N8" s="261">
        <f>M8*(1+YR5_Expenses_Increase)</f>
        <v>0</v>
      </c>
      <c r="O8" s="12"/>
      <c r="P8" s="12"/>
      <c r="Q8" s="7"/>
      <c r="R8" s="137"/>
      <c r="S8" s="7"/>
      <c r="T8" s="273"/>
    </row>
    <row r="9">
      <c r="A9" s="86" t="s">
        <v>50</v>
      </c>
      <c r="B9" s="153" t="str">
        <f>Building</f>
        <v/>
      </c>
      <c r="C9" s="153"/>
      <c r="D9" s="296">
        <v>0.0</v>
      </c>
      <c r="E9" s="298">
        <f t="shared" ref="E9:E16" si="2">IFERROR(B9/(D9*12),0)</f>
        <v>0</v>
      </c>
      <c r="F9" s="298"/>
      <c r="G9" s="86" t="s">
        <v>180</v>
      </c>
      <c r="H9" s="153">
        <f>Mo_Rent</f>
        <v>0</v>
      </c>
      <c r="I9" s="12"/>
      <c r="J9" s="302">
        <f t="shared" si="1"/>
        <v>0</v>
      </c>
      <c r="K9" s="302">
        <f>J9*(1+YR2_Expenses_Increase)</f>
        <v>0</v>
      </c>
      <c r="L9" s="302">
        <f>K9*(1+YR3_Expenses_Increase)</f>
        <v>0</v>
      </c>
      <c r="M9" s="302">
        <f>L9*(1+YR4_Expenses_Increase)</f>
        <v>0</v>
      </c>
      <c r="N9" s="309">
        <f>M9*(1+YR5_Expenses_Increase)</f>
        <v>0</v>
      </c>
      <c r="O9" s="12"/>
      <c r="P9" s="12" t="str">
        <f t="shared" ref="P9:P16" si="3">A9</f>
        <v>Building</v>
      </c>
      <c r="Q9" s="7">
        <f t="shared" ref="Q9:Q16" si="4">IFERROR(B9/D9,0)</f>
        <v>0</v>
      </c>
      <c r="R9" s="134">
        <f t="shared" ref="R9:R16" si="5">Q9/12</f>
        <v>0</v>
      </c>
      <c r="S9" s="7">
        <f t="shared" ref="S9:S16" si="6">D9*12</f>
        <v>0</v>
      </c>
      <c r="T9" s="273" t="str">
        <f>IF(R9=0,"",EDATE(Projected_Start_Date,(D9*12)))</f>
        <v/>
      </c>
    </row>
    <row r="10">
      <c r="A10" s="86" t="s">
        <v>52</v>
      </c>
      <c r="B10" s="153" t="str">
        <f>Renovations</f>
        <v/>
      </c>
      <c r="C10" s="153"/>
      <c r="D10" s="296">
        <v>0.0</v>
      </c>
      <c r="E10" s="298">
        <f t="shared" si="2"/>
        <v>0</v>
      </c>
      <c r="F10" s="298"/>
      <c r="G10" s="86" t="s">
        <v>52</v>
      </c>
      <c r="H10" s="153" t="str">
        <f>Mo_Renovations</f>
        <v/>
      </c>
      <c r="I10" s="12"/>
      <c r="J10" s="302">
        <f t="shared" si="1"/>
        <v>0</v>
      </c>
      <c r="K10" s="302">
        <f>J10*(1+YR2_Expenses_Increase)</f>
        <v>0</v>
      </c>
      <c r="L10" s="302">
        <f>K10*(1+YR3_Expenses_Increase)</f>
        <v>0</v>
      </c>
      <c r="M10" s="302">
        <f>L10*(1+YR4_Expenses_Increase)</f>
        <v>0</v>
      </c>
      <c r="N10" s="309">
        <f>M10*(1+YR5_Expenses_Increase)</f>
        <v>0</v>
      </c>
      <c r="O10" s="12"/>
      <c r="P10" s="12" t="str">
        <f t="shared" si="3"/>
        <v>Renovations</v>
      </c>
      <c r="Q10" s="7">
        <f t="shared" si="4"/>
        <v>0</v>
      </c>
      <c r="R10" s="137">
        <f t="shared" si="5"/>
        <v>0</v>
      </c>
      <c r="S10" s="7">
        <f t="shared" si="6"/>
        <v>0</v>
      </c>
      <c r="T10" s="273" t="str">
        <f>IF(R10=0,"",EDATE(Projected_Start_Date,(D10*12)))</f>
        <v/>
      </c>
    </row>
    <row r="11">
      <c r="A11" s="86" t="s">
        <v>55</v>
      </c>
      <c r="B11" s="153">
        <f>Equipment</f>
        <v>3000</v>
      </c>
      <c r="C11" s="153"/>
      <c r="D11" s="296">
        <v>0.0</v>
      </c>
      <c r="E11" s="298">
        <f t="shared" si="2"/>
        <v>0</v>
      </c>
      <c r="F11" s="298"/>
      <c r="G11" s="86" t="s">
        <v>330</v>
      </c>
      <c r="H11" s="153" t="str">
        <f>Mo_EquipLease</f>
        <v/>
      </c>
      <c r="I11" s="12"/>
      <c r="J11" s="302">
        <f t="shared" si="1"/>
        <v>0</v>
      </c>
      <c r="K11" s="302">
        <f>J11*(1+YR2_Expenses_Increase)</f>
        <v>0</v>
      </c>
      <c r="L11" s="302">
        <f>K11*(1+YR3_Expenses_Increase)</f>
        <v>0</v>
      </c>
      <c r="M11" s="302">
        <f>L11*(1+YR4_Expenses_Increase)</f>
        <v>0</v>
      </c>
      <c r="N11" s="309">
        <f>M11*(1+YR5_Expenses_Increase)</f>
        <v>0</v>
      </c>
      <c r="O11" s="12"/>
      <c r="P11" s="12" t="str">
        <f t="shared" si="3"/>
        <v>Equipment</v>
      </c>
      <c r="Q11" s="7">
        <f t="shared" si="4"/>
        <v>0</v>
      </c>
      <c r="R11" s="137">
        <f t="shared" si="5"/>
        <v>0</v>
      </c>
      <c r="S11" s="7">
        <f t="shared" si="6"/>
        <v>0</v>
      </c>
      <c r="T11" s="273" t="str">
        <f>IF(R11=0,"",EDATE(Projected_Start_Date,(D11*12)))</f>
        <v/>
      </c>
    </row>
    <row r="12">
      <c r="A12" s="86" t="s">
        <v>60</v>
      </c>
      <c r="B12" s="153" t="str">
        <f>Fixtures</f>
        <v/>
      </c>
      <c r="C12" s="153"/>
      <c r="D12" s="296">
        <v>0.0</v>
      </c>
      <c r="E12" s="298">
        <f t="shared" si="2"/>
        <v>0</v>
      </c>
      <c r="F12" s="298"/>
      <c r="G12" s="86" t="s">
        <v>331</v>
      </c>
      <c r="H12" s="153" t="str">
        <f>Mo_FixtureLease</f>
        <v/>
      </c>
      <c r="I12" s="12"/>
      <c r="J12" s="302">
        <f t="shared" si="1"/>
        <v>0</v>
      </c>
      <c r="K12" s="302">
        <f>J12*(1+YR2_Expenses_Increase)</f>
        <v>0</v>
      </c>
      <c r="L12" s="302">
        <f>K12*(1+YR3_Expenses_Increase)</f>
        <v>0</v>
      </c>
      <c r="M12" s="302">
        <f>L12*(1+YR4_Expenses_Increase)</f>
        <v>0</v>
      </c>
      <c r="N12" s="309">
        <f>M12*(1+YR5_Expenses_Increase)</f>
        <v>0</v>
      </c>
      <c r="O12" s="314"/>
      <c r="P12" s="12" t="str">
        <f t="shared" si="3"/>
        <v>Fixtures</v>
      </c>
      <c r="Q12" s="7">
        <f t="shared" si="4"/>
        <v>0</v>
      </c>
      <c r="R12" s="137">
        <f t="shared" si="5"/>
        <v>0</v>
      </c>
      <c r="S12" s="7">
        <f t="shared" si="6"/>
        <v>0</v>
      </c>
      <c r="T12" s="273" t="str">
        <f>IF(R12=0,"",EDATE(Projected_Start_Date,(D12*12)))</f>
        <v/>
      </c>
    </row>
    <row r="13">
      <c r="A13" s="86" t="s">
        <v>63</v>
      </c>
      <c r="B13" s="153" t="str">
        <f>Signage</f>
        <v/>
      </c>
      <c r="C13" s="153"/>
      <c r="D13" s="296">
        <v>0.0</v>
      </c>
      <c r="E13" s="298">
        <f t="shared" si="2"/>
        <v>0</v>
      </c>
      <c r="F13" s="298"/>
      <c r="G13" s="86" t="s">
        <v>332</v>
      </c>
      <c r="H13" s="153" t="str">
        <f>Mo_FurnitureLease</f>
        <v/>
      </c>
      <c r="I13" s="12"/>
      <c r="J13" s="302">
        <f t="shared" si="1"/>
        <v>0</v>
      </c>
      <c r="K13" s="302">
        <f>J13*(1+YR2_Expenses_Increase)</f>
        <v>0</v>
      </c>
      <c r="L13" s="302">
        <f>K13*(1+YR3_Expenses_Increase)</f>
        <v>0</v>
      </c>
      <c r="M13" s="302">
        <f>L13*(1+YR4_Expenses_Increase)</f>
        <v>0</v>
      </c>
      <c r="N13" s="309">
        <f>M13*(1+YR5_Expenses_Increase)</f>
        <v>0</v>
      </c>
      <c r="O13" s="12"/>
      <c r="P13" s="12" t="str">
        <f t="shared" si="3"/>
        <v>Signage</v>
      </c>
      <c r="Q13" s="7">
        <f t="shared" si="4"/>
        <v>0</v>
      </c>
      <c r="R13" s="137">
        <f t="shared" si="5"/>
        <v>0</v>
      </c>
      <c r="S13" s="7">
        <f t="shared" si="6"/>
        <v>0</v>
      </c>
      <c r="T13" s="273" t="str">
        <f>IF(R13=0,"",EDATE(Projected_Start_Date,(D13*12)))</f>
        <v/>
      </c>
    </row>
    <row r="14">
      <c r="A14" s="86" t="s">
        <v>66</v>
      </c>
      <c r="B14" s="153" t="str">
        <f>Furniture</f>
        <v/>
      </c>
      <c r="C14" s="153"/>
      <c r="D14" s="296">
        <v>0.0</v>
      </c>
      <c r="E14" s="298">
        <f t="shared" si="2"/>
        <v>0</v>
      </c>
      <c r="F14" s="298"/>
      <c r="G14" s="86" t="s">
        <v>333</v>
      </c>
      <c r="H14" s="153" t="str">
        <f>Mo_VehicleLease</f>
        <v/>
      </c>
      <c r="I14" s="12"/>
      <c r="J14" s="302">
        <f t="shared" si="1"/>
        <v>0</v>
      </c>
      <c r="K14" s="302">
        <f>J14*(1+YR2_Expenses_Increase)</f>
        <v>0</v>
      </c>
      <c r="L14" s="302">
        <f>K14*(1+YR3_Expenses_Increase)</f>
        <v>0</v>
      </c>
      <c r="M14" s="302">
        <f>L14*(1+YR4_Expenses_Increase)</f>
        <v>0</v>
      </c>
      <c r="N14" s="309">
        <f>M14*(1+YR5_Expenses_Increase)</f>
        <v>0</v>
      </c>
      <c r="O14" s="12"/>
      <c r="P14" s="12" t="str">
        <f t="shared" si="3"/>
        <v>Furniture</v>
      </c>
      <c r="Q14" s="7">
        <f t="shared" si="4"/>
        <v>0</v>
      </c>
      <c r="R14" s="137">
        <f t="shared" si="5"/>
        <v>0</v>
      </c>
      <c r="S14" s="7">
        <f t="shared" si="6"/>
        <v>0</v>
      </c>
      <c r="T14" s="273" t="str">
        <f>IF(R14=0,"",EDATE(Projected_Start_Date,(D14*12)))</f>
        <v/>
      </c>
    </row>
    <row r="15">
      <c r="A15" s="86" t="s">
        <v>69</v>
      </c>
      <c r="B15" s="153" t="str">
        <f>Vehicles</f>
        <v/>
      </c>
      <c r="C15" s="153"/>
      <c r="D15" s="296">
        <v>0.0</v>
      </c>
      <c r="E15" s="298">
        <f t="shared" si="2"/>
        <v>0</v>
      </c>
      <c r="F15" s="298"/>
      <c r="G15" s="86" t="s">
        <v>137</v>
      </c>
      <c r="H15" s="153" t="str">
        <f>Mo_Mileage</f>
        <v/>
      </c>
      <c r="I15" s="12"/>
      <c r="J15" s="302">
        <f t="shared" si="1"/>
        <v>0</v>
      </c>
      <c r="K15" s="302">
        <f>J15*(1+YR2_Expenses_Increase)</f>
        <v>0</v>
      </c>
      <c r="L15" s="302">
        <f>K15*(1+YR3_Expenses_Increase)</f>
        <v>0</v>
      </c>
      <c r="M15" s="302">
        <f>L15*(1+YR4_Expenses_Increase)</f>
        <v>0</v>
      </c>
      <c r="N15" s="309">
        <f>M15*(1+YR5_Expenses_Increase)</f>
        <v>0</v>
      </c>
      <c r="O15" s="12"/>
      <c r="P15" s="12" t="str">
        <f t="shared" si="3"/>
        <v>Vehicles</v>
      </c>
      <c r="Q15" s="7">
        <f t="shared" si="4"/>
        <v>0</v>
      </c>
      <c r="R15" s="137">
        <f t="shared" si="5"/>
        <v>0</v>
      </c>
      <c r="S15" s="7">
        <f t="shared" si="6"/>
        <v>0</v>
      </c>
      <c r="T15" s="273" t="str">
        <f>IF(R15=0,"",EDATE(Projected_Start_Date,(D15*12)))</f>
        <v/>
      </c>
    </row>
    <row r="16">
      <c r="A16" s="86" t="s">
        <v>334</v>
      </c>
      <c r="B16" s="153" t="str">
        <f>Other_Fixed_Startup</f>
        <v/>
      </c>
      <c r="C16" s="153"/>
      <c r="D16" s="296">
        <v>0.0</v>
      </c>
      <c r="E16" s="298">
        <f t="shared" si="2"/>
        <v>0</v>
      </c>
      <c r="F16" s="298"/>
      <c r="G16" s="86" t="s">
        <v>74</v>
      </c>
      <c r="H16" s="153" t="str">
        <f>Mo_Utilities</f>
        <v/>
      </c>
      <c r="I16" s="12"/>
      <c r="J16" s="302">
        <f t="shared" si="1"/>
        <v>0</v>
      </c>
      <c r="K16" s="302">
        <f>J16*(1+YR2_Expenses_Increase)</f>
        <v>0</v>
      </c>
      <c r="L16" s="302">
        <f>K16*(1+YR3_Expenses_Increase)</f>
        <v>0</v>
      </c>
      <c r="M16" s="302">
        <f>L16*(1+YR4_Expenses_Increase)</f>
        <v>0</v>
      </c>
      <c r="N16" s="309">
        <f>M16*(1+YR5_Expenses_Increase)</f>
        <v>0</v>
      </c>
      <c r="O16" s="273"/>
      <c r="P16" s="12" t="str">
        <f t="shared" si="3"/>
        <v>Other Fixed Assets</v>
      </c>
      <c r="Q16" s="7">
        <f t="shared" si="4"/>
        <v>0</v>
      </c>
      <c r="R16" s="137">
        <f t="shared" si="5"/>
        <v>0</v>
      </c>
      <c r="S16" s="7">
        <f t="shared" si="6"/>
        <v>0</v>
      </c>
      <c r="T16" s="273" t="str">
        <f>IF(R16=0,"",EDATE(Projected_Start_Date,(D16*12)))</f>
        <v/>
      </c>
    </row>
    <row r="17">
      <c r="A17" s="249" t="s">
        <v>335</v>
      </c>
      <c r="B17" s="321">
        <f>SUM(B8:B16)</f>
        <v>3000</v>
      </c>
      <c r="C17" s="67"/>
      <c r="D17" s="219"/>
      <c r="E17" s="294"/>
      <c r="F17" s="165"/>
      <c r="G17" s="86" t="s">
        <v>196</v>
      </c>
      <c r="H17" s="153">
        <f>Mo_Telephone</f>
        <v>250</v>
      </c>
      <c r="I17" s="12"/>
      <c r="J17" s="302">
        <f t="shared" si="1"/>
        <v>3000</v>
      </c>
      <c r="K17" s="302">
        <f>J17*(1+YR2_Expenses_Increase)</f>
        <v>3150</v>
      </c>
      <c r="L17" s="302">
        <f>K17*(1+YR3_Expenses_Increase)</f>
        <v>3307.5</v>
      </c>
      <c r="M17" s="302">
        <f>L17*(1+YR4_Expenses_Increase)</f>
        <v>3472.875</v>
      </c>
      <c r="N17" s="309">
        <f>M17*(1+YR5_Expenses_Increase)</f>
        <v>3646.51875</v>
      </c>
      <c r="O17" s="12"/>
      <c r="P17" s="12"/>
      <c r="Q17" s="321">
        <f>SUM(Q9:Q16)</f>
        <v>0</v>
      </c>
      <c r="R17" s="321">
        <f>SUM(FixedStartupDepreciation)</f>
        <v>0</v>
      </c>
      <c r="S17" s="321"/>
      <c r="T17" s="12"/>
    </row>
    <row r="18">
      <c r="A18" s="86"/>
      <c r="B18" s="12"/>
      <c r="C18" s="12"/>
      <c r="D18" s="219"/>
      <c r="E18" s="230"/>
      <c r="F18" s="12"/>
      <c r="G18" s="86" t="s">
        <v>80</v>
      </c>
      <c r="H18" s="153">
        <f>Mo_Insurance</f>
        <v>1000</v>
      </c>
      <c r="I18" s="12"/>
      <c r="J18" s="302">
        <f t="shared" si="1"/>
        <v>12000</v>
      </c>
      <c r="K18" s="302">
        <f>J18*(1+YR2_Expenses_Increase)</f>
        <v>12600</v>
      </c>
      <c r="L18" s="302">
        <f>K18*(1+YR3_Expenses_Increase)</f>
        <v>13230</v>
      </c>
      <c r="M18" s="302">
        <f>L18*(1+YR4_Expenses_Increase)</f>
        <v>13891.5</v>
      </c>
      <c r="N18" s="309">
        <f>M18*(1+YR5_Expenses_Increase)</f>
        <v>14586.075</v>
      </c>
      <c r="O18" s="12"/>
      <c r="P18" s="12"/>
      <c r="Q18" s="7"/>
      <c r="R18" s="7"/>
      <c r="S18" s="7"/>
      <c r="T18" s="12"/>
    </row>
    <row r="19">
      <c r="A19" s="328" t="s">
        <v>336</v>
      </c>
      <c r="B19" s="12"/>
      <c r="C19" s="230"/>
      <c r="D19" s="219"/>
      <c r="E19" s="230"/>
      <c r="F19" s="12"/>
      <c r="G19" s="86" t="s">
        <v>85</v>
      </c>
      <c r="H19" s="153" t="str">
        <f>Mo_Licenses</f>
        <v/>
      </c>
      <c r="I19" s="12"/>
      <c r="J19" s="302">
        <f t="shared" si="1"/>
        <v>0</v>
      </c>
      <c r="K19" s="302">
        <f>J19*(1+YR2_Expenses_Increase)</f>
        <v>0</v>
      </c>
      <c r="L19" s="302">
        <f>K19*(1+YR3_Expenses_Increase)</f>
        <v>0</v>
      </c>
      <c r="M19" s="302">
        <f>L19*(1+YR4_Expenses_Increase)</f>
        <v>0</v>
      </c>
      <c r="N19" s="309">
        <f>M19*(1+YR5_Expenses_Increase)</f>
        <v>0</v>
      </c>
      <c r="O19" s="12"/>
      <c r="P19" s="57"/>
      <c r="Q19" s="7"/>
      <c r="R19" s="7"/>
      <c r="S19" s="7"/>
      <c r="T19" s="12"/>
    </row>
    <row r="20">
      <c r="A20" s="86" t="s">
        <v>337</v>
      </c>
      <c r="B20" s="153" t="str">
        <f>UtilityDeposits</f>
        <v/>
      </c>
      <c r="C20" s="104" t="s">
        <v>338</v>
      </c>
      <c r="D20" s="219"/>
      <c r="E20" s="230"/>
      <c r="F20" s="12"/>
      <c r="G20" s="86" t="s">
        <v>339</v>
      </c>
      <c r="H20" s="153" t="str">
        <f>Mo_MerchantAccts</f>
        <v/>
      </c>
      <c r="I20" s="12"/>
      <c r="J20" s="302">
        <f t="shared" si="1"/>
        <v>0</v>
      </c>
      <c r="K20" s="302">
        <f>J20*(1+YR2_Expenses_Increase)</f>
        <v>0</v>
      </c>
      <c r="L20" s="302">
        <f>K20*(1+YR3_Expenses_Increase)</f>
        <v>0</v>
      </c>
      <c r="M20" s="302">
        <f>L20*(1+YR4_Expenses_Increase)</f>
        <v>0</v>
      </c>
      <c r="N20" s="309">
        <f>M20*(1+YR5_Expenses_Increase)</f>
        <v>0</v>
      </c>
      <c r="O20" s="12"/>
      <c r="P20" s="12"/>
      <c r="Q20" s="7"/>
      <c r="R20" s="7"/>
      <c r="S20" s="7"/>
      <c r="T20" s="12"/>
      <c r="U20" s="230"/>
    </row>
    <row r="21" ht="15.75" customHeight="1">
      <c r="A21" s="86" t="s">
        <v>340</v>
      </c>
      <c r="B21" s="153">
        <f>RentDeposits</f>
        <v>0</v>
      </c>
      <c r="C21" s="104" t="s">
        <v>338</v>
      </c>
      <c r="D21" s="219"/>
      <c r="E21" s="230"/>
      <c r="F21" s="12"/>
      <c r="G21" s="86" t="s">
        <v>204</v>
      </c>
      <c r="H21" s="153" t="str">
        <f>Mo_WebMaintenance</f>
        <v/>
      </c>
      <c r="I21" s="12"/>
      <c r="J21" s="302">
        <f t="shared" si="1"/>
        <v>0</v>
      </c>
      <c r="K21" s="302">
        <f>J21*(1+YR2_Expenses_Increase)</f>
        <v>0</v>
      </c>
      <c r="L21" s="302">
        <f>K21*(1+YR3_Expenses_Increase)</f>
        <v>0</v>
      </c>
      <c r="M21" s="302">
        <f>L21*(1+YR4_Expenses_Increase)</f>
        <v>0</v>
      </c>
      <c r="N21" s="309">
        <f>M21*(1+YR5_Expenses_Increase)</f>
        <v>0</v>
      </c>
      <c r="O21" s="12"/>
      <c r="P21" s="12"/>
      <c r="Q21" s="7"/>
      <c r="R21" s="7"/>
      <c r="S21" s="7"/>
      <c r="T21" s="12"/>
      <c r="U21" s="230"/>
    </row>
    <row r="22" ht="15.75" customHeight="1">
      <c r="A22" s="86" t="s">
        <v>341</v>
      </c>
      <c r="B22" s="153" t="str">
        <f>InsuranceDeposits</f>
        <v/>
      </c>
      <c r="C22" s="104" t="s">
        <v>338</v>
      </c>
      <c r="D22" s="219"/>
      <c r="E22" s="230"/>
      <c r="F22" s="12"/>
      <c r="G22" s="86" t="s">
        <v>99</v>
      </c>
      <c r="H22" s="153">
        <f>Mo_WebHosting</f>
        <v>50</v>
      </c>
      <c r="I22" s="12"/>
      <c r="J22" s="302">
        <f t="shared" si="1"/>
        <v>600</v>
      </c>
      <c r="K22" s="302">
        <f>J22*(1+YR2_Expenses_Increase)</f>
        <v>630</v>
      </c>
      <c r="L22" s="302">
        <f>K22*(1+YR3_Expenses_Increase)</f>
        <v>661.5</v>
      </c>
      <c r="M22" s="302">
        <f>L22*(1+YR4_Expenses_Increase)</f>
        <v>694.575</v>
      </c>
      <c r="N22" s="309">
        <f>M22*(1+YR5_Expenses_Increase)</f>
        <v>729.30375</v>
      </c>
      <c r="O22" s="12"/>
      <c r="P22" s="12"/>
      <c r="Q22" s="7"/>
      <c r="R22" s="7"/>
      <c r="S22" s="7"/>
      <c r="T22" s="12"/>
      <c r="U22" s="230"/>
    </row>
    <row r="23" ht="15.75" customHeight="1">
      <c r="A23" s="86" t="s">
        <v>82</v>
      </c>
      <c r="B23" s="153">
        <f>Inventory</f>
        <v>5000</v>
      </c>
      <c r="C23" s="104" t="s">
        <v>338</v>
      </c>
      <c r="D23" s="219"/>
      <c r="E23" s="230"/>
      <c r="F23" s="12"/>
      <c r="G23" s="86" t="s">
        <v>103</v>
      </c>
      <c r="H23" s="153" t="str">
        <f>Mo_AppSubscriptions</f>
        <v/>
      </c>
      <c r="I23" s="12"/>
      <c r="J23" s="302">
        <f t="shared" si="1"/>
        <v>0</v>
      </c>
      <c r="K23" s="302">
        <f>J23*(1+YR2_Expenses_Increase)</f>
        <v>0</v>
      </c>
      <c r="L23" s="302">
        <f>K23*(1+YR3_Expenses_Increase)</f>
        <v>0</v>
      </c>
      <c r="M23" s="302">
        <f>L23*(1+YR4_Expenses_Increase)</f>
        <v>0</v>
      </c>
      <c r="N23" s="309">
        <f>M23*(1+YR5_Expenses_Increase)</f>
        <v>0</v>
      </c>
      <c r="O23" s="12"/>
      <c r="P23" s="25"/>
      <c r="Q23" s="55"/>
      <c r="R23" s="55"/>
      <c r="S23" s="7"/>
      <c r="T23" s="12"/>
      <c r="U23" s="230"/>
    </row>
    <row r="24" ht="15.75" customHeight="1">
      <c r="A24" s="86" t="s">
        <v>85</v>
      </c>
      <c r="B24" s="153">
        <f>Licenses</f>
        <v>150</v>
      </c>
      <c r="C24" s="104" t="s">
        <v>342</v>
      </c>
      <c r="D24" s="219"/>
      <c r="E24" s="230"/>
      <c r="F24" s="12"/>
      <c r="G24" s="86" t="s">
        <v>106</v>
      </c>
      <c r="H24" s="153">
        <f>Mo_Mailing</f>
        <v>150</v>
      </c>
      <c r="I24" s="12"/>
      <c r="J24" s="302">
        <f t="shared" si="1"/>
        <v>1800</v>
      </c>
      <c r="K24" s="302">
        <f>J24*(1+YR2_Expenses_Increase)</f>
        <v>1890</v>
      </c>
      <c r="L24" s="302">
        <f>K24*(1+YR3_Expenses_Increase)</f>
        <v>1984.5</v>
      </c>
      <c r="M24" s="302">
        <f>L24*(1+YR4_Expenses_Increase)</f>
        <v>2083.725</v>
      </c>
      <c r="N24" s="309">
        <f>M24*(1+YR5_Expenses_Increase)</f>
        <v>2187.91125</v>
      </c>
      <c r="O24" s="12"/>
      <c r="P24" s="12"/>
      <c r="Q24" s="7"/>
      <c r="R24" s="7"/>
      <c r="S24" s="7"/>
      <c r="T24" s="12"/>
      <c r="U24" s="230"/>
    </row>
    <row r="25" ht="15.75" customHeight="1">
      <c r="A25" s="86" t="s">
        <v>88</v>
      </c>
      <c r="B25" s="153" t="str">
        <f>Pre_Opening_Salaries_Wages</f>
        <v/>
      </c>
      <c r="C25" s="104" t="s">
        <v>342</v>
      </c>
      <c r="D25" s="219"/>
      <c r="E25" s="230"/>
      <c r="F25" s="12"/>
      <c r="G25" s="86" t="s">
        <v>113</v>
      </c>
      <c r="H25" s="153">
        <f>Mo_Marketing</f>
        <v>250</v>
      </c>
      <c r="I25" s="12"/>
      <c r="J25" s="302">
        <f t="shared" si="1"/>
        <v>3000</v>
      </c>
      <c r="K25" s="302">
        <f>J25*(1+YR2_Expenses_Increase)</f>
        <v>3150</v>
      </c>
      <c r="L25" s="302">
        <f>K25*(1+YR3_Expenses_Increase)</f>
        <v>3307.5</v>
      </c>
      <c r="M25" s="302">
        <f>L25*(1+YR4_Expenses_Increase)</f>
        <v>3472.875</v>
      </c>
      <c r="N25" s="309">
        <f>M25*(1+YR5_Expenses_Increase)</f>
        <v>3646.51875</v>
      </c>
      <c r="O25" s="12"/>
      <c r="P25" s="12"/>
      <c r="Q25" s="7"/>
      <c r="R25" s="7"/>
      <c r="S25" s="7"/>
      <c r="T25" s="12"/>
      <c r="U25" s="230"/>
    </row>
    <row r="26" ht="15.75" customHeight="1">
      <c r="A26" s="86" t="s">
        <v>92</v>
      </c>
      <c r="B26" s="153">
        <f>Merchant_Account</f>
        <v>150</v>
      </c>
      <c r="C26" s="104" t="s">
        <v>342</v>
      </c>
      <c r="D26" s="219"/>
      <c r="E26" s="230"/>
      <c r="F26" s="12"/>
      <c r="G26" s="86" t="s">
        <v>117</v>
      </c>
      <c r="H26" s="153" t="str">
        <f>Mo_ProfessionalFees</f>
        <v/>
      </c>
      <c r="I26" s="12"/>
      <c r="J26" s="302">
        <f t="shared" si="1"/>
        <v>0</v>
      </c>
      <c r="K26" s="302">
        <f>J26*(1+YR2_Expenses_Increase)</f>
        <v>0</v>
      </c>
      <c r="L26" s="302">
        <f>K26*(1+YR3_Expenses_Increase)</f>
        <v>0</v>
      </c>
      <c r="M26" s="302">
        <f>L26*(1+YR4_Expenses_Increase)</f>
        <v>0</v>
      </c>
      <c r="N26" s="309">
        <f>M26*(1+YR5_Expenses_Increase)</f>
        <v>0</v>
      </c>
      <c r="O26" s="12"/>
      <c r="P26" s="12"/>
      <c r="Q26" s="7"/>
      <c r="R26" s="7"/>
      <c r="S26" s="7"/>
      <c r="T26" s="12"/>
      <c r="U26" s="230"/>
    </row>
    <row r="27" ht="15.75" customHeight="1">
      <c r="A27" s="86" t="s">
        <v>95</v>
      </c>
      <c r="B27" s="153">
        <f>Web_Development</f>
        <v>1500</v>
      </c>
      <c r="C27" s="104" t="s">
        <v>342</v>
      </c>
      <c r="D27" s="219"/>
      <c r="E27" s="230"/>
      <c r="F27" s="12"/>
      <c r="G27" s="86" t="s">
        <v>216</v>
      </c>
      <c r="H27" s="153" t="str">
        <f>Mo_ContractLabor</f>
        <v/>
      </c>
      <c r="I27" s="12"/>
      <c r="J27" s="302">
        <f t="shared" si="1"/>
        <v>0</v>
      </c>
      <c r="K27" s="302">
        <f>J27*(1+YR2_Expenses_Increase)</f>
        <v>0</v>
      </c>
      <c r="L27" s="302">
        <f>K27*(1+YR3_Expenses_Increase)</f>
        <v>0</v>
      </c>
      <c r="M27" s="302">
        <f>L27*(1+YR4_Expenses_Increase)</f>
        <v>0</v>
      </c>
      <c r="N27" s="309">
        <f>M27*(1+YR5_Expenses_Increase)</f>
        <v>0</v>
      </c>
      <c r="O27" s="12"/>
      <c r="P27" s="12"/>
      <c r="Q27" s="7"/>
      <c r="R27" s="7"/>
      <c r="S27" s="7"/>
      <c r="T27" s="12"/>
      <c r="U27" s="230"/>
    </row>
    <row r="28" ht="15.75" customHeight="1">
      <c r="A28" s="86" t="s">
        <v>343</v>
      </c>
      <c r="B28" s="153">
        <f>Web_Hosting_PrePayment</f>
        <v>10</v>
      </c>
      <c r="C28" s="104" t="s">
        <v>338</v>
      </c>
      <c r="D28" s="219"/>
      <c r="E28" s="230"/>
      <c r="F28" s="12"/>
      <c r="G28" s="86" t="s">
        <v>115</v>
      </c>
      <c r="H28" s="153" t="str">
        <f>Mo_Sales</f>
        <v/>
      </c>
      <c r="I28" s="12"/>
      <c r="J28" s="302">
        <f t="shared" si="1"/>
        <v>0</v>
      </c>
      <c r="K28" s="302">
        <f>J28*(1+YR2_Expenses_Increase)</f>
        <v>0</v>
      </c>
      <c r="L28" s="302">
        <f>K28*(1+YR3_Expenses_Increase)</f>
        <v>0</v>
      </c>
      <c r="M28" s="302">
        <f>L28*(1+YR4_Expenses_Increase)</f>
        <v>0</v>
      </c>
      <c r="N28" s="309">
        <f>M28*(1+YR5_Expenses_Increase)</f>
        <v>0</v>
      </c>
      <c r="O28" s="12"/>
      <c r="P28" s="12"/>
      <c r="Q28" s="7"/>
      <c r="R28" s="7"/>
      <c r="S28" s="7"/>
      <c r="T28" s="12"/>
      <c r="U28" s="230"/>
    </row>
    <row r="29" ht="15.75" customHeight="1">
      <c r="A29" s="86" t="s">
        <v>344</v>
      </c>
      <c r="B29" s="153">
        <f>Software</f>
        <v>250</v>
      </c>
      <c r="C29" s="104" t="s">
        <v>342</v>
      </c>
      <c r="D29" s="219"/>
      <c r="E29" s="230"/>
      <c r="F29" s="12"/>
      <c r="G29" s="86" t="s">
        <v>126</v>
      </c>
      <c r="H29" s="153">
        <f>Mo_Travel</f>
        <v>250</v>
      </c>
      <c r="I29" s="12"/>
      <c r="J29" s="302">
        <f t="shared" si="1"/>
        <v>3000</v>
      </c>
      <c r="K29" s="302">
        <f>J29*(1+YR2_Expenses_Increase)</f>
        <v>3150</v>
      </c>
      <c r="L29" s="302">
        <f>K29*(1+YR3_Expenses_Increase)</f>
        <v>3307.5</v>
      </c>
      <c r="M29" s="302">
        <f>L29*(1+YR4_Expenses_Increase)</f>
        <v>3472.875</v>
      </c>
      <c r="N29" s="309">
        <f>M29*(1+YR5_Expenses_Increase)</f>
        <v>3646.51875</v>
      </c>
      <c r="O29" s="12"/>
      <c r="P29" s="12"/>
      <c r="Q29" s="7"/>
      <c r="R29" s="7"/>
      <c r="S29" s="7"/>
      <c r="T29" s="12"/>
      <c r="U29" s="230"/>
    </row>
    <row r="30" ht="15.75" customHeight="1">
      <c r="A30" s="86" t="s">
        <v>106</v>
      </c>
      <c r="B30" s="153" t="str">
        <f>Postage</f>
        <v/>
      </c>
      <c r="C30" s="104" t="s">
        <v>342</v>
      </c>
      <c r="D30" s="219"/>
      <c r="E30" s="230"/>
      <c r="F30" s="12"/>
      <c r="G30" s="86" t="s">
        <v>130</v>
      </c>
      <c r="H30" s="153">
        <f>Mo_Supplies</f>
        <v>200</v>
      </c>
      <c r="I30" s="12"/>
      <c r="J30" s="302">
        <f t="shared" si="1"/>
        <v>2400</v>
      </c>
      <c r="K30" s="302">
        <f>J30*(1+YR2_Expenses_Increase)</f>
        <v>2520</v>
      </c>
      <c r="L30" s="302">
        <f>K30*(1+YR3_Expenses_Increase)</f>
        <v>2646</v>
      </c>
      <c r="M30" s="302">
        <f>L30*(1+YR4_Expenses_Increase)</f>
        <v>2778.3</v>
      </c>
      <c r="N30" s="309">
        <f>M30*(1+YR5_Expenses_Increase)</f>
        <v>2917.215</v>
      </c>
      <c r="O30" s="12"/>
      <c r="P30" s="12"/>
      <c r="Q30" s="7"/>
      <c r="R30" s="7"/>
      <c r="S30" s="7"/>
      <c r="T30" s="12"/>
      <c r="U30" s="230"/>
    </row>
    <row r="31" ht="15.75" customHeight="1">
      <c r="A31" s="86" t="s">
        <v>113</v>
      </c>
      <c r="B31" s="153" t="str">
        <f>Marketing</f>
        <v/>
      </c>
      <c r="C31" s="104" t="s">
        <v>342</v>
      </c>
      <c r="D31" s="219"/>
      <c r="E31" s="230"/>
      <c r="F31" s="12"/>
      <c r="G31" s="86" t="s">
        <v>345</v>
      </c>
      <c r="H31" s="153" t="str">
        <f>Mo_Reserve</f>
        <v/>
      </c>
      <c r="I31" s="12"/>
      <c r="J31" s="302">
        <f t="shared" si="1"/>
        <v>0</v>
      </c>
      <c r="K31" s="302">
        <f>J31*(1+YR2_Expenses_Increase)</f>
        <v>0</v>
      </c>
      <c r="L31" s="302">
        <f>K31*(1+YR3_Expenses_Increase)</f>
        <v>0</v>
      </c>
      <c r="M31" s="302">
        <f>L31*(1+YR4_Expenses_Increase)</f>
        <v>0</v>
      </c>
      <c r="N31" s="309">
        <f>M31*(1+YR5_Expenses_Increase)</f>
        <v>0</v>
      </c>
      <c r="O31" s="12"/>
      <c r="P31" s="12"/>
      <c r="Q31" s="7"/>
      <c r="R31" s="7"/>
      <c r="S31" s="7"/>
      <c r="T31" s="12"/>
      <c r="U31" s="230"/>
    </row>
    <row r="32" ht="15.75" customHeight="1">
      <c r="A32" s="86" t="s">
        <v>117</v>
      </c>
      <c r="B32" s="153">
        <f>Professional_Fees</f>
        <v>1500</v>
      </c>
      <c r="C32" s="104" t="s">
        <v>342</v>
      </c>
      <c r="D32" s="219"/>
      <c r="E32" s="230"/>
      <c r="F32" s="12"/>
      <c r="G32" s="86" t="s">
        <v>134</v>
      </c>
      <c r="H32" s="153" t="str">
        <f>Mo_SubscriptionsDues</f>
        <v/>
      </c>
      <c r="I32" s="12"/>
      <c r="J32" s="302">
        <f t="shared" si="1"/>
        <v>0</v>
      </c>
      <c r="K32" s="302">
        <f>J32*(1+YR2_Expenses_Increase)</f>
        <v>0</v>
      </c>
      <c r="L32" s="302">
        <f>K32*(1+YR3_Expenses_Increase)</f>
        <v>0</v>
      </c>
      <c r="M32" s="302">
        <f>L32*(1+YR4_Expenses_Increase)</f>
        <v>0</v>
      </c>
      <c r="N32" s="309">
        <f>M32*(1+YR5_Expenses_Increase)</f>
        <v>0</v>
      </c>
      <c r="O32" s="12"/>
      <c r="P32" s="12"/>
      <c r="Q32" s="7"/>
      <c r="R32" s="7"/>
      <c r="S32" s="7"/>
      <c r="T32" s="12"/>
      <c r="U32" s="230"/>
    </row>
    <row r="33" ht="15.75" customHeight="1">
      <c r="A33" s="86" t="s">
        <v>120</v>
      </c>
      <c r="B33" s="153">
        <f>Inspection_Fees</f>
        <v>0</v>
      </c>
      <c r="C33" s="104" t="s">
        <v>342</v>
      </c>
      <c r="D33" s="219"/>
      <c r="E33" s="230"/>
      <c r="F33" s="12"/>
      <c r="G33" s="86" t="s">
        <v>346</v>
      </c>
      <c r="H33" s="153" t="str">
        <f>Mo_Networking</f>
        <v/>
      </c>
      <c r="I33" s="12"/>
      <c r="J33" s="302">
        <f t="shared" si="1"/>
        <v>0</v>
      </c>
      <c r="K33" s="302">
        <f>J33*(1+YR2_Expenses_Increase)</f>
        <v>0</v>
      </c>
      <c r="L33" s="302">
        <f>K33*(1+YR3_Expenses_Increase)</f>
        <v>0</v>
      </c>
      <c r="M33" s="302">
        <f>L33*(1+YR4_Expenses_Increase)</f>
        <v>0</v>
      </c>
      <c r="N33" s="309">
        <f>M33*(1+YR5_Expenses_Increase)</f>
        <v>0</v>
      </c>
      <c r="O33" s="12"/>
      <c r="P33" s="12"/>
      <c r="Q33" s="7"/>
      <c r="R33" s="7"/>
      <c r="S33" s="7"/>
      <c r="T33" s="12"/>
      <c r="U33" s="230"/>
    </row>
    <row r="34" ht="15.75" customHeight="1">
      <c r="A34" s="86" t="s">
        <v>123</v>
      </c>
      <c r="B34" s="153">
        <f>Legal</f>
        <v>4500</v>
      </c>
      <c r="C34" s="104" t="s">
        <v>342</v>
      </c>
      <c r="D34" s="219"/>
      <c r="E34" s="230"/>
      <c r="F34" s="12"/>
      <c r="G34" s="86" t="s">
        <v>347</v>
      </c>
      <c r="H34" s="153" t="str">
        <f>Mo_Misc</f>
        <v/>
      </c>
      <c r="I34" s="12"/>
      <c r="J34" s="302">
        <f t="shared" si="1"/>
        <v>0</v>
      </c>
      <c r="K34" s="302">
        <f>J34*(1+YR2_Expenses_Increase)</f>
        <v>0</v>
      </c>
      <c r="L34" s="302">
        <f>K34*(1+YR3_Expenses_Increase)</f>
        <v>0</v>
      </c>
      <c r="M34" s="302">
        <f>L34*(1+YR4_Expenses_Increase)</f>
        <v>0</v>
      </c>
      <c r="N34" s="309">
        <f>M34*(1+YR5_Expenses_Increase)</f>
        <v>0</v>
      </c>
      <c r="O34" s="12"/>
      <c r="P34" s="12"/>
      <c r="Q34" s="7"/>
      <c r="R34" s="7"/>
      <c r="S34" s="7"/>
      <c r="T34" s="12"/>
    </row>
    <row r="35" ht="15.75" customHeight="1">
      <c r="A35" s="86"/>
      <c r="B35" s="153"/>
      <c r="C35" s="104"/>
      <c r="D35" s="219"/>
      <c r="E35" s="230"/>
      <c r="F35" s="12"/>
      <c r="G35" s="86" t="s">
        <v>348</v>
      </c>
      <c r="H35" s="333">
        <v>0.0</v>
      </c>
      <c r="I35" s="12"/>
      <c r="J35" s="302">
        <f>SalesTax_Rate*'5-Year Projection'!B14</f>
        <v>0</v>
      </c>
      <c r="K35" s="302">
        <f>J35*(1+YR2_Expenses_Increase)</f>
        <v>0</v>
      </c>
      <c r="L35" s="302">
        <f>K35*(1+YR3_Expenses_Increase)</f>
        <v>0</v>
      </c>
      <c r="M35" s="302">
        <f>L35*(1+YR4_Expenses_Increase)</f>
        <v>0</v>
      </c>
      <c r="N35" s="309">
        <f>M35*(1+YR5_Expenses_Increase)</f>
        <v>0</v>
      </c>
      <c r="O35" s="12"/>
      <c r="P35" s="12"/>
      <c r="Q35" s="7"/>
      <c r="R35" s="7"/>
      <c r="S35" s="7"/>
      <c r="T35" s="12"/>
    </row>
    <row r="36" ht="15.75" customHeight="1">
      <c r="A36" s="86" t="s">
        <v>126</v>
      </c>
      <c r="B36" s="153">
        <f>Travel</f>
        <v>0</v>
      </c>
      <c r="C36" s="104" t="s">
        <v>342</v>
      </c>
      <c r="D36" s="219"/>
      <c r="E36" s="230"/>
      <c r="F36" s="12"/>
      <c r="G36" s="86" t="s">
        <v>349</v>
      </c>
      <c r="H36" s="153" t="str">
        <f>Mo_DiscountsRefunds</f>
        <v/>
      </c>
      <c r="I36" s="12"/>
      <c r="J36" s="302">
        <f>H36*12</f>
        <v>0</v>
      </c>
      <c r="K36" s="302">
        <f>J36*(1+YR2_Expenses_Increase)</f>
        <v>0</v>
      </c>
      <c r="L36" s="302">
        <f>K36*(1+YR3_Expenses_Increase)</f>
        <v>0</v>
      </c>
      <c r="M36" s="302">
        <f>L36*(1+YR4_Expenses_Increase)</f>
        <v>0</v>
      </c>
      <c r="N36" s="309">
        <f>M36*(1+YR5_Expenses_Increase)</f>
        <v>0</v>
      </c>
      <c r="O36" s="12"/>
      <c r="P36" s="12"/>
      <c r="Q36" s="7"/>
      <c r="R36" s="7"/>
      <c r="S36" s="7"/>
      <c r="T36" s="12"/>
    </row>
    <row r="37" ht="15.75" customHeight="1">
      <c r="A37" s="86"/>
      <c r="B37" s="153"/>
      <c r="C37" s="104"/>
      <c r="D37" s="219"/>
      <c r="E37" s="230"/>
      <c r="F37" s="12"/>
      <c r="G37" s="91" t="str">
        <f>'C. Monthly Expenses'!A38</f>
        <v>Sales Commission</v>
      </c>
      <c r="H37" s="83">
        <f>VariableExp1</f>
        <v>0</v>
      </c>
      <c r="I37" s="12"/>
      <c r="J37" s="302">
        <f>$H37*YR1_Revenue</f>
        <v>0</v>
      </c>
      <c r="K37" s="302">
        <f>$H37*'5-Year Projection'!$C$14</f>
        <v>0</v>
      </c>
      <c r="L37" s="302">
        <f>$H37*'5-Year Projection'!$D$14</f>
        <v>0</v>
      </c>
      <c r="M37" s="302">
        <f>$H37*'5-Year Projection'!$E$14</f>
        <v>0</v>
      </c>
      <c r="N37" s="309">
        <f>$H37*'5-Year Projection'!$F$14</f>
        <v>0</v>
      </c>
      <c r="O37" s="12"/>
      <c r="P37" s="12"/>
      <c r="Q37" s="7"/>
      <c r="R37" s="7"/>
      <c r="S37" s="7"/>
      <c r="T37" s="12"/>
    </row>
    <row r="38" ht="15.75" customHeight="1">
      <c r="A38" s="86" t="s">
        <v>134</v>
      </c>
      <c r="B38" s="153">
        <f>Dues_Subscriptions</f>
        <v>0</v>
      </c>
      <c r="C38" s="104" t="s">
        <v>342</v>
      </c>
      <c r="D38" s="219"/>
      <c r="E38" s="230"/>
      <c r="F38" s="12"/>
      <c r="G38" s="91" t="str">
        <f>'C. Monthly Expenses'!A39</f>
        <v>Merchant Fee Transactions</v>
      </c>
      <c r="H38" s="83">
        <f>VariableExp2</f>
        <v>0.01</v>
      </c>
      <c r="I38" s="12"/>
      <c r="J38" s="302">
        <f>$H38*YR1_Revenue</f>
        <v>637.5</v>
      </c>
      <c r="K38" s="302">
        <f>$H38*'5-Year Projection'!$C$14</f>
        <v>1115.625</v>
      </c>
      <c r="L38" s="302">
        <f>$H38*'5-Year Projection'!$D$14</f>
        <v>2342.8125</v>
      </c>
      <c r="M38" s="302">
        <f>$H38*'5-Year Projection'!$E$14</f>
        <v>5857.03125</v>
      </c>
      <c r="N38" s="309">
        <f>$H38*'5-Year Projection'!$F$14</f>
        <v>19035.35156</v>
      </c>
      <c r="O38" s="12"/>
      <c r="P38" s="12"/>
      <c r="Q38" s="7"/>
      <c r="R38" s="7"/>
      <c r="S38" s="7"/>
      <c r="T38" s="12"/>
    </row>
    <row r="39" ht="15.75" customHeight="1">
      <c r="A39" s="86" t="s">
        <v>140</v>
      </c>
      <c r="B39" s="153" t="str">
        <f>Conferences</f>
        <v/>
      </c>
      <c r="C39" s="104" t="s">
        <v>342</v>
      </c>
      <c r="D39" s="219"/>
      <c r="E39" s="230"/>
      <c r="F39" s="12"/>
      <c r="G39" s="91" t="str">
        <f>'C. Monthly Expenses'!A40</f>
        <v>Customer Discounts/Refunds</v>
      </c>
      <c r="H39" s="83">
        <f>VariableExp3</f>
        <v>0.01</v>
      </c>
      <c r="I39" s="12"/>
      <c r="J39" s="302">
        <f>$H39*YR1_Revenue</f>
        <v>637.5</v>
      </c>
      <c r="K39" s="302">
        <f>$H39*'5-Year Projection'!$C$14</f>
        <v>1115.625</v>
      </c>
      <c r="L39" s="302">
        <f>$H39*'5-Year Projection'!$D$14</f>
        <v>2342.8125</v>
      </c>
      <c r="M39" s="302">
        <f>$H39*'5-Year Projection'!$E$14</f>
        <v>5857.03125</v>
      </c>
      <c r="N39" s="309">
        <f>$H39*'5-Year Projection'!$F$14</f>
        <v>19035.35156</v>
      </c>
      <c r="O39" s="12"/>
      <c r="P39" s="12"/>
      <c r="Q39" s="7"/>
      <c r="R39" s="7"/>
      <c r="S39" s="7"/>
      <c r="T39" s="12"/>
    </row>
    <row r="40" ht="15.75" customHeight="1">
      <c r="A40" s="86" t="s">
        <v>137</v>
      </c>
      <c r="B40" s="153" t="str">
        <f>Mileage</f>
        <v/>
      </c>
      <c r="C40" s="104" t="s">
        <v>342</v>
      </c>
      <c r="D40" s="219"/>
      <c r="E40" s="230"/>
      <c r="F40" s="12"/>
      <c r="G40" s="91" t="str">
        <f>IF(ISBLANK('C. Monthly Expenses'!A41),"Other",'C. Monthly Expenses'!JA1)</f>
        <v>Other</v>
      </c>
      <c r="H40" s="83">
        <f>VariableExp4</f>
        <v>0</v>
      </c>
      <c r="I40" s="12"/>
      <c r="J40" s="302">
        <f>$H40*YR1_Revenue</f>
        <v>0</v>
      </c>
      <c r="K40" s="302">
        <f>$H40*'5-Year Projection'!$C$14</f>
        <v>0</v>
      </c>
      <c r="L40" s="302">
        <f>$H40*'5-Year Projection'!$D$14</f>
        <v>0</v>
      </c>
      <c r="M40" s="302">
        <f>$H40*'5-Year Projection'!$E$14</f>
        <v>0</v>
      </c>
      <c r="N40" s="309">
        <f>$H40*'5-Year Projection'!$F$14</f>
        <v>0</v>
      </c>
      <c r="O40" s="12"/>
      <c r="P40" s="12"/>
      <c r="Q40" s="7"/>
      <c r="R40" s="7"/>
      <c r="S40" s="7"/>
      <c r="T40" s="12"/>
    </row>
    <row r="41" ht="13.5" customHeight="1">
      <c r="A41" s="86" t="s">
        <v>144</v>
      </c>
      <c r="B41" s="153">
        <f>Other_Operating_Start_up</f>
        <v>4000</v>
      </c>
      <c r="C41" s="104" t="s">
        <v>342</v>
      </c>
      <c r="D41" s="219"/>
      <c r="E41" s="230"/>
      <c r="F41" s="12"/>
      <c r="G41" s="86" t="str">
        <f>'C. Monthly Expenses'!A42</f>
        <v>Bad Debt</v>
      </c>
      <c r="H41" s="83">
        <f>Bad_Debt</f>
        <v>0.005</v>
      </c>
      <c r="I41" s="12"/>
      <c r="J41" s="302">
        <f>$H41*YR1_Revenue</f>
        <v>318.75</v>
      </c>
      <c r="K41" s="302">
        <f>$H41*'5-Year Projection'!$C$14</f>
        <v>557.8125</v>
      </c>
      <c r="L41" s="302">
        <f>$H41*'5-Year Projection'!$D$14</f>
        <v>1171.40625</v>
      </c>
      <c r="M41" s="302">
        <f>$H41*'5-Year Projection'!$E$14</f>
        <v>2928.515625</v>
      </c>
      <c r="N41" s="309">
        <f>$H41*'5-Year Projection'!$F$14</f>
        <v>9517.675781</v>
      </c>
      <c r="O41" s="12"/>
      <c r="P41" s="12"/>
      <c r="Q41" s="7"/>
      <c r="R41" s="7"/>
      <c r="S41" s="7"/>
      <c r="T41" s="12"/>
    </row>
    <row r="42" ht="15.75" customHeight="1">
      <c r="A42" s="249" t="s">
        <v>351</v>
      </c>
      <c r="B42" s="321">
        <f>SUM(B20:B41)</f>
        <v>17060</v>
      </c>
      <c r="C42" s="122"/>
      <c r="D42" s="219"/>
      <c r="E42" s="230"/>
      <c r="F42" s="12"/>
      <c r="G42" s="86" t="s">
        <v>352</v>
      </c>
      <c r="H42" s="153">
        <f>Mo_Operating</f>
        <v>1000</v>
      </c>
      <c r="I42" s="12"/>
      <c r="J42" s="302">
        <f>H42*12</f>
        <v>12000</v>
      </c>
      <c r="K42" s="302">
        <f>J42*(1+YR2_Expenses_Increase)</f>
        <v>12600</v>
      </c>
      <c r="L42" s="302">
        <f>K42*(1+YR3_Expenses_Increase)</f>
        <v>13230</v>
      </c>
      <c r="M42" s="302">
        <f>L42*(1+YR4_Expenses_Increase)</f>
        <v>13891.5</v>
      </c>
      <c r="N42" s="309">
        <f>M42*(1+YR5_Expenses_Increase)</f>
        <v>14586.075</v>
      </c>
      <c r="O42" s="12"/>
      <c r="P42" s="12"/>
      <c r="Q42" s="7"/>
      <c r="R42" s="7"/>
      <c r="S42" s="7"/>
      <c r="T42" s="12"/>
    </row>
    <row r="43" ht="15.75" customHeight="1">
      <c r="A43" s="53"/>
      <c r="B43" s="12"/>
      <c r="C43" s="67"/>
      <c r="D43" s="219"/>
      <c r="E43" s="230"/>
      <c r="F43" s="12"/>
      <c r="G43" s="353" t="s">
        <v>353</v>
      </c>
      <c r="H43" s="354">
        <f>SUM(H8:H36)</f>
        <v>2150</v>
      </c>
      <c r="I43" s="12"/>
      <c r="J43" s="153">
        <f t="shared" ref="J43:N43" si="7">SUM(J8:J42)</f>
        <v>39393.75</v>
      </c>
      <c r="K43" s="153">
        <f t="shared" si="7"/>
        <v>42479.0625</v>
      </c>
      <c r="L43" s="153">
        <f t="shared" si="7"/>
        <v>47531.53125</v>
      </c>
      <c r="M43" s="153">
        <f t="shared" si="7"/>
        <v>58400.80313</v>
      </c>
      <c r="N43" s="261">
        <f t="shared" si="7"/>
        <v>93534.51516</v>
      </c>
      <c r="O43" s="12"/>
      <c r="P43" s="12"/>
      <c r="Q43" s="7"/>
      <c r="R43" s="7"/>
      <c r="S43" s="7"/>
      <c r="T43" s="12"/>
    </row>
    <row r="44" ht="15.75" customHeight="1">
      <c r="A44" s="355" t="s">
        <v>355</v>
      </c>
      <c r="B44" s="356">
        <f>B17+B42</f>
        <v>20060</v>
      </c>
      <c r="C44" s="43"/>
      <c r="D44" s="357"/>
      <c r="E44" s="230"/>
      <c r="F44" s="12"/>
      <c r="G44" s="53"/>
      <c r="H44" s="12"/>
      <c r="I44" s="12"/>
      <c r="J44" s="12"/>
      <c r="K44" s="12"/>
      <c r="L44" s="12"/>
      <c r="M44" s="12"/>
      <c r="N44" s="219"/>
      <c r="O44" s="12"/>
      <c r="P44" s="12"/>
      <c r="Q44" s="7"/>
      <c r="R44" s="7"/>
      <c r="S44" s="7"/>
      <c r="T44" s="12"/>
    </row>
    <row r="45" ht="15.75" customHeight="1">
      <c r="A45" s="12"/>
      <c r="B45" s="12"/>
      <c r="C45" s="12"/>
      <c r="D45" s="12"/>
      <c r="E45" s="12"/>
      <c r="F45" s="12"/>
      <c r="G45" s="358" t="s">
        <v>356</v>
      </c>
      <c r="H45" s="12"/>
      <c r="I45" s="12"/>
      <c r="J45" s="12"/>
      <c r="K45" s="12"/>
      <c r="L45" s="12"/>
      <c r="M45" s="12"/>
      <c r="N45" s="219"/>
      <c r="O45" s="12"/>
      <c r="P45" s="12"/>
      <c r="Q45" s="7"/>
      <c r="R45" s="7"/>
      <c r="S45" s="7"/>
      <c r="T45" s="12"/>
    </row>
    <row r="46" ht="15.75" customHeight="1">
      <c r="A46" s="12"/>
      <c r="B46" s="12"/>
      <c r="C46" s="12"/>
      <c r="D46" s="12"/>
      <c r="E46" s="12"/>
      <c r="F46" s="12"/>
      <c r="G46" s="53" t="s">
        <v>318</v>
      </c>
      <c r="H46" s="359" t="str">
        <f>'Expenses Summary'!X17</f>
        <v/>
      </c>
      <c r="I46" s="12"/>
      <c r="J46" s="12"/>
      <c r="K46" s="12"/>
      <c r="L46" s="12"/>
      <c r="M46" s="12"/>
      <c r="N46" s="219"/>
      <c r="O46" s="12"/>
      <c r="P46" s="12"/>
      <c r="Q46" s="7"/>
      <c r="R46" s="7"/>
      <c r="S46" s="7"/>
      <c r="T46" s="12"/>
    </row>
    <row r="47" ht="15.75" customHeight="1">
      <c r="A47" s="12"/>
      <c r="B47" s="12"/>
      <c r="C47" s="12"/>
      <c r="D47" s="12"/>
      <c r="E47" s="12"/>
      <c r="F47" s="12"/>
      <c r="G47" s="355" t="s">
        <v>358</v>
      </c>
      <c r="H47" s="361"/>
      <c r="I47" s="43"/>
      <c r="J47" s="43"/>
      <c r="K47" s="43"/>
      <c r="L47" s="43"/>
      <c r="M47" s="43"/>
      <c r="N47" s="357"/>
      <c r="O47" s="12"/>
      <c r="P47" s="12"/>
      <c r="Q47" s="7"/>
      <c r="R47" s="7"/>
      <c r="S47" s="7"/>
      <c r="T47" s="12"/>
    </row>
    <row r="48" ht="15.75" customHeight="1">
      <c r="O48" s="12"/>
      <c r="P48" s="12"/>
      <c r="Q48" s="7"/>
      <c r="R48" s="7"/>
      <c r="S48" s="7"/>
      <c r="T48" s="12"/>
    </row>
    <row r="49" ht="15.75" customHeight="1">
      <c r="O49" s="12"/>
      <c r="P49" s="12"/>
      <c r="Q49" s="7"/>
      <c r="R49" s="7"/>
      <c r="S49" s="7"/>
      <c r="T49" s="12"/>
    </row>
    <row r="50" ht="15.75" customHeight="1">
      <c r="O50" s="12"/>
      <c r="P50" s="12"/>
      <c r="Q50" s="7"/>
      <c r="R50" s="7"/>
      <c r="S50" s="7"/>
      <c r="T50" s="12"/>
    </row>
    <row r="51" ht="15.75" customHeight="1">
      <c r="H51" s="12"/>
      <c r="O51" s="12"/>
      <c r="P51" s="12"/>
      <c r="Q51" s="7"/>
      <c r="R51" s="7"/>
      <c r="S51" s="7"/>
      <c r="T51" s="12"/>
    </row>
    <row r="52" ht="15.75" customHeight="1">
      <c r="O52" s="12"/>
      <c r="P52" s="12"/>
      <c r="Q52" s="7"/>
      <c r="R52" s="7"/>
      <c r="S52" s="7"/>
      <c r="T52" s="12"/>
    </row>
    <row r="53" ht="15.75" customHeight="1">
      <c r="O53" s="12"/>
      <c r="P53" s="12"/>
      <c r="Q53" s="7"/>
      <c r="R53" s="7"/>
      <c r="S53" s="7"/>
      <c r="T53" s="12"/>
    </row>
    <row r="54" ht="15.75" customHeight="1">
      <c r="O54" s="12"/>
      <c r="P54" s="12"/>
      <c r="Q54" s="7"/>
      <c r="R54" s="7"/>
      <c r="S54" s="7"/>
      <c r="T54" s="12"/>
    </row>
    <row r="55" ht="15.75" customHeight="1">
      <c r="O55" s="12"/>
      <c r="P55" s="12"/>
      <c r="Q55" s="7"/>
      <c r="R55" s="7"/>
      <c r="S55" s="7"/>
      <c r="T55" s="12"/>
    </row>
    <row r="56" ht="15.75" customHeight="1">
      <c r="O56" s="12"/>
      <c r="P56" s="12"/>
      <c r="Q56" s="7"/>
      <c r="R56" s="7"/>
      <c r="S56" s="7"/>
      <c r="T56" s="12"/>
    </row>
    <row r="57" ht="15.75" customHeight="1">
      <c r="O57" s="12"/>
      <c r="P57" s="12"/>
      <c r="Q57" s="7"/>
      <c r="R57" s="7"/>
      <c r="S57" s="7"/>
      <c r="T57" s="12"/>
    </row>
    <row r="58" ht="15.75" customHeight="1">
      <c r="O58" s="12"/>
      <c r="P58" s="12"/>
      <c r="Q58" s="7"/>
      <c r="R58" s="7"/>
      <c r="S58" s="7"/>
      <c r="T58" s="12"/>
    </row>
    <row r="59" ht="15.75" customHeight="1">
      <c r="O59" s="12"/>
      <c r="P59" s="12"/>
      <c r="Q59" s="7"/>
      <c r="R59" s="7"/>
      <c r="S59" s="7"/>
      <c r="T59" s="12"/>
    </row>
    <row r="60" ht="15.75" customHeight="1">
      <c r="O60" s="12"/>
      <c r="P60" s="12"/>
      <c r="Q60" s="7"/>
      <c r="R60" s="7"/>
      <c r="S60" s="7"/>
      <c r="T60" s="12"/>
    </row>
    <row r="61" ht="15.75" customHeight="1">
      <c r="O61" s="12"/>
      <c r="P61" s="12"/>
      <c r="Q61" s="7"/>
      <c r="R61" s="7"/>
      <c r="S61" s="7"/>
      <c r="T61" s="12"/>
    </row>
    <row r="62" ht="15.75" customHeight="1">
      <c r="O62" s="12"/>
      <c r="P62" s="12"/>
      <c r="Q62" s="7"/>
      <c r="R62" s="7"/>
      <c r="S62" s="7"/>
      <c r="T62" s="12"/>
    </row>
    <row r="63" ht="15.75" customHeight="1">
      <c r="O63" s="12"/>
      <c r="P63" s="12"/>
      <c r="Q63" s="7"/>
      <c r="R63" s="7"/>
      <c r="S63" s="7"/>
      <c r="T63" s="12"/>
    </row>
    <row r="64" ht="15.75" customHeight="1">
      <c r="O64" s="12"/>
      <c r="P64" s="12"/>
      <c r="Q64" s="7"/>
      <c r="R64" s="7"/>
      <c r="S64" s="7"/>
      <c r="T64" s="12"/>
    </row>
    <row r="65" ht="15.75" customHeight="1">
      <c r="O65" s="12"/>
      <c r="P65" s="12"/>
      <c r="Q65" s="7"/>
      <c r="R65" s="7"/>
      <c r="S65" s="7"/>
      <c r="T65" s="12"/>
    </row>
    <row r="66" ht="15.75" customHeight="1">
      <c r="O66" s="12"/>
      <c r="P66" s="12"/>
      <c r="Q66" s="7"/>
      <c r="R66" s="7"/>
      <c r="S66" s="7"/>
      <c r="T66" s="12"/>
    </row>
    <row r="67" ht="15.75" customHeight="1">
      <c r="O67" s="12"/>
      <c r="P67" s="12"/>
      <c r="Q67" s="7"/>
      <c r="R67" s="7"/>
      <c r="S67" s="7"/>
      <c r="T67" s="12"/>
    </row>
    <row r="68" ht="15.75" customHeight="1">
      <c r="O68" s="12"/>
      <c r="P68" s="12"/>
      <c r="Q68" s="7"/>
      <c r="R68" s="7"/>
      <c r="S68" s="7"/>
      <c r="T68" s="12"/>
    </row>
    <row r="69" ht="15.75" customHeight="1">
      <c r="O69" s="12"/>
      <c r="P69" s="12"/>
      <c r="Q69" s="7"/>
      <c r="R69" s="7"/>
      <c r="S69" s="7"/>
      <c r="T69" s="12"/>
    </row>
    <row r="70" ht="15.75" customHeight="1">
      <c r="O70" s="12"/>
      <c r="P70" s="12"/>
      <c r="Q70" s="7"/>
      <c r="R70" s="7"/>
      <c r="S70" s="7"/>
      <c r="T70" s="12"/>
    </row>
    <row r="71" ht="15.75" customHeight="1">
      <c r="O71" s="12"/>
      <c r="P71" s="12"/>
      <c r="Q71" s="7"/>
      <c r="R71" s="7"/>
      <c r="S71" s="7"/>
      <c r="T71" s="12"/>
    </row>
    <row r="72" ht="15.75" customHeight="1">
      <c r="O72" s="12"/>
      <c r="P72" s="12"/>
      <c r="Q72" s="7"/>
      <c r="R72" s="7"/>
      <c r="S72" s="7"/>
      <c r="T72" s="12"/>
    </row>
    <row r="73" ht="15.75" customHeight="1">
      <c r="O73" s="12"/>
      <c r="P73" s="12"/>
      <c r="Q73" s="7"/>
      <c r="R73" s="7"/>
      <c r="S73" s="7"/>
      <c r="T73" s="12"/>
    </row>
    <row r="74" ht="15.75" customHeight="1">
      <c r="O74" s="12"/>
      <c r="P74" s="12"/>
      <c r="Q74" s="7"/>
      <c r="R74" s="7"/>
      <c r="S74" s="7"/>
      <c r="T74" s="12"/>
    </row>
    <row r="75" ht="15.75" customHeight="1">
      <c r="O75" s="12"/>
      <c r="P75" s="12"/>
      <c r="Q75" s="7"/>
      <c r="R75" s="7"/>
      <c r="S75" s="7"/>
      <c r="T75" s="12"/>
    </row>
    <row r="76" ht="15.75" customHeight="1">
      <c r="O76" s="12"/>
      <c r="P76" s="12"/>
      <c r="Q76" s="7"/>
      <c r="R76" s="7"/>
      <c r="S76" s="7"/>
      <c r="T76" s="12"/>
    </row>
    <row r="77" ht="15.75" customHeight="1">
      <c r="O77" s="12"/>
      <c r="P77" s="12"/>
      <c r="Q77" s="7"/>
      <c r="R77" s="7"/>
      <c r="S77" s="7"/>
      <c r="T77" s="12"/>
    </row>
    <row r="78" ht="15.75" customHeight="1">
      <c r="O78" s="12"/>
      <c r="P78" s="12"/>
      <c r="Q78" s="7"/>
      <c r="R78" s="7"/>
      <c r="S78" s="7"/>
      <c r="T78" s="12"/>
    </row>
    <row r="79" ht="15.75" customHeight="1">
      <c r="O79" s="12"/>
      <c r="P79" s="12"/>
      <c r="Q79" s="7"/>
      <c r="R79" s="7"/>
      <c r="S79" s="7"/>
      <c r="T79" s="12"/>
    </row>
    <row r="80" ht="15.75" customHeight="1">
      <c r="O80" s="12"/>
      <c r="P80" s="12"/>
      <c r="Q80" s="7"/>
      <c r="R80" s="7"/>
      <c r="S80" s="7"/>
      <c r="T80" s="12"/>
    </row>
    <row r="81" ht="15.75" customHeight="1">
      <c r="O81" s="12"/>
      <c r="P81" s="12"/>
      <c r="Q81" s="7"/>
      <c r="R81" s="7"/>
      <c r="S81" s="7"/>
      <c r="T81" s="12"/>
    </row>
    <row r="82" ht="15.75" customHeight="1">
      <c r="O82" s="12"/>
      <c r="P82" s="12"/>
      <c r="Q82" s="7"/>
      <c r="R82" s="7"/>
      <c r="S82" s="7"/>
      <c r="T82" s="12"/>
    </row>
    <row r="83" ht="15.75" customHeight="1">
      <c r="O83" s="12"/>
      <c r="P83" s="12"/>
      <c r="Q83" s="7"/>
      <c r="R83" s="7"/>
      <c r="S83" s="7"/>
      <c r="T83" s="12"/>
    </row>
    <row r="84" ht="15.75" customHeight="1">
      <c r="O84" s="12"/>
      <c r="P84" s="12"/>
      <c r="Q84" s="7"/>
      <c r="R84" s="7"/>
      <c r="S84" s="7"/>
      <c r="T84" s="12"/>
    </row>
    <row r="85" ht="15.75" customHeight="1">
      <c r="O85" s="12"/>
      <c r="P85" s="12"/>
      <c r="Q85" s="7"/>
      <c r="R85" s="7"/>
      <c r="S85" s="7"/>
      <c r="T85" s="12"/>
    </row>
    <row r="86" ht="15.75" customHeight="1">
      <c r="O86" s="12"/>
      <c r="P86" s="12"/>
      <c r="Q86" s="7"/>
      <c r="R86" s="7"/>
      <c r="S86" s="7"/>
      <c r="T86" s="12"/>
    </row>
    <row r="87" ht="15.75" customHeight="1">
      <c r="O87" s="12"/>
      <c r="P87" s="12"/>
      <c r="Q87" s="7"/>
      <c r="R87" s="7"/>
      <c r="S87" s="7"/>
      <c r="T87" s="12"/>
    </row>
    <row r="88" ht="15.75" customHeight="1">
      <c r="O88" s="12"/>
      <c r="P88" s="12"/>
      <c r="Q88" s="7"/>
      <c r="R88" s="7"/>
      <c r="S88" s="7"/>
      <c r="T88" s="12"/>
    </row>
    <row r="89" ht="15.75" customHeight="1">
      <c r="O89" s="12"/>
      <c r="P89" s="12"/>
      <c r="Q89" s="7"/>
      <c r="R89" s="7"/>
      <c r="S89" s="7"/>
      <c r="T89" s="12"/>
    </row>
    <row r="90" ht="15.75" customHeight="1">
      <c r="O90" s="12"/>
      <c r="P90" s="12"/>
      <c r="Q90" s="7"/>
      <c r="R90" s="7"/>
      <c r="S90" s="7"/>
      <c r="T90" s="12"/>
    </row>
    <row r="91" ht="15.75" customHeight="1">
      <c r="O91" s="12"/>
      <c r="P91" s="12"/>
      <c r="Q91" s="7"/>
      <c r="R91" s="7"/>
      <c r="S91" s="7"/>
      <c r="T91" s="12"/>
    </row>
    <row r="92" ht="15.75" customHeight="1">
      <c r="O92" s="12"/>
      <c r="P92" s="12"/>
      <c r="Q92" s="7"/>
      <c r="R92" s="7"/>
      <c r="S92" s="7"/>
      <c r="T92" s="12"/>
    </row>
    <row r="93" ht="15.75" customHeight="1">
      <c r="O93" s="12"/>
      <c r="P93" s="12"/>
      <c r="Q93" s="7"/>
      <c r="R93" s="7"/>
      <c r="S93" s="7"/>
      <c r="T93" s="12"/>
    </row>
    <row r="94" ht="15.75" customHeight="1">
      <c r="O94" s="12"/>
      <c r="P94" s="12"/>
      <c r="Q94" s="7"/>
      <c r="R94" s="7"/>
      <c r="S94" s="7"/>
      <c r="T94" s="12"/>
    </row>
    <row r="95" ht="15.75" customHeight="1">
      <c r="O95" s="12"/>
      <c r="P95" s="12"/>
      <c r="Q95" s="7"/>
      <c r="R95" s="7"/>
      <c r="S95" s="7"/>
      <c r="T95" s="12"/>
    </row>
    <row r="96" ht="15.75" customHeight="1">
      <c r="O96" s="12"/>
      <c r="P96" s="12"/>
      <c r="Q96" s="7"/>
      <c r="R96" s="7"/>
      <c r="S96" s="7"/>
      <c r="T96" s="12"/>
    </row>
    <row r="97" ht="15.75" customHeight="1">
      <c r="O97" s="12"/>
      <c r="P97" s="12"/>
      <c r="Q97" s="7"/>
      <c r="R97" s="7"/>
      <c r="S97" s="7"/>
      <c r="T97" s="12"/>
    </row>
    <row r="98" ht="15.75" customHeight="1">
      <c r="O98" s="12"/>
      <c r="P98" s="12"/>
      <c r="Q98" s="7"/>
      <c r="R98" s="7"/>
      <c r="S98" s="7"/>
      <c r="T98" s="12"/>
    </row>
    <row r="99" ht="15.75" customHeight="1">
      <c r="O99" s="12"/>
      <c r="P99" s="12"/>
      <c r="Q99" s="7"/>
      <c r="R99" s="7"/>
      <c r="S99" s="7"/>
      <c r="T99" s="12"/>
    </row>
    <row r="100" ht="15.75" customHeight="1">
      <c r="O100" s="12"/>
      <c r="P100" s="12"/>
      <c r="Q100" s="7"/>
      <c r="R100" s="7"/>
      <c r="S100" s="7"/>
      <c r="T100" s="12"/>
    </row>
    <row r="101" ht="15.75" customHeight="1">
      <c r="O101" s="12"/>
      <c r="P101" s="12"/>
      <c r="Q101" s="7"/>
      <c r="R101" s="7"/>
      <c r="S101" s="7"/>
      <c r="T101" s="12"/>
    </row>
    <row r="102" ht="15.75" customHeight="1">
      <c r="O102" s="12"/>
      <c r="P102" s="12"/>
      <c r="Q102" s="7"/>
      <c r="R102" s="7"/>
      <c r="S102" s="7"/>
      <c r="T102" s="12"/>
    </row>
    <row r="103" ht="15.75" customHeight="1">
      <c r="O103" s="12"/>
      <c r="P103" s="12"/>
      <c r="Q103" s="7"/>
      <c r="R103" s="7"/>
      <c r="S103" s="7"/>
      <c r="T103" s="12"/>
    </row>
    <row r="104" ht="15.75" customHeight="1">
      <c r="O104" s="12"/>
      <c r="P104" s="12"/>
      <c r="Q104" s="7"/>
      <c r="R104" s="7"/>
      <c r="S104" s="7"/>
      <c r="T104" s="12"/>
    </row>
    <row r="105" ht="15.75" customHeight="1">
      <c r="O105" s="12"/>
      <c r="P105" s="12"/>
      <c r="Q105" s="7"/>
      <c r="R105" s="7"/>
      <c r="S105" s="7"/>
      <c r="T105" s="12"/>
    </row>
    <row r="106" ht="15.75" customHeight="1">
      <c r="O106" s="12"/>
      <c r="P106" s="12"/>
      <c r="Q106" s="7"/>
      <c r="R106" s="7"/>
      <c r="S106" s="7"/>
      <c r="T106" s="12"/>
    </row>
    <row r="107" ht="15.75" customHeight="1">
      <c r="O107" s="12"/>
      <c r="P107" s="12"/>
      <c r="Q107" s="7"/>
      <c r="R107" s="7"/>
      <c r="S107" s="7"/>
      <c r="T107" s="12"/>
    </row>
    <row r="108" ht="15.75" customHeight="1">
      <c r="O108" s="12"/>
      <c r="P108" s="12"/>
      <c r="Q108" s="7"/>
      <c r="R108" s="7"/>
      <c r="S108" s="7"/>
      <c r="T108" s="12"/>
    </row>
    <row r="109" ht="15.75" customHeight="1">
      <c r="O109" s="12"/>
      <c r="P109" s="12"/>
      <c r="Q109" s="7"/>
      <c r="R109" s="7"/>
      <c r="S109" s="7"/>
      <c r="T109" s="12"/>
    </row>
    <row r="110" ht="15.75" customHeight="1">
      <c r="O110" s="12"/>
      <c r="P110" s="12"/>
      <c r="Q110" s="7"/>
      <c r="R110" s="7"/>
      <c r="S110" s="7"/>
      <c r="T110" s="12"/>
    </row>
    <row r="111" ht="15.75" customHeight="1">
      <c r="O111" s="12"/>
      <c r="P111" s="12"/>
      <c r="Q111" s="7"/>
      <c r="R111" s="7"/>
      <c r="S111" s="7"/>
      <c r="T111" s="12"/>
    </row>
    <row r="112" ht="15.75" customHeight="1">
      <c r="O112" s="12"/>
      <c r="P112" s="12"/>
      <c r="Q112" s="7"/>
      <c r="R112" s="7"/>
      <c r="S112" s="7"/>
      <c r="T112" s="12"/>
    </row>
    <row r="113" ht="15.75" customHeight="1">
      <c r="O113" s="12"/>
      <c r="P113" s="12"/>
      <c r="Q113" s="7"/>
      <c r="R113" s="7"/>
      <c r="S113" s="7"/>
      <c r="T113" s="12"/>
    </row>
    <row r="114" ht="15.75" customHeight="1">
      <c r="O114" s="12"/>
      <c r="P114" s="12"/>
      <c r="Q114" s="7"/>
      <c r="R114" s="7"/>
      <c r="S114" s="7"/>
      <c r="T114" s="12"/>
    </row>
    <row r="115" ht="15.75" customHeight="1">
      <c r="O115" s="12"/>
      <c r="P115" s="12"/>
      <c r="Q115" s="7"/>
      <c r="R115" s="7"/>
      <c r="S115" s="7"/>
      <c r="T115" s="12"/>
    </row>
    <row r="116" ht="15.75" customHeight="1">
      <c r="O116" s="12"/>
      <c r="P116" s="12"/>
      <c r="Q116" s="7"/>
      <c r="R116" s="7"/>
      <c r="S116" s="7"/>
      <c r="T116" s="12"/>
    </row>
    <row r="117" ht="15.75" customHeight="1">
      <c r="O117" s="12"/>
      <c r="P117" s="12"/>
      <c r="Q117" s="7"/>
      <c r="R117" s="7"/>
      <c r="S117" s="7"/>
      <c r="T117" s="12"/>
    </row>
    <row r="118" ht="15.75" customHeight="1">
      <c r="O118" s="12"/>
      <c r="P118" s="12"/>
      <c r="Q118" s="7"/>
      <c r="R118" s="7"/>
      <c r="S118" s="7"/>
      <c r="T118" s="12"/>
    </row>
    <row r="119" ht="15.75" customHeight="1">
      <c r="O119" s="12"/>
      <c r="P119" s="12"/>
      <c r="Q119" s="7"/>
      <c r="R119" s="7"/>
      <c r="S119" s="7"/>
      <c r="T119" s="12"/>
    </row>
    <row r="120" ht="15.75" customHeight="1">
      <c r="O120" s="12"/>
      <c r="P120" s="12"/>
      <c r="Q120" s="7"/>
      <c r="R120" s="7"/>
      <c r="S120" s="7"/>
      <c r="T120" s="12"/>
    </row>
    <row r="121" ht="15.75" customHeight="1">
      <c r="O121" s="12"/>
      <c r="P121" s="12"/>
      <c r="Q121" s="7"/>
      <c r="R121" s="7"/>
      <c r="S121" s="7"/>
      <c r="T121" s="12"/>
    </row>
    <row r="122" ht="15.75" customHeight="1">
      <c r="O122" s="12"/>
      <c r="P122" s="12"/>
      <c r="Q122" s="7"/>
      <c r="R122" s="7"/>
      <c r="S122" s="7"/>
      <c r="T122" s="12"/>
    </row>
    <row r="123" ht="15.75" customHeight="1">
      <c r="O123" s="12"/>
      <c r="P123" s="12"/>
      <c r="Q123" s="7"/>
      <c r="R123" s="7"/>
      <c r="S123" s="7"/>
      <c r="T123" s="12"/>
    </row>
    <row r="124" ht="15.75" customHeight="1">
      <c r="O124" s="12"/>
      <c r="P124" s="12"/>
      <c r="Q124" s="7"/>
      <c r="R124" s="7"/>
      <c r="S124" s="7"/>
      <c r="T124" s="12"/>
    </row>
    <row r="125" ht="15.75" customHeight="1">
      <c r="O125" s="12"/>
      <c r="P125" s="12"/>
      <c r="Q125" s="7"/>
      <c r="R125" s="7"/>
      <c r="S125" s="7"/>
      <c r="T125" s="12"/>
    </row>
    <row r="126" ht="15.75" customHeight="1">
      <c r="O126" s="12"/>
      <c r="P126" s="12"/>
      <c r="Q126" s="7"/>
      <c r="R126" s="7"/>
      <c r="S126" s="7"/>
      <c r="T126" s="12"/>
    </row>
    <row r="127" ht="15.75" customHeight="1">
      <c r="O127" s="12"/>
      <c r="P127" s="12"/>
      <c r="Q127" s="7"/>
      <c r="R127" s="7"/>
      <c r="S127" s="7"/>
      <c r="T127" s="12"/>
    </row>
    <row r="128" ht="15.75" customHeight="1">
      <c r="O128" s="12"/>
      <c r="P128" s="12"/>
      <c r="Q128" s="7"/>
      <c r="R128" s="7"/>
      <c r="S128" s="7"/>
      <c r="T128" s="12"/>
    </row>
    <row r="129" ht="15.75" customHeight="1">
      <c r="O129" s="12"/>
      <c r="P129" s="12"/>
      <c r="Q129" s="7"/>
      <c r="R129" s="7"/>
      <c r="S129" s="7"/>
      <c r="T129" s="12"/>
    </row>
    <row r="130" ht="15.75" customHeight="1">
      <c r="O130" s="12"/>
      <c r="P130" s="12"/>
      <c r="Q130" s="7"/>
      <c r="R130" s="7"/>
      <c r="S130" s="7"/>
      <c r="T130" s="12"/>
    </row>
    <row r="131" ht="15.75" customHeight="1">
      <c r="O131" s="12"/>
      <c r="P131" s="12"/>
      <c r="Q131" s="7"/>
      <c r="R131" s="7"/>
      <c r="S131" s="7"/>
      <c r="T131" s="12"/>
    </row>
    <row r="132" ht="15.75" customHeight="1">
      <c r="O132" s="12"/>
      <c r="P132" s="12"/>
      <c r="Q132" s="7"/>
      <c r="R132" s="7"/>
      <c r="S132" s="7"/>
      <c r="T132" s="12"/>
    </row>
    <row r="133" ht="15.75" customHeight="1">
      <c r="O133" s="12"/>
      <c r="P133" s="12"/>
      <c r="Q133" s="7"/>
      <c r="R133" s="7"/>
      <c r="S133" s="7"/>
      <c r="T133" s="12"/>
    </row>
    <row r="134" ht="15.75" customHeight="1">
      <c r="O134" s="12"/>
      <c r="P134" s="12"/>
      <c r="Q134" s="7"/>
      <c r="R134" s="7"/>
      <c r="S134" s="7"/>
      <c r="T134" s="12"/>
    </row>
    <row r="135" ht="15.75" customHeight="1">
      <c r="O135" s="12"/>
      <c r="P135" s="12"/>
      <c r="Q135" s="7"/>
      <c r="R135" s="7"/>
      <c r="S135" s="7"/>
      <c r="T135" s="12"/>
    </row>
    <row r="136" ht="15.75" customHeight="1">
      <c r="O136" s="12"/>
      <c r="P136" s="12"/>
      <c r="Q136" s="7"/>
      <c r="R136" s="7"/>
      <c r="S136" s="7"/>
      <c r="T136" s="12"/>
    </row>
    <row r="137" ht="15.75" customHeight="1">
      <c r="O137" s="12"/>
      <c r="P137" s="12"/>
      <c r="Q137" s="7"/>
      <c r="R137" s="7"/>
      <c r="S137" s="7"/>
      <c r="T137" s="12"/>
    </row>
    <row r="138" ht="15.75" customHeight="1">
      <c r="O138" s="12"/>
      <c r="P138" s="12"/>
      <c r="Q138" s="7"/>
      <c r="R138" s="7"/>
      <c r="S138" s="7"/>
      <c r="T138" s="12"/>
    </row>
    <row r="139" ht="15.75" customHeight="1">
      <c r="O139" s="12"/>
      <c r="P139" s="12"/>
      <c r="Q139" s="7"/>
      <c r="R139" s="7"/>
      <c r="S139" s="7"/>
      <c r="T139" s="12"/>
    </row>
    <row r="140" ht="15.75" customHeight="1">
      <c r="O140" s="12"/>
      <c r="P140" s="12"/>
      <c r="Q140" s="7"/>
      <c r="R140" s="7"/>
      <c r="S140" s="7"/>
      <c r="T140" s="12"/>
    </row>
    <row r="141" ht="15.75" customHeight="1">
      <c r="O141" s="12"/>
      <c r="P141" s="12"/>
      <c r="Q141" s="7"/>
      <c r="R141" s="7"/>
      <c r="S141" s="7"/>
      <c r="T141" s="12"/>
    </row>
    <row r="142" ht="15.75" customHeight="1">
      <c r="O142" s="12"/>
      <c r="P142" s="12"/>
      <c r="Q142" s="7"/>
      <c r="R142" s="7"/>
      <c r="S142" s="7"/>
      <c r="T142" s="12"/>
    </row>
    <row r="143" ht="15.75" customHeight="1">
      <c r="O143" s="12"/>
      <c r="P143" s="12"/>
      <c r="Q143" s="7"/>
      <c r="R143" s="7"/>
      <c r="S143" s="7"/>
      <c r="T143" s="12"/>
    </row>
    <row r="144" ht="15.75" customHeight="1">
      <c r="O144" s="12"/>
      <c r="P144" s="12"/>
      <c r="Q144" s="7"/>
      <c r="R144" s="7"/>
      <c r="S144" s="7"/>
      <c r="T144" s="12"/>
    </row>
    <row r="145" ht="15.75" customHeight="1">
      <c r="O145" s="12"/>
      <c r="P145" s="12"/>
      <c r="Q145" s="7"/>
      <c r="R145" s="7"/>
      <c r="S145" s="7"/>
      <c r="T145" s="12"/>
    </row>
    <row r="146" ht="15.75" customHeight="1">
      <c r="O146" s="12"/>
      <c r="P146" s="12"/>
      <c r="Q146" s="7"/>
      <c r="R146" s="7"/>
      <c r="S146" s="7"/>
      <c r="T146" s="12"/>
    </row>
    <row r="147" ht="15.75" customHeight="1">
      <c r="O147" s="12"/>
      <c r="P147" s="12"/>
      <c r="Q147" s="7"/>
      <c r="R147" s="7"/>
      <c r="S147" s="7"/>
      <c r="T147" s="12"/>
    </row>
    <row r="148" ht="15.75" customHeight="1">
      <c r="O148" s="12"/>
      <c r="P148" s="12"/>
      <c r="Q148" s="7"/>
      <c r="R148" s="7"/>
      <c r="S148" s="7"/>
      <c r="T148" s="12"/>
    </row>
    <row r="149" ht="15.75" customHeight="1">
      <c r="O149" s="12"/>
      <c r="P149" s="12"/>
      <c r="Q149" s="7"/>
      <c r="R149" s="7"/>
      <c r="S149" s="7"/>
      <c r="T149" s="12"/>
    </row>
    <row r="150" ht="15.75" customHeight="1">
      <c r="O150" s="12"/>
      <c r="P150" s="12"/>
      <c r="Q150" s="7"/>
      <c r="R150" s="7"/>
      <c r="S150" s="7"/>
      <c r="T150" s="12"/>
    </row>
    <row r="151" ht="15.75" customHeight="1">
      <c r="O151" s="12"/>
      <c r="P151" s="12"/>
      <c r="Q151" s="7"/>
      <c r="R151" s="7"/>
      <c r="S151" s="7"/>
      <c r="T151" s="12"/>
    </row>
    <row r="152" ht="15.75" customHeight="1">
      <c r="O152" s="12"/>
      <c r="P152" s="12"/>
      <c r="Q152" s="7"/>
      <c r="R152" s="7"/>
      <c r="S152" s="7"/>
      <c r="T152" s="12"/>
    </row>
    <row r="153" ht="15.75" customHeight="1">
      <c r="O153" s="12"/>
      <c r="P153" s="12"/>
      <c r="Q153" s="7"/>
      <c r="R153" s="7"/>
      <c r="S153" s="7"/>
      <c r="T153" s="12"/>
    </row>
    <row r="154" ht="15.75" customHeight="1">
      <c r="O154" s="12"/>
      <c r="P154" s="12"/>
      <c r="Q154" s="7"/>
      <c r="R154" s="7"/>
      <c r="S154" s="7"/>
      <c r="T154" s="12"/>
    </row>
    <row r="155" ht="15.75" customHeight="1">
      <c r="O155" s="12"/>
      <c r="P155" s="12"/>
      <c r="Q155" s="7"/>
      <c r="R155" s="7"/>
      <c r="S155" s="7"/>
      <c r="T155" s="12"/>
    </row>
    <row r="156" ht="15.75" customHeight="1">
      <c r="O156" s="12"/>
      <c r="P156" s="12"/>
      <c r="Q156" s="7"/>
      <c r="R156" s="7"/>
      <c r="S156" s="7"/>
      <c r="T156" s="12"/>
    </row>
    <row r="157" ht="15.75" customHeight="1">
      <c r="O157" s="12"/>
      <c r="P157" s="12"/>
      <c r="Q157" s="7"/>
      <c r="R157" s="7"/>
      <c r="S157" s="7"/>
      <c r="T157" s="12"/>
    </row>
    <row r="158" ht="15.75" customHeight="1">
      <c r="O158" s="12"/>
      <c r="P158" s="12"/>
      <c r="Q158" s="7"/>
      <c r="R158" s="7"/>
      <c r="S158" s="7"/>
      <c r="T158" s="12"/>
    </row>
    <row r="159" ht="15.75" customHeight="1">
      <c r="O159" s="12"/>
      <c r="P159" s="12"/>
      <c r="Q159" s="7"/>
      <c r="R159" s="7"/>
      <c r="S159" s="7"/>
      <c r="T159" s="12"/>
    </row>
    <row r="160" ht="15.75" customHeight="1">
      <c r="O160" s="12"/>
      <c r="P160" s="12"/>
      <c r="Q160" s="7"/>
      <c r="R160" s="7"/>
      <c r="S160" s="7"/>
      <c r="T160" s="12"/>
    </row>
    <row r="161" ht="15.75" customHeight="1">
      <c r="O161" s="12"/>
      <c r="P161" s="12"/>
      <c r="Q161" s="7"/>
      <c r="R161" s="7"/>
      <c r="S161" s="7"/>
      <c r="T161" s="12"/>
    </row>
    <row r="162" ht="15.75" customHeight="1">
      <c r="O162" s="12"/>
      <c r="P162" s="12"/>
      <c r="Q162" s="7"/>
      <c r="R162" s="7"/>
      <c r="S162" s="7"/>
      <c r="T162" s="12"/>
    </row>
    <row r="163" ht="15.75" customHeight="1">
      <c r="O163" s="12"/>
      <c r="P163" s="12"/>
      <c r="Q163" s="7"/>
      <c r="R163" s="7"/>
      <c r="S163" s="7"/>
      <c r="T163" s="12"/>
    </row>
    <row r="164" ht="15.75" customHeight="1">
      <c r="O164" s="12"/>
      <c r="P164" s="12"/>
      <c r="Q164" s="7"/>
      <c r="R164" s="7"/>
      <c r="S164" s="7"/>
      <c r="T164" s="12"/>
    </row>
    <row r="165" ht="15.75" customHeight="1">
      <c r="O165" s="12"/>
      <c r="P165" s="12"/>
      <c r="Q165" s="7"/>
      <c r="R165" s="7"/>
      <c r="S165" s="7"/>
      <c r="T165" s="12"/>
    </row>
    <row r="166" ht="15.75" customHeight="1">
      <c r="O166" s="12"/>
      <c r="P166" s="12"/>
      <c r="Q166" s="7"/>
      <c r="R166" s="7"/>
      <c r="S166" s="7"/>
      <c r="T166" s="12"/>
    </row>
    <row r="167" ht="15.75" customHeight="1">
      <c r="O167" s="12"/>
      <c r="P167" s="12"/>
      <c r="Q167" s="7"/>
      <c r="R167" s="7"/>
      <c r="S167" s="7"/>
      <c r="T167" s="12"/>
    </row>
    <row r="168" ht="15.75" customHeight="1">
      <c r="O168" s="12"/>
      <c r="P168" s="12"/>
      <c r="Q168" s="7"/>
      <c r="R168" s="7"/>
      <c r="S168" s="7"/>
      <c r="T168" s="12"/>
    </row>
    <row r="169" ht="15.75" customHeight="1">
      <c r="O169" s="12"/>
      <c r="P169" s="12"/>
      <c r="Q169" s="7"/>
      <c r="R169" s="7"/>
      <c r="S169" s="7"/>
      <c r="T169" s="12"/>
    </row>
    <row r="170" ht="15.75" customHeight="1">
      <c r="O170" s="12"/>
      <c r="P170" s="12"/>
      <c r="Q170" s="7"/>
      <c r="R170" s="7"/>
      <c r="S170" s="7"/>
      <c r="T170" s="12"/>
    </row>
    <row r="171" ht="15.75" customHeight="1">
      <c r="O171" s="12"/>
      <c r="P171" s="12"/>
      <c r="Q171" s="7"/>
      <c r="R171" s="7"/>
      <c r="S171" s="7"/>
      <c r="T171" s="12"/>
    </row>
    <row r="172" ht="15.75" customHeight="1">
      <c r="O172" s="12"/>
      <c r="P172" s="12"/>
      <c r="Q172" s="7"/>
      <c r="R172" s="7"/>
      <c r="S172" s="7"/>
      <c r="T172" s="12"/>
    </row>
    <row r="173" ht="15.75" customHeight="1">
      <c r="O173" s="12"/>
      <c r="P173" s="12"/>
      <c r="Q173" s="7"/>
      <c r="R173" s="7"/>
      <c r="S173" s="7"/>
      <c r="T173" s="12"/>
    </row>
    <row r="174" ht="15.75" customHeight="1">
      <c r="O174" s="12"/>
      <c r="P174" s="12"/>
      <c r="Q174" s="7"/>
      <c r="R174" s="7"/>
      <c r="S174" s="7"/>
      <c r="T174" s="12"/>
    </row>
    <row r="175" ht="15.75" customHeight="1">
      <c r="O175" s="12"/>
      <c r="P175" s="12"/>
      <c r="Q175" s="7"/>
      <c r="R175" s="7"/>
      <c r="S175" s="7"/>
      <c r="T175" s="12"/>
    </row>
    <row r="176" ht="15.75" customHeight="1">
      <c r="O176" s="12"/>
      <c r="P176" s="12"/>
      <c r="Q176" s="7"/>
      <c r="R176" s="7"/>
      <c r="S176" s="7"/>
      <c r="T176" s="12"/>
    </row>
    <row r="177" ht="15.75" customHeight="1">
      <c r="O177" s="12"/>
      <c r="P177" s="12"/>
      <c r="Q177" s="7"/>
      <c r="R177" s="7"/>
      <c r="S177" s="7"/>
      <c r="T177" s="12"/>
    </row>
    <row r="178" ht="15.75" customHeight="1">
      <c r="O178" s="12"/>
      <c r="P178" s="12"/>
      <c r="Q178" s="7"/>
      <c r="R178" s="7"/>
      <c r="S178" s="7"/>
      <c r="T178" s="12"/>
    </row>
    <row r="179" ht="15.75" customHeight="1">
      <c r="O179" s="12"/>
      <c r="P179" s="12"/>
      <c r="Q179" s="7"/>
      <c r="R179" s="7"/>
      <c r="S179" s="7"/>
      <c r="T179" s="12"/>
    </row>
    <row r="180" ht="15.75" customHeight="1">
      <c r="O180" s="12"/>
      <c r="P180" s="12"/>
      <c r="Q180" s="7"/>
      <c r="R180" s="7"/>
      <c r="S180" s="7"/>
      <c r="T180" s="12"/>
    </row>
    <row r="181" ht="15.75" customHeight="1">
      <c r="O181" s="12"/>
      <c r="P181" s="12"/>
      <c r="Q181" s="7"/>
      <c r="R181" s="7"/>
      <c r="S181" s="7"/>
      <c r="T181" s="12"/>
    </row>
    <row r="182" ht="15.75" customHeight="1">
      <c r="O182" s="12"/>
      <c r="P182" s="12"/>
      <c r="Q182" s="7"/>
      <c r="R182" s="7"/>
      <c r="S182" s="7"/>
      <c r="T182" s="12"/>
    </row>
    <row r="183" ht="15.75" customHeight="1">
      <c r="O183" s="12"/>
      <c r="P183" s="12"/>
      <c r="Q183" s="7"/>
      <c r="R183" s="7"/>
      <c r="S183" s="7"/>
      <c r="T183" s="12"/>
    </row>
    <row r="184" ht="15.75" customHeight="1">
      <c r="O184" s="12"/>
      <c r="P184" s="12"/>
      <c r="Q184" s="7"/>
      <c r="R184" s="7"/>
      <c r="S184" s="7"/>
      <c r="T184" s="12"/>
    </row>
    <row r="185" ht="15.75" customHeight="1">
      <c r="O185" s="12"/>
      <c r="P185" s="12"/>
      <c r="Q185" s="7"/>
      <c r="R185" s="7"/>
      <c r="S185" s="7"/>
      <c r="T185" s="12"/>
    </row>
    <row r="186" ht="15.75" customHeight="1">
      <c r="O186" s="12"/>
      <c r="P186" s="12"/>
      <c r="Q186" s="7"/>
      <c r="R186" s="7"/>
      <c r="S186" s="7"/>
      <c r="T186" s="12"/>
    </row>
    <row r="187" ht="15.75" customHeight="1">
      <c r="O187" s="12"/>
      <c r="P187" s="12"/>
      <c r="Q187" s="7"/>
      <c r="R187" s="7"/>
      <c r="S187" s="7"/>
      <c r="T187" s="12"/>
    </row>
    <row r="188" ht="15.75" customHeight="1">
      <c r="O188" s="12"/>
      <c r="P188" s="12"/>
      <c r="Q188" s="7"/>
      <c r="R188" s="7"/>
      <c r="S188" s="7"/>
      <c r="T188" s="12"/>
    </row>
    <row r="189" ht="15.75" customHeight="1">
      <c r="O189" s="12"/>
      <c r="P189" s="12"/>
      <c r="Q189" s="7"/>
      <c r="R189" s="7"/>
      <c r="S189" s="7"/>
      <c r="T189" s="12"/>
    </row>
    <row r="190" ht="15.75" customHeight="1">
      <c r="O190" s="12"/>
      <c r="P190" s="12"/>
      <c r="Q190" s="7"/>
      <c r="R190" s="7"/>
      <c r="S190" s="7"/>
      <c r="T190" s="12"/>
    </row>
    <row r="191" ht="15.75" customHeight="1">
      <c r="O191" s="12"/>
      <c r="P191" s="12"/>
      <c r="Q191" s="7"/>
      <c r="R191" s="7"/>
      <c r="S191" s="7"/>
      <c r="T191" s="12"/>
    </row>
    <row r="192" ht="15.75" customHeight="1">
      <c r="O192" s="12"/>
      <c r="P192" s="12"/>
      <c r="Q192" s="7"/>
      <c r="R192" s="7"/>
      <c r="S192" s="7"/>
      <c r="T192" s="12"/>
    </row>
    <row r="193" ht="15.75" customHeight="1">
      <c r="O193" s="12"/>
      <c r="P193" s="12"/>
      <c r="Q193" s="7"/>
      <c r="R193" s="7"/>
      <c r="S193" s="7"/>
      <c r="T193" s="12"/>
    </row>
    <row r="194" ht="15.75" customHeight="1">
      <c r="O194" s="12"/>
      <c r="P194" s="12"/>
      <c r="Q194" s="7"/>
      <c r="R194" s="7"/>
      <c r="S194" s="7"/>
      <c r="T194" s="12"/>
    </row>
    <row r="195" ht="15.75" customHeight="1">
      <c r="O195" s="12"/>
      <c r="P195" s="12"/>
      <c r="Q195" s="7"/>
      <c r="R195" s="7"/>
      <c r="S195" s="7"/>
      <c r="T195" s="12"/>
    </row>
    <row r="196" ht="15.75" customHeight="1">
      <c r="O196" s="12"/>
      <c r="P196" s="12"/>
      <c r="Q196" s="7"/>
      <c r="R196" s="7"/>
      <c r="S196" s="7"/>
      <c r="T196" s="12"/>
    </row>
    <row r="197" ht="15.75" customHeight="1">
      <c r="O197" s="12"/>
      <c r="P197" s="12"/>
      <c r="Q197" s="7"/>
      <c r="R197" s="7"/>
      <c r="S197" s="7"/>
      <c r="T197" s="12"/>
    </row>
    <row r="198" ht="15.75" customHeight="1">
      <c r="O198" s="12"/>
      <c r="P198" s="12"/>
      <c r="Q198" s="7"/>
      <c r="R198" s="7"/>
      <c r="S198" s="7"/>
      <c r="T198" s="12"/>
    </row>
    <row r="199" ht="15.75" customHeight="1">
      <c r="O199" s="12"/>
      <c r="P199" s="12"/>
      <c r="Q199" s="7"/>
      <c r="R199" s="7"/>
      <c r="S199" s="7"/>
      <c r="T199" s="12"/>
    </row>
    <row r="200" ht="15.75" customHeight="1">
      <c r="O200" s="12"/>
      <c r="P200" s="12"/>
      <c r="Q200" s="7"/>
      <c r="R200" s="7"/>
      <c r="S200" s="7"/>
      <c r="T200" s="12"/>
    </row>
    <row r="201" ht="15.75" customHeight="1">
      <c r="O201" s="12"/>
      <c r="P201" s="12"/>
      <c r="Q201" s="7"/>
      <c r="R201" s="7"/>
      <c r="S201" s="7"/>
      <c r="T201" s="12"/>
    </row>
    <row r="202" ht="15.75" customHeight="1">
      <c r="O202" s="12"/>
      <c r="P202" s="12"/>
      <c r="Q202" s="7"/>
      <c r="R202" s="7"/>
      <c r="S202" s="7"/>
      <c r="T202" s="12"/>
    </row>
    <row r="203" ht="15.75" customHeight="1">
      <c r="O203" s="12"/>
      <c r="P203" s="12"/>
      <c r="Q203" s="7"/>
      <c r="R203" s="7"/>
      <c r="S203" s="7"/>
      <c r="T203" s="12"/>
    </row>
    <row r="204" ht="15.75" customHeight="1">
      <c r="O204" s="12"/>
      <c r="P204" s="12"/>
      <c r="Q204" s="7"/>
      <c r="R204" s="7"/>
      <c r="S204" s="7"/>
      <c r="T204" s="12"/>
    </row>
    <row r="205" ht="15.75" customHeight="1">
      <c r="O205" s="12"/>
      <c r="P205" s="12"/>
      <c r="Q205" s="7"/>
      <c r="R205" s="7"/>
      <c r="S205" s="7"/>
      <c r="T205" s="12"/>
    </row>
    <row r="206" ht="15.75" customHeight="1">
      <c r="O206" s="12"/>
      <c r="P206" s="12"/>
      <c r="Q206" s="7"/>
      <c r="R206" s="7"/>
      <c r="S206" s="7"/>
      <c r="T206" s="12"/>
    </row>
    <row r="207" ht="15.75" customHeight="1">
      <c r="O207" s="12"/>
      <c r="P207" s="12"/>
      <c r="Q207" s="7"/>
      <c r="R207" s="7"/>
      <c r="S207" s="7"/>
      <c r="T207" s="12"/>
    </row>
    <row r="208" ht="15.75" customHeight="1">
      <c r="O208" s="12"/>
      <c r="P208" s="12"/>
      <c r="Q208" s="7"/>
      <c r="R208" s="7"/>
      <c r="S208" s="7"/>
      <c r="T208" s="12"/>
    </row>
    <row r="209" ht="15.75" customHeight="1">
      <c r="O209" s="12"/>
      <c r="P209" s="12"/>
      <c r="Q209" s="7"/>
      <c r="R209" s="7"/>
      <c r="S209" s="7"/>
      <c r="T209" s="12"/>
    </row>
    <row r="210" ht="15.75" customHeight="1">
      <c r="O210" s="12"/>
      <c r="P210" s="12"/>
      <c r="Q210" s="7"/>
      <c r="R210" s="7"/>
      <c r="S210" s="7"/>
      <c r="T210" s="12"/>
    </row>
    <row r="211" ht="15.75" customHeight="1">
      <c r="O211" s="12"/>
      <c r="P211" s="12"/>
      <c r="Q211" s="7"/>
      <c r="R211" s="7"/>
      <c r="S211" s="7"/>
      <c r="T211" s="12"/>
    </row>
    <row r="212" ht="15.75" customHeight="1">
      <c r="O212" s="12"/>
      <c r="P212" s="12"/>
      <c r="Q212" s="7"/>
      <c r="R212" s="7"/>
      <c r="S212" s="7"/>
      <c r="T212" s="12"/>
    </row>
    <row r="213" ht="15.75" customHeight="1">
      <c r="O213" s="12"/>
      <c r="P213" s="12"/>
      <c r="Q213" s="7"/>
      <c r="R213" s="7"/>
      <c r="S213" s="7"/>
      <c r="T213" s="12"/>
    </row>
    <row r="214" ht="15.75" customHeight="1">
      <c r="O214" s="12"/>
      <c r="P214" s="12"/>
      <c r="Q214" s="7"/>
      <c r="R214" s="7"/>
      <c r="S214" s="7"/>
      <c r="T214" s="12"/>
    </row>
    <row r="215" ht="15.75" customHeight="1">
      <c r="O215" s="12"/>
      <c r="P215" s="12"/>
      <c r="Q215" s="7"/>
      <c r="R215" s="7"/>
      <c r="S215" s="7"/>
      <c r="T215" s="12"/>
    </row>
    <row r="216" ht="15.75" customHeight="1">
      <c r="O216" s="12"/>
      <c r="P216" s="12"/>
      <c r="Q216" s="7"/>
      <c r="R216" s="7"/>
      <c r="S216" s="7"/>
      <c r="T216" s="12"/>
    </row>
    <row r="217" ht="15.75" customHeight="1">
      <c r="O217" s="12"/>
      <c r="P217" s="12"/>
      <c r="Q217" s="7"/>
      <c r="R217" s="7"/>
      <c r="S217" s="7"/>
      <c r="T217" s="12"/>
    </row>
    <row r="218" ht="15.75" customHeight="1">
      <c r="O218" s="12"/>
      <c r="P218" s="12"/>
      <c r="Q218" s="7"/>
      <c r="R218" s="7"/>
      <c r="S218" s="7"/>
      <c r="T218" s="12"/>
    </row>
    <row r="219" ht="15.75" customHeight="1">
      <c r="O219" s="12"/>
      <c r="P219" s="12"/>
      <c r="Q219" s="7"/>
      <c r="R219" s="7"/>
      <c r="S219" s="7"/>
      <c r="T219" s="12"/>
    </row>
    <row r="220" ht="15.75" customHeight="1">
      <c r="O220" s="12"/>
      <c r="P220" s="12"/>
      <c r="Q220" s="7"/>
      <c r="R220" s="7"/>
      <c r="S220" s="7"/>
      <c r="T220" s="12"/>
    </row>
    <row r="221" ht="15.75" customHeight="1">
      <c r="O221" s="12"/>
      <c r="P221" s="12"/>
      <c r="Q221" s="7"/>
      <c r="R221" s="7"/>
      <c r="S221" s="7"/>
      <c r="T221" s="12"/>
    </row>
    <row r="222" ht="15.75" customHeight="1">
      <c r="O222" s="12"/>
      <c r="P222" s="12"/>
      <c r="Q222" s="7"/>
      <c r="R222" s="7"/>
      <c r="S222" s="7"/>
      <c r="T222" s="12"/>
    </row>
    <row r="223" ht="15.75" customHeight="1">
      <c r="O223" s="12"/>
      <c r="P223" s="12"/>
      <c r="Q223" s="7"/>
      <c r="R223" s="7"/>
      <c r="S223" s="7"/>
      <c r="T223" s="12"/>
    </row>
    <row r="224" ht="15.75" customHeight="1">
      <c r="O224" s="12"/>
      <c r="P224" s="12"/>
      <c r="Q224" s="7"/>
      <c r="R224" s="7"/>
      <c r="S224" s="7"/>
      <c r="T224" s="12"/>
    </row>
    <row r="225" ht="15.75" customHeight="1">
      <c r="O225" s="12"/>
      <c r="P225" s="12"/>
      <c r="Q225" s="7"/>
      <c r="R225" s="7"/>
      <c r="S225" s="7"/>
      <c r="T225" s="12"/>
    </row>
    <row r="226" ht="15.75" customHeight="1">
      <c r="O226" s="12"/>
      <c r="P226" s="12"/>
      <c r="Q226" s="7"/>
      <c r="R226" s="7"/>
      <c r="S226" s="7"/>
      <c r="T226" s="12"/>
    </row>
    <row r="227" ht="15.75" customHeight="1">
      <c r="O227" s="12"/>
      <c r="P227" s="12"/>
      <c r="Q227" s="7"/>
      <c r="R227" s="7"/>
      <c r="S227" s="7"/>
      <c r="T227" s="12"/>
    </row>
    <row r="228" ht="15.75" customHeight="1">
      <c r="O228" s="12"/>
      <c r="P228" s="12"/>
      <c r="Q228" s="7"/>
      <c r="R228" s="7"/>
      <c r="S228" s="7"/>
      <c r="T228" s="12"/>
    </row>
    <row r="229" ht="15.75" customHeight="1">
      <c r="O229" s="12"/>
      <c r="P229" s="12"/>
      <c r="Q229" s="7"/>
      <c r="R229" s="7"/>
      <c r="S229" s="7"/>
      <c r="T229" s="12"/>
    </row>
    <row r="230" ht="15.75" customHeight="1">
      <c r="O230" s="12"/>
      <c r="P230" s="12"/>
      <c r="Q230" s="7"/>
      <c r="R230" s="7"/>
      <c r="S230" s="7"/>
      <c r="T230" s="12"/>
    </row>
    <row r="231" ht="15.75" customHeight="1">
      <c r="O231" s="12"/>
      <c r="P231" s="12"/>
      <c r="Q231" s="7"/>
      <c r="R231" s="7"/>
      <c r="S231" s="7"/>
      <c r="T231" s="12"/>
    </row>
    <row r="232" ht="15.75" customHeight="1">
      <c r="O232" s="12"/>
      <c r="P232" s="12"/>
      <c r="Q232" s="7"/>
      <c r="R232" s="7"/>
      <c r="S232" s="7"/>
      <c r="T232" s="12"/>
    </row>
    <row r="233" ht="15.75" customHeight="1">
      <c r="O233" s="12"/>
      <c r="P233" s="12"/>
      <c r="Q233" s="7"/>
      <c r="R233" s="7"/>
      <c r="S233" s="7"/>
      <c r="T233" s="12"/>
    </row>
    <row r="234" ht="15.75" customHeight="1">
      <c r="O234" s="12"/>
      <c r="P234" s="12"/>
      <c r="Q234" s="7"/>
      <c r="R234" s="7"/>
      <c r="S234" s="7"/>
      <c r="T234" s="12"/>
    </row>
    <row r="235" ht="15.75" customHeight="1">
      <c r="O235" s="12"/>
      <c r="P235" s="12"/>
      <c r="Q235" s="7"/>
      <c r="R235" s="7"/>
      <c r="S235" s="7"/>
      <c r="T235" s="12"/>
    </row>
    <row r="236" ht="15.75" customHeight="1">
      <c r="O236" s="12"/>
      <c r="P236" s="12"/>
      <c r="Q236" s="7"/>
      <c r="R236" s="7"/>
      <c r="S236" s="7"/>
      <c r="T236" s="12"/>
    </row>
    <row r="237" ht="15.75" customHeight="1">
      <c r="O237" s="12"/>
      <c r="P237" s="12"/>
      <c r="Q237" s="7"/>
      <c r="R237" s="7"/>
      <c r="S237" s="7"/>
      <c r="T237" s="12"/>
    </row>
    <row r="238" ht="15.75" customHeight="1">
      <c r="O238" s="12"/>
      <c r="P238" s="12"/>
      <c r="Q238" s="7"/>
      <c r="R238" s="7"/>
      <c r="S238" s="7"/>
      <c r="T238" s="12"/>
    </row>
    <row r="239" ht="15.75" customHeight="1">
      <c r="O239" s="12"/>
      <c r="P239" s="12"/>
      <c r="Q239" s="7"/>
      <c r="R239" s="7"/>
      <c r="S239" s="7"/>
      <c r="T239" s="12"/>
    </row>
    <row r="240" ht="15.75" customHeight="1">
      <c r="O240" s="12"/>
      <c r="P240" s="12"/>
      <c r="Q240" s="7"/>
      <c r="R240" s="7"/>
      <c r="S240" s="7"/>
      <c r="T240" s="12"/>
    </row>
    <row r="241" ht="15.75" customHeight="1">
      <c r="O241" s="12"/>
      <c r="P241" s="12"/>
      <c r="Q241" s="7"/>
      <c r="R241" s="7"/>
      <c r="S241" s="7"/>
      <c r="T241" s="12"/>
    </row>
    <row r="242" ht="15.75" customHeight="1">
      <c r="O242" s="12"/>
      <c r="P242" s="12"/>
      <c r="Q242" s="7"/>
      <c r="R242" s="7"/>
      <c r="S242" s="7"/>
      <c r="T242" s="12"/>
    </row>
    <row r="243" ht="15.75" customHeight="1">
      <c r="O243" s="12"/>
      <c r="P243" s="12"/>
      <c r="Q243" s="7"/>
      <c r="R243" s="7"/>
      <c r="S243" s="7"/>
      <c r="T243" s="12"/>
    </row>
    <row r="244" ht="15.75" customHeight="1">
      <c r="O244" s="12"/>
      <c r="P244" s="12"/>
      <c r="Q244" s="7"/>
      <c r="R244" s="7"/>
      <c r="S244" s="7"/>
      <c r="T244" s="12"/>
    </row>
    <row r="245" ht="15.75" customHeight="1">
      <c r="O245" s="12"/>
      <c r="P245" s="12"/>
      <c r="Q245" s="7"/>
      <c r="R245" s="7"/>
      <c r="S245" s="7"/>
      <c r="T245" s="12"/>
    </row>
    <row r="246" ht="15.75" customHeight="1">
      <c r="O246" s="12"/>
      <c r="P246" s="12"/>
      <c r="Q246" s="7"/>
      <c r="R246" s="7"/>
      <c r="S246" s="7"/>
      <c r="T246" s="12"/>
    </row>
    <row r="247" ht="15.75" customHeight="1">
      <c r="O247" s="12"/>
      <c r="P247" s="12"/>
      <c r="Q247" s="7"/>
      <c r="R247" s="7"/>
      <c r="S247" s="7"/>
      <c r="T247" s="12"/>
    </row>
    <row r="248" ht="15.75" customHeight="1">
      <c r="O248" s="12"/>
      <c r="P248" s="12"/>
      <c r="Q248" s="7"/>
      <c r="R248" s="7"/>
      <c r="S248" s="7"/>
      <c r="T248" s="12"/>
    </row>
    <row r="249" ht="15.75" customHeight="1">
      <c r="O249" s="12"/>
      <c r="P249" s="12"/>
      <c r="Q249" s="7"/>
      <c r="R249" s="7"/>
      <c r="S249" s="7"/>
      <c r="T249" s="12"/>
    </row>
    <row r="250" ht="15.75" customHeight="1">
      <c r="O250" s="12"/>
      <c r="P250" s="12"/>
      <c r="Q250" s="7"/>
      <c r="R250" s="7"/>
      <c r="S250" s="7"/>
      <c r="T250" s="12"/>
    </row>
    <row r="251" ht="15.75" customHeight="1">
      <c r="O251" s="12"/>
      <c r="P251" s="12"/>
      <c r="Q251" s="7"/>
      <c r="R251" s="7"/>
      <c r="S251" s="7"/>
      <c r="T251" s="12"/>
    </row>
    <row r="252" ht="15.75" customHeight="1">
      <c r="O252" s="12"/>
      <c r="P252" s="12"/>
      <c r="Q252" s="7"/>
      <c r="R252" s="7"/>
      <c r="S252" s="7"/>
      <c r="T252" s="12"/>
    </row>
    <row r="253" ht="15.75" customHeight="1">
      <c r="O253" s="12"/>
      <c r="P253" s="12"/>
      <c r="Q253" s="7"/>
      <c r="R253" s="7"/>
      <c r="S253" s="7"/>
      <c r="T253" s="12"/>
    </row>
    <row r="254" ht="15.75" customHeight="1">
      <c r="O254" s="12"/>
      <c r="P254" s="12"/>
      <c r="Q254" s="7"/>
      <c r="R254" s="7"/>
      <c r="S254" s="7"/>
      <c r="T254" s="12"/>
    </row>
    <row r="255" ht="15.75" customHeight="1">
      <c r="O255" s="12"/>
      <c r="P255" s="12"/>
      <c r="Q255" s="7"/>
      <c r="R255" s="7"/>
      <c r="S255" s="7"/>
      <c r="T255" s="12"/>
    </row>
    <row r="256" ht="15.75" customHeight="1">
      <c r="O256" s="12"/>
      <c r="P256" s="12"/>
      <c r="Q256" s="7"/>
      <c r="R256" s="7"/>
      <c r="S256" s="7"/>
      <c r="T256" s="12"/>
    </row>
    <row r="257" ht="15.75" customHeight="1">
      <c r="O257" s="12"/>
      <c r="P257" s="12"/>
      <c r="Q257" s="7"/>
      <c r="R257" s="7"/>
      <c r="S257" s="7"/>
      <c r="T257" s="12"/>
    </row>
    <row r="258" ht="15.75" customHeight="1">
      <c r="O258" s="12"/>
      <c r="P258" s="12"/>
      <c r="Q258" s="7"/>
      <c r="R258" s="7"/>
      <c r="S258" s="7"/>
      <c r="T258" s="12"/>
    </row>
    <row r="259" ht="15.75" customHeight="1">
      <c r="O259" s="12"/>
      <c r="P259" s="12"/>
      <c r="Q259" s="7"/>
      <c r="R259" s="7"/>
      <c r="S259" s="7"/>
      <c r="T259" s="12"/>
    </row>
    <row r="260" ht="15.75" customHeight="1">
      <c r="O260" s="12"/>
      <c r="P260" s="12"/>
      <c r="Q260" s="7"/>
      <c r="R260" s="7"/>
      <c r="S260" s="7"/>
      <c r="T260" s="12"/>
    </row>
    <row r="261" ht="15.75" customHeight="1">
      <c r="O261" s="12"/>
      <c r="P261" s="12"/>
      <c r="Q261" s="7"/>
      <c r="R261" s="7"/>
      <c r="S261" s="7"/>
      <c r="T261" s="12"/>
    </row>
    <row r="262" ht="15.75" customHeight="1">
      <c r="O262" s="12"/>
      <c r="P262" s="12"/>
      <c r="Q262" s="7"/>
      <c r="R262" s="7"/>
      <c r="S262" s="7"/>
      <c r="T262" s="12"/>
    </row>
    <row r="263" ht="15.75" customHeight="1">
      <c r="O263" s="12"/>
      <c r="P263" s="12"/>
      <c r="Q263" s="7"/>
      <c r="R263" s="7"/>
      <c r="S263" s="7"/>
      <c r="T263" s="12"/>
    </row>
    <row r="264" ht="15.75" customHeight="1">
      <c r="O264" s="12"/>
      <c r="P264" s="12"/>
      <c r="Q264" s="7"/>
      <c r="R264" s="7"/>
      <c r="S264" s="7"/>
      <c r="T264" s="12"/>
    </row>
    <row r="265" ht="15.75" customHeight="1">
      <c r="O265" s="12"/>
      <c r="P265" s="12"/>
      <c r="Q265" s="7"/>
      <c r="R265" s="7"/>
      <c r="S265" s="7"/>
      <c r="T265" s="12"/>
    </row>
    <row r="266" ht="15.75" customHeight="1">
      <c r="O266" s="12"/>
      <c r="P266" s="12"/>
      <c r="Q266" s="7"/>
      <c r="R266" s="7"/>
      <c r="S266" s="7"/>
      <c r="T266" s="12"/>
    </row>
    <row r="267" ht="15.75" customHeight="1">
      <c r="O267" s="12"/>
      <c r="P267" s="12"/>
      <c r="Q267" s="7"/>
      <c r="R267" s="7"/>
      <c r="S267" s="7"/>
      <c r="T267" s="12"/>
    </row>
    <row r="268" ht="15.75" customHeight="1">
      <c r="O268" s="12"/>
      <c r="P268" s="12"/>
      <c r="Q268" s="7"/>
      <c r="R268" s="7"/>
      <c r="S268" s="7"/>
      <c r="T268" s="12"/>
    </row>
    <row r="269" ht="15.75" customHeight="1">
      <c r="O269" s="12"/>
      <c r="P269" s="12"/>
      <c r="Q269" s="7"/>
      <c r="R269" s="7"/>
      <c r="S269" s="7"/>
      <c r="T269" s="12"/>
    </row>
    <row r="270" ht="15.75" customHeight="1">
      <c r="O270" s="12"/>
      <c r="P270" s="12"/>
      <c r="Q270" s="7"/>
      <c r="R270" s="7"/>
      <c r="S270" s="7"/>
      <c r="T270" s="12"/>
    </row>
    <row r="271" ht="15.75" customHeight="1">
      <c r="O271" s="12"/>
      <c r="P271" s="12"/>
      <c r="Q271" s="7"/>
      <c r="R271" s="7"/>
      <c r="S271" s="7"/>
      <c r="T271" s="12"/>
    </row>
    <row r="272" ht="15.75" customHeight="1">
      <c r="O272" s="12"/>
      <c r="P272" s="12"/>
      <c r="Q272" s="7"/>
      <c r="R272" s="7"/>
      <c r="S272" s="7"/>
      <c r="T272" s="12"/>
    </row>
    <row r="273" ht="15.75" customHeight="1">
      <c r="O273" s="12"/>
      <c r="P273" s="12"/>
      <c r="Q273" s="7"/>
      <c r="R273" s="7"/>
      <c r="S273" s="7"/>
      <c r="T273" s="12"/>
    </row>
    <row r="274" ht="15.75" customHeight="1">
      <c r="O274" s="12"/>
      <c r="P274" s="12"/>
      <c r="Q274" s="7"/>
      <c r="R274" s="7"/>
      <c r="S274" s="7"/>
      <c r="T274" s="12"/>
    </row>
    <row r="275" ht="15.75" customHeight="1">
      <c r="O275" s="12"/>
      <c r="P275" s="12"/>
      <c r="Q275" s="7"/>
      <c r="R275" s="7"/>
      <c r="S275" s="7"/>
      <c r="T275" s="12"/>
    </row>
    <row r="276" ht="15.75" customHeight="1">
      <c r="O276" s="12"/>
      <c r="P276" s="12"/>
      <c r="Q276" s="7"/>
      <c r="R276" s="7"/>
      <c r="S276" s="7"/>
      <c r="T276" s="12"/>
    </row>
    <row r="277" ht="15.75" customHeight="1">
      <c r="O277" s="12"/>
      <c r="P277" s="12"/>
      <c r="Q277" s="7"/>
      <c r="R277" s="7"/>
      <c r="S277" s="7"/>
      <c r="T277" s="12"/>
    </row>
    <row r="278" ht="15.75" customHeight="1">
      <c r="O278" s="12"/>
      <c r="P278" s="12"/>
      <c r="Q278" s="7"/>
      <c r="R278" s="7"/>
      <c r="S278" s="7"/>
      <c r="T278" s="12"/>
    </row>
    <row r="279" ht="15.75" customHeight="1">
      <c r="O279" s="12"/>
      <c r="P279" s="12"/>
      <c r="Q279" s="7"/>
      <c r="R279" s="7"/>
      <c r="S279" s="7"/>
      <c r="T279" s="12"/>
    </row>
    <row r="280" ht="15.75" customHeight="1">
      <c r="O280" s="12"/>
      <c r="P280" s="12"/>
      <c r="Q280" s="7"/>
      <c r="R280" s="7"/>
      <c r="S280" s="7"/>
      <c r="T280" s="12"/>
    </row>
    <row r="281" ht="15.75" customHeight="1">
      <c r="O281" s="12"/>
      <c r="P281" s="12"/>
      <c r="Q281" s="7"/>
      <c r="R281" s="7"/>
      <c r="S281" s="7"/>
      <c r="T281" s="12"/>
    </row>
    <row r="282" ht="15.75" customHeight="1">
      <c r="O282" s="12"/>
      <c r="P282" s="12"/>
      <c r="Q282" s="7"/>
      <c r="R282" s="7"/>
      <c r="S282" s="7"/>
      <c r="T282" s="12"/>
    </row>
    <row r="283" ht="15.75" customHeight="1">
      <c r="O283" s="12"/>
      <c r="P283" s="12"/>
      <c r="Q283" s="7"/>
      <c r="R283" s="7"/>
      <c r="S283" s="7"/>
      <c r="T283" s="12"/>
    </row>
    <row r="284" ht="15.75" customHeight="1">
      <c r="O284" s="12"/>
      <c r="P284" s="12"/>
      <c r="Q284" s="7"/>
      <c r="R284" s="7"/>
      <c r="S284" s="7"/>
      <c r="T284" s="12"/>
    </row>
    <row r="285" ht="15.75" customHeight="1">
      <c r="O285" s="12"/>
      <c r="P285" s="12"/>
      <c r="Q285" s="7"/>
      <c r="R285" s="7"/>
      <c r="S285" s="7"/>
      <c r="T285" s="12"/>
    </row>
    <row r="286" ht="15.75" customHeight="1">
      <c r="O286" s="12"/>
      <c r="P286" s="12"/>
      <c r="Q286" s="7"/>
      <c r="R286" s="7"/>
      <c r="S286" s="7"/>
      <c r="T286" s="12"/>
    </row>
    <row r="287" ht="15.75" customHeight="1">
      <c r="O287" s="12"/>
      <c r="P287" s="12"/>
      <c r="Q287" s="7"/>
      <c r="R287" s="7"/>
      <c r="S287" s="7"/>
      <c r="T287" s="12"/>
    </row>
    <row r="288" ht="15.75" customHeight="1">
      <c r="O288" s="12"/>
      <c r="P288" s="12"/>
      <c r="Q288" s="7"/>
      <c r="R288" s="7"/>
      <c r="S288" s="7"/>
      <c r="T288" s="12"/>
    </row>
    <row r="289" ht="15.75" customHeight="1">
      <c r="O289" s="12"/>
      <c r="P289" s="12"/>
      <c r="Q289" s="7"/>
      <c r="R289" s="7"/>
      <c r="S289" s="7"/>
      <c r="T289" s="12"/>
    </row>
    <row r="290" ht="15.75" customHeight="1">
      <c r="O290" s="12"/>
      <c r="P290" s="12"/>
      <c r="Q290" s="7"/>
      <c r="R290" s="7"/>
      <c r="S290" s="7"/>
      <c r="T290" s="12"/>
    </row>
    <row r="291" ht="15.75" customHeight="1">
      <c r="O291" s="12"/>
      <c r="P291" s="12"/>
      <c r="Q291" s="7"/>
      <c r="R291" s="7"/>
      <c r="S291" s="7"/>
      <c r="T291" s="12"/>
    </row>
    <row r="292" ht="15.75" customHeight="1">
      <c r="O292" s="12"/>
      <c r="P292" s="12"/>
      <c r="Q292" s="7"/>
      <c r="R292" s="7"/>
      <c r="S292" s="7"/>
      <c r="T292" s="12"/>
    </row>
    <row r="293" ht="15.75" customHeight="1">
      <c r="O293" s="12"/>
      <c r="P293" s="12"/>
      <c r="Q293" s="7"/>
      <c r="R293" s="7"/>
      <c r="S293" s="7"/>
      <c r="T293" s="12"/>
    </row>
    <row r="294" ht="15.75" customHeight="1">
      <c r="O294" s="12"/>
      <c r="P294" s="12"/>
      <c r="Q294" s="7"/>
      <c r="R294" s="7"/>
      <c r="S294" s="7"/>
      <c r="T294" s="12"/>
    </row>
    <row r="295" ht="15.75" customHeight="1">
      <c r="O295" s="12"/>
      <c r="P295" s="12"/>
      <c r="Q295" s="7"/>
      <c r="R295" s="7"/>
      <c r="S295" s="7"/>
      <c r="T295" s="12"/>
    </row>
    <row r="296" ht="15.75" customHeight="1">
      <c r="O296" s="12"/>
      <c r="P296" s="12"/>
      <c r="Q296" s="7"/>
      <c r="R296" s="7"/>
      <c r="S296" s="7"/>
      <c r="T296" s="12"/>
    </row>
    <row r="297" ht="15.75" customHeight="1">
      <c r="O297" s="12"/>
      <c r="P297" s="12"/>
      <c r="Q297" s="7"/>
      <c r="R297" s="7"/>
      <c r="S297" s="7"/>
      <c r="T297" s="12"/>
    </row>
    <row r="298" ht="15.75" customHeight="1">
      <c r="O298" s="12"/>
      <c r="P298" s="12"/>
      <c r="Q298" s="7"/>
      <c r="R298" s="7"/>
      <c r="S298" s="7"/>
      <c r="T298" s="12"/>
    </row>
    <row r="299" ht="15.75" customHeight="1">
      <c r="O299" s="12"/>
      <c r="P299" s="12"/>
      <c r="Q299" s="7"/>
      <c r="R299" s="7"/>
      <c r="S299" s="7"/>
      <c r="T299" s="12"/>
    </row>
    <row r="300" ht="15.75" customHeight="1">
      <c r="O300" s="12"/>
      <c r="P300" s="12"/>
      <c r="Q300" s="7"/>
      <c r="R300" s="7"/>
      <c r="S300" s="7"/>
      <c r="T300" s="12"/>
    </row>
    <row r="301" ht="15.75" customHeight="1">
      <c r="O301" s="12"/>
      <c r="P301" s="12"/>
      <c r="Q301" s="7"/>
      <c r="R301" s="7"/>
      <c r="S301" s="7"/>
      <c r="T301" s="12"/>
    </row>
    <row r="302" ht="15.75" customHeight="1">
      <c r="O302" s="12"/>
      <c r="P302" s="12"/>
      <c r="Q302" s="7"/>
      <c r="R302" s="7"/>
      <c r="S302" s="7"/>
      <c r="T302" s="12"/>
    </row>
    <row r="303" ht="15.75" customHeight="1">
      <c r="O303" s="12"/>
      <c r="P303" s="12"/>
      <c r="Q303" s="7"/>
      <c r="R303" s="7"/>
      <c r="S303" s="7"/>
      <c r="T303" s="12"/>
    </row>
    <row r="304" ht="15.75" customHeight="1">
      <c r="O304" s="12"/>
      <c r="P304" s="12"/>
      <c r="Q304" s="7"/>
      <c r="R304" s="7"/>
      <c r="S304" s="7"/>
      <c r="T304" s="12"/>
    </row>
    <row r="305" ht="15.75" customHeight="1">
      <c r="O305" s="12"/>
      <c r="P305" s="12"/>
      <c r="Q305" s="7"/>
      <c r="R305" s="7"/>
      <c r="S305" s="7"/>
      <c r="T305" s="12"/>
    </row>
    <row r="306" ht="15.75" customHeight="1">
      <c r="O306" s="12"/>
      <c r="P306" s="12"/>
      <c r="Q306" s="7"/>
      <c r="R306" s="7"/>
      <c r="S306" s="7"/>
      <c r="T306" s="12"/>
    </row>
    <row r="307" ht="15.75" customHeight="1">
      <c r="O307" s="12"/>
      <c r="P307" s="12"/>
      <c r="Q307" s="7"/>
      <c r="R307" s="7"/>
      <c r="S307" s="7"/>
      <c r="T307" s="12"/>
    </row>
    <row r="308" ht="15.75" customHeight="1">
      <c r="O308" s="12"/>
      <c r="P308" s="12"/>
      <c r="Q308" s="7"/>
      <c r="R308" s="7"/>
      <c r="S308" s="7"/>
      <c r="T308" s="12"/>
    </row>
    <row r="309" ht="15.75" customHeight="1">
      <c r="O309" s="12"/>
      <c r="P309" s="12"/>
      <c r="Q309" s="7"/>
      <c r="R309" s="7"/>
      <c r="S309" s="7"/>
      <c r="T309" s="12"/>
    </row>
    <row r="310" ht="15.75" customHeight="1">
      <c r="O310" s="12"/>
      <c r="P310" s="12"/>
      <c r="Q310" s="7"/>
      <c r="R310" s="7"/>
      <c r="S310" s="7"/>
      <c r="T310" s="12"/>
    </row>
    <row r="311" ht="15.75" customHeight="1">
      <c r="O311" s="12"/>
      <c r="P311" s="12"/>
      <c r="Q311" s="7"/>
      <c r="R311" s="7"/>
      <c r="S311" s="7"/>
      <c r="T311" s="12"/>
    </row>
    <row r="312" ht="15.75" customHeight="1">
      <c r="O312" s="12"/>
      <c r="P312" s="12"/>
      <c r="Q312" s="7"/>
      <c r="R312" s="7"/>
      <c r="S312" s="7"/>
      <c r="T312" s="12"/>
    </row>
    <row r="313" ht="15.75" customHeight="1">
      <c r="O313" s="12"/>
      <c r="P313" s="12"/>
      <c r="Q313" s="7"/>
      <c r="R313" s="7"/>
      <c r="S313" s="7"/>
      <c r="T313" s="12"/>
    </row>
    <row r="314" ht="15.75" customHeight="1">
      <c r="O314" s="12"/>
      <c r="P314" s="12"/>
      <c r="Q314" s="7"/>
      <c r="R314" s="7"/>
      <c r="S314" s="7"/>
      <c r="T314" s="12"/>
    </row>
    <row r="315" ht="15.75" customHeight="1">
      <c r="O315" s="12"/>
      <c r="P315" s="12"/>
      <c r="Q315" s="7"/>
      <c r="R315" s="7"/>
      <c r="S315" s="7"/>
      <c r="T315" s="12"/>
    </row>
    <row r="316" ht="15.75" customHeight="1">
      <c r="O316" s="12"/>
      <c r="P316" s="12"/>
      <c r="Q316" s="7"/>
      <c r="R316" s="7"/>
      <c r="S316" s="7"/>
      <c r="T316" s="12"/>
    </row>
    <row r="317" ht="15.75" customHeight="1">
      <c r="O317" s="12"/>
      <c r="P317" s="12"/>
      <c r="Q317" s="7"/>
      <c r="R317" s="7"/>
      <c r="S317" s="7"/>
      <c r="T317" s="12"/>
    </row>
    <row r="318" ht="15.75" customHeight="1">
      <c r="O318" s="12"/>
      <c r="P318" s="12"/>
      <c r="Q318" s="7"/>
      <c r="R318" s="7"/>
      <c r="S318" s="7"/>
      <c r="T318" s="12"/>
    </row>
    <row r="319" ht="15.75" customHeight="1">
      <c r="O319" s="12"/>
      <c r="P319" s="12"/>
      <c r="Q319" s="7"/>
      <c r="R319" s="7"/>
      <c r="S319" s="7"/>
      <c r="T319" s="12"/>
    </row>
    <row r="320" ht="15.75" customHeight="1">
      <c r="O320" s="12"/>
      <c r="P320" s="12"/>
      <c r="Q320" s="7"/>
      <c r="R320" s="7"/>
      <c r="S320" s="7"/>
      <c r="T320" s="12"/>
    </row>
    <row r="321" ht="15.75" customHeight="1">
      <c r="O321" s="12"/>
      <c r="P321" s="12"/>
      <c r="Q321" s="7"/>
      <c r="R321" s="7"/>
      <c r="S321" s="7"/>
      <c r="T321" s="12"/>
    </row>
    <row r="322" ht="15.75" customHeight="1">
      <c r="O322" s="12"/>
      <c r="P322" s="12"/>
      <c r="Q322" s="7"/>
      <c r="R322" s="7"/>
      <c r="S322" s="7"/>
      <c r="T322" s="12"/>
    </row>
    <row r="323" ht="15.75" customHeight="1">
      <c r="O323" s="12"/>
      <c r="P323" s="12"/>
      <c r="Q323" s="7"/>
      <c r="R323" s="7"/>
      <c r="S323" s="7"/>
      <c r="T323" s="12"/>
    </row>
    <row r="324" ht="15.75" customHeight="1">
      <c r="O324" s="12"/>
      <c r="P324" s="12"/>
      <c r="Q324" s="7"/>
      <c r="R324" s="7"/>
      <c r="S324" s="7"/>
      <c r="T324" s="12"/>
    </row>
    <row r="325" ht="15.75" customHeight="1">
      <c r="O325" s="12"/>
      <c r="P325" s="12"/>
      <c r="Q325" s="7"/>
      <c r="R325" s="7"/>
      <c r="S325" s="7"/>
      <c r="T325" s="12"/>
    </row>
    <row r="326" ht="15.75" customHeight="1">
      <c r="O326" s="12"/>
      <c r="P326" s="12"/>
      <c r="Q326" s="7"/>
      <c r="R326" s="7"/>
      <c r="S326" s="7"/>
      <c r="T326" s="12"/>
    </row>
    <row r="327" ht="15.75" customHeight="1">
      <c r="O327" s="12"/>
      <c r="P327" s="12"/>
      <c r="Q327" s="7"/>
      <c r="R327" s="7"/>
      <c r="S327" s="7"/>
      <c r="T327" s="12"/>
    </row>
    <row r="328" ht="15.75" customHeight="1">
      <c r="O328" s="12"/>
      <c r="P328" s="12"/>
      <c r="Q328" s="7"/>
      <c r="R328" s="7"/>
      <c r="S328" s="7"/>
      <c r="T328" s="12"/>
    </row>
    <row r="329" ht="15.75" customHeight="1">
      <c r="O329" s="12"/>
      <c r="P329" s="12"/>
      <c r="Q329" s="7"/>
      <c r="R329" s="7"/>
      <c r="S329" s="7"/>
      <c r="T329" s="12"/>
    </row>
    <row r="330" ht="15.75" customHeight="1">
      <c r="O330" s="12"/>
      <c r="P330" s="12"/>
      <c r="Q330" s="7"/>
      <c r="R330" s="7"/>
      <c r="S330" s="7"/>
      <c r="T330" s="12"/>
    </row>
    <row r="331" ht="15.75" customHeight="1">
      <c r="O331" s="12"/>
      <c r="P331" s="12"/>
      <c r="Q331" s="7"/>
      <c r="R331" s="7"/>
      <c r="S331" s="7"/>
      <c r="T331" s="12"/>
    </row>
    <row r="332" ht="15.75" customHeight="1">
      <c r="O332" s="12"/>
      <c r="P332" s="12"/>
      <c r="Q332" s="7"/>
      <c r="R332" s="7"/>
      <c r="S332" s="7"/>
      <c r="T332" s="12"/>
    </row>
    <row r="333" ht="15.75" customHeight="1">
      <c r="O333" s="12"/>
      <c r="P333" s="12"/>
      <c r="Q333" s="7"/>
      <c r="R333" s="7"/>
      <c r="S333" s="7"/>
      <c r="T333" s="12"/>
    </row>
    <row r="334" ht="15.75" customHeight="1">
      <c r="O334" s="12"/>
      <c r="P334" s="12"/>
      <c r="Q334" s="7"/>
      <c r="R334" s="7"/>
      <c r="S334" s="7"/>
      <c r="T334" s="12"/>
    </row>
    <row r="335" ht="15.75" customHeight="1">
      <c r="O335" s="12"/>
      <c r="P335" s="12"/>
      <c r="Q335" s="7"/>
      <c r="R335" s="7"/>
      <c r="S335" s="7"/>
      <c r="T335" s="12"/>
    </row>
    <row r="336" ht="15.75" customHeight="1">
      <c r="O336" s="12"/>
      <c r="P336" s="12"/>
      <c r="Q336" s="7"/>
      <c r="R336" s="7"/>
      <c r="S336" s="7"/>
      <c r="T336" s="12"/>
    </row>
    <row r="337" ht="15.75" customHeight="1">
      <c r="O337" s="12"/>
      <c r="P337" s="12"/>
      <c r="Q337" s="7"/>
      <c r="R337" s="7"/>
      <c r="S337" s="7"/>
      <c r="T337" s="12"/>
    </row>
    <row r="338" ht="15.75" customHeight="1">
      <c r="O338" s="12"/>
      <c r="P338" s="12"/>
      <c r="Q338" s="7"/>
      <c r="R338" s="7"/>
      <c r="S338" s="7"/>
      <c r="T338" s="12"/>
    </row>
    <row r="339" ht="15.75" customHeight="1">
      <c r="O339" s="12"/>
      <c r="P339" s="12"/>
      <c r="Q339" s="7"/>
      <c r="R339" s="7"/>
      <c r="S339" s="7"/>
      <c r="T339" s="12"/>
    </row>
    <row r="340" ht="15.75" customHeight="1">
      <c r="O340" s="12"/>
      <c r="P340" s="12"/>
      <c r="Q340" s="7"/>
      <c r="R340" s="7"/>
      <c r="S340" s="7"/>
      <c r="T340" s="12"/>
    </row>
    <row r="341" ht="15.75" customHeight="1">
      <c r="O341" s="12"/>
      <c r="P341" s="12"/>
      <c r="Q341" s="7"/>
      <c r="R341" s="7"/>
      <c r="S341" s="7"/>
      <c r="T341" s="12"/>
    </row>
    <row r="342" ht="15.75" customHeight="1">
      <c r="O342" s="12"/>
      <c r="P342" s="12"/>
      <c r="Q342" s="7"/>
      <c r="R342" s="7"/>
      <c r="S342" s="7"/>
      <c r="T342" s="12"/>
    </row>
    <row r="343" ht="15.75" customHeight="1">
      <c r="O343" s="12"/>
      <c r="P343" s="12"/>
      <c r="Q343" s="7"/>
      <c r="R343" s="7"/>
      <c r="S343" s="7"/>
      <c r="T343" s="12"/>
    </row>
    <row r="344" ht="15.75" customHeight="1">
      <c r="O344" s="12"/>
      <c r="P344" s="12"/>
      <c r="Q344" s="7"/>
      <c r="R344" s="7"/>
      <c r="S344" s="7"/>
      <c r="T344" s="12"/>
    </row>
    <row r="345" ht="15.75" customHeight="1">
      <c r="O345" s="12"/>
      <c r="P345" s="12"/>
      <c r="Q345" s="7"/>
      <c r="R345" s="7"/>
      <c r="S345" s="7"/>
      <c r="T345" s="12"/>
    </row>
    <row r="346" ht="15.75" customHeight="1">
      <c r="O346" s="12"/>
      <c r="P346" s="12"/>
      <c r="Q346" s="7"/>
      <c r="R346" s="7"/>
      <c r="S346" s="7"/>
      <c r="T346" s="12"/>
    </row>
    <row r="347" ht="15.75" customHeight="1">
      <c r="O347" s="12"/>
      <c r="P347" s="12"/>
      <c r="Q347" s="7"/>
      <c r="R347" s="7"/>
      <c r="S347" s="7"/>
      <c r="T347" s="12"/>
    </row>
    <row r="348" ht="15.75" customHeight="1">
      <c r="O348" s="12"/>
      <c r="P348" s="12"/>
      <c r="Q348" s="7"/>
      <c r="R348" s="7"/>
      <c r="S348" s="7"/>
      <c r="T348" s="12"/>
    </row>
    <row r="349" ht="15.75" customHeight="1">
      <c r="O349" s="12"/>
      <c r="P349" s="12"/>
      <c r="Q349" s="7"/>
      <c r="R349" s="7"/>
      <c r="S349" s="7"/>
      <c r="T349" s="12"/>
    </row>
    <row r="350" ht="15.75" customHeight="1">
      <c r="O350" s="12"/>
      <c r="P350" s="12"/>
      <c r="Q350" s="7"/>
      <c r="R350" s="7"/>
      <c r="S350" s="7"/>
      <c r="T350" s="12"/>
    </row>
    <row r="351" ht="15.75" customHeight="1">
      <c r="O351" s="12"/>
      <c r="P351" s="12"/>
      <c r="Q351" s="7"/>
      <c r="R351" s="7"/>
      <c r="S351" s="7"/>
      <c r="T351" s="12"/>
    </row>
    <row r="352" ht="15.75" customHeight="1">
      <c r="O352" s="12"/>
      <c r="P352" s="12"/>
      <c r="Q352" s="7"/>
      <c r="R352" s="7"/>
      <c r="S352" s="7"/>
      <c r="T352" s="12"/>
    </row>
    <row r="353" ht="15.75" customHeight="1">
      <c r="O353" s="12"/>
      <c r="P353" s="12"/>
      <c r="Q353" s="7"/>
      <c r="R353" s="7"/>
      <c r="S353" s="7"/>
      <c r="T353" s="12"/>
    </row>
    <row r="354" ht="15.75" customHeight="1">
      <c r="O354" s="12"/>
      <c r="P354" s="12"/>
      <c r="Q354" s="7"/>
      <c r="R354" s="7"/>
      <c r="S354" s="7"/>
      <c r="T354" s="12"/>
    </row>
    <row r="355" ht="15.75" customHeight="1">
      <c r="O355" s="12"/>
      <c r="P355" s="12"/>
      <c r="Q355" s="7"/>
      <c r="R355" s="7"/>
      <c r="S355" s="7"/>
      <c r="T355" s="12"/>
    </row>
    <row r="356" ht="15.75" customHeight="1">
      <c r="O356" s="12"/>
      <c r="P356" s="12"/>
      <c r="Q356" s="7"/>
      <c r="R356" s="7"/>
      <c r="S356" s="7"/>
      <c r="T356" s="12"/>
    </row>
    <row r="357" ht="15.75" customHeight="1">
      <c r="O357" s="12"/>
      <c r="P357" s="12"/>
      <c r="Q357" s="7"/>
      <c r="R357" s="7"/>
      <c r="S357" s="7"/>
      <c r="T357" s="12"/>
    </row>
    <row r="358" ht="15.75" customHeight="1">
      <c r="O358" s="12"/>
      <c r="P358" s="12"/>
      <c r="Q358" s="7"/>
      <c r="R358" s="7"/>
      <c r="S358" s="7"/>
      <c r="T358" s="12"/>
    </row>
    <row r="359" ht="15.75" customHeight="1">
      <c r="O359" s="12"/>
      <c r="P359" s="12"/>
      <c r="Q359" s="7"/>
      <c r="R359" s="7"/>
      <c r="S359" s="7"/>
      <c r="T359" s="12"/>
    </row>
    <row r="360" ht="15.75" customHeight="1">
      <c r="O360" s="12"/>
      <c r="P360" s="12"/>
      <c r="Q360" s="7"/>
      <c r="R360" s="7"/>
      <c r="S360" s="7"/>
      <c r="T360" s="12"/>
    </row>
    <row r="361" ht="15.75" customHeight="1">
      <c r="O361" s="12"/>
      <c r="P361" s="12"/>
      <c r="Q361" s="7"/>
      <c r="R361" s="7"/>
      <c r="S361" s="7"/>
      <c r="T361" s="12"/>
    </row>
    <row r="362" ht="15.75" customHeight="1">
      <c r="O362" s="12"/>
      <c r="P362" s="12"/>
      <c r="Q362" s="7"/>
      <c r="R362" s="7"/>
      <c r="S362" s="7"/>
      <c r="T362" s="12"/>
    </row>
    <row r="363" ht="15.75" customHeight="1">
      <c r="O363" s="12"/>
      <c r="P363" s="12"/>
      <c r="Q363" s="7"/>
      <c r="R363" s="7"/>
      <c r="S363" s="7"/>
      <c r="T363" s="12"/>
    </row>
    <row r="364" ht="15.75" customHeight="1">
      <c r="O364" s="12"/>
      <c r="P364" s="12"/>
      <c r="Q364" s="7"/>
      <c r="R364" s="7"/>
      <c r="S364" s="7"/>
      <c r="T364" s="12"/>
    </row>
    <row r="365" ht="15.75" customHeight="1">
      <c r="O365" s="12"/>
      <c r="P365" s="12"/>
      <c r="Q365" s="7"/>
      <c r="R365" s="7"/>
      <c r="S365" s="7"/>
      <c r="T365" s="12"/>
    </row>
    <row r="366" ht="15.75" customHeight="1">
      <c r="O366" s="12"/>
      <c r="P366" s="12"/>
      <c r="Q366" s="7"/>
      <c r="R366" s="7"/>
      <c r="S366" s="7"/>
      <c r="T366" s="12"/>
    </row>
    <row r="367" ht="15.75" customHeight="1">
      <c r="O367" s="12"/>
      <c r="P367" s="12"/>
      <c r="Q367" s="7"/>
      <c r="R367" s="7"/>
      <c r="S367" s="7"/>
      <c r="T367" s="12"/>
    </row>
    <row r="368" ht="15.75" customHeight="1">
      <c r="O368" s="12"/>
      <c r="P368" s="12"/>
      <c r="Q368" s="7"/>
      <c r="R368" s="7"/>
      <c r="S368" s="7"/>
      <c r="T368" s="12"/>
    </row>
    <row r="369" ht="15.75" customHeight="1">
      <c r="O369" s="12"/>
      <c r="P369" s="12"/>
      <c r="Q369" s="7"/>
      <c r="R369" s="7"/>
      <c r="S369" s="7"/>
      <c r="T369" s="12"/>
    </row>
    <row r="370" ht="15.75" customHeight="1">
      <c r="O370" s="12"/>
      <c r="P370" s="12"/>
      <c r="Q370" s="7"/>
      <c r="R370" s="7"/>
      <c r="S370" s="7"/>
      <c r="T370" s="12"/>
    </row>
    <row r="371" ht="15.75" customHeight="1">
      <c r="O371" s="12"/>
      <c r="P371" s="12"/>
      <c r="Q371" s="7"/>
      <c r="R371" s="7"/>
      <c r="S371" s="7"/>
      <c r="T371" s="12"/>
    </row>
    <row r="372" ht="15.75" customHeight="1">
      <c r="O372" s="12"/>
      <c r="P372" s="12"/>
      <c r="Q372" s="7"/>
      <c r="R372" s="7"/>
      <c r="S372" s="7"/>
      <c r="T372" s="12"/>
    </row>
    <row r="373" ht="15.75" customHeight="1">
      <c r="O373" s="12"/>
      <c r="P373" s="12"/>
      <c r="Q373" s="7"/>
      <c r="R373" s="7"/>
      <c r="S373" s="7"/>
      <c r="T373" s="12"/>
    </row>
    <row r="374" ht="15.75" customHeight="1">
      <c r="O374" s="12"/>
      <c r="P374" s="12"/>
      <c r="Q374" s="7"/>
      <c r="R374" s="7"/>
      <c r="S374" s="7"/>
      <c r="T374" s="12"/>
    </row>
    <row r="375" ht="15.75" customHeight="1">
      <c r="O375" s="12"/>
      <c r="P375" s="12"/>
      <c r="Q375" s="7"/>
      <c r="R375" s="7"/>
      <c r="S375" s="7"/>
      <c r="T375" s="12"/>
    </row>
    <row r="376" ht="15.75" customHeight="1">
      <c r="O376" s="12"/>
      <c r="P376" s="12"/>
      <c r="Q376" s="7"/>
      <c r="R376" s="7"/>
      <c r="S376" s="7"/>
      <c r="T376" s="12"/>
    </row>
    <row r="377" ht="15.75" customHeight="1">
      <c r="O377" s="12"/>
      <c r="P377" s="12"/>
      <c r="Q377" s="7"/>
      <c r="R377" s="7"/>
      <c r="S377" s="7"/>
      <c r="T377" s="12"/>
    </row>
    <row r="378" ht="15.75" customHeight="1">
      <c r="O378" s="12"/>
      <c r="P378" s="12"/>
      <c r="Q378" s="7"/>
      <c r="R378" s="7"/>
      <c r="S378" s="7"/>
      <c r="T378" s="12"/>
    </row>
    <row r="379" ht="15.75" customHeight="1">
      <c r="O379" s="12"/>
      <c r="P379" s="12"/>
      <c r="Q379" s="7"/>
      <c r="R379" s="7"/>
      <c r="S379" s="7"/>
      <c r="T379" s="12"/>
    </row>
    <row r="380" ht="15.75" customHeight="1">
      <c r="O380" s="12"/>
      <c r="P380" s="12"/>
      <c r="Q380" s="7"/>
      <c r="R380" s="7"/>
      <c r="S380" s="7"/>
      <c r="T380" s="12"/>
    </row>
    <row r="381" ht="15.75" customHeight="1">
      <c r="O381" s="12"/>
      <c r="P381" s="12"/>
      <c r="Q381" s="7"/>
      <c r="R381" s="7"/>
      <c r="S381" s="7"/>
      <c r="T381" s="12"/>
    </row>
    <row r="382" ht="15.75" customHeight="1">
      <c r="O382" s="12"/>
      <c r="P382" s="12"/>
      <c r="Q382" s="7"/>
      <c r="R382" s="7"/>
      <c r="S382" s="7"/>
      <c r="T382" s="12"/>
    </row>
    <row r="383" ht="15.75" customHeight="1">
      <c r="O383" s="12"/>
      <c r="P383" s="12"/>
      <c r="Q383" s="7"/>
      <c r="R383" s="7"/>
      <c r="S383" s="7"/>
      <c r="T383" s="12"/>
    </row>
    <row r="384" ht="15.75" customHeight="1">
      <c r="O384" s="12"/>
      <c r="P384" s="12"/>
      <c r="Q384" s="7"/>
      <c r="R384" s="7"/>
      <c r="S384" s="7"/>
      <c r="T384" s="12"/>
    </row>
    <row r="385" ht="15.75" customHeight="1">
      <c r="O385" s="12"/>
      <c r="P385" s="12"/>
      <c r="Q385" s="7"/>
      <c r="R385" s="7"/>
      <c r="S385" s="7"/>
      <c r="T385" s="12"/>
    </row>
    <row r="386" ht="15.75" customHeight="1">
      <c r="O386" s="12"/>
      <c r="P386" s="12"/>
      <c r="Q386" s="7"/>
      <c r="R386" s="7"/>
      <c r="S386" s="7"/>
      <c r="T386" s="12"/>
    </row>
    <row r="387" ht="15.75" customHeight="1">
      <c r="O387" s="12"/>
      <c r="P387" s="12"/>
      <c r="Q387" s="7"/>
      <c r="R387" s="7"/>
      <c r="S387" s="7"/>
      <c r="T387" s="12"/>
    </row>
    <row r="388" ht="15.75" customHeight="1">
      <c r="O388" s="12"/>
      <c r="P388" s="12"/>
      <c r="Q388" s="7"/>
      <c r="R388" s="7"/>
      <c r="S388" s="7"/>
      <c r="T388" s="12"/>
    </row>
    <row r="389" ht="15.75" customHeight="1">
      <c r="O389" s="12"/>
      <c r="P389" s="12"/>
      <c r="Q389" s="7"/>
      <c r="R389" s="7"/>
      <c r="S389" s="7"/>
      <c r="T389" s="12"/>
    </row>
    <row r="390" ht="15.75" customHeight="1">
      <c r="O390" s="12"/>
      <c r="P390" s="12"/>
      <c r="Q390" s="7"/>
      <c r="R390" s="7"/>
      <c r="S390" s="7"/>
      <c r="T390" s="12"/>
    </row>
    <row r="391" ht="15.75" customHeight="1">
      <c r="O391" s="12"/>
      <c r="P391" s="12"/>
      <c r="Q391" s="7"/>
      <c r="R391" s="7"/>
      <c r="S391" s="7"/>
      <c r="T391" s="12"/>
    </row>
    <row r="392" ht="15.75" customHeight="1">
      <c r="O392" s="12"/>
      <c r="P392" s="12"/>
      <c r="Q392" s="7"/>
      <c r="R392" s="7"/>
      <c r="S392" s="7"/>
      <c r="T392" s="12"/>
    </row>
    <row r="393" ht="15.75" customHeight="1">
      <c r="O393" s="12"/>
      <c r="P393" s="12"/>
      <c r="Q393" s="7"/>
      <c r="R393" s="7"/>
      <c r="S393" s="7"/>
      <c r="T393" s="12"/>
    </row>
    <row r="394" ht="15.75" customHeight="1">
      <c r="O394" s="12"/>
      <c r="P394" s="12"/>
      <c r="Q394" s="7"/>
      <c r="R394" s="7"/>
      <c r="S394" s="7"/>
      <c r="T394" s="12"/>
    </row>
    <row r="395" ht="15.75" customHeight="1">
      <c r="O395" s="12"/>
      <c r="P395" s="12"/>
      <c r="Q395" s="7"/>
      <c r="R395" s="7"/>
      <c r="S395" s="7"/>
      <c r="T395" s="12"/>
    </row>
    <row r="396" ht="15.75" customHeight="1">
      <c r="O396" s="12"/>
      <c r="P396" s="12"/>
      <c r="Q396" s="7"/>
      <c r="R396" s="7"/>
      <c r="S396" s="7"/>
      <c r="T396" s="12"/>
    </row>
    <row r="397" ht="15.75" customHeight="1">
      <c r="O397" s="12"/>
      <c r="P397" s="12"/>
      <c r="Q397" s="7"/>
      <c r="R397" s="7"/>
      <c r="S397" s="7"/>
      <c r="T397" s="12"/>
    </row>
    <row r="398" ht="15.75" customHeight="1">
      <c r="O398" s="12"/>
      <c r="P398" s="12"/>
      <c r="Q398" s="7"/>
      <c r="R398" s="7"/>
      <c r="S398" s="7"/>
      <c r="T398" s="12"/>
    </row>
    <row r="399" ht="15.75" customHeight="1">
      <c r="O399" s="12"/>
      <c r="P399" s="12"/>
      <c r="Q399" s="7"/>
      <c r="R399" s="7"/>
      <c r="S399" s="7"/>
      <c r="T399" s="12"/>
    </row>
    <row r="400" ht="15.75" customHeight="1">
      <c r="O400" s="12"/>
      <c r="P400" s="12"/>
      <c r="Q400" s="7"/>
      <c r="R400" s="7"/>
      <c r="S400" s="7"/>
      <c r="T400" s="12"/>
    </row>
    <row r="401" ht="15.75" customHeight="1">
      <c r="O401" s="12"/>
      <c r="P401" s="12"/>
      <c r="Q401" s="7"/>
      <c r="R401" s="7"/>
      <c r="S401" s="7"/>
      <c r="T401" s="12"/>
    </row>
    <row r="402" ht="15.75" customHeight="1">
      <c r="O402" s="12"/>
      <c r="P402" s="12"/>
      <c r="Q402" s="7"/>
      <c r="R402" s="7"/>
      <c r="S402" s="7"/>
      <c r="T402" s="12"/>
    </row>
    <row r="403" ht="15.75" customHeight="1">
      <c r="O403" s="12"/>
      <c r="P403" s="12"/>
      <c r="Q403" s="7"/>
      <c r="R403" s="7"/>
      <c r="S403" s="7"/>
      <c r="T403" s="12"/>
    </row>
    <row r="404" ht="15.75" customHeight="1">
      <c r="O404" s="12"/>
      <c r="P404" s="12"/>
      <c r="Q404" s="7"/>
      <c r="R404" s="7"/>
      <c r="S404" s="7"/>
      <c r="T404" s="12"/>
    </row>
    <row r="405" ht="15.75" customHeight="1">
      <c r="O405" s="12"/>
      <c r="P405" s="12"/>
      <c r="Q405" s="7"/>
      <c r="R405" s="7"/>
      <c r="S405" s="7"/>
      <c r="T405" s="12"/>
    </row>
    <row r="406" ht="15.75" customHeight="1">
      <c r="O406" s="12"/>
      <c r="P406" s="12"/>
      <c r="Q406" s="7"/>
      <c r="R406" s="7"/>
      <c r="S406" s="7"/>
      <c r="T406" s="12"/>
    </row>
    <row r="407" ht="15.75" customHeight="1">
      <c r="O407" s="12"/>
      <c r="P407" s="12"/>
      <c r="Q407" s="7"/>
      <c r="R407" s="7"/>
      <c r="S407" s="7"/>
      <c r="T407" s="12"/>
    </row>
    <row r="408" ht="15.75" customHeight="1">
      <c r="O408" s="12"/>
      <c r="P408" s="12"/>
      <c r="Q408" s="7"/>
      <c r="R408" s="7"/>
      <c r="S408" s="7"/>
      <c r="T408" s="12"/>
    </row>
    <row r="409" ht="15.75" customHeight="1">
      <c r="O409" s="12"/>
      <c r="P409" s="12"/>
      <c r="Q409" s="7"/>
      <c r="R409" s="7"/>
      <c r="S409" s="7"/>
      <c r="T409" s="12"/>
    </row>
    <row r="410" ht="15.75" customHeight="1">
      <c r="O410" s="12"/>
      <c r="P410" s="12"/>
      <c r="Q410" s="7"/>
      <c r="R410" s="7"/>
      <c r="S410" s="7"/>
      <c r="T410" s="12"/>
    </row>
    <row r="411" ht="15.75" customHeight="1">
      <c r="O411" s="12"/>
      <c r="P411" s="12"/>
      <c r="Q411" s="7"/>
      <c r="R411" s="7"/>
      <c r="S411" s="7"/>
      <c r="T411" s="12"/>
    </row>
    <row r="412" ht="15.75" customHeight="1">
      <c r="O412" s="12"/>
      <c r="P412" s="12"/>
      <c r="Q412" s="7"/>
      <c r="R412" s="7"/>
      <c r="S412" s="7"/>
      <c r="T412" s="12"/>
    </row>
    <row r="413" ht="15.75" customHeight="1">
      <c r="O413" s="12"/>
      <c r="P413" s="12"/>
      <c r="Q413" s="7"/>
      <c r="R413" s="7"/>
      <c r="S413" s="7"/>
      <c r="T413" s="12"/>
    </row>
    <row r="414" ht="15.75" customHeight="1">
      <c r="O414" s="12"/>
      <c r="P414" s="12"/>
      <c r="Q414" s="7"/>
      <c r="R414" s="7"/>
      <c r="S414" s="7"/>
      <c r="T414" s="12"/>
    </row>
    <row r="415" ht="15.75" customHeight="1">
      <c r="O415" s="12"/>
      <c r="P415" s="12"/>
      <c r="Q415" s="7"/>
      <c r="R415" s="7"/>
      <c r="S415" s="7"/>
      <c r="T415" s="12"/>
    </row>
    <row r="416" ht="15.75" customHeight="1">
      <c r="O416" s="12"/>
      <c r="P416" s="12"/>
      <c r="Q416" s="7"/>
      <c r="R416" s="7"/>
      <c r="S416" s="7"/>
      <c r="T416" s="12"/>
    </row>
    <row r="417" ht="15.75" customHeight="1">
      <c r="O417" s="12"/>
      <c r="P417" s="12"/>
      <c r="Q417" s="7"/>
      <c r="R417" s="7"/>
      <c r="S417" s="7"/>
      <c r="T417" s="12"/>
    </row>
    <row r="418" ht="15.75" customHeight="1">
      <c r="O418" s="12"/>
      <c r="P418" s="12"/>
      <c r="Q418" s="7"/>
      <c r="R418" s="7"/>
      <c r="S418" s="7"/>
      <c r="T418" s="12"/>
    </row>
    <row r="419" ht="15.75" customHeight="1">
      <c r="O419" s="12"/>
      <c r="P419" s="12"/>
      <c r="Q419" s="7"/>
      <c r="R419" s="7"/>
      <c r="S419" s="7"/>
      <c r="T419" s="12"/>
    </row>
    <row r="420" ht="15.75" customHeight="1">
      <c r="O420" s="12"/>
      <c r="P420" s="12"/>
      <c r="Q420" s="7"/>
      <c r="R420" s="7"/>
      <c r="S420" s="7"/>
      <c r="T420" s="12"/>
    </row>
    <row r="421" ht="15.75" customHeight="1">
      <c r="O421" s="12"/>
      <c r="P421" s="12"/>
      <c r="Q421" s="7"/>
      <c r="R421" s="7"/>
      <c r="S421" s="7"/>
      <c r="T421" s="12"/>
    </row>
    <row r="422" ht="15.75" customHeight="1">
      <c r="O422" s="12"/>
      <c r="P422" s="12"/>
      <c r="Q422" s="7"/>
      <c r="R422" s="7"/>
      <c r="S422" s="7"/>
      <c r="T422" s="12"/>
    </row>
    <row r="423" ht="15.75" customHeight="1">
      <c r="O423" s="12"/>
      <c r="P423" s="12"/>
      <c r="Q423" s="7"/>
      <c r="R423" s="7"/>
      <c r="S423" s="7"/>
      <c r="T423" s="12"/>
    </row>
    <row r="424" ht="15.75" customHeight="1">
      <c r="O424" s="12"/>
      <c r="P424" s="12"/>
      <c r="Q424" s="7"/>
      <c r="R424" s="7"/>
      <c r="S424" s="7"/>
      <c r="T424" s="12"/>
    </row>
    <row r="425" ht="15.75" customHeight="1">
      <c r="O425" s="12"/>
      <c r="P425" s="12"/>
      <c r="Q425" s="7"/>
      <c r="R425" s="7"/>
      <c r="S425" s="7"/>
      <c r="T425" s="12"/>
    </row>
    <row r="426" ht="15.75" customHeight="1">
      <c r="O426" s="12"/>
      <c r="P426" s="12"/>
      <c r="Q426" s="7"/>
      <c r="R426" s="7"/>
      <c r="S426" s="7"/>
      <c r="T426" s="12"/>
    </row>
    <row r="427" ht="15.75" customHeight="1">
      <c r="O427" s="12"/>
      <c r="P427" s="12"/>
      <c r="Q427" s="7"/>
      <c r="R427" s="7"/>
      <c r="S427" s="7"/>
      <c r="T427" s="12"/>
    </row>
    <row r="428" ht="15.75" customHeight="1">
      <c r="O428" s="12"/>
      <c r="P428" s="12"/>
      <c r="Q428" s="7"/>
      <c r="R428" s="7"/>
      <c r="S428" s="7"/>
      <c r="T428" s="12"/>
    </row>
    <row r="429" ht="15.75" customHeight="1">
      <c r="O429" s="12"/>
      <c r="P429" s="12"/>
      <c r="Q429" s="7"/>
      <c r="R429" s="7"/>
      <c r="S429" s="7"/>
      <c r="T429" s="12"/>
    </row>
    <row r="430" ht="15.75" customHeight="1">
      <c r="O430" s="12"/>
      <c r="P430" s="12"/>
      <c r="Q430" s="7"/>
      <c r="R430" s="7"/>
      <c r="S430" s="7"/>
      <c r="T430" s="12"/>
    </row>
    <row r="431" ht="15.75" customHeight="1">
      <c r="O431" s="12"/>
      <c r="P431" s="12"/>
      <c r="Q431" s="7"/>
      <c r="R431" s="7"/>
      <c r="S431" s="7"/>
      <c r="T431" s="12"/>
    </row>
    <row r="432" ht="15.75" customHeight="1">
      <c r="O432" s="12"/>
      <c r="P432" s="12"/>
      <c r="Q432" s="7"/>
      <c r="R432" s="7"/>
      <c r="S432" s="7"/>
      <c r="T432" s="12"/>
    </row>
    <row r="433" ht="15.75" customHeight="1">
      <c r="O433" s="12"/>
      <c r="P433" s="12"/>
      <c r="Q433" s="7"/>
      <c r="R433" s="7"/>
      <c r="S433" s="7"/>
      <c r="T433" s="12"/>
    </row>
    <row r="434" ht="15.75" customHeight="1">
      <c r="O434" s="12"/>
      <c r="P434" s="12"/>
      <c r="Q434" s="7"/>
      <c r="R434" s="7"/>
      <c r="S434" s="7"/>
      <c r="T434" s="12"/>
    </row>
    <row r="435" ht="15.75" customHeight="1">
      <c r="O435" s="12"/>
      <c r="P435" s="12"/>
      <c r="Q435" s="7"/>
      <c r="R435" s="7"/>
      <c r="S435" s="7"/>
      <c r="T435" s="12"/>
    </row>
    <row r="436" ht="15.75" customHeight="1">
      <c r="O436" s="12"/>
      <c r="P436" s="12"/>
      <c r="Q436" s="7"/>
      <c r="R436" s="7"/>
      <c r="S436" s="7"/>
      <c r="T436" s="12"/>
    </row>
    <row r="437" ht="15.75" customHeight="1">
      <c r="O437" s="12"/>
      <c r="P437" s="12"/>
      <c r="Q437" s="7"/>
      <c r="R437" s="7"/>
      <c r="S437" s="7"/>
      <c r="T437" s="12"/>
    </row>
    <row r="438" ht="15.75" customHeight="1">
      <c r="O438" s="12"/>
      <c r="P438" s="12"/>
      <c r="Q438" s="7"/>
      <c r="R438" s="7"/>
      <c r="S438" s="7"/>
      <c r="T438" s="12"/>
    </row>
    <row r="439" ht="15.75" customHeight="1">
      <c r="O439" s="12"/>
      <c r="P439" s="12"/>
      <c r="Q439" s="7"/>
      <c r="R439" s="7"/>
      <c r="S439" s="7"/>
      <c r="T439" s="12"/>
    </row>
    <row r="440" ht="15.75" customHeight="1">
      <c r="O440" s="12"/>
      <c r="P440" s="12"/>
      <c r="Q440" s="7"/>
      <c r="R440" s="7"/>
      <c r="S440" s="7"/>
      <c r="T440" s="12"/>
    </row>
    <row r="441" ht="15.75" customHeight="1">
      <c r="O441" s="12"/>
      <c r="P441" s="12"/>
      <c r="Q441" s="7"/>
      <c r="R441" s="7"/>
      <c r="S441" s="7"/>
      <c r="T441" s="12"/>
    </row>
    <row r="442" ht="15.75" customHeight="1">
      <c r="O442" s="12"/>
      <c r="P442" s="12"/>
      <c r="Q442" s="7"/>
      <c r="R442" s="7"/>
      <c r="S442" s="7"/>
      <c r="T442" s="12"/>
    </row>
    <row r="443" ht="15.75" customHeight="1">
      <c r="O443" s="12"/>
      <c r="P443" s="12"/>
      <c r="Q443" s="7"/>
      <c r="R443" s="7"/>
      <c r="S443" s="7"/>
      <c r="T443" s="12"/>
    </row>
    <row r="444" ht="15.75" customHeight="1">
      <c r="O444" s="12"/>
      <c r="P444" s="12"/>
      <c r="Q444" s="7"/>
      <c r="R444" s="7"/>
      <c r="S444" s="7"/>
      <c r="T444" s="12"/>
    </row>
    <row r="445" ht="15.75" customHeight="1">
      <c r="O445" s="12"/>
      <c r="P445" s="12"/>
      <c r="Q445" s="7"/>
      <c r="R445" s="7"/>
      <c r="S445" s="7"/>
      <c r="T445" s="12"/>
    </row>
    <row r="446" ht="15.75" customHeight="1">
      <c r="O446" s="12"/>
      <c r="P446" s="12"/>
      <c r="Q446" s="7"/>
      <c r="R446" s="7"/>
      <c r="S446" s="7"/>
      <c r="T446" s="12"/>
    </row>
    <row r="447" ht="15.75" customHeight="1">
      <c r="O447" s="12"/>
      <c r="P447" s="12"/>
      <c r="Q447" s="7"/>
      <c r="R447" s="7"/>
      <c r="S447" s="7"/>
      <c r="T447" s="12"/>
    </row>
    <row r="448" ht="15.75" customHeight="1">
      <c r="O448" s="12"/>
      <c r="P448" s="12"/>
      <c r="Q448" s="7"/>
      <c r="R448" s="7"/>
      <c r="S448" s="7"/>
      <c r="T448" s="12"/>
    </row>
    <row r="449" ht="15.75" customHeight="1">
      <c r="O449" s="12"/>
      <c r="P449" s="12"/>
      <c r="Q449" s="7"/>
      <c r="R449" s="7"/>
      <c r="S449" s="7"/>
      <c r="T449" s="12"/>
    </row>
    <row r="450" ht="15.75" customHeight="1">
      <c r="O450" s="12"/>
      <c r="P450" s="12"/>
      <c r="Q450" s="7"/>
      <c r="R450" s="7"/>
      <c r="S450" s="7"/>
      <c r="T450" s="12"/>
    </row>
    <row r="451" ht="15.75" customHeight="1">
      <c r="O451" s="12"/>
      <c r="P451" s="12"/>
      <c r="Q451" s="7"/>
      <c r="R451" s="7"/>
      <c r="S451" s="7"/>
      <c r="T451" s="12"/>
    </row>
    <row r="452" ht="15.75" customHeight="1">
      <c r="O452" s="12"/>
      <c r="P452" s="12"/>
      <c r="Q452" s="7"/>
      <c r="R452" s="7"/>
      <c r="S452" s="7"/>
      <c r="T452" s="12"/>
    </row>
    <row r="453" ht="15.75" customHeight="1">
      <c r="O453" s="12"/>
      <c r="P453" s="12"/>
      <c r="Q453" s="7"/>
      <c r="R453" s="7"/>
      <c r="S453" s="7"/>
      <c r="T453" s="12"/>
    </row>
    <row r="454" ht="15.75" customHeight="1">
      <c r="O454" s="12"/>
      <c r="P454" s="12"/>
      <c r="Q454" s="7"/>
      <c r="R454" s="7"/>
      <c r="S454" s="7"/>
      <c r="T454" s="12"/>
    </row>
    <row r="455" ht="15.75" customHeight="1">
      <c r="O455" s="12"/>
      <c r="P455" s="12"/>
      <c r="Q455" s="7"/>
      <c r="R455" s="7"/>
      <c r="S455" s="7"/>
      <c r="T455" s="12"/>
    </row>
    <row r="456" ht="15.75" customHeight="1">
      <c r="O456" s="12"/>
      <c r="P456" s="12"/>
      <c r="Q456" s="7"/>
      <c r="R456" s="7"/>
      <c r="S456" s="7"/>
      <c r="T456" s="12"/>
    </row>
    <row r="457" ht="15.75" customHeight="1">
      <c r="O457" s="12"/>
      <c r="P457" s="12"/>
      <c r="Q457" s="7"/>
      <c r="R457" s="7"/>
      <c r="S457" s="7"/>
      <c r="T457" s="12"/>
    </row>
    <row r="458" ht="15.75" customHeight="1">
      <c r="O458" s="12"/>
      <c r="P458" s="12"/>
      <c r="Q458" s="7"/>
      <c r="R458" s="7"/>
      <c r="S458" s="7"/>
      <c r="T458" s="12"/>
    </row>
    <row r="459" ht="15.75" customHeight="1">
      <c r="O459" s="12"/>
      <c r="P459" s="12"/>
      <c r="Q459" s="7"/>
      <c r="R459" s="7"/>
      <c r="S459" s="7"/>
      <c r="T459" s="12"/>
    </row>
    <row r="460" ht="15.75" customHeight="1">
      <c r="O460" s="12"/>
      <c r="P460" s="12"/>
      <c r="Q460" s="7"/>
      <c r="R460" s="7"/>
      <c r="S460" s="7"/>
      <c r="T460" s="12"/>
    </row>
    <row r="461" ht="15.75" customHeight="1">
      <c r="O461" s="12"/>
      <c r="P461" s="12"/>
      <c r="Q461" s="7"/>
      <c r="R461" s="7"/>
      <c r="S461" s="7"/>
      <c r="T461" s="12"/>
    </row>
    <row r="462" ht="15.75" customHeight="1">
      <c r="O462" s="12"/>
      <c r="P462" s="12"/>
      <c r="Q462" s="7"/>
      <c r="R462" s="7"/>
      <c r="S462" s="7"/>
      <c r="T462" s="12"/>
    </row>
    <row r="463" ht="15.75" customHeight="1">
      <c r="O463" s="12"/>
      <c r="P463" s="12"/>
      <c r="Q463" s="7"/>
      <c r="R463" s="7"/>
      <c r="S463" s="7"/>
      <c r="T463" s="12"/>
    </row>
    <row r="464" ht="15.75" customHeight="1">
      <c r="O464" s="12"/>
      <c r="P464" s="12"/>
      <c r="Q464" s="7"/>
      <c r="R464" s="7"/>
      <c r="S464" s="7"/>
      <c r="T464" s="12"/>
    </row>
    <row r="465" ht="15.75" customHeight="1">
      <c r="O465" s="12"/>
      <c r="P465" s="12"/>
      <c r="Q465" s="7"/>
      <c r="R465" s="7"/>
      <c r="S465" s="7"/>
      <c r="T465" s="12"/>
    </row>
    <row r="466" ht="15.75" customHeight="1">
      <c r="O466" s="12"/>
      <c r="P466" s="12"/>
      <c r="Q466" s="7"/>
      <c r="R466" s="7"/>
      <c r="S466" s="7"/>
      <c r="T466" s="12"/>
    </row>
    <row r="467" ht="15.75" customHeight="1">
      <c r="O467" s="12"/>
      <c r="P467" s="12"/>
      <c r="Q467" s="7"/>
      <c r="R467" s="7"/>
      <c r="S467" s="7"/>
      <c r="T467" s="12"/>
    </row>
    <row r="468" ht="15.75" customHeight="1">
      <c r="O468" s="12"/>
      <c r="P468" s="12"/>
      <c r="Q468" s="7"/>
      <c r="R468" s="7"/>
      <c r="S468" s="7"/>
      <c r="T468" s="12"/>
    </row>
    <row r="469" ht="15.75" customHeight="1">
      <c r="O469" s="12"/>
      <c r="P469" s="12"/>
      <c r="Q469" s="7"/>
      <c r="R469" s="7"/>
      <c r="S469" s="7"/>
      <c r="T469" s="12"/>
    </row>
    <row r="470" ht="15.75" customHeight="1">
      <c r="O470" s="12"/>
      <c r="P470" s="12"/>
      <c r="Q470" s="7"/>
      <c r="R470" s="7"/>
      <c r="S470" s="7"/>
      <c r="T470" s="12"/>
    </row>
    <row r="471" ht="15.75" customHeight="1">
      <c r="O471" s="12"/>
      <c r="P471" s="12"/>
      <c r="Q471" s="7"/>
      <c r="R471" s="7"/>
      <c r="S471" s="7"/>
      <c r="T471" s="12"/>
    </row>
    <row r="472" ht="15.75" customHeight="1">
      <c r="O472" s="12"/>
      <c r="P472" s="12"/>
      <c r="Q472" s="7"/>
      <c r="R472" s="7"/>
      <c r="S472" s="7"/>
      <c r="T472" s="12"/>
    </row>
    <row r="473" ht="15.75" customHeight="1">
      <c r="O473" s="12"/>
      <c r="P473" s="12"/>
      <c r="Q473" s="7"/>
      <c r="R473" s="7"/>
      <c r="S473" s="7"/>
      <c r="T473" s="12"/>
    </row>
    <row r="474" ht="15.75" customHeight="1">
      <c r="O474" s="12"/>
      <c r="P474" s="12"/>
      <c r="Q474" s="7"/>
      <c r="R474" s="7"/>
      <c r="S474" s="7"/>
      <c r="T474" s="12"/>
    </row>
    <row r="475" ht="15.75" customHeight="1">
      <c r="O475" s="12"/>
      <c r="P475" s="12"/>
      <c r="Q475" s="7"/>
      <c r="R475" s="7"/>
      <c r="S475" s="7"/>
      <c r="T475" s="12"/>
    </row>
    <row r="476" ht="15.75" customHeight="1">
      <c r="O476" s="12"/>
      <c r="P476" s="12"/>
      <c r="Q476" s="7"/>
      <c r="R476" s="7"/>
      <c r="S476" s="7"/>
      <c r="T476" s="12"/>
    </row>
    <row r="477" ht="15.75" customHeight="1">
      <c r="O477" s="12"/>
      <c r="P477" s="12"/>
      <c r="Q477" s="7"/>
      <c r="R477" s="7"/>
      <c r="S477" s="7"/>
      <c r="T477" s="12"/>
    </row>
    <row r="478" ht="15.75" customHeight="1">
      <c r="O478" s="12"/>
      <c r="P478" s="12"/>
      <c r="Q478" s="7"/>
      <c r="R478" s="7"/>
      <c r="S478" s="7"/>
      <c r="T478" s="12"/>
    </row>
    <row r="479" ht="15.75" customHeight="1">
      <c r="O479" s="12"/>
      <c r="P479" s="12"/>
      <c r="Q479" s="7"/>
      <c r="R479" s="7"/>
      <c r="S479" s="7"/>
      <c r="T479" s="12"/>
    </row>
    <row r="480" ht="15.75" customHeight="1">
      <c r="O480" s="12"/>
      <c r="P480" s="12"/>
      <c r="Q480" s="7"/>
      <c r="R480" s="7"/>
      <c r="S480" s="7"/>
      <c r="T480" s="12"/>
    </row>
    <row r="481" ht="15.75" customHeight="1">
      <c r="O481" s="12"/>
      <c r="P481" s="12"/>
      <c r="Q481" s="7"/>
      <c r="R481" s="7"/>
      <c r="S481" s="7"/>
      <c r="T481" s="12"/>
    </row>
    <row r="482" ht="15.75" customHeight="1">
      <c r="O482" s="12"/>
      <c r="P482" s="12"/>
      <c r="Q482" s="7"/>
      <c r="R482" s="7"/>
      <c r="S482" s="7"/>
      <c r="T482" s="12"/>
    </row>
    <row r="483" ht="15.75" customHeight="1">
      <c r="O483" s="12"/>
      <c r="P483" s="12"/>
      <c r="Q483" s="7"/>
      <c r="R483" s="7"/>
      <c r="S483" s="7"/>
      <c r="T483" s="12"/>
    </row>
    <row r="484" ht="15.75" customHeight="1">
      <c r="O484" s="12"/>
      <c r="P484" s="12"/>
      <c r="Q484" s="7"/>
      <c r="R484" s="7"/>
      <c r="S484" s="7"/>
      <c r="T484" s="12"/>
    </row>
    <row r="485" ht="15.75" customHeight="1">
      <c r="O485" s="12"/>
      <c r="P485" s="12"/>
      <c r="Q485" s="7"/>
      <c r="R485" s="7"/>
      <c r="S485" s="7"/>
      <c r="T485" s="12"/>
    </row>
    <row r="486" ht="15.75" customHeight="1">
      <c r="O486" s="12"/>
      <c r="P486" s="12"/>
      <c r="Q486" s="7"/>
      <c r="R486" s="7"/>
      <c r="S486" s="7"/>
      <c r="T486" s="12"/>
    </row>
    <row r="487" ht="15.75" customHeight="1">
      <c r="O487" s="12"/>
      <c r="P487" s="12"/>
      <c r="Q487" s="7"/>
      <c r="R487" s="7"/>
      <c r="S487" s="7"/>
      <c r="T487" s="12"/>
    </row>
    <row r="488" ht="15.75" customHeight="1">
      <c r="O488" s="12"/>
      <c r="P488" s="12"/>
      <c r="Q488" s="7"/>
      <c r="R488" s="7"/>
      <c r="S488" s="7"/>
      <c r="T488" s="12"/>
    </row>
    <row r="489" ht="15.75" customHeight="1">
      <c r="O489" s="12"/>
      <c r="P489" s="12"/>
      <c r="Q489" s="7"/>
      <c r="R489" s="7"/>
      <c r="S489" s="7"/>
      <c r="T489" s="12"/>
    </row>
    <row r="490" ht="15.75" customHeight="1">
      <c r="O490" s="12"/>
      <c r="P490" s="12"/>
      <c r="Q490" s="7"/>
      <c r="R490" s="7"/>
      <c r="S490" s="7"/>
      <c r="T490" s="12"/>
    </row>
    <row r="491" ht="15.75" customHeight="1">
      <c r="O491" s="12"/>
      <c r="P491" s="12"/>
      <c r="Q491" s="7"/>
      <c r="R491" s="7"/>
      <c r="S491" s="7"/>
      <c r="T491" s="12"/>
    </row>
    <row r="492" ht="15.75" customHeight="1">
      <c r="O492" s="12"/>
      <c r="P492" s="12"/>
      <c r="Q492" s="7"/>
      <c r="R492" s="7"/>
      <c r="S492" s="7"/>
      <c r="T492" s="12"/>
    </row>
    <row r="493" ht="15.75" customHeight="1">
      <c r="O493" s="12"/>
      <c r="P493" s="12"/>
      <c r="Q493" s="7"/>
      <c r="R493" s="7"/>
      <c r="S493" s="7"/>
      <c r="T493" s="12"/>
    </row>
    <row r="494" ht="15.75" customHeight="1">
      <c r="O494" s="12"/>
      <c r="P494" s="12"/>
      <c r="Q494" s="7"/>
      <c r="R494" s="7"/>
      <c r="S494" s="7"/>
      <c r="T494" s="12"/>
    </row>
    <row r="495" ht="15.75" customHeight="1">
      <c r="O495" s="12"/>
      <c r="P495" s="12"/>
      <c r="Q495" s="7"/>
      <c r="R495" s="7"/>
      <c r="S495" s="7"/>
      <c r="T495" s="12"/>
    </row>
    <row r="496" ht="15.75" customHeight="1">
      <c r="O496" s="12"/>
      <c r="P496" s="12"/>
      <c r="Q496" s="7"/>
      <c r="R496" s="7"/>
      <c r="S496" s="7"/>
      <c r="T496" s="12"/>
    </row>
    <row r="497" ht="15.75" customHeight="1">
      <c r="O497" s="12"/>
      <c r="P497" s="12"/>
      <c r="Q497" s="7"/>
      <c r="R497" s="7"/>
      <c r="S497" s="7"/>
      <c r="T497" s="12"/>
    </row>
    <row r="498" ht="15.75" customHeight="1">
      <c r="O498" s="12"/>
      <c r="P498" s="12"/>
      <c r="Q498" s="7"/>
      <c r="R498" s="7"/>
      <c r="S498" s="7"/>
      <c r="T498" s="12"/>
    </row>
    <row r="499" ht="15.75" customHeight="1">
      <c r="O499" s="12"/>
      <c r="P499" s="12"/>
      <c r="Q499" s="7"/>
      <c r="R499" s="7"/>
      <c r="S499" s="7"/>
      <c r="T499" s="12"/>
    </row>
    <row r="500" ht="15.75" customHeight="1">
      <c r="O500" s="12"/>
      <c r="P500" s="12"/>
      <c r="Q500" s="7"/>
      <c r="R500" s="7"/>
      <c r="S500" s="7"/>
      <c r="T500" s="12"/>
    </row>
    <row r="501" ht="15.75" customHeight="1">
      <c r="O501" s="12"/>
      <c r="P501" s="12"/>
      <c r="Q501" s="7"/>
      <c r="R501" s="7"/>
      <c r="S501" s="7"/>
      <c r="T501" s="12"/>
    </row>
    <row r="502" ht="15.75" customHeight="1">
      <c r="O502" s="12"/>
      <c r="P502" s="12"/>
      <c r="Q502" s="7"/>
      <c r="R502" s="7"/>
      <c r="S502" s="7"/>
      <c r="T502" s="12"/>
    </row>
    <row r="503" ht="15.75" customHeight="1">
      <c r="O503" s="12"/>
      <c r="P503" s="12"/>
      <c r="Q503" s="7"/>
      <c r="R503" s="7"/>
      <c r="S503" s="7"/>
      <c r="T503" s="12"/>
    </row>
    <row r="504" ht="15.75" customHeight="1">
      <c r="O504" s="12"/>
      <c r="P504" s="12"/>
      <c r="Q504" s="7"/>
      <c r="R504" s="7"/>
      <c r="S504" s="7"/>
      <c r="T504" s="12"/>
    </row>
    <row r="505" ht="15.75" customHeight="1">
      <c r="O505" s="12"/>
      <c r="P505" s="12"/>
      <c r="Q505" s="7"/>
      <c r="R505" s="7"/>
      <c r="S505" s="7"/>
      <c r="T505" s="12"/>
    </row>
    <row r="506" ht="15.75" customHeight="1">
      <c r="O506" s="12"/>
      <c r="P506" s="12"/>
      <c r="Q506" s="7"/>
      <c r="R506" s="7"/>
      <c r="S506" s="7"/>
      <c r="T506" s="12"/>
    </row>
    <row r="507" ht="15.75" customHeight="1">
      <c r="O507" s="12"/>
      <c r="P507" s="12"/>
      <c r="Q507" s="7"/>
      <c r="R507" s="7"/>
      <c r="S507" s="7"/>
      <c r="T507" s="12"/>
    </row>
    <row r="508" ht="15.75" customHeight="1">
      <c r="O508" s="12"/>
      <c r="P508" s="12"/>
      <c r="Q508" s="7"/>
      <c r="R508" s="7"/>
      <c r="S508" s="7"/>
      <c r="T508" s="12"/>
    </row>
    <row r="509" ht="15.75" customHeight="1">
      <c r="O509" s="12"/>
      <c r="P509" s="12"/>
      <c r="Q509" s="7"/>
      <c r="R509" s="7"/>
      <c r="S509" s="7"/>
      <c r="T509" s="12"/>
    </row>
    <row r="510" ht="15.75" customHeight="1">
      <c r="O510" s="12"/>
      <c r="P510" s="12"/>
      <c r="Q510" s="7"/>
      <c r="R510" s="7"/>
      <c r="S510" s="7"/>
      <c r="T510" s="12"/>
    </row>
    <row r="511" ht="15.75" customHeight="1">
      <c r="O511" s="12"/>
      <c r="P511" s="12"/>
      <c r="Q511" s="7"/>
      <c r="R511" s="7"/>
      <c r="S511" s="7"/>
      <c r="T511" s="12"/>
    </row>
    <row r="512" ht="15.75" customHeight="1">
      <c r="O512" s="12"/>
      <c r="P512" s="12"/>
      <c r="Q512" s="7"/>
      <c r="R512" s="7"/>
      <c r="S512" s="7"/>
      <c r="T512" s="12"/>
    </row>
    <row r="513" ht="15.75" customHeight="1">
      <c r="O513" s="12"/>
      <c r="P513" s="12"/>
      <c r="Q513" s="7"/>
      <c r="R513" s="7"/>
      <c r="S513" s="7"/>
      <c r="T513" s="12"/>
    </row>
    <row r="514" ht="15.75" customHeight="1">
      <c r="O514" s="12"/>
      <c r="P514" s="12"/>
      <c r="Q514" s="7"/>
      <c r="R514" s="7"/>
      <c r="S514" s="7"/>
      <c r="T514" s="12"/>
    </row>
    <row r="515" ht="15.75" customHeight="1">
      <c r="O515" s="12"/>
      <c r="P515" s="12"/>
      <c r="Q515" s="7"/>
      <c r="R515" s="7"/>
      <c r="S515" s="7"/>
      <c r="T515" s="12"/>
    </row>
    <row r="516" ht="15.75" customHeight="1">
      <c r="O516" s="12"/>
      <c r="P516" s="12"/>
      <c r="Q516" s="7"/>
      <c r="R516" s="7"/>
      <c r="S516" s="7"/>
      <c r="T516" s="12"/>
    </row>
    <row r="517" ht="15.75" customHeight="1">
      <c r="O517" s="12"/>
      <c r="P517" s="12"/>
      <c r="Q517" s="7"/>
      <c r="R517" s="7"/>
      <c r="S517" s="7"/>
      <c r="T517" s="12"/>
    </row>
    <row r="518" ht="15.75" customHeight="1">
      <c r="O518" s="12"/>
      <c r="P518" s="12"/>
      <c r="Q518" s="7"/>
      <c r="R518" s="7"/>
      <c r="S518" s="7"/>
      <c r="T518" s="12"/>
    </row>
    <row r="519" ht="15.75" customHeight="1">
      <c r="O519" s="12"/>
      <c r="P519" s="12"/>
      <c r="Q519" s="7"/>
      <c r="R519" s="7"/>
      <c r="S519" s="7"/>
      <c r="T519" s="12"/>
    </row>
    <row r="520" ht="15.75" customHeight="1">
      <c r="O520" s="12"/>
      <c r="P520" s="12"/>
      <c r="Q520" s="7"/>
      <c r="R520" s="7"/>
      <c r="S520" s="7"/>
      <c r="T520" s="12"/>
    </row>
    <row r="521" ht="15.75" customHeight="1">
      <c r="O521" s="12"/>
      <c r="P521" s="12"/>
      <c r="Q521" s="7"/>
      <c r="R521" s="7"/>
      <c r="S521" s="7"/>
      <c r="T521" s="12"/>
    </row>
    <row r="522" ht="15.75" customHeight="1">
      <c r="O522" s="12"/>
      <c r="P522" s="12"/>
      <c r="Q522" s="7"/>
      <c r="R522" s="7"/>
      <c r="S522" s="7"/>
      <c r="T522" s="12"/>
    </row>
    <row r="523" ht="15.75" customHeight="1">
      <c r="O523" s="12"/>
      <c r="P523" s="12"/>
      <c r="Q523" s="7"/>
      <c r="R523" s="7"/>
      <c r="S523" s="7"/>
      <c r="T523" s="12"/>
    </row>
    <row r="524" ht="15.75" customHeight="1">
      <c r="O524" s="12"/>
      <c r="P524" s="12"/>
      <c r="Q524" s="7"/>
      <c r="R524" s="7"/>
      <c r="S524" s="7"/>
      <c r="T524" s="12"/>
    </row>
    <row r="525" ht="15.75" customHeight="1">
      <c r="O525" s="12"/>
      <c r="P525" s="12"/>
      <c r="Q525" s="7"/>
      <c r="R525" s="7"/>
      <c r="S525" s="7"/>
      <c r="T525" s="12"/>
    </row>
    <row r="526" ht="15.75" customHeight="1">
      <c r="O526" s="12"/>
      <c r="P526" s="12"/>
      <c r="Q526" s="7"/>
      <c r="R526" s="7"/>
      <c r="S526" s="7"/>
      <c r="T526" s="12"/>
    </row>
    <row r="527" ht="15.75" customHeight="1">
      <c r="O527" s="12"/>
      <c r="P527" s="12"/>
      <c r="Q527" s="7"/>
      <c r="R527" s="7"/>
      <c r="S527" s="7"/>
      <c r="T527" s="12"/>
    </row>
    <row r="528" ht="15.75" customHeight="1">
      <c r="O528" s="12"/>
      <c r="P528" s="12"/>
      <c r="Q528" s="7"/>
      <c r="R528" s="7"/>
      <c r="S528" s="7"/>
      <c r="T528" s="12"/>
    </row>
    <row r="529" ht="15.75" customHeight="1">
      <c r="O529" s="12"/>
      <c r="P529" s="12"/>
      <c r="Q529" s="7"/>
      <c r="R529" s="7"/>
      <c r="S529" s="7"/>
      <c r="T529" s="12"/>
    </row>
    <row r="530" ht="15.75" customHeight="1">
      <c r="O530" s="12"/>
      <c r="P530" s="12"/>
      <c r="Q530" s="7"/>
      <c r="R530" s="7"/>
      <c r="S530" s="7"/>
      <c r="T530" s="12"/>
    </row>
    <row r="531" ht="15.75" customHeight="1">
      <c r="O531" s="12"/>
      <c r="P531" s="12"/>
      <c r="Q531" s="7"/>
      <c r="R531" s="7"/>
      <c r="S531" s="7"/>
      <c r="T531" s="12"/>
    </row>
    <row r="532" ht="15.75" customHeight="1">
      <c r="O532" s="12"/>
      <c r="P532" s="12"/>
      <c r="Q532" s="7"/>
      <c r="R532" s="7"/>
      <c r="S532" s="7"/>
      <c r="T532" s="12"/>
    </row>
    <row r="533" ht="15.75" customHeight="1">
      <c r="O533" s="12"/>
      <c r="P533" s="12"/>
      <c r="Q533" s="7"/>
      <c r="R533" s="7"/>
      <c r="S533" s="7"/>
      <c r="T533" s="12"/>
    </row>
    <row r="534" ht="15.75" customHeight="1">
      <c r="O534" s="12"/>
      <c r="P534" s="12"/>
      <c r="Q534" s="7"/>
      <c r="R534" s="7"/>
      <c r="S534" s="7"/>
      <c r="T534" s="12"/>
    </row>
    <row r="535" ht="15.75" customHeight="1">
      <c r="O535" s="12"/>
      <c r="P535" s="12"/>
      <c r="Q535" s="7"/>
      <c r="R535" s="7"/>
      <c r="S535" s="7"/>
      <c r="T535" s="12"/>
    </row>
    <row r="536" ht="15.75" customHeight="1">
      <c r="O536" s="12"/>
      <c r="P536" s="12"/>
      <c r="Q536" s="7"/>
      <c r="R536" s="7"/>
      <c r="S536" s="7"/>
      <c r="T536" s="12"/>
    </row>
    <row r="537" ht="15.75" customHeight="1">
      <c r="O537" s="12"/>
      <c r="P537" s="12"/>
      <c r="Q537" s="7"/>
      <c r="R537" s="7"/>
      <c r="S537" s="7"/>
      <c r="T537" s="12"/>
    </row>
    <row r="538" ht="15.75" customHeight="1">
      <c r="O538" s="12"/>
      <c r="P538" s="12"/>
      <c r="Q538" s="7"/>
      <c r="R538" s="7"/>
      <c r="S538" s="7"/>
      <c r="T538" s="12"/>
    </row>
    <row r="539" ht="15.75" customHeight="1">
      <c r="O539" s="12"/>
      <c r="P539" s="12"/>
      <c r="Q539" s="7"/>
      <c r="R539" s="7"/>
      <c r="S539" s="7"/>
      <c r="T539" s="12"/>
    </row>
    <row r="540" ht="15.75" customHeight="1">
      <c r="O540" s="12"/>
      <c r="P540" s="12"/>
      <c r="Q540" s="7"/>
      <c r="R540" s="7"/>
      <c r="S540" s="7"/>
      <c r="T540" s="12"/>
    </row>
    <row r="541" ht="15.75" customHeight="1">
      <c r="O541" s="12"/>
      <c r="P541" s="12"/>
      <c r="Q541" s="7"/>
      <c r="R541" s="7"/>
      <c r="S541" s="7"/>
      <c r="T541" s="12"/>
    </row>
    <row r="542" ht="15.75" customHeight="1">
      <c r="O542" s="12"/>
      <c r="P542" s="12"/>
      <c r="Q542" s="7"/>
      <c r="R542" s="7"/>
      <c r="S542" s="7"/>
      <c r="T542" s="12"/>
    </row>
    <row r="543" ht="15.75" customHeight="1">
      <c r="O543" s="12"/>
      <c r="P543" s="12"/>
      <c r="Q543" s="7"/>
      <c r="R543" s="7"/>
      <c r="S543" s="7"/>
      <c r="T543" s="12"/>
    </row>
    <row r="544" ht="15.75" customHeight="1">
      <c r="O544" s="12"/>
      <c r="P544" s="12"/>
      <c r="Q544" s="7"/>
      <c r="R544" s="7"/>
      <c r="S544" s="7"/>
      <c r="T544" s="12"/>
    </row>
    <row r="545" ht="15.75" customHeight="1">
      <c r="O545" s="12"/>
      <c r="P545" s="12"/>
      <c r="Q545" s="7"/>
      <c r="R545" s="7"/>
      <c r="S545" s="7"/>
      <c r="T545" s="12"/>
    </row>
    <row r="546" ht="15.75" customHeight="1">
      <c r="O546" s="12"/>
      <c r="P546" s="12"/>
      <c r="Q546" s="7"/>
      <c r="R546" s="7"/>
      <c r="S546" s="7"/>
      <c r="T546" s="12"/>
    </row>
    <row r="547" ht="15.75" customHeight="1">
      <c r="O547" s="12"/>
      <c r="P547" s="12"/>
      <c r="Q547" s="7"/>
      <c r="R547" s="7"/>
      <c r="S547" s="7"/>
      <c r="T547" s="12"/>
    </row>
    <row r="548" ht="15.75" customHeight="1">
      <c r="O548" s="12"/>
      <c r="P548" s="12"/>
      <c r="Q548" s="7"/>
      <c r="R548" s="7"/>
      <c r="S548" s="7"/>
      <c r="T548" s="12"/>
    </row>
    <row r="549" ht="15.75" customHeight="1">
      <c r="O549" s="12"/>
      <c r="P549" s="12"/>
      <c r="Q549" s="7"/>
      <c r="R549" s="7"/>
      <c r="S549" s="7"/>
      <c r="T549" s="12"/>
    </row>
    <row r="550" ht="15.75" customHeight="1">
      <c r="O550" s="12"/>
      <c r="P550" s="12"/>
      <c r="Q550" s="7"/>
      <c r="R550" s="7"/>
      <c r="S550" s="7"/>
      <c r="T550" s="12"/>
    </row>
    <row r="551" ht="15.75" customHeight="1">
      <c r="O551" s="12"/>
      <c r="P551" s="12"/>
      <c r="Q551" s="7"/>
      <c r="R551" s="7"/>
      <c r="S551" s="7"/>
      <c r="T551" s="12"/>
    </row>
    <row r="552" ht="15.75" customHeight="1">
      <c r="O552" s="12"/>
      <c r="P552" s="12"/>
      <c r="Q552" s="7"/>
      <c r="R552" s="7"/>
      <c r="S552" s="7"/>
      <c r="T552" s="12"/>
    </row>
    <row r="553" ht="15.75" customHeight="1">
      <c r="O553" s="12"/>
      <c r="P553" s="12"/>
      <c r="Q553" s="7"/>
      <c r="R553" s="7"/>
      <c r="S553" s="7"/>
      <c r="T553" s="12"/>
    </row>
    <row r="554" ht="15.75" customHeight="1">
      <c r="O554" s="12"/>
      <c r="P554" s="12"/>
      <c r="Q554" s="7"/>
      <c r="R554" s="7"/>
      <c r="S554" s="7"/>
      <c r="T554" s="12"/>
    </row>
    <row r="555" ht="15.75" customHeight="1">
      <c r="O555" s="12"/>
      <c r="P555" s="12"/>
      <c r="Q555" s="7"/>
      <c r="R555" s="7"/>
      <c r="S555" s="7"/>
      <c r="T555" s="12"/>
    </row>
    <row r="556" ht="15.75" customHeight="1">
      <c r="O556" s="12"/>
      <c r="P556" s="12"/>
      <c r="Q556" s="7"/>
      <c r="R556" s="7"/>
      <c r="S556" s="7"/>
      <c r="T556" s="12"/>
    </row>
    <row r="557" ht="15.75" customHeight="1">
      <c r="O557" s="12"/>
      <c r="P557" s="12"/>
      <c r="Q557" s="7"/>
      <c r="R557" s="7"/>
      <c r="S557" s="7"/>
      <c r="T557" s="12"/>
    </row>
    <row r="558" ht="15.75" customHeight="1">
      <c r="O558" s="12"/>
      <c r="P558" s="12"/>
      <c r="Q558" s="7"/>
      <c r="R558" s="7"/>
      <c r="S558" s="7"/>
      <c r="T558" s="12"/>
    </row>
    <row r="559" ht="15.75" customHeight="1">
      <c r="O559" s="12"/>
      <c r="P559" s="12"/>
      <c r="Q559" s="7"/>
      <c r="R559" s="7"/>
      <c r="S559" s="7"/>
      <c r="T559" s="12"/>
    </row>
    <row r="560" ht="15.75" customHeight="1">
      <c r="O560" s="12"/>
      <c r="P560" s="12"/>
      <c r="Q560" s="7"/>
      <c r="R560" s="7"/>
      <c r="S560" s="7"/>
      <c r="T560" s="12"/>
    </row>
    <row r="561" ht="15.75" customHeight="1">
      <c r="O561" s="12"/>
      <c r="P561" s="12"/>
      <c r="Q561" s="7"/>
      <c r="R561" s="7"/>
      <c r="S561" s="7"/>
      <c r="T561" s="12"/>
    </row>
    <row r="562" ht="15.75" customHeight="1">
      <c r="O562" s="12"/>
      <c r="P562" s="12"/>
      <c r="Q562" s="7"/>
      <c r="R562" s="7"/>
      <c r="S562" s="7"/>
      <c r="T562" s="12"/>
    </row>
    <row r="563" ht="15.75" customHeight="1">
      <c r="O563" s="12"/>
      <c r="P563" s="12"/>
      <c r="Q563" s="7"/>
      <c r="R563" s="7"/>
      <c r="S563" s="7"/>
      <c r="T563" s="12"/>
    </row>
    <row r="564" ht="15.75" customHeight="1">
      <c r="O564" s="12"/>
      <c r="P564" s="12"/>
      <c r="Q564" s="7"/>
      <c r="R564" s="7"/>
      <c r="S564" s="7"/>
      <c r="T564" s="12"/>
    </row>
    <row r="565" ht="15.75" customHeight="1">
      <c r="O565" s="12"/>
      <c r="P565" s="12"/>
      <c r="Q565" s="7"/>
      <c r="R565" s="7"/>
      <c r="S565" s="7"/>
      <c r="T565" s="12"/>
    </row>
    <row r="566" ht="15.75" customHeight="1">
      <c r="O566" s="12"/>
      <c r="P566" s="12"/>
      <c r="Q566" s="7"/>
      <c r="R566" s="7"/>
      <c r="S566" s="7"/>
      <c r="T566" s="12"/>
    </row>
    <row r="567" ht="15.75" customHeight="1">
      <c r="O567" s="12"/>
      <c r="P567" s="12"/>
      <c r="Q567" s="7"/>
      <c r="R567" s="7"/>
      <c r="S567" s="7"/>
      <c r="T567" s="12"/>
    </row>
    <row r="568" ht="15.75" customHeight="1">
      <c r="O568" s="12"/>
      <c r="P568" s="12"/>
      <c r="Q568" s="7"/>
      <c r="R568" s="7"/>
      <c r="S568" s="7"/>
      <c r="T568" s="12"/>
    </row>
    <row r="569" ht="15.75" customHeight="1">
      <c r="O569" s="12"/>
      <c r="P569" s="12"/>
      <c r="Q569" s="7"/>
      <c r="R569" s="7"/>
      <c r="S569" s="7"/>
      <c r="T569" s="12"/>
    </row>
    <row r="570" ht="15.75" customHeight="1">
      <c r="O570" s="12"/>
      <c r="P570" s="12"/>
      <c r="Q570" s="7"/>
      <c r="R570" s="7"/>
      <c r="S570" s="7"/>
      <c r="T570" s="12"/>
    </row>
    <row r="571" ht="15.75" customHeight="1">
      <c r="O571" s="12"/>
      <c r="P571" s="12"/>
      <c r="Q571" s="7"/>
      <c r="R571" s="7"/>
      <c r="S571" s="7"/>
      <c r="T571" s="12"/>
    </row>
    <row r="572" ht="15.75" customHeight="1">
      <c r="O572" s="12"/>
      <c r="P572" s="12"/>
      <c r="Q572" s="7"/>
      <c r="R572" s="7"/>
      <c r="S572" s="7"/>
      <c r="T572" s="12"/>
    </row>
    <row r="573" ht="15.75" customHeight="1">
      <c r="O573" s="12"/>
      <c r="P573" s="12"/>
      <c r="Q573" s="7"/>
      <c r="R573" s="7"/>
      <c r="S573" s="7"/>
      <c r="T573" s="12"/>
    </row>
    <row r="574" ht="15.75" customHeight="1">
      <c r="O574" s="12"/>
      <c r="P574" s="12"/>
      <c r="Q574" s="7"/>
      <c r="R574" s="7"/>
      <c r="S574" s="7"/>
      <c r="T574" s="12"/>
    </row>
    <row r="575" ht="15.75" customHeight="1">
      <c r="O575" s="12"/>
      <c r="P575" s="12"/>
      <c r="Q575" s="7"/>
      <c r="R575" s="7"/>
      <c r="S575" s="7"/>
      <c r="T575" s="12"/>
    </row>
    <row r="576" ht="15.75" customHeight="1">
      <c r="O576" s="12"/>
      <c r="P576" s="12"/>
      <c r="Q576" s="7"/>
      <c r="R576" s="7"/>
      <c r="S576" s="7"/>
      <c r="T576" s="12"/>
    </row>
    <row r="577" ht="15.75" customHeight="1">
      <c r="O577" s="12"/>
      <c r="P577" s="12"/>
      <c r="Q577" s="7"/>
      <c r="R577" s="7"/>
      <c r="S577" s="7"/>
      <c r="T577" s="12"/>
    </row>
    <row r="578" ht="15.75" customHeight="1">
      <c r="O578" s="12"/>
      <c r="P578" s="12"/>
      <c r="Q578" s="7"/>
      <c r="R578" s="7"/>
      <c r="S578" s="7"/>
      <c r="T578" s="12"/>
    </row>
    <row r="579" ht="15.75" customHeight="1">
      <c r="O579" s="12"/>
      <c r="P579" s="12"/>
      <c r="Q579" s="7"/>
      <c r="R579" s="7"/>
      <c r="S579" s="7"/>
      <c r="T579" s="12"/>
    </row>
    <row r="580" ht="15.75" customHeight="1">
      <c r="O580" s="12"/>
      <c r="P580" s="12"/>
      <c r="Q580" s="7"/>
      <c r="R580" s="7"/>
      <c r="S580" s="7"/>
      <c r="T580" s="12"/>
    </row>
    <row r="581" ht="15.75" customHeight="1">
      <c r="O581" s="12"/>
      <c r="P581" s="12"/>
      <c r="Q581" s="7"/>
      <c r="R581" s="7"/>
      <c r="S581" s="7"/>
      <c r="T581" s="12"/>
    </row>
    <row r="582" ht="15.75" customHeight="1">
      <c r="O582" s="12"/>
      <c r="P582" s="12"/>
      <c r="Q582" s="7"/>
      <c r="R582" s="7"/>
      <c r="S582" s="7"/>
      <c r="T582" s="12"/>
    </row>
    <row r="583" ht="15.75" customHeight="1">
      <c r="O583" s="12"/>
      <c r="P583" s="12"/>
      <c r="Q583" s="7"/>
      <c r="R583" s="7"/>
      <c r="S583" s="7"/>
      <c r="T583" s="12"/>
    </row>
    <row r="584" ht="15.75" customHeight="1">
      <c r="O584" s="12"/>
      <c r="P584" s="12"/>
      <c r="Q584" s="7"/>
      <c r="R584" s="7"/>
      <c r="S584" s="7"/>
      <c r="T584" s="12"/>
    </row>
    <row r="585" ht="15.75" customHeight="1">
      <c r="O585" s="12"/>
      <c r="P585" s="12"/>
      <c r="Q585" s="7"/>
      <c r="R585" s="7"/>
      <c r="S585" s="7"/>
      <c r="T585" s="12"/>
    </row>
    <row r="586" ht="15.75" customHeight="1">
      <c r="O586" s="12"/>
      <c r="P586" s="12"/>
      <c r="Q586" s="7"/>
      <c r="R586" s="7"/>
      <c r="S586" s="7"/>
      <c r="T586" s="12"/>
    </row>
    <row r="587" ht="15.75" customHeight="1">
      <c r="O587" s="12"/>
      <c r="P587" s="12"/>
      <c r="Q587" s="7"/>
      <c r="R587" s="7"/>
      <c r="S587" s="7"/>
      <c r="T587" s="12"/>
    </row>
    <row r="588" ht="15.75" customHeight="1">
      <c r="O588" s="12"/>
      <c r="P588" s="12"/>
      <c r="Q588" s="7"/>
      <c r="R588" s="7"/>
      <c r="S588" s="7"/>
      <c r="T588" s="12"/>
    </row>
    <row r="589" ht="15.75" customHeight="1">
      <c r="O589" s="12"/>
      <c r="P589" s="12"/>
      <c r="Q589" s="7"/>
      <c r="R589" s="7"/>
      <c r="S589" s="7"/>
      <c r="T589" s="12"/>
    </row>
    <row r="590" ht="15.75" customHeight="1">
      <c r="O590" s="12"/>
      <c r="P590" s="12"/>
      <c r="Q590" s="7"/>
      <c r="R590" s="7"/>
      <c r="S590" s="7"/>
      <c r="T590" s="12"/>
    </row>
    <row r="591" ht="15.75" customHeight="1">
      <c r="O591" s="12"/>
      <c r="P591" s="12"/>
      <c r="Q591" s="7"/>
      <c r="R591" s="7"/>
      <c r="S591" s="7"/>
      <c r="T591" s="12"/>
    </row>
    <row r="592" ht="15.75" customHeight="1">
      <c r="O592" s="12"/>
      <c r="P592" s="12"/>
      <c r="Q592" s="7"/>
      <c r="R592" s="7"/>
      <c r="S592" s="7"/>
      <c r="T592" s="12"/>
    </row>
    <row r="593" ht="15.75" customHeight="1">
      <c r="O593" s="12"/>
      <c r="P593" s="12"/>
      <c r="Q593" s="7"/>
      <c r="R593" s="7"/>
      <c r="S593" s="7"/>
      <c r="T593" s="12"/>
    </row>
    <row r="594" ht="15.75" customHeight="1">
      <c r="O594" s="12"/>
      <c r="P594" s="12"/>
      <c r="Q594" s="7"/>
      <c r="R594" s="7"/>
      <c r="S594" s="7"/>
      <c r="T594" s="12"/>
    </row>
    <row r="595" ht="15.75" customHeight="1">
      <c r="O595" s="12"/>
      <c r="P595" s="12"/>
      <c r="Q595" s="7"/>
      <c r="R595" s="7"/>
      <c r="S595" s="7"/>
      <c r="T595" s="12"/>
    </row>
    <row r="596" ht="15.75" customHeight="1">
      <c r="O596" s="12"/>
      <c r="P596" s="12"/>
      <c r="Q596" s="7"/>
      <c r="R596" s="7"/>
      <c r="S596" s="7"/>
      <c r="T596" s="12"/>
    </row>
    <row r="597" ht="15.75" customHeight="1">
      <c r="O597" s="12"/>
      <c r="P597" s="12"/>
      <c r="Q597" s="7"/>
      <c r="R597" s="7"/>
      <c r="S597" s="7"/>
      <c r="T597" s="12"/>
    </row>
    <row r="598" ht="15.75" customHeight="1">
      <c r="O598" s="12"/>
      <c r="P598" s="12"/>
      <c r="Q598" s="7"/>
      <c r="R598" s="7"/>
      <c r="S598" s="7"/>
      <c r="T598" s="12"/>
    </row>
    <row r="599" ht="15.75" customHeight="1">
      <c r="O599" s="12"/>
      <c r="P599" s="12"/>
      <c r="Q599" s="7"/>
      <c r="R599" s="7"/>
      <c r="S599" s="7"/>
      <c r="T599" s="12"/>
    </row>
    <row r="600" ht="15.75" customHeight="1">
      <c r="O600" s="12"/>
      <c r="P600" s="12"/>
      <c r="Q600" s="7"/>
      <c r="R600" s="7"/>
      <c r="S600" s="7"/>
      <c r="T600" s="12"/>
    </row>
    <row r="601" ht="15.75" customHeight="1">
      <c r="O601" s="12"/>
      <c r="P601" s="12"/>
      <c r="Q601" s="7"/>
      <c r="R601" s="7"/>
      <c r="S601" s="7"/>
      <c r="T601" s="12"/>
    </row>
    <row r="602" ht="15.75" customHeight="1">
      <c r="O602" s="12"/>
      <c r="P602" s="12"/>
      <c r="Q602" s="7"/>
      <c r="R602" s="7"/>
      <c r="S602" s="7"/>
      <c r="T602" s="12"/>
    </row>
    <row r="603" ht="15.75" customHeight="1">
      <c r="O603" s="12"/>
      <c r="P603" s="12"/>
      <c r="Q603" s="7"/>
      <c r="R603" s="7"/>
      <c r="S603" s="7"/>
      <c r="T603" s="12"/>
    </row>
    <row r="604" ht="15.75" customHeight="1">
      <c r="O604" s="12"/>
      <c r="P604" s="12"/>
      <c r="Q604" s="7"/>
      <c r="R604" s="7"/>
      <c r="S604" s="7"/>
      <c r="T604" s="12"/>
    </row>
    <row r="605" ht="15.75" customHeight="1">
      <c r="O605" s="12"/>
      <c r="P605" s="12"/>
      <c r="Q605" s="7"/>
      <c r="R605" s="7"/>
      <c r="S605" s="7"/>
      <c r="T605" s="12"/>
    </row>
    <row r="606" ht="15.75" customHeight="1">
      <c r="O606" s="12"/>
      <c r="P606" s="12"/>
      <c r="Q606" s="7"/>
      <c r="R606" s="7"/>
      <c r="S606" s="7"/>
      <c r="T606" s="12"/>
    </row>
    <row r="607" ht="15.75" customHeight="1">
      <c r="O607" s="12"/>
      <c r="P607" s="12"/>
      <c r="Q607" s="7"/>
      <c r="R607" s="7"/>
      <c r="S607" s="7"/>
      <c r="T607" s="12"/>
    </row>
    <row r="608" ht="15.75" customHeight="1">
      <c r="O608" s="12"/>
      <c r="P608" s="12"/>
      <c r="Q608" s="7"/>
      <c r="R608" s="7"/>
      <c r="S608" s="7"/>
      <c r="T608" s="12"/>
    </row>
    <row r="609" ht="15.75" customHeight="1">
      <c r="O609" s="12"/>
      <c r="P609" s="12"/>
      <c r="Q609" s="7"/>
      <c r="R609" s="7"/>
      <c r="S609" s="7"/>
      <c r="T609" s="12"/>
    </row>
    <row r="610" ht="15.75" customHeight="1">
      <c r="O610" s="12"/>
      <c r="P610" s="12"/>
      <c r="Q610" s="7"/>
      <c r="R610" s="7"/>
      <c r="S610" s="7"/>
      <c r="T610" s="12"/>
    </row>
    <row r="611" ht="15.75" customHeight="1">
      <c r="O611" s="12"/>
      <c r="P611" s="12"/>
      <c r="Q611" s="7"/>
      <c r="R611" s="7"/>
      <c r="S611" s="7"/>
      <c r="T611" s="12"/>
    </row>
    <row r="612" ht="15.75" customHeight="1">
      <c r="O612" s="12"/>
      <c r="P612" s="12"/>
      <c r="Q612" s="7"/>
      <c r="R612" s="7"/>
      <c r="S612" s="7"/>
      <c r="T612" s="12"/>
    </row>
    <row r="613" ht="15.75" customHeight="1">
      <c r="O613" s="12"/>
      <c r="P613" s="12"/>
      <c r="Q613" s="7"/>
      <c r="R613" s="7"/>
      <c r="S613" s="7"/>
      <c r="T613" s="12"/>
    </row>
    <row r="614" ht="15.75" customHeight="1">
      <c r="O614" s="12"/>
      <c r="P614" s="12"/>
      <c r="Q614" s="7"/>
      <c r="R614" s="7"/>
      <c r="S614" s="7"/>
      <c r="T614" s="12"/>
    </row>
    <row r="615" ht="15.75" customHeight="1">
      <c r="O615" s="12"/>
      <c r="P615" s="12"/>
      <c r="Q615" s="7"/>
      <c r="R615" s="7"/>
      <c r="S615" s="7"/>
      <c r="T615" s="12"/>
    </row>
    <row r="616" ht="15.75" customHeight="1">
      <c r="O616" s="12"/>
      <c r="P616" s="12"/>
      <c r="Q616" s="7"/>
      <c r="R616" s="7"/>
      <c r="S616" s="7"/>
      <c r="T616" s="12"/>
    </row>
    <row r="617" ht="15.75" customHeight="1">
      <c r="O617" s="12"/>
      <c r="P617" s="12"/>
      <c r="Q617" s="7"/>
      <c r="R617" s="7"/>
      <c r="S617" s="7"/>
      <c r="T617" s="12"/>
    </row>
    <row r="618" ht="15.75" customHeight="1">
      <c r="O618" s="12"/>
      <c r="P618" s="12"/>
      <c r="Q618" s="7"/>
      <c r="R618" s="7"/>
      <c r="S618" s="7"/>
      <c r="T618" s="12"/>
    </row>
    <row r="619" ht="15.75" customHeight="1">
      <c r="O619" s="12"/>
      <c r="P619" s="12"/>
      <c r="Q619" s="7"/>
      <c r="R619" s="7"/>
      <c r="S619" s="7"/>
      <c r="T619" s="12"/>
    </row>
    <row r="620" ht="15.75" customHeight="1">
      <c r="O620" s="12"/>
      <c r="P620" s="12"/>
      <c r="Q620" s="7"/>
      <c r="R620" s="7"/>
      <c r="S620" s="7"/>
      <c r="T620" s="12"/>
    </row>
    <row r="621" ht="15.75" customHeight="1">
      <c r="O621" s="12"/>
      <c r="P621" s="12"/>
      <c r="Q621" s="7"/>
      <c r="R621" s="7"/>
      <c r="S621" s="7"/>
      <c r="T621" s="12"/>
    </row>
    <row r="622" ht="15.75" customHeight="1">
      <c r="O622" s="12"/>
      <c r="P622" s="12"/>
      <c r="Q622" s="7"/>
      <c r="R622" s="7"/>
      <c r="S622" s="7"/>
      <c r="T622" s="12"/>
    </row>
    <row r="623" ht="15.75" customHeight="1">
      <c r="O623" s="12"/>
      <c r="P623" s="12"/>
      <c r="Q623" s="7"/>
      <c r="R623" s="7"/>
      <c r="S623" s="7"/>
      <c r="T623" s="12"/>
    </row>
    <row r="624" ht="15.75" customHeight="1">
      <c r="O624" s="12"/>
      <c r="P624" s="12"/>
      <c r="Q624" s="7"/>
      <c r="R624" s="7"/>
      <c r="S624" s="7"/>
      <c r="T624" s="12"/>
    </row>
    <row r="625" ht="15.75" customHeight="1">
      <c r="O625" s="12"/>
      <c r="P625" s="12"/>
      <c r="Q625" s="7"/>
      <c r="R625" s="7"/>
      <c r="S625" s="7"/>
      <c r="T625" s="12"/>
    </row>
    <row r="626" ht="15.75" customHeight="1">
      <c r="O626" s="12"/>
      <c r="P626" s="12"/>
      <c r="Q626" s="7"/>
      <c r="R626" s="7"/>
      <c r="S626" s="7"/>
      <c r="T626" s="12"/>
    </row>
    <row r="627" ht="15.75" customHeight="1">
      <c r="O627" s="12"/>
      <c r="P627" s="12"/>
      <c r="Q627" s="7"/>
      <c r="R627" s="7"/>
      <c r="S627" s="7"/>
      <c r="T627" s="12"/>
    </row>
    <row r="628" ht="15.75" customHeight="1">
      <c r="O628" s="12"/>
      <c r="P628" s="12"/>
      <c r="Q628" s="7"/>
      <c r="R628" s="7"/>
      <c r="S628" s="7"/>
      <c r="T628" s="12"/>
    </row>
    <row r="629" ht="15.75" customHeight="1">
      <c r="O629" s="12"/>
      <c r="P629" s="12"/>
      <c r="Q629" s="7"/>
      <c r="R629" s="7"/>
      <c r="S629" s="7"/>
      <c r="T629" s="12"/>
    </row>
    <row r="630" ht="15.75" customHeight="1">
      <c r="O630" s="12"/>
      <c r="P630" s="12"/>
      <c r="Q630" s="7"/>
      <c r="R630" s="7"/>
      <c r="S630" s="7"/>
      <c r="T630" s="12"/>
    </row>
    <row r="631" ht="15.75" customHeight="1">
      <c r="O631" s="12"/>
      <c r="P631" s="12"/>
      <c r="Q631" s="7"/>
      <c r="R631" s="7"/>
      <c r="S631" s="7"/>
      <c r="T631" s="12"/>
    </row>
    <row r="632" ht="15.75" customHeight="1">
      <c r="O632" s="12"/>
      <c r="P632" s="12"/>
      <c r="Q632" s="7"/>
      <c r="R632" s="7"/>
      <c r="S632" s="7"/>
      <c r="T632" s="12"/>
    </row>
    <row r="633" ht="15.75" customHeight="1">
      <c r="O633" s="12"/>
      <c r="P633" s="12"/>
      <c r="Q633" s="7"/>
      <c r="R633" s="7"/>
      <c r="S633" s="7"/>
      <c r="T633" s="12"/>
    </row>
    <row r="634" ht="15.75" customHeight="1">
      <c r="O634" s="12"/>
      <c r="P634" s="12"/>
      <c r="Q634" s="7"/>
      <c r="R634" s="7"/>
      <c r="S634" s="7"/>
      <c r="T634" s="12"/>
    </row>
    <row r="635" ht="15.75" customHeight="1">
      <c r="O635" s="12"/>
      <c r="P635" s="12"/>
      <c r="Q635" s="7"/>
      <c r="R635" s="7"/>
      <c r="S635" s="7"/>
      <c r="T635" s="12"/>
    </row>
    <row r="636" ht="15.75" customHeight="1">
      <c r="O636" s="12"/>
      <c r="P636" s="12"/>
      <c r="Q636" s="7"/>
      <c r="R636" s="7"/>
      <c r="S636" s="7"/>
      <c r="T636" s="12"/>
    </row>
    <row r="637" ht="15.75" customHeight="1">
      <c r="O637" s="12"/>
      <c r="P637" s="12"/>
      <c r="Q637" s="7"/>
      <c r="R637" s="7"/>
      <c r="S637" s="7"/>
      <c r="T637" s="12"/>
    </row>
    <row r="638" ht="15.75" customHeight="1">
      <c r="O638" s="12"/>
      <c r="P638" s="12"/>
      <c r="Q638" s="7"/>
      <c r="R638" s="7"/>
      <c r="S638" s="7"/>
      <c r="T638" s="12"/>
    </row>
    <row r="639" ht="15.75" customHeight="1">
      <c r="O639" s="12"/>
      <c r="P639" s="12"/>
      <c r="Q639" s="7"/>
      <c r="R639" s="7"/>
      <c r="S639" s="7"/>
      <c r="T639" s="12"/>
    </row>
    <row r="640" ht="15.75" customHeight="1">
      <c r="O640" s="12"/>
      <c r="P640" s="12"/>
      <c r="Q640" s="7"/>
      <c r="R640" s="7"/>
      <c r="S640" s="7"/>
      <c r="T640" s="12"/>
    </row>
    <row r="641" ht="15.75" customHeight="1">
      <c r="O641" s="12"/>
      <c r="P641" s="12"/>
      <c r="Q641" s="7"/>
      <c r="R641" s="7"/>
      <c r="S641" s="7"/>
      <c r="T641" s="12"/>
    </row>
    <row r="642" ht="15.75" customHeight="1">
      <c r="O642" s="12"/>
      <c r="P642" s="12"/>
      <c r="Q642" s="7"/>
      <c r="R642" s="7"/>
      <c r="S642" s="7"/>
      <c r="T642" s="12"/>
    </row>
    <row r="643" ht="15.75" customHeight="1">
      <c r="O643" s="12"/>
      <c r="P643" s="12"/>
      <c r="Q643" s="7"/>
      <c r="R643" s="7"/>
      <c r="S643" s="7"/>
      <c r="T643" s="12"/>
    </row>
    <row r="644" ht="15.75" customHeight="1">
      <c r="O644" s="12"/>
      <c r="P644" s="12"/>
      <c r="Q644" s="7"/>
      <c r="R644" s="7"/>
      <c r="S644" s="7"/>
      <c r="T644" s="12"/>
    </row>
    <row r="645" ht="15.75" customHeight="1">
      <c r="O645" s="12"/>
      <c r="P645" s="12"/>
      <c r="Q645" s="7"/>
      <c r="R645" s="7"/>
      <c r="S645" s="7"/>
      <c r="T645" s="12"/>
    </row>
    <row r="646" ht="15.75" customHeight="1">
      <c r="O646" s="12"/>
      <c r="P646" s="12"/>
      <c r="Q646" s="7"/>
      <c r="R646" s="7"/>
      <c r="S646" s="7"/>
      <c r="T646" s="12"/>
    </row>
    <row r="647" ht="15.75" customHeight="1">
      <c r="O647" s="12"/>
      <c r="P647" s="12"/>
      <c r="Q647" s="7"/>
      <c r="R647" s="7"/>
      <c r="S647" s="7"/>
      <c r="T647" s="12"/>
    </row>
    <row r="648" ht="15.75" customHeight="1">
      <c r="O648" s="12"/>
      <c r="P648" s="12"/>
      <c r="Q648" s="7"/>
      <c r="R648" s="7"/>
      <c r="S648" s="7"/>
      <c r="T648" s="12"/>
    </row>
    <row r="649" ht="15.75" customHeight="1">
      <c r="O649" s="12"/>
      <c r="P649" s="12"/>
      <c r="Q649" s="7"/>
      <c r="R649" s="7"/>
      <c r="S649" s="7"/>
      <c r="T649" s="12"/>
    </row>
    <row r="650" ht="15.75" customHeight="1">
      <c r="O650" s="12"/>
      <c r="P650" s="12"/>
      <c r="Q650" s="7"/>
      <c r="R650" s="7"/>
      <c r="S650" s="7"/>
      <c r="T650" s="12"/>
    </row>
    <row r="651" ht="15.75" customHeight="1">
      <c r="O651" s="12"/>
      <c r="P651" s="12"/>
      <c r="Q651" s="7"/>
      <c r="R651" s="7"/>
      <c r="S651" s="7"/>
      <c r="T651" s="12"/>
    </row>
    <row r="652" ht="15.75" customHeight="1">
      <c r="O652" s="12"/>
      <c r="P652" s="12"/>
      <c r="Q652" s="7"/>
      <c r="R652" s="7"/>
      <c r="S652" s="7"/>
      <c r="T652" s="12"/>
    </row>
    <row r="653" ht="15.75" customHeight="1">
      <c r="O653" s="12"/>
      <c r="P653" s="12"/>
      <c r="Q653" s="7"/>
      <c r="R653" s="7"/>
      <c r="S653" s="7"/>
      <c r="T653" s="12"/>
    </row>
    <row r="654" ht="15.75" customHeight="1">
      <c r="O654" s="12"/>
      <c r="P654" s="12"/>
      <c r="Q654" s="7"/>
      <c r="R654" s="7"/>
      <c r="S654" s="7"/>
      <c r="T654" s="12"/>
    </row>
    <row r="655" ht="15.75" customHeight="1">
      <c r="O655" s="12"/>
      <c r="P655" s="12"/>
      <c r="Q655" s="7"/>
      <c r="R655" s="7"/>
      <c r="S655" s="7"/>
      <c r="T655" s="12"/>
    </row>
    <row r="656" ht="15.75" customHeight="1">
      <c r="O656" s="12"/>
      <c r="P656" s="12"/>
      <c r="Q656" s="7"/>
      <c r="R656" s="7"/>
      <c r="S656" s="7"/>
      <c r="T656" s="12"/>
    </row>
    <row r="657" ht="15.75" customHeight="1">
      <c r="O657" s="12"/>
      <c r="P657" s="12"/>
      <c r="Q657" s="7"/>
      <c r="R657" s="7"/>
      <c r="S657" s="7"/>
      <c r="T657" s="12"/>
    </row>
    <row r="658" ht="15.75" customHeight="1">
      <c r="O658" s="12"/>
      <c r="P658" s="12"/>
      <c r="Q658" s="7"/>
      <c r="R658" s="7"/>
      <c r="S658" s="7"/>
      <c r="T658" s="12"/>
    </row>
    <row r="659" ht="15.75" customHeight="1">
      <c r="O659" s="12"/>
      <c r="P659" s="12"/>
      <c r="Q659" s="7"/>
      <c r="R659" s="7"/>
      <c r="S659" s="7"/>
      <c r="T659" s="12"/>
    </row>
    <row r="660" ht="15.75" customHeight="1">
      <c r="O660" s="12"/>
      <c r="P660" s="12"/>
      <c r="Q660" s="7"/>
      <c r="R660" s="7"/>
      <c r="S660" s="7"/>
      <c r="T660" s="12"/>
    </row>
    <row r="661" ht="15.75" customHeight="1">
      <c r="O661" s="12"/>
      <c r="P661" s="12"/>
      <c r="Q661" s="7"/>
      <c r="R661" s="7"/>
      <c r="S661" s="7"/>
      <c r="T661" s="12"/>
    </row>
    <row r="662" ht="15.75" customHeight="1">
      <c r="O662" s="12"/>
      <c r="P662" s="12"/>
      <c r="Q662" s="7"/>
      <c r="R662" s="7"/>
      <c r="S662" s="7"/>
      <c r="T662" s="12"/>
    </row>
    <row r="663" ht="15.75" customHeight="1">
      <c r="O663" s="12"/>
      <c r="P663" s="12"/>
      <c r="Q663" s="7"/>
      <c r="R663" s="7"/>
      <c r="S663" s="7"/>
      <c r="T663" s="12"/>
    </row>
    <row r="664" ht="15.75" customHeight="1">
      <c r="O664" s="12"/>
      <c r="P664" s="12"/>
      <c r="Q664" s="7"/>
      <c r="R664" s="7"/>
      <c r="S664" s="7"/>
      <c r="T664" s="12"/>
    </row>
    <row r="665" ht="15.75" customHeight="1">
      <c r="O665" s="12"/>
      <c r="P665" s="12"/>
      <c r="Q665" s="7"/>
      <c r="R665" s="7"/>
      <c r="S665" s="7"/>
      <c r="T665" s="12"/>
    </row>
    <row r="666" ht="15.75" customHeight="1">
      <c r="O666" s="12"/>
      <c r="P666" s="12"/>
      <c r="Q666" s="7"/>
      <c r="R666" s="7"/>
      <c r="S666" s="7"/>
      <c r="T666" s="12"/>
    </row>
    <row r="667" ht="15.75" customHeight="1">
      <c r="O667" s="12"/>
      <c r="P667" s="12"/>
      <c r="Q667" s="7"/>
      <c r="R667" s="7"/>
      <c r="S667" s="7"/>
      <c r="T667" s="12"/>
    </row>
    <row r="668" ht="15.75" customHeight="1">
      <c r="O668" s="12"/>
      <c r="P668" s="12"/>
      <c r="Q668" s="7"/>
      <c r="R668" s="7"/>
      <c r="S668" s="7"/>
      <c r="T668" s="12"/>
    </row>
    <row r="669" ht="15.75" customHeight="1">
      <c r="O669" s="12"/>
      <c r="P669" s="12"/>
      <c r="Q669" s="7"/>
      <c r="R669" s="7"/>
      <c r="S669" s="7"/>
      <c r="T669" s="12"/>
    </row>
    <row r="670" ht="15.75" customHeight="1">
      <c r="O670" s="12"/>
      <c r="P670" s="12"/>
      <c r="Q670" s="7"/>
      <c r="R670" s="7"/>
      <c r="S670" s="7"/>
      <c r="T670" s="12"/>
    </row>
    <row r="671" ht="15.75" customHeight="1">
      <c r="O671" s="12"/>
      <c r="P671" s="12"/>
      <c r="Q671" s="7"/>
      <c r="R671" s="7"/>
      <c r="S671" s="7"/>
      <c r="T671" s="12"/>
    </row>
    <row r="672" ht="15.75" customHeight="1">
      <c r="O672" s="12"/>
      <c r="P672" s="12"/>
      <c r="Q672" s="7"/>
      <c r="R672" s="7"/>
      <c r="S672" s="7"/>
      <c r="T672" s="12"/>
    </row>
    <row r="673" ht="15.75" customHeight="1">
      <c r="O673" s="12"/>
      <c r="P673" s="12"/>
      <c r="Q673" s="7"/>
      <c r="R673" s="7"/>
      <c r="S673" s="7"/>
      <c r="T673" s="12"/>
    </row>
    <row r="674" ht="15.75" customHeight="1">
      <c r="O674" s="12"/>
      <c r="P674" s="12"/>
      <c r="Q674" s="7"/>
      <c r="R674" s="7"/>
      <c r="S674" s="7"/>
      <c r="T674" s="12"/>
    </row>
    <row r="675" ht="15.75" customHeight="1">
      <c r="O675" s="12"/>
      <c r="P675" s="12"/>
      <c r="Q675" s="7"/>
      <c r="R675" s="7"/>
      <c r="S675" s="7"/>
      <c r="T675" s="12"/>
    </row>
    <row r="676" ht="15.75" customHeight="1">
      <c r="O676" s="12"/>
      <c r="P676" s="12"/>
      <c r="Q676" s="7"/>
      <c r="R676" s="7"/>
      <c r="S676" s="7"/>
      <c r="T676" s="12"/>
    </row>
    <row r="677" ht="15.75" customHeight="1">
      <c r="O677" s="12"/>
      <c r="P677" s="12"/>
      <c r="Q677" s="7"/>
      <c r="R677" s="7"/>
      <c r="S677" s="7"/>
      <c r="T677" s="12"/>
    </row>
    <row r="678" ht="15.75" customHeight="1">
      <c r="O678" s="12"/>
      <c r="P678" s="12"/>
      <c r="Q678" s="7"/>
      <c r="R678" s="7"/>
      <c r="S678" s="7"/>
      <c r="T678" s="12"/>
    </row>
    <row r="679" ht="15.75" customHeight="1">
      <c r="O679" s="12"/>
      <c r="P679" s="12"/>
      <c r="Q679" s="7"/>
      <c r="R679" s="7"/>
      <c r="S679" s="7"/>
      <c r="T679" s="12"/>
    </row>
    <row r="680" ht="15.75" customHeight="1">
      <c r="O680" s="12"/>
      <c r="P680" s="12"/>
      <c r="Q680" s="7"/>
      <c r="R680" s="7"/>
      <c r="S680" s="7"/>
      <c r="T680" s="12"/>
    </row>
    <row r="681" ht="15.75" customHeight="1">
      <c r="O681" s="12"/>
      <c r="P681" s="12"/>
      <c r="Q681" s="7"/>
      <c r="R681" s="7"/>
      <c r="S681" s="7"/>
      <c r="T681" s="12"/>
    </row>
    <row r="682" ht="15.75" customHeight="1">
      <c r="O682" s="12"/>
      <c r="P682" s="12"/>
      <c r="Q682" s="7"/>
      <c r="R682" s="7"/>
      <c r="S682" s="7"/>
      <c r="T682" s="12"/>
    </row>
    <row r="683" ht="15.75" customHeight="1">
      <c r="O683" s="12"/>
      <c r="P683" s="12"/>
      <c r="Q683" s="7"/>
      <c r="R683" s="7"/>
      <c r="S683" s="7"/>
      <c r="T683" s="12"/>
    </row>
    <row r="684" ht="15.75" customHeight="1">
      <c r="O684" s="12"/>
      <c r="P684" s="12"/>
      <c r="Q684" s="7"/>
      <c r="R684" s="7"/>
      <c r="S684" s="7"/>
      <c r="T684" s="12"/>
    </row>
    <row r="685" ht="15.75" customHeight="1">
      <c r="O685" s="12"/>
      <c r="P685" s="12"/>
      <c r="Q685" s="7"/>
      <c r="R685" s="7"/>
      <c r="S685" s="7"/>
      <c r="T685" s="12"/>
    </row>
    <row r="686" ht="15.75" customHeight="1">
      <c r="O686" s="12"/>
      <c r="P686" s="12"/>
      <c r="Q686" s="7"/>
      <c r="R686" s="7"/>
      <c r="S686" s="7"/>
      <c r="T686" s="12"/>
    </row>
    <row r="687" ht="15.75" customHeight="1">
      <c r="O687" s="12"/>
      <c r="P687" s="12"/>
      <c r="Q687" s="7"/>
      <c r="R687" s="7"/>
      <c r="S687" s="7"/>
      <c r="T687" s="12"/>
    </row>
    <row r="688" ht="15.75" customHeight="1">
      <c r="O688" s="12"/>
      <c r="P688" s="12"/>
      <c r="Q688" s="7"/>
      <c r="R688" s="7"/>
      <c r="S688" s="7"/>
      <c r="T688" s="12"/>
    </row>
    <row r="689" ht="15.75" customHeight="1">
      <c r="O689" s="12"/>
      <c r="P689" s="12"/>
      <c r="Q689" s="7"/>
      <c r="R689" s="7"/>
      <c r="S689" s="7"/>
      <c r="T689" s="12"/>
    </row>
    <row r="690" ht="15.75" customHeight="1">
      <c r="O690" s="12"/>
      <c r="P690" s="12"/>
      <c r="Q690" s="7"/>
      <c r="R690" s="7"/>
      <c r="S690" s="7"/>
      <c r="T690" s="12"/>
    </row>
    <row r="691" ht="15.75" customHeight="1">
      <c r="O691" s="12"/>
      <c r="P691" s="12"/>
      <c r="Q691" s="7"/>
      <c r="R691" s="7"/>
      <c r="S691" s="7"/>
      <c r="T691" s="12"/>
    </row>
    <row r="692" ht="15.75" customHeight="1">
      <c r="O692" s="12"/>
      <c r="P692" s="12"/>
      <c r="Q692" s="7"/>
      <c r="R692" s="7"/>
      <c r="S692" s="7"/>
      <c r="T692" s="12"/>
    </row>
    <row r="693" ht="15.75" customHeight="1">
      <c r="O693" s="12"/>
      <c r="P693" s="12"/>
      <c r="Q693" s="7"/>
      <c r="R693" s="7"/>
      <c r="S693" s="7"/>
      <c r="T693" s="12"/>
    </row>
    <row r="694" ht="15.75" customHeight="1">
      <c r="O694" s="12"/>
      <c r="P694" s="12"/>
      <c r="Q694" s="7"/>
      <c r="R694" s="7"/>
      <c r="S694" s="7"/>
      <c r="T694" s="12"/>
    </row>
    <row r="695" ht="15.75" customHeight="1">
      <c r="O695" s="12"/>
      <c r="P695" s="12"/>
      <c r="Q695" s="7"/>
      <c r="R695" s="7"/>
      <c r="S695" s="7"/>
      <c r="T695" s="12"/>
    </row>
    <row r="696" ht="15.75" customHeight="1">
      <c r="O696" s="12"/>
      <c r="P696" s="12"/>
      <c r="Q696" s="7"/>
      <c r="R696" s="7"/>
      <c r="S696" s="7"/>
      <c r="T696" s="12"/>
    </row>
    <row r="697" ht="15.75" customHeight="1">
      <c r="O697" s="12"/>
      <c r="P697" s="12"/>
      <c r="Q697" s="7"/>
      <c r="R697" s="7"/>
      <c r="S697" s="7"/>
      <c r="T697" s="12"/>
    </row>
    <row r="698" ht="15.75" customHeight="1">
      <c r="O698" s="12"/>
      <c r="P698" s="12"/>
      <c r="Q698" s="7"/>
      <c r="R698" s="7"/>
      <c r="S698" s="7"/>
      <c r="T698" s="12"/>
    </row>
    <row r="699" ht="15.75" customHeight="1">
      <c r="O699" s="12"/>
      <c r="P699" s="12"/>
      <c r="Q699" s="7"/>
      <c r="R699" s="7"/>
      <c r="S699" s="7"/>
      <c r="T699" s="12"/>
    </row>
    <row r="700" ht="15.75" customHeight="1">
      <c r="O700" s="12"/>
      <c r="P700" s="12"/>
      <c r="Q700" s="7"/>
      <c r="R700" s="7"/>
      <c r="S700" s="7"/>
      <c r="T700" s="12"/>
    </row>
    <row r="701" ht="15.75" customHeight="1">
      <c r="O701" s="12"/>
      <c r="P701" s="12"/>
      <c r="Q701" s="7"/>
      <c r="R701" s="7"/>
      <c r="S701" s="7"/>
      <c r="T701" s="12"/>
    </row>
    <row r="702" ht="15.75" customHeight="1">
      <c r="O702" s="12"/>
      <c r="P702" s="12"/>
      <c r="Q702" s="7"/>
      <c r="R702" s="7"/>
      <c r="S702" s="7"/>
      <c r="T702" s="12"/>
    </row>
    <row r="703" ht="15.75" customHeight="1">
      <c r="O703" s="12"/>
      <c r="P703" s="12"/>
      <c r="Q703" s="7"/>
      <c r="R703" s="7"/>
      <c r="S703" s="7"/>
      <c r="T703" s="12"/>
    </row>
    <row r="704" ht="15.75" customHeight="1">
      <c r="O704" s="12"/>
      <c r="P704" s="12"/>
      <c r="Q704" s="7"/>
      <c r="R704" s="7"/>
      <c r="S704" s="7"/>
      <c r="T704" s="12"/>
    </row>
    <row r="705" ht="15.75" customHeight="1">
      <c r="O705" s="12"/>
      <c r="P705" s="12"/>
      <c r="Q705" s="7"/>
      <c r="R705" s="7"/>
      <c r="S705" s="7"/>
      <c r="T705" s="12"/>
    </row>
    <row r="706" ht="15.75" customHeight="1">
      <c r="O706" s="12"/>
      <c r="P706" s="12"/>
      <c r="Q706" s="7"/>
      <c r="R706" s="7"/>
      <c r="S706" s="7"/>
      <c r="T706" s="12"/>
    </row>
    <row r="707" ht="15.75" customHeight="1">
      <c r="O707" s="12"/>
      <c r="P707" s="12"/>
      <c r="Q707" s="7"/>
      <c r="R707" s="7"/>
      <c r="S707" s="7"/>
      <c r="T707" s="12"/>
    </row>
    <row r="708" ht="15.75" customHeight="1">
      <c r="O708" s="12"/>
      <c r="P708" s="12"/>
      <c r="Q708" s="7"/>
      <c r="R708" s="7"/>
      <c r="S708" s="7"/>
      <c r="T708" s="12"/>
    </row>
    <row r="709" ht="15.75" customHeight="1">
      <c r="O709" s="12"/>
      <c r="P709" s="12"/>
      <c r="Q709" s="7"/>
      <c r="R709" s="7"/>
      <c r="S709" s="7"/>
      <c r="T709" s="12"/>
    </row>
    <row r="710" ht="15.75" customHeight="1">
      <c r="O710" s="12"/>
      <c r="P710" s="12"/>
      <c r="Q710" s="7"/>
      <c r="R710" s="7"/>
      <c r="S710" s="7"/>
      <c r="T710" s="12"/>
    </row>
    <row r="711" ht="15.75" customHeight="1">
      <c r="O711" s="12"/>
      <c r="P711" s="12"/>
      <c r="Q711" s="7"/>
      <c r="R711" s="7"/>
      <c r="S711" s="7"/>
      <c r="T711" s="12"/>
    </row>
    <row r="712" ht="15.75" customHeight="1">
      <c r="O712" s="12"/>
      <c r="P712" s="12"/>
      <c r="Q712" s="7"/>
      <c r="R712" s="7"/>
      <c r="S712" s="7"/>
      <c r="T712" s="12"/>
    </row>
    <row r="713" ht="15.75" customHeight="1">
      <c r="O713" s="12"/>
      <c r="P713" s="12"/>
      <c r="Q713" s="7"/>
      <c r="R713" s="7"/>
      <c r="S713" s="7"/>
      <c r="T713" s="12"/>
    </row>
    <row r="714" ht="15.75" customHeight="1">
      <c r="O714" s="12"/>
      <c r="P714" s="12"/>
      <c r="Q714" s="7"/>
      <c r="R714" s="7"/>
      <c r="S714" s="7"/>
      <c r="T714" s="12"/>
    </row>
    <row r="715" ht="15.75" customHeight="1">
      <c r="O715" s="12"/>
      <c r="P715" s="12"/>
      <c r="Q715" s="7"/>
      <c r="R715" s="7"/>
      <c r="S715" s="7"/>
      <c r="T715" s="12"/>
    </row>
    <row r="716" ht="15.75" customHeight="1">
      <c r="O716" s="12"/>
      <c r="P716" s="12"/>
      <c r="Q716" s="7"/>
      <c r="R716" s="7"/>
      <c r="S716" s="7"/>
      <c r="T716" s="12"/>
    </row>
    <row r="717" ht="15.75" customHeight="1">
      <c r="O717" s="12"/>
      <c r="P717" s="12"/>
      <c r="Q717" s="7"/>
      <c r="R717" s="7"/>
      <c r="S717" s="7"/>
      <c r="T717" s="12"/>
    </row>
    <row r="718" ht="15.75" customHeight="1">
      <c r="O718" s="12"/>
      <c r="P718" s="12"/>
      <c r="Q718" s="7"/>
      <c r="R718" s="7"/>
      <c r="S718" s="7"/>
      <c r="T718" s="12"/>
    </row>
    <row r="719" ht="15.75" customHeight="1">
      <c r="O719" s="12"/>
      <c r="P719" s="12"/>
      <c r="Q719" s="7"/>
      <c r="R719" s="7"/>
      <c r="S719" s="7"/>
      <c r="T719" s="12"/>
    </row>
    <row r="720" ht="15.75" customHeight="1">
      <c r="O720" s="12"/>
      <c r="P720" s="12"/>
      <c r="Q720" s="7"/>
      <c r="R720" s="7"/>
      <c r="S720" s="7"/>
      <c r="T720" s="12"/>
    </row>
    <row r="721" ht="15.75" customHeight="1">
      <c r="O721" s="12"/>
      <c r="P721" s="12"/>
      <c r="Q721" s="7"/>
      <c r="R721" s="7"/>
      <c r="S721" s="7"/>
      <c r="T721" s="12"/>
    </row>
    <row r="722" ht="15.75" customHeight="1">
      <c r="O722" s="12"/>
      <c r="P722" s="12"/>
      <c r="Q722" s="7"/>
      <c r="R722" s="7"/>
      <c r="S722" s="7"/>
      <c r="T722" s="12"/>
    </row>
    <row r="723" ht="15.75" customHeight="1">
      <c r="O723" s="12"/>
      <c r="P723" s="12"/>
      <c r="Q723" s="7"/>
      <c r="R723" s="7"/>
      <c r="S723" s="7"/>
      <c r="T723" s="12"/>
    </row>
    <row r="724" ht="15.75" customHeight="1">
      <c r="O724" s="12"/>
      <c r="P724" s="12"/>
      <c r="Q724" s="7"/>
      <c r="R724" s="7"/>
      <c r="S724" s="7"/>
      <c r="T724" s="12"/>
    </row>
    <row r="725" ht="15.75" customHeight="1">
      <c r="O725" s="12"/>
      <c r="P725" s="12"/>
      <c r="Q725" s="7"/>
      <c r="R725" s="7"/>
      <c r="S725" s="7"/>
      <c r="T725" s="12"/>
    </row>
    <row r="726" ht="15.75" customHeight="1">
      <c r="O726" s="12"/>
      <c r="P726" s="12"/>
      <c r="Q726" s="7"/>
      <c r="R726" s="7"/>
      <c r="S726" s="7"/>
      <c r="T726" s="12"/>
    </row>
    <row r="727" ht="15.75" customHeight="1">
      <c r="O727" s="12"/>
      <c r="P727" s="12"/>
      <c r="Q727" s="7"/>
      <c r="R727" s="7"/>
      <c r="S727" s="7"/>
      <c r="T727" s="12"/>
    </row>
    <row r="728" ht="15.75" customHeight="1">
      <c r="O728" s="12"/>
      <c r="P728" s="12"/>
      <c r="Q728" s="7"/>
      <c r="R728" s="7"/>
      <c r="S728" s="7"/>
      <c r="T728" s="12"/>
    </row>
    <row r="729" ht="15.75" customHeight="1">
      <c r="O729" s="12"/>
      <c r="P729" s="12"/>
      <c r="Q729" s="7"/>
      <c r="R729" s="7"/>
      <c r="S729" s="7"/>
      <c r="T729" s="12"/>
    </row>
    <row r="730" ht="15.75" customHeight="1">
      <c r="O730" s="12"/>
      <c r="P730" s="12"/>
      <c r="Q730" s="7"/>
      <c r="R730" s="7"/>
      <c r="S730" s="7"/>
      <c r="T730" s="12"/>
    </row>
    <row r="731" ht="15.75" customHeight="1">
      <c r="O731" s="12"/>
      <c r="P731" s="12"/>
      <c r="Q731" s="7"/>
      <c r="R731" s="7"/>
      <c r="S731" s="7"/>
      <c r="T731" s="12"/>
    </row>
    <row r="732" ht="15.75" customHeight="1">
      <c r="O732" s="12"/>
      <c r="P732" s="12"/>
      <c r="Q732" s="7"/>
      <c r="R732" s="7"/>
      <c r="S732" s="7"/>
      <c r="T732" s="12"/>
    </row>
    <row r="733" ht="15.75" customHeight="1">
      <c r="O733" s="12"/>
      <c r="P733" s="12"/>
      <c r="Q733" s="7"/>
      <c r="R733" s="7"/>
      <c r="S733" s="7"/>
      <c r="T733" s="12"/>
    </row>
    <row r="734" ht="15.75" customHeight="1">
      <c r="O734" s="12"/>
      <c r="P734" s="12"/>
      <c r="Q734" s="7"/>
      <c r="R734" s="7"/>
      <c r="S734" s="7"/>
      <c r="T734" s="12"/>
    </row>
    <row r="735" ht="15.75" customHeight="1">
      <c r="O735" s="12"/>
      <c r="P735" s="12"/>
      <c r="Q735" s="7"/>
      <c r="R735" s="7"/>
      <c r="S735" s="7"/>
      <c r="T735" s="12"/>
    </row>
    <row r="736" ht="15.75" customHeight="1">
      <c r="O736" s="12"/>
      <c r="P736" s="12"/>
      <c r="Q736" s="7"/>
      <c r="R736" s="7"/>
      <c r="S736" s="7"/>
      <c r="T736" s="12"/>
    </row>
    <row r="737" ht="15.75" customHeight="1">
      <c r="O737" s="12"/>
      <c r="P737" s="12"/>
      <c r="Q737" s="7"/>
      <c r="R737" s="7"/>
      <c r="S737" s="7"/>
      <c r="T737" s="12"/>
    </row>
    <row r="738" ht="15.75" customHeight="1">
      <c r="O738" s="12"/>
      <c r="P738" s="12"/>
      <c r="Q738" s="7"/>
      <c r="R738" s="7"/>
      <c r="S738" s="7"/>
      <c r="T738" s="12"/>
    </row>
    <row r="739" ht="15.75" customHeight="1">
      <c r="O739" s="12"/>
      <c r="P739" s="12"/>
      <c r="Q739" s="7"/>
      <c r="R739" s="7"/>
      <c r="S739" s="7"/>
      <c r="T739" s="12"/>
    </row>
    <row r="740" ht="15.75" customHeight="1">
      <c r="O740" s="12"/>
      <c r="P740" s="12"/>
      <c r="Q740" s="7"/>
      <c r="R740" s="7"/>
      <c r="S740" s="7"/>
      <c r="T740" s="12"/>
    </row>
    <row r="741" ht="15.75" customHeight="1">
      <c r="O741" s="12"/>
      <c r="P741" s="12"/>
      <c r="Q741" s="7"/>
      <c r="R741" s="7"/>
      <c r="S741" s="7"/>
      <c r="T741" s="12"/>
    </row>
    <row r="742" ht="15.75" customHeight="1">
      <c r="O742" s="12"/>
      <c r="P742" s="12"/>
      <c r="Q742" s="7"/>
      <c r="R742" s="7"/>
      <c r="S742" s="7"/>
      <c r="T742" s="12"/>
    </row>
    <row r="743" ht="15.75" customHeight="1">
      <c r="O743" s="12"/>
      <c r="P743" s="12"/>
      <c r="Q743" s="7"/>
      <c r="R743" s="7"/>
      <c r="S743" s="7"/>
      <c r="T743" s="12"/>
    </row>
    <row r="744" ht="15.75" customHeight="1">
      <c r="O744" s="12"/>
      <c r="P744" s="12"/>
      <c r="Q744" s="7"/>
      <c r="R744" s="7"/>
      <c r="S744" s="7"/>
      <c r="T744" s="12"/>
    </row>
    <row r="745" ht="15.75" customHeight="1">
      <c r="O745" s="12"/>
      <c r="P745" s="12"/>
      <c r="Q745" s="7"/>
      <c r="R745" s="7"/>
      <c r="S745" s="7"/>
      <c r="T745" s="12"/>
    </row>
    <row r="746" ht="15.75" customHeight="1">
      <c r="O746" s="12"/>
      <c r="P746" s="12"/>
      <c r="Q746" s="7"/>
      <c r="R746" s="7"/>
      <c r="S746" s="7"/>
      <c r="T746" s="12"/>
    </row>
    <row r="747" ht="15.75" customHeight="1">
      <c r="O747" s="12"/>
      <c r="P747" s="12"/>
      <c r="Q747" s="7"/>
      <c r="R747" s="7"/>
      <c r="S747" s="7"/>
      <c r="T747" s="12"/>
    </row>
    <row r="748" ht="15.75" customHeight="1">
      <c r="O748" s="12"/>
      <c r="P748" s="12"/>
      <c r="Q748" s="7"/>
      <c r="R748" s="7"/>
      <c r="S748" s="7"/>
      <c r="T748" s="12"/>
    </row>
    <row r="749" ht="15.75" customHeight="1">
      <c r="O749" s="12"/>
      <c r="P749" s="12"/>
      <c r="Q749" s="7"/>
      <c r="R749" s="7"/>
      <c r="S749" s="7"/>
      <c r="T749" s="12"/>
    </row>
    <row r="750" ht="15.75" customHeight="1">
      <c r="O750" s="12"/>
      <c r="P750" s="12"/>
      <c r="Q750" s="7"/>
      <c r="R750" s="7"/>
      <c r="S750" s="7"/>
      <c r="T750" s="12"/>
    </row>
    <row r="751" ht="15.75" customHeight="1">
      <c r="O751" s="12"/>
      <c r="P751" s="12"/>
      <c r="Q751" s="7"/>
      <c r="R751" s="7"/>
      <c r="S751" s="7"/>
      <c r="T751" s="12"/>
    </row>
    <row r="752" ht="15.75" customHeight="1">
      <c r="O752" s="12"/>
      <c r="P752" s="12"/>
      <c r="Q752" s="7"/>
      <c r="R752" s="7"/>
      <c r="S752" s="7"/>
      <c r="T752" s="12"/>
    </row>
    <row r="753" ht="15.75" customHeight="1">
      <c r="O753" s="12"/>
      <c r="P753" s="12"/>
      <c r="Q753" s="7"/>
      <c r="R753" s="7"/>
      <c r="S753" s="7"/>
      <c r="T753" s="12"/>
    </row>
    <row r="754" ht="15.75" customHeight="1">
      <c r="O754" s="12"/>
      <c r="P754" s="12"/>
      <c r="Q754" s="7"/>
      <c r="R754" s="7"/>
      <c r="S754" s="7"/>
      <c r="T754" s="12"/>
    </row>
    <row r="755" ht="15.75" customHeight="1">
      <c r="O755" s="12"/>
      <c r="P755" s="12"/>
      <c r="Q755" s="7"/>
      <c r="R755" s="7"/>
      <c r="S755" s="7"/>
      <c r="T755" s="12"/>
    </row>
    <row r="756" ht="15.75" customHeight="1">
      <c r="O756" s="12"/>
      <c r="P756" s="12"/>
      <c r="Q756" s="7"/>
      <c r="R756" s="7"/>
      <c r="S756" s="7"/>
      <c r="T756" s="12"/>
    </row>
    <row r="757" ht="15.75" customHeight="1">
      <c r="O757" s="12"/>
      <c r="P757" s="12"/>
      <c r="Q757" s="7"/>
      <c r="R757" s="7"/>
      <c r="S757" s="7"/>
      <c r="T757" s="12"/>
    </row>
    <row r="758" ht="15.75" customHeight="1">
      <c r="O758" s="12"/>
      <c r="P758" s="12"/>
      <c r="Q758" s="7"/>
      <c r="R758" s="7"/>
      <c r="S758" s="7"/>
      <c r="T758" s="12"/>
    </row>
    <row r="759" ht="15.75" customHeight="1">
      <c r="O759" s="12"/>
      <c r="P759" s="12"/>
      <c r="Q759" s="7"/>
      <c r="R759" s="7"/>
      <c r="S759" s="7"/>
      <c r="T759" s="12"/>
    </row>
    <row r="760" ht="15.75" customHeight="1">
      <c r="O760" s="12"/>
      <c r="P760" s="12"/>
      <c r="Q760" s="7"/>
      <c r="R760" s="7"/>
      <c r="S760" s="7"/>
      <c r="T760" s="12"/>
    </row>
    <row r="761" ht="15.75" customHeight="1">
      <c r="O761" s="12"/>
      <c r="P761" s="12"/>
      <c r="Q761" s="7"/>
      <c r="R761" s="7"/>
      <c r="S761" s="7"/>
      <c r="T761" s="12"/>
    </row>
    <row r="762" ht="15.75" customHeight="1">
      <c r="O762" s="12"/>
      <c r="P762" s="12"/>
      <c r="Q762" s="7"/>
      <c r="R762" s="7"/>
      <c r="S762" s="7"/>
      <c r="T762" s="12"/>
    </row>
    <row r="763" ht="15.75" customHeight="1">
      <c r="O763" s="12"/>
      <c r="P763" s="12"/>
      <c r="Q763" s="7"/>
      <c r="R763" s="7"/>
      <c r="S763" s="7"/>
      <c r="T763" s="12"/>
    </row>
    <row r="764" ht="15.75" customHeight="1">
      <c r="O764" s="12"/>
      <c r="P764" s="12"/>
      <c r="Q764" s="7"/>
      <c r="R764" s="7"/>
      <c r="S764" s="7"/>
      <c r="T764" s="12"/>
    </row>
    <row r="765" ht="15.75" customHeight="1">
      <c r="O765" s="12"/>
      <c r="P765" s="12"/>
      <c r="Q765" s="7"/>
      <c r="R765" s="7"/>
      <c r="S765" s="7"/>
      <c r="T765" s="12"/>
    </row>
    <row r="766" ht="15.75" customHeight="1">
      <c r="O766" s="12"/>
      <c r="P766" s="12"/>
      <c r="Q766" s="7"/>
      <c r="R766" s="7"/>
      <c r="S766" s="7"/>
      <c r="T766" s="12"/>
    </row>
    <row r="767" ht="15.75" customHeight="1">
      <c r="O767" s="12"/>
      <c r="P767" s="12"/>
      <c r="Q767" s="7"/>
      <c r="R767" s="7"/>
      <c r="S767" s="7"/>
      <c r="T767" s="12"/>
    </row>
    <row r="768" ht="15.75" customHeight="1">
      <c r="O768" s="12"/>
      <c r="P768" s="12"/>
      <c r="Q768" s="7"/>
      <c r="R768" s="7"/>
      <c r="S768" s="7"/>
      <c r="T768" s="12"/>
    </row>
    <row r="769" ht="15.75" customHeight="1">
      <c r="O769" s="12"/>
      <c r="P769" s="12"/>
      <c r="Q769" s="7"/>
      <c r="R769" s="7"/>
      <c r="S769" s="7"/>
      <c r="T769" s="12"/>
    </row>
    <row r="770" ht="15.75" customHeight="1">
      <c r="O770" s="12"/>
      <c r="P770" s="12"/>
      <c r="Q770" s="7"/>
      <c r="R770" s="7"/>
      <c r="S770" s="7"/>
      <c r="T770" s="12"/>
    </row>
    <row r="771" ht="15.75" customHeight="1">
      <c r="O771" s="12"/>
      <c r="P771" s="12"/>
      <c r="Q771" s="7"/>
      <c r="R771" s="7"/>
      <c r="S771" s="7"/>
      <c r="T771" s="12"/>
    </row>
    <row r="772" ht="15.75" customHeight="1">
      <c r="O772" s="12"/>
      <c r="P772" s="12"/>
      <c r="Q772" s="7"/>
      <c r="R772" s="7"/>
      <c r="S772" s="7"/>
      <c r="T772" s="12"/>
    </row>
    <row r="773" ht="15.75" customHeight="1">
      <c r="O773" s="12"/>
      <c r="P773" s="12"/>
      <c r="Q773" s="7"/>
      <c r="R773" s="7"/>
      <c r="S773" s="7"/>
      <c r="T773" s="12"/>
    </row>
    <row r="774" ht="15.75" customHeight="1">
      <c r="O774" s="12"/>
      <c r="P774" s="12"/>
      <c r="Q774" s="7"/>
      <c r="R774" s="7"/>
      <c r="S774" s="7"/>
      <c r="T774" s="12"/>
    </row>
    <row r="775" ht="15.75" customHeight="1">
      <c r="O775" s="12"/>
      <c r="P775" s="12"/>
      <c r="Q775" s="7"/>
      <c r="R775" s="7"/>
      <c r="S775" s="7"/>
      <c r="T775" s="12"/>
    </row>
    <row r="776" ht="15.75" customHeight="1">
      <c r="O776" s="12"/>
      <c r="P776" s="12"/>
      <c r="Q776" s="7"/>
      <c r="R776" s="7"/>
      <c r="S776" s="7"/>
      <c r="T776" s="12"/>
    </row>
    <row r="777" ht="15.75" customHeight="1">
      <c r="O777" s="12"/>
      <c r="P777" s="12"/>
      <c r="Q777" s="7"/>
      <c r="R777" s="7"/>
      <c r="S777" s="7"/>
      <c r="T777" s="12"/>
    </row>
    <row r="778" ht="15.75" customHeight="1">
      <c r="O778" s="12"/>
      <c r="P778" s="12"/>
      <c r="Q778" s="7"/>
      <c r="R778" s="7"/>
      <c r="S778" s="7"/>
      <c r="T778" s="12"/>
    </row>
    <row r="779" ht="15.75" customHeight="1">
      <c r="O779" s="12"/>
      <c r="P779" s="12"/>
      <c r="Q779" s="7"/>
      <c r="R779" s="7"/>
      <c r="S779" s="7"/>
      <c r="T779" s="12"/>
    </row>
    <row r="780" ht="15.75" customHeight="1">
      <c r="O780" s="12"/>
      <c r="P780" s="12"/>
      <c r="Q780" s="7"/>
      <c r="R780" s="7"/>
      <c r="S780" s="7"/>
      <c r="T780" s="12"/>
    </row>
    <row r="781" ht="15.75" customHeight="1">
      <c r="O781" s="12"/>
      <c r="P781" s="12"/>
      <c r="Q781" s="7"/>
      <c r="R781" s="7"/>
      <c r="S781" s="7"/>
      <c r="T781" s="12"/>
    </row>
    <row r="782" ht="15.75" customHeight="1">
      <c r="O782" s="12"/>
      <c r="P782" s="12"/>
      <c r="Q782" s="7"/>
      <c r="R782" s="7"/>
      <c r="S782" s="7"/>
      <c r="T782" s="12"/>
    </row>
    <row r="783" ht="15.75" customHeight="1">
      <c r="O783" s="12"/>
      <c r="P783" s="12"/>
      <c r="Q783" s="7"/>
      <c r="R783" s="7"/>
      <c r="S783" s="7"/>
      <c r="T783" s="12"/>
    </row>
    <row r="784" ht="15.75" customHeight="1">
      <c r="O784" s="12"/>
      <c r="P784" s="12"/>
      <c r="Q784" s="7"/>
      <c r="R784" s="7"/>
      <c r="S784" s="7"/>
      <c r="T784" s="12"/>
    </row>
    <row r="785" ht="15.75" customHeight="1">
      <c r="O785" s="12"/>
      <c r="P785" s="12"/>
      <c r="Q785" s="7"/>
      <c r="R785" s="7"/>
      <c r="S785" s="7"/>
      <c r="T785" s="12"/>
    </row>
    <row r="786" ht="15.75" customHeight="1">
      <c r="O786" s="12"/>
      <c r="P786" s="12"/>
      <c r="Q786" s="7"/>
      <c r="R786" s="7"/>
      <c r="S786" s="7"/>
      <c r="T786" s="12"/>
    </row>
    <row r="787" ht="15.75" customHeight="1">
      <c r="O787" s="12"/>
      <c r="P787" s="12"/>
      <c r="Q787" s="7"/>
      <c r="R787" s="7"/>
      <c r="S787" s="7"/>
      <c r="T787" s="12"/>
    </row>
    <row r="788" ht="15.75" customHeight="1">
      <c r="O788" s="12"/>
      <c r="P788" s="12"/>
      <c r="Q788" s="7"/>
      <c r="R788" s="7"/>
      <c r="S788" s="7"/>
      <c r="T788" s="12"/>
    </row>
    <row r="789" ht="15.75" customHeight="1">
      <c r="O789" s="12"/>
      <c r="P789" s="12"/>
      <c r="Q789" s="7"/>
      <c r="R789" s="7"/>
      <c r="S789" s="7"/>
      <c r="T789" s="12"/>
    </row>
    <row r="790" ht="15.75" customHeight="1">
      <c r="O790" s="12"/>
      <c r="P790" s="12"/>
      <c r="Q790" s="7"/>
      <c r="R790" s="7"/>
      <c r="S790" s="7"/>
      <c r="T790" s="12"/>
    </row>
    <row r="791" ht="15.75" customHeight="1">
      <c r="O791" s="12"/>
      <c r="P791" s="12"/>
      <c r="Q791" s="7"/>
      <c r="R791" s="7"/>
      <c r="S791" s="7"/>
      <c r="T791" s="12"/>
    </row>
    <row r="792" ht="15.75" customHeight="1">
      <c r="O792" s="12"/>
      <c r="P792" s="12"/>
      <c r="Q792" s="7"/>
      <c r="R792" s="7"/>
      <c r="S792" s="7"/>
      <c r="T792" s="12"/>
    </row>
    <row r="793" ht="15.75" customHeight="1">
      <c r="O793" s="12"/>
      <c r="P793" s="12"/>
      <c r="Q793" s="7"/>
      <c r="R793" s="7"/>
      <c r="S793" s="7"/>
      <c r="T793" s="12"/>
    </row>
    <row r="794" ht="15.75" customHeight="1">
      <c r="O794" s="12"/>
      <c r="P794" s="12"/>
      <c r="Q794" s="7"/>
      <c r="R794" s="7"/>
      <c r="S794" s="7"/>
      <c r="T794" s="12"/>
    </row>
    <row r="795" ht="15.75" customHeight="1">
      <c r="O795" s="12"/>
      <c r="P795" s="12"/>
      <c r="Q795" s="7"/>
      <c r="R795" s="7"/>
      <c r="S795" s="7"/>
      <c r="T795" s="12"/>
    </row>
    <row r="796" ht="15.75" customHeight="1">
      <c r="O796" s="12"/>
      <c r="P796" s="12"/>
      <c r="Q796" s="7"/>
      <c r="R796" s="7"/>
      <c r="S796" s="7"/>
      <c r="T796" s="12"/>
    </row>
    <row r="797" ht="15.75" customHeight="1">
      <c r="O797" s="12"/>
      <c r="P797" s="12"/>
      <c r="Q797" s="7"/>
      <c r="R797" s="7"/>
      <c r="S797" s="7"/>
      <c r="T797" s="12"/>
    </row>
    <row r="798" ht="15.75" customHeight="1">
      <c r="O798" s="12"/>
      <c r="P798" s="12"/>
      <c r="Q798" s="7"/>
      <c r="R798" s="7"/>
      <c r="S798" s="7"/>
      <c r="T798" s="12"/>
    </row>
    <row r="799" ht="15.75" customHeight="1">
      <c r="O799" s="12"/>
      <c r="P799" s="12"/>
      <c r="Q799" s="7"/>
      <c r="R799" s="7"/>
      <c r="S799" s="7"/>
      <c r="T799" s="12"/>
    </row>
    <row r="800" ht="15.75" customHeight="1">
      <c r="O800" s="12"/>
      <c r="P800" s="12"/>
      <c r="Q800" s="7"/>
      <c r="R800" s="7"/>
      <c r="S800" s="7"/>
      <c r="T800" s="12"/>
    </row>
    <row r="801" ht="15.75" customHeight="1">
      <c r="O801" s="12"/>
      <c r="P801" s="12"/>
      <c r="Q801" s="7"/>
      <c r="R801" s="7"/>
      <c r="S801" s="7"/>
      <c r="T801" s="12"/>
    </row>
    <row r="802" ht="15.75" customHeight="1">
      <c r="O802" s="12"/>
      <c r="P802" s="12"/>
      <c r="Q802" s="7"/>
      <c r="R802" s="7"/>
      <c r="S802" s="7"/>
      <c r="T802" s="12"/>
    </row>
    <row r="803" ht="15.75" customHeight="1">
      <c r="O803" s="12"/>
      <c r="P803" s="12"/>
      <c r="Q803" s="7"/>
      <c r="R803" s="7"/>
      <c r="S803" s="7"/>
      <c r="T803" s="12"/>
    </row>
    <row r="804" ht="15.75" customHeight="1">
      <c r="O804" s="12"/>
      <c r="P804" s="12"/>
      <c r="Q804" s="7"/>
      <c r="R804" s="7"/>
      <c r="S804" s="7"/>
      <c r="T804" s="12"/>
    </row>
    <row r="805" ht="15.75" customHeight="1">
      <c r="O805" s="12"/>
      <c r="P805" s="12"/>
      <c r="Q805" s="7"/>
      <c r="R805" s="7"/>
      <c r="S805" s="7"/>
      <c r="T805" s="12"/>
    </row>
    <row r="806" ht="15.75" customHeight="1">
      <c r="O806" s="12"/>
      <c r="P806" s="12"/>
      <c r="Q806" s="7"/>
      <c r="R806" s="7"/>
      <c r="S806" s="7"/>
      <c r="T806" s="12"/>
    </row>
    <row r="807" ht="15.75" customHeight="1">
      <c r="O807" s="12"/>
      <c r="P807" s="12"/>
      <c r="Q807" s="7"/>
      <c r="R807" s="7"/>
      <c r="S807" s="7"/>
      <c r="T807" s="12"/>
    </row>
    <row r="808" ht="15.75" customHeight="1">
      <c r="O808" s="12"/>
      <c r="P808" s="12"/>
      <c r="Q808" s="7"/>
      <c r="R808" s="7"/>
      <c r="S808" s="7"/>
      <c r="T808" s="12"/>
    </row>
    <row r="809" ht="15.75" customHeight="1">
      <c r="O809" s="12"/>
      <c r="P809" s="12"/>
      <c r="Q809" s="7"/>
      <c r="R809" s="7"/>
      <c r="S809" s="7"/>
      <c r="T809" s="12"/>
    </row>
    <row r="810" ht="15.75" customHeight="1">
      <c r="O810" s="12"/>
      <c r="P810" s="12"/>
      <c r="Q810" s="7"/>
      <c r="R810" s="7"/>
      <c r="S810" s="7"/>
      <c r="T810" s="12"/>
    </row>
    <row r="811" ht="15.75" customHeight="1">
      <c r="O811" s="12"/>
      <c r="P811" s="12"/>
      <c r="Q811" s="7"/>
      <c r="R811" s="7"/>
      <c r="S811" s="7"/>
      <c r="T811" s="12"/>
    </row>
    <row r="812" ht="15.75" customHeight="1">
      <c r="O812" s="12"/>
      <c r="P812" s="12"/>
      <c r="Q812" s="7"/>
      <c r="R812" s="7"/>
      <c r="S812" s="7"/>
      <c r="T812" s="12"/>
    </row>
    <row r="813" ht="15.75" customHeight="1">
      <c r="O813" s="12"/>
      <c r="P813" s="12"/>
      <c r="Q813" s="7"/>
      <c r="R813" s="7"/>
      <c r="S813" s="7"/>
      <c r="T813" s="12"/>
    </row>
    <row r="814" ht="15.75" customHeight="1">
      <c r="O814" s="12"/>
      <c r="P814" s="12"/>
      <c r="Q814" s="7"/>
      <c r="R814" s="7"/>
      <c r="S814" s="7"/>
      <c r="T814" s="12"/>
    </row>
    <row r="815" ht="15.75" customHeight="1">
      <c r="O815" s="12"/>
      <c r="P815" s="12"/>
      <c r="Q815" s="7"/>
      <c r="R815" s="7"/>
      <c r="S815" s="7"/>
      <c r="T815" s="12"/>
    </row>
    <row r="816" ht="15.75" customHeight="1">
      <c r="O816" s="12"/>
      <c r="P816" s="12"/>
      <c r="Q816" s="7"/>
      <c r="R816" s="7"/>
      <c r="S816" s="7"/>
      <c r="T816" s="12"/>
    </row>
    <row r="817" ht="15.75" customHeight="1">
      <c r="O817" s="12"/>
      <c r="P817" s="12"/>
      <c r="Q817" s="7"/>
      <c r="R817" s="7"/>
      <c r="S817" s="7"/>
      <c r="T817" s="12"/>
    </row>
    <row r="818" ht="15.75" customHeight="1">
      <c r="O818" s="12"/>
      <c r="P818" s="12"/>
      <c r="Q818" s="7"/>
      <c r="R818" s="7"/>
      <c r="S818" s="7"/>
      <c r="T818" s="12"/>
    </row>
    <row r="819" ht="15.75" customHeight="1">
      <c r="O819" s="12"/>
      <c r="P819" s="12"/>
      <c r="Q819" s="7"/>
      <c r="R819" s="7"/>
      <c r="S819" s="7"/>
      <c r="T819" s="12"/>
    </row>
    <row r="820" ht="15.75" customHeight="1">
      <c r="O820" s="12"/>
      <c r="P820" s="12"/>
      <c r="Q820" s="7"/>
      <c r="R820" s="7"/>
      <c r="S820" s="7"/>
      <c r="T820" s="12"/>
    </row>
    <row r="821" ht="15.75" customHeight="1">
      <c r="O821" s="12"/>
      <c r="P821" s="12"/>
      <c r="Q821" s="7"/>
      <c r="R821" s="7"/>
      <c r="S821" s="7"/>
      <c r="T821" s="12"/>
    </row>
    <row r="822" ht="15.75" customHeight="1">
      <c r="O822" s="12"/>
      <c r="P822" s="12"/>
      <c r="Q822" s="7"/>
      <c r="R822" s="7"/>
      <c r="S822" s="7"/>
      <c r="T822" s="12"/>
    </row>
    <row r="823" ht="15.75" customHeight="1">
      <c r="O823" s="12"/>
      <c r="P823" s="12"/>
      <c r="Q823" s="7"/>
      <c r="R823" s="7"/>
      <c r="S823" s="7"/>
      <c r="T823" s="12"/>
    </row>
    <row r="824" ht="15.75" customHeight="1">
      <c r="O824" s="12"/>
      <c r="P824" s="12"/>
      <c r="Q824" s="7"/>
      <c r="R824" s="7"/>
      <c r="S824" s="7"/>
      <c r="T824" s="12"/>
    </row>
    <row r="825" ht="15.75" customHeight="1">
      <c r="O825" s="12"/>
      <c r="P825" s="12"/>
      <c r="Q825" s="7"/>
      <c r="R825" s="7"/>
      <c r="S825" s="7"/>
      <c r="T825" s="12"/>
    </row>
    <row r="826" ht="15.75" customHeight="1">
      <c r="O826" s="12"/>
      <c r="P826" s="12"/>
      <c r="Q826" s="7"/>
      <c r="R826" s="7"/>
      <c r="S826" s="7"/>
      <c r="T826" s="12"/>
    </row>
    <row r="827" ht="15.75" customHeight="1">
      <c r="O827" s="12"/>
      <c r="P827" s="12"/>
      <c r="Q827" s="7"/>
      <c r="R827" s="7"/>
      <c r="S827" s="7"/>
      <c r="T827" s="12"/>
    </row>
    <row r="828" ht="15.75" customHeight="1">
      <c r="O828" s="12"/>
      <c r="P828" s="12"/>
      <c r="Q828" s="7"/>
      <c r="R828" s="7"/>
      <c r="S828" s="7"/>
      <c r="T828" s="12"/>
    </row>
    <row r="829" ht="15.75" customHeight="1">
      <c r="O829" s="12"/>
      <c r="P829" s="12"/>
      <c r="Q829" s="7"/>
      <c r="R829" s="7"/>
      <c r="S829" s="7"/>
      <c r="T829" s="12"/>
    </row>
    <row r="830" ht="15.75" customHeight="1">
      <c r="O830" s="12"/>
      <c r="P830" s="12"/>
      <c r="Q830" s="7"/>
      <c r="R830" s="7"/>
      <c r="S830" s="7"/>
      <c r="T830" s="12"/>
    </row>
    <row r="831" ht="15.75" customHeight="1">
      <c r="O831" s="12"/>
      <c r="P831" s="12"/>
      <c r="Q831" s="7"/>
      <c r="R831" s="7"/>
      <c r="S831" s="7"/>
      <c r="T831" s="12"/>
    </row>
    <row r="832" ht="15.75" customHeight="1">
      <c r="O832" s="12"/>
      <c r="P832" s="12"/>
      <c r="Q832" s="7"/>
      <c r="R832" s="7"/>
      <c r="S832" s="7"/>
      <c r="T832" s="12"/>
    </row>
    <row r="833" ht="15.75" customHeight="1">
      <c r="O833" s="12"/>
      <c r="P833" s="12"/>
      <c r="Q833" s="7"/>
      <c r="R833" s="7"/>
      <c r="S833" s="7"/>
      <c r="T833" s="12"/>
    </row>
    <row r="834" ht="15.75" customHeight="1">
      <c r="O834" s="12"/>
      <c r="P834" s="12"/>
      <c r="Q834" s="7"/>
      <c r="R834" s="7"/>
      <c r="S834" s="7"/>
      <c r="T834" s="12"/>
    </row>
    <row r="835" ht="15.75" customHeight="1">
      <c r="O835" s="12"/>
      <c r="P835" s="12"/>
      <c r="Q835" s="7"/>
      <c r="R835" s="7"/>
      <c r="S835" s="7"/>
      <c r="T835" s="12"/>
    </row>
    <row r="836" ht="15.75" customHeight="1">
      <c r="O836" s="12"/>
      <c r="P836" s="12"/>
      <c r="Q836" s="7"/>
      <c r="R836" s="7"/>
      <c r="S836" s="7"/>
      <c r="T836" s="12"/>
    </row>
    <row r="837" ht="15.75" customHeight="1">
      <c r="O837" s="12"/>
      <c r="P837" s="12"/>
      <c r="Q837" s="7"/>
      <c r="R837" s="7"/>
      <c r="S837" s="7"/>
      <c r="T837" s="12"/>
    </row>
    <row r="838" ht="15.75" customHeight="1">
      <c r="O838" s="12"/>
      <c r="P838" s="12"/>
      <c r="Q838" s="7"/>
      <c r="R838" s="7"/>
      <c r="S838" s="7"/>
      <c r="T838" s="12"/>
    </row>
    <row r="839" ht="15.75" customHeight="1">
      <c r="O839" s="12"/>
      <c r="P839" s="12"/>
      <c r="Q839" s="7"/>
      <c r="R839" s="7"/>
      <c r="S839" s="7"/>
      <c r="T839" s="12"/>
    </row>
    <row r="840" ht="15.75" customHeight="1">
      <c r="O840" s="12"/>
      <c r="P840" s="12"/>
      <c r="Q840" s="7"/>
      <c r="R840" s="7"/>
      <c r="S840" s="7"/>
      <c r="T840" s="12"/>
    </row>
    <row r="841" ht="15.75" customHeight="1">
      <c r="O841" s="12"/>
      <c r="P841" s="12"/>
      <c r="Q841" s="7"/>
      <c r="R841" s="7"/>
      <c r="S841" s="7"/>
      <c r="T841" s="12"/>
    </row>
    <row r="842" ht="15.75" customHeight="1">
      <c r="O842" s="12"/>
      <c r="P842" s="12"/>
      <c r="Q842" s="7"/>
      <c r="R842" s="7"/>
      <c r="S842" s="7"/>
      <c r="T842" s="12"/>
    </row>
    <row r="843" ht="15.75" customHeight="1">
      <c r="O843" s="12"/>
      <c r="P843" s="12"/>
      <c r="Q843" s="7"/>
      <c r="R843" s="7"/>
      <c r="S843" s="7"/>
      <c r="T843" s="12"/>
    </row>
    <row r="844" ht="15.75" customHeight="1">
      <c r="O844" s="12"/>
      <c r="P844" s="12"/>
      <c r="Q844" s="7"/>
      <c r="R844" s="7"/>
      <c r="S844" s="7"/>
      <c r="T844" s="12"/>
    </row>
    <row r="845" ht="15.75" customHeight="1">
      <c r="O845" s="12"/>
      <c r="P845" s="12"/>
      <c r="Q845" s="7"/>
      <c r="R845" s="7"/>
      <c r="S845" s="7"/>
      <c r="T845" s="12"/>
    </row>
    <row r="846" ht="15.75" customHeight="1">
      <c r="O846" s="12"/>
      <c r="P846" s="12"/>
      <c r="Q846" s="7"/>
      <c r="R846" s="7"/>
      <c r="S846" s="7"/>
      <c r="T846" s="12"/>
    </row>
    <row r="847" ht="15.75" customHeight="1">
      <c r="O847" s="12"/>
      <c r="P847" s="12"/>
      <c r="Q847" s="7"/>
      <c r="R847" s="7"/>
      <c r="S847" s="7"/>
      <c r="T847" s="12"/>
    </row>
    <row r="848" ht="15.75" customHeight="1">
      <c r="O848" s="12"/>
      <c r="P848" s="12"/>
      <c r="Q848" s="7"/>
      <c r="R848" s="7"/>
      <c r="S848" s="7"/>
      <c r="T848" s="12"/>
    </row>
    <row r="849" ht="15.75" customHeight="1">
      <c r="O849" s="12"/>
      <c r="P849" s="12"/>
      <c r="Q849" s="7"/>
      <c r="R849" s="7"/>
      <c r="S849" s="7"/>
      <c r="T849" s="12"/>
    </row>
    <row r="850" ht="15.75" customHeight="1">
      <c r="O850" s="12"/>
      <c r="P850" s="12"/>
      <c r="Q850" s="7"/>
      <c r="R850" s="7"/>
      <c r="S850" s="7"/>
      <c r="T850" s="12"/>
    </row>
    <row r="851" ht="15.75" customHeight="1">
      <c r="O851" s="12"/>
      <c r="P851" s="12"/>
      <c r="Q851" s="7"/>
      <c r="R851" s="7"/>
      <c r="S851" s="7"/>
      <c r="T851" s="12"/>
    </row>
    <row r="852" ht="15.75" customHeight="1">
      <c r="O852" s="12"/>
      <c r="P852" s="12"/>
      <c r="Q852" s="7"/>
      <c r="R852" s="7"/>
      <c r="S852" s="7"/>
      <c r="T852" s="12"/>
    </row>
    <row r="853" ht="15.75" customHeight="1">
      <c r="O853" s="12"/>
      <c r="P853" s="12"/>
      <c r="Q853" s="7"/>
      <c r="R853" s="7"/>
      <c r="S853" s="7"/>
      <c r="T853" s="12"/>
    </row>
    <row r="854" ht="15.75" customHeight="1">
      <c r="O854" s="12"/>
      <c r="P854" s="12"/>
      <c r="Q854" s="7"/>
      <c r="R854" s="7"/>
      <c r="S854" s="7"/>
      <c r="T854" s="12"/>
    </row>
    <row r="855" ht="15.75" customHeight="1">
      <c r="O855" s="12"/>
      <c r="P855" s="12"/>
      <c r="Q855" s="7"/>
      <c r="R855" s="7"/>
      <c r="S855" s="7"/>
      <c r="T855" s="12"/>
    </row>
    <row r="856" ht="15.75" customHeight="1">
      <c r="O856" s="12"/>
      <c r="P856" s="12"/>
      <c r="Q856" s="7"/>
      <c r="R856" s="7"/>
      <c r="S856" s="7"/>
      <c r="T856" s="12"/>
    </row>
    <row r="857" ht="15.75" customHeight="1">
      <c r="O857" s="12"/>
      <c r="P857" s="12"/>
      <c r="Q857" s="7"/>
      <c r="R857" s="7"/>
      <c r="S857" s="7"/>
      <c r="T857" s="12"/>
    </row>
    <row r="858" ht="15.75" customHeight="1">
      <c r="O858" s="12"/>
      <c r="P858" s="12"/>
      <c r="Q858" s="7"/>
      <c r="R858" s="7"/>
      <c r="S858" s="7"/>
      <c r="T858" s="12"/>
    </row>
    <row r="859" ht="15.75" customHeight="1">
      <c r="O859" s="12"/>
      <c r="P859" s="12"/>
      <c r="Q859" s="7"/>
      <c r="R859" s="7"/>
      <c r="S859" s="7"/>
      <c r="T859" s="12"/>
    </row>
    <row r="860" ht="15.75" customHeight="1">
      <c r="O860" s="12"/>
      <c r="P860" s="12"/>
      <c r="Q860" s="7"/>
      <c r="R860" s="7"/>
      <c r="S860" s="7"/>
      <c r="T860" s="12"/>
    </row>
    <row r="861" ht="15.75" customHeight="1">
      <c r="O861" s="12"/>
      <c r="P861" s="12"/>
      <c r="Q861" s="7"/>
      <c r="R861" s="7"/>
      <c r="S861" s="7"/>
      <c r="T861" s="12"/>
    </row>
    <row r="862" ht="15.75" customHeight="1">
      <c r="O862" s="12"/>
      <c r="P862" s="12"/>
      <c r="Q862" s="7"/>
      <c r="R862" s="7"/>
      <c r="S862" s="7"/>
      <c r="T862" s="12"/>
    </row>
    <row r="863" ht="15.75" customHeight="1">
      <c r="O863" s="12"/>
      <c r="P863" s="12"/>
      <c r="Q863" s="7"/>
      <c r="R863" s="7"/>
      <c r="S863" s="7"/>
      <c r="T863" s="12"/>
    </row>
    <row r="864" ht="15.75" customHeight="1">
      <c r="O864" s="12"/>
      <c r="P864" s="12"/>
      <c r="Q864" s="7"/>
      <c r="R864" s="7"/>
      <c r="S864" s="7"/>
      <c r="T864" s="12"/>
    </row>
    <row r="865" ht="15.75" customHeight="1">
      <c r="O865" s="12"/>
      <c r="P865" s="12"/>
      <c r="Q865" s="7"/>
      <c r="R865" s="7"/>
      <c r="S865" s="7"/>
      <c r="T865" s="12"/>
    </row>
    <row r="866" ht="15.75" customHeight="1">
      <c r="O866" s="12"/>
      <c r="P866" s="12"/>
      <c r="Q866" s="7"/>
      <c r="R866" s="7"/>
      <c r="S866" s="7"/>
      <c r="T866" s="12"/>
    </row>
    <row r="867" ht="15.75" customHeight="1">
      <c r="O867" s="12"/>
      <c r="P867" s="12"/>
      <c r="Q867" s="7"/>
      <c r="R867" s="7"/>
      <c r="S867" s="7"/>
      <c r="T867" s="12"/>
    </row>
    <row r="868" ht="15.75" customHeight="1">
      <c r="O868" s="12"/>
      <c r="P868" s="12"/>
      <c r="Q868" s="7"/>
      <c r="R868" s="7"/>
      <c r="S868" s="7"/>
      <c r="T868" s="12"/>
    </row>
    <row r="869" ht="15.75" customHeight="1">
      <c r="O869" s="12"/>
      <c r="P869" s="12"/>
      <c r="Q869" s="7"/>
      <c r="R869" s="7"/>
      <c r="S869" s="7"/>
      <c r="T869" s="12"/>
    </row>
    <row r="870" ht="15.75" customHeight="1">
      <c r="O870" s="12"/>
      <c r="P870" s="12"/>
      <c r="Q870" s="7"/>
      <c r="R870" s="7"/>
      <c r="S870" s="7"/>
      <c r="T870" s="12"/>
    </row>
    <row r="871" ht="15.75" customHeight="1">
      <c r="O871" s="12"/>
      <c r="P871" s="12"/>
      <c r="Q871" s="7"/>
      <c r="R871" s="7"/>
      <c r="S871" s="7"/>
      <c r="T871" s="12"/>
    </row>
    <row r="872" ht="15.75" customHeight="1">
      <c r="O872" s="12"/>
      <c r="P872" s="12"/>
      <c r="Q872" s="7"/>
      <c r="R872" s="7"/>
      <c r="S872" s="7"/>
      <c r="T872" s="12"/>
    </row>
    <row r="873" ht="15.75" customHeight="1">
      <c r="O873" s="12"/>
      <c r="P873" s="12"/>
      <c r="Q873" s="7"/>
      <c r="R873" s="7"/>
      <c r="S873" s="7"/>
      <c r="T873" s="12"/>
    </row>
    <row r="874" ht="15.75" customHeight="1">
      <c r="O874" s="12"/>
      <c r="P874" s="12"/>
      <c r="Q874" s="7"/>
      <c r="R874" s="7"/>
      <c r="S874" s="7"/>
      <c r="T874" s="12"/>
    </row>
    <row r="875" ht="15.75" customHeight="1">
      <c r="O875" s="12"/>
      <c r="P875" s="12"/>
      <c r="Q875" s="7"/>
      <c r="R875" s="7"/>
      <c r="S875" s="7"/>
      <c r="T875" s="12"/>
    </row>
    <row r="876" ht="15.75" customHeight="1">
      <c r="O876" s="12"/>
      <c r="P876" s="12"/>
      <c r="Q876" s="7"/>
      <c r="R876" s="7"/>
      <c r="S876" s="7"/>
      <c r="T876" s="12"/>
    </row>
    <row r="877" ht="15.75" customHeight="1">
      <c r="O877" s="12"/>
      <c r="P877" s="12"/>
      <c r="Q877" s="7"/>
      <c r="R877" s="7"/>
      <c r="S877" s="7"/>
      <c r="T877" s="12"/>
    </row>
    <row r="878" ht="15.75" customHeight="1">
      <c r="O878" s="12"/>
      <c r="P878" s="12"/>
      <c r="Q878" s="7"/>
      <c r="R878" s="7"/>
      <c r="S878" s="7"/>
      <c r="T878" s="12"/>
    </row>
    <row r="879" ht="15.75" customHeight="1">
      <c r="O879" s="12"/>
      <c r="P879" s="12"/>
      <c r="Q879" s="7"/>
      <c r="R879" s="7"/>
      <c r="S879" s="7"/>
      <c r="T879" s="12"/>
    </row>
    <row r="880" ht="15.75" customHeight="1">
      <c r="O880" s="12"/>
      <c r="P880" s="12"/>
      <c r="Q880" s="7"/>
      <c r="R880" s="7"/>
      <c r="S880" s="7"/>
      <c r="T880" s="12"/>
    </row>
    <row r="881" ht="15.75" customHeight="1">
      <c r="O881" s="12"/>
      <c r="P881" s="12"/>
      <c r="Q881" s="7"/>
      <c r="R881" s="7"/>
      <c r="S881" s="7"/>
      <c r="T881" s="12"/>
    </row>
    <row r="882" ht="15.75" customHeight="1">
      <c r="O882" s="12"/>
      <c r="P882" s="12"/>
      <c r="Q882" s="7"/>
      <c r="R882" s="7"/>
      <c r="S882" s="7"/>
      <c r="T882" s="12"/>
    </row>
    <row r="883" ht="15.75" customHeight="1">
      <c r="O883" s="12"/>
      <c r="P883" s="12"/>
      <c r="Q883" s="7"/>
      <c r="R883" s="7"/>
      <c r="S883" s="7"/>
      <c r="T883" s="12"/>
    </row>
    <row r="884" ht="15.75" customHeight="1">
      <c r="O884" s="12"/>
      <c r="P884" s="12"/>
      <c r="Q884" s="7"/>
      <c r="R884" s="7"/>
      <c r="S884" s="7"/>
      <c r="T884" s="12"/>
    </row>
    <row r="885" ht="15.75" customHeight="1">
      <c r="O885" s="12"/>
      <c r="P885" s="12"/>
      <c r="Q885" s="7"/>
      <c r="R885" s="7"/>
      <c r="S885" s="7"/>
      <c r="T885" s="12"/>
    </row>
    <row r="886" ht="15.75" customHeight="1">
      <c r="O886" s="12"/>
      <c r="P886" s="12"/>
      <c r="Q886" s="7"/>
      <c r="R886" s="7"/>
      <c r="S886" s="7"/>
      <c r="T886" s="12"/>
    </row>
    <row r="887" ht="15.75" customHeight="1">
      <c r="O887" s="12"/>
      <c r="P887" s="12"/>
      <c r="Q887" s="7"/>
      <c r="R887" s="7"/>
      <c r="S887" s="7"/>
      <c r="T887" s="12"/>
    </row>
    <row r="888" ht="15.75" customHeight="1">
      <c r="O888" s="12"/>
      <c r="P888" s="12"/>
      <c r="Q888" s="7"/>
      <c r="R888" s="7"/>
      <c r="S888" s="7"/>
      <c r="T888" s="12"/>
    </row>
    <row r="889" ht="15.75" customHeight="1">
      <c r="O889" s="12"/>
      <c r="P889" s="12"/>
      <c r="Q889" s="7"/>
      <c r="R889" s="7"/>
      <c r="S889" s="7"/>
      <c r="T889" s="12"/>
    </row>
    <row r="890" ht="15.75" customHeight="1">
      <c r="O890" s="12"/>
      <c r="P890" s="12"/>
      <c r="Q890" s="7"/>
      <c r="R890" s="7"/>
      <c r="S890" s="7"/>
      <c r="T890" s="12"/>
    </row>
    <row r="891" ht="15.75" customHeight="1">
      <c r="O891" s="12"/>
      <c r="P891" s="12"/>
      <c r="Q891" s="7"/>
      <c r="R891" s="7"/>
      <c r="S891" s="7"/>
      <c r="T891" s="12"/>
    </row>
    <row r="892" ht="15.75" customHeight="1">
      <c r="O892" s="12"/>
      <c r="P892" s="12"/>
      <c r="Q892" s="7"/>
      <c r="R892" s="7"/>
      <c r="S892" s="7"/>
      <c r="T892" s="12"/>
    </row>
    <row r="893" ht="15.75" customHeight="1">
      <c r="O893" s="12"/>
      <c r="P893" s="12"/>
      <c r="Q893" s="7"/>
      <c r="R893" s="7"/>
      <c r="S893" s="7"/>
      <c r="T893" s="12"/>
    </row>
    <row r="894" ht="15.75" customHeight="1">
      <c r="O894" s="12"/>
      <c r="P894" s="12"/>
      <c r="Q894" s="7"/>
      <c r="R894" s="7"/>
      <c r="S894" s="7"/>
      <c r="T894" s="12"/>
    </row>
    <row r="895" ht="15.75" customHeight="1">
      <c r="O895" s="12"/>
      <c r="P895" s="12"/>
      <c r="Q895" s="7"/>
      <c r="R895" s="7"/>
      <c r="S895" s="7"/>
      <c r="T895" s="12"/>
    </row>
    <row r="896" ht="15.75" customHeight="1">
      <c r="O896" s="12"/>
      <c r="P896" s="12"/>
      <c r="Q896" s="7"/>
      <c r="R896" s="7"/>
      <c r="S896" s="7"/>
      <c r="T896" s="12"/>
    </row>
    <row r="897" ht="15.75" customHeight="1">
      <c r="O897" s="12"/>
      <c r="P897" s="12"/>
      <c r="Q897" s="7"/>
      <c r="R897" s="7"/>
      <c r="S897" s="7"/>
      <c r="T897" s="12"/>
    </row>
    <row r="898" ht="15.75" customHeight="1">
      <c r="O898" s="12"/>
      <c r="P898" s="12"/>
      <c r="Q898" s="7"/>
      <c r="R898" s="7"/>
      <c r="S898" s="7"/>
      <c r="T898" s="12"/>
    </row>
    <row r="899" ht="15.75" customHeight="1">
      <c r="O899" s="12"/>
      <c r="P899" s="12"/>
      <c r="Q899" s="7"/>
      <c r="R899" s="7"/>
      <c r="S899" s="7"/>
      <c r="T899" s="12"/>
    </row>
    <row r="900" ht="15.75" customHeight="1">
      <c r="O900" s="12"/>
      <c r="P900" s="12"/>
      <c r="Q900" s="7"/>
      <c r="R900" s="7"/>
      <c r="S900" s="7"/>
      <c r="T900" s="12"/>
    </row>
    <row r="901" ht="15.75" customHeight="1">
      <c r="O901" s="12"/>
      <c r="P901" s="12"/>
      <c r="Q901" s="7"/>
      <c r="R901" s="7"/>
      <c r="S901" s="7"/>
      <c r="T901" s="12"/>
    </row>
    <row r="902" ht="15.75" customHeight="1">
      <c r="O902" s="12"/>
      <c r="P902" s="12"/>
      <c r="Q902" s="7"/>
      <c r="R902" s="7"/>
      <c r="S902" s="7"/>
      <c r="T902" s="12"/>
    </row>
    <row r="903" ht="15.75" customHeight="1">
      <c r="O903" s="12"/>
      <c r="P903" s="12"/>
      <c r="Q903" s="7"/>
      <c r="R903" s="7"/>
      <c r="S903" s="7"/>
      <c r="T903" s="12"/>
    </row>
    <row r="904" ht="15.75" customHeight="1">
      <c r="O904" s="12"/>
      <c r="P904" s="12"/>
      <c r="Q904" s="7"/>
      <c r="R904" s="7"/>
      <c r="S904" s="7"/>
      <c r="T904" s="12"/>
    </row>
    <row r="905" ht="15.75" customHeight="1">
      <c r="O905" s="12"/>
      <c r="P905" s="12"/>
      <c r="Q905" s="7"/>
      <c r="R905" s="7"/>
      <c r="S905" s="7"/>
      <c r="T905" s="12"/>
    </row>
    <row r="906" ht="15.75" customHeight="1">
      <c r="O906" s="12"/>
      <c r="P906" s="12"/>
      <c r="Q906" s="7"/>
      <c r="R906" s="7"/>
      <c r="S906" s="7"/>
      <c r="T906" s="12"/>
    </row>
    <row r="907" ht="15.75" customHeight="1">
      <c r="O907" s="12"/>
      <c r="P907" s="12"/>
      <c r="Q907" s="7"/>
      <c r="R907" s="7"/>
      <c r="S907" s="7"/>
      <c r="T907" s="12"/>
    </row>
    <row r="908" ht="15.75" customHeight="1">
      <c r="O908" s="12"/>
      <c r="P908" s="12"/>
      <c r="Q908" s="7"/>
      <c r="R908" s="7"/>
      <c r="S908" s="7"/>
      <c r="T908" s="12"/>
    </row>
    <row r="909" ht="15.75" customHeight="1">
      <c r="O909" s="12"/>
      <c r="P909" s="12"/>
      <c r="Q909" s="7"/>
      <c r="R909" s="7"/>
      <c r="S909" s="7"/>
      <c r="T909" s="12"/>
    </row>
    <row r="910" ht="15.75" customHeight="1">
      <c r="O910" s="12"/>
      <c r="P910" s="12"/>
      <c r="Q910" s="7"/>
      <c r="R910" s="7"/>
      <c r="S910" s="7"/>
      <c r="T910" s="12"/>
    </row>
    <row r="911" ht="15.75" customHeight="1">
      <c r="O911" s="12"/>
      <c r="P911" s="12"/>
      <c r="Q911" s="7"/>
      <c r="R911" s="7"/>
      <c r="S911" s="7"/>
      <c r="T911" s="12"/>
    </row>
    <row r="912" ht="15.75" customHeight="1">
      <c r="O912" s="12"/>
      <c r="P912" s="12"/>
      <c r="Q912" s="7"/>
      <c r="R912" s="7"/>
      <c r="S912" s="7"/>
      <c r="T912" s="12"/>
    </row>
    <row r="913" ht="15.75" customHeight="1">
      <c r="O913" s="12"/>
      <c r="P913" s="12"/>
      <c r="Q913" s="7"/>
      <c r="R913" s="7"/>
      <c r="S913" s="7"/>
      <c r="T913" s="12"/>
    </row>
    <row r="914" ht="15.75" customHeight="1">
      <c r="O914" s="12"/>
      <c r="P914" s="12"/>
      <c r="Q914" s="7"/>
      <c r="R914" s="7"/>
      <c r="S914" s="7"/>
      <c r="T914" s="12"/>
    </row>
    <row r="915" ht="15.75" customHeight="1">
      <c r="O915" s="12"/>
      <c r="P915" s="12"/>
      <c r="Q915" s="7"/>
      <c r="R915" s="7"/>
      <c r="S915" s="7"/>
      <c r="T915" s="12"/>
    </row>
    <row r="916" ht="15.75" customHeight="1">
      <c r="O916" s="12"/>
      <c r="P916" s="12"/>
      <c r="Q916" s="7"/>
      <c r="R916" s="7"/>
      <c r="S916" s="7"/>
      <c r="T916" s="12"/>
    </row>
    <row r="917" ht="15.75" customHeight="1">
      <c r="O917" s="12"/>
      <c r="P917" s="12"/>
      <c r="Q917" s="7"/>
      <c r="R917" s="7"/>
      <c r="S917" s="7"/>
      <c r="T917" s="12"/>
    </row>
    <row r="918" ht="15.75" customHeight="1">
      <c r="O918" s="12"/>
      <c r="P918" s="12"/>
      <c r="Q918" s="7"/>
      <c r="R918" s="7"/>
      <c r="S918" s="7"/>
      <c r="T918" s="12"/>
    </row>
    <row r="919" ht="15.75" customHeight="1">
      <c r="O919" s="12"/>
      <c r="P919" s="12"/>
      <c r="Q919" s="7"/>
      <c r="R919" s="7"/>
      <c r="S919" s="7"/>
      <c r="T919" s="12"/>
    </row>
    <row r="920" ht="15.75" customHeight="1">
      <c r="O920" s="12"/>
      <c r="P920" s="12"/>
      <c r="Q920" s="7"/>
      <c r="R920" s="7"/>
      <c r="S920" s="7"/>
      <c r="T920" s="12"/>
    </row>
    <row r="921" ht="15.75" customHeight="1">
      <c r="O921" s="12"/>
      <c r="P921" s="12"/>
      <c r="Q921" s="7"/>
      <c r="R921" s="7"/>
      <c r="S921" s="7"/>
      <c r="T921" s="12"/>
    </row>
    <row r="922" ht="15.75" customHeight="1">
      <c r="O922" s="12"/>
      <c r="P922" s="12"/>
      <c r="Q922" s="7"/>
      <c r="R922" s="7"/>
      <c r="S922" s="7"/>
      <c r="T922" s="12"/>
    </row>
    <row r="923" ht="15.75" customHeight="1">
      <c r="O923" s="12"/>
      <c r="P923" s="12"/>
      <c r="Q923" s="7"/>
      <c r="R923" s="7"/>
      <c r="S923" s="7"/>
      <c r="T923" s="12"/>
    </row>
    <row r="924" ht="15.75" customHeight="1">
      <c r="O924" s="12"/>
      <c r="P924" s="12"/>
      <c r="Q924" s="7"/>
      <c r="R924" s="7"/>
      <c r="S924" s="7"/>
      <c r="T924" s="12"/>
    </row>
    <row r="925" ht="15.75" customHeight="1">
      <c r="O925" s="12"/>
      <c r="P925" s="12"/>
      <c r="Q925" s="7"/>
      <c r="R925" s="7"/>
      <c r="S925" s="7"/>
      <c r="T925" s="12"/>
    </row>
    <row r="926" ht="15.75" customHeight="1">
      <c r="O926" s="12"/>
      <c r="P926" s="12"/>
      <c r="Q926" s="7"/>
      <c r="R926" s="7"/>
      <c r="S926" s="7"/>
      <c r="T926" s="12"/>
    </row>
    <row r="927" ht="15.75" customHeight="1">
      <c r="O927" s="12"/>
      <c r="P927" s="12"/>
      <c r="Q927" s="7"/>
      <c r="R927" s="7"/>
      <c r="S927" s="7"/>
      <c r="T927" s="12"/>
    </row>
    <row r="928" ht="15.75" customHeight="1">
      <c r="O928" s="12"/>
      <c r="P928" s="12"/>
      <c r="Q928" s="7"/>
      <c r="R928" s="7"/>
      <c r="S928" s="7"/>
      <c r="T928" s="12"/>
    </row>
    <row r="929" ht="15.75" customHeight="1">
      <c r="O929" s="12"/>
      <c r="P929" s="12"/>
      <c r="Q929" s="7"/>
      <c r="R929" s="7"/>
      <c r="S929" s="7"/>
      <c r="T929" s="12"/>
    </row>
    <row r="930" ht="15.75" customHeight="1">
      <c r="O930" s="12"/>
      <c r="P930" s="12"/>
      <c r="Q930" s="7"/>
      <c r="R930" s="7"/>
      <c r="S930" s="7"/>
      <c r="T930" s="12"/>
    </row>
    <row r="931" ht="15.75" customHeight="1">
      <c r="O931" s="12"/>
      <c r="P931" s="12"/>
      <c r="Q931" s="7"/>
      <c r="R931" s="7"/>
      <c r="S931" s="7"/>
      <c r="T931" s="12"/>
    </row>
    <row r="932" ht="15.75" customHeight="1">
      <c r="O932" s="12"/>
      <c r="P932" s="12"/>
      <c r="Q932" s="7"/>
      <c r="R932" s="7"/>
      <c r="S932" s="7"/>
      <c r="T932" s="12"/>
    </row>
    <row r="933" ht="15.75" customHeight="1">
      <c r="O933" s="12"/>
      <c r="P933" s="12"/>
      <c r="Q933" s="7"/>
      <c r="R933" s="7"/>
      <c r="S933" s="7"/>
      <c r="T933" s="12"/>
    </row>
    <row r="934" ht="15.75" customHeight="1">
      <c r="O934" s="12"/>
      <c r="P934" s="12"/>
      <c r="Q934" s="7"/>
      <c r="R934" s="7"/>
      <c r="S934" s="7"/>
      <c r="T934" s="12"/>
    </row>
    <row r="935" ht="15.75" customHeight="1">
      <c r="O935" s="12"/>
      <c r="P935" s="12"/>
      <c r="Q935" s="7"/>
      <c r="R935" s="7"/>
      <c r="S935" s="7"/>
      <c r="T935" s="12"/>
    </row>
    <row r="936" ht="15.75" customHeight="1">
      <c r="O936" s="12"/>
      <c r="P936" s="12"/>
      <c r="Q936" s="7"/>
      <c r="R936" s="7"/>
      <c r="S936" s="7"/>
      <c r="T936" s="12"/>
    </row>
    <row r="937" ht="15.75" customHeight="1">
      <c r="O937" s="12"/>
      <c r="P937" s="12"/>
      <c r="Q937" s="7"/>
      <c r="R937" s="7"/>
      <c r="S937" s="7"/>
      <c r="T937" s="12"/>
    </row>
    <row r="938" ht="15.75" customHeight="1">
      <c r="O938" s="12"/>
      <c r="P938" s="12"/>
      <c r="Q938" s="7"/>
      <c r="R938" s="7"/>
      <c r="S938" s="7"/>
      <c r="T938" s="12"/>
    </row>
    <row r="939" ht="15.75" customHeight="1">
      <c r="O939" s="12"/>
      <c r="P939" s="12"/>
      <c r="Q939" s="7"/>
      <c r="R939" s="7"/>
      <c r="S939" s="7"/>
      <c r="T939" s="12"/>
    </row>
    <row r="940" ht="15.75" customHeight="1">
      <c r="O940" s="12"/>
      <c r="P940" s="12"/>
      <c r="Q940" s="7"/>
      <c r="R940" s="7"/>
      <c r="S940" s="7"/>
      <c r="T940" s="12"/>
    </row>
    <row r="941" ht="15.75" customHeight="1">
      <c r="O941" s="12"/>
      <c r="P941" s="12"/>
      <c r="Q941" s="7"/>
      <c r="R941" s="7"/>
      <c r="S941" s="7"/>
      <c r="T941" s="12"/>
    </row>
    <row r="942" ht="15.75" customHeight="1">
      <c r="O942" s="12"/>
      <c r="P942" s="12"/>
      <c r="Q942" s="7"/>
      <c r="R942" s="7"/>
      <c r="S942" s="7"/>
      <c r="T942" s="12"/>
    </row>
    <row r="943" ht="15.75" customHeight="1">
      <c r="O943" s="12"/>
      <c r="P943" s="12"/>
      <c r="Q943" s="7"/>
      <c r="R943" s="7"/>
      <c r="S943" s="7"/>
      <c r="T943" s="12"/>
    </row>
    <row r="944" ht="15.75" customHeight="1">
      <c r="O944" s="12"/>
      <c r="P944" s="12"/>
      <c r="Q944" s="7"/>
      <c r="R944" s="7"/>
      <c r="S944" s="7"/>
      <c r="T944" s="12"/>
    </row>
    <row r="945" ht="15.75" customHeight="1">
      <c r="O945" s="12"/>
      <c r="P945" s="12"/>
      <c r="Q945" s="7"/>
      <c r="R945" s="7"/>
      <c r="S945" s="7"/>
      <c r="T945" s="12"/>
    </row>
    <row r="946" ht="15.75" customHeight="1">
      <c r="O946" s="12"/>
      <c r="P946" s="12"/>
      <c r="Q946" s="7"/>
      <c r="R946" s="7"/>
      <c r="S946" s="7"/>
      <c r="T946" s="12"/>
    </row>
    <row r="947" ht="15.75" customHeight="1">
      <c r="O947" s="12"/>
      <c r="P947" s="12"/>
      <c r="Q947" s="7"/>
      <c r="R947" s="7"/>
      <c r="S947" s="7"/>
      <c r="T947" s="12"/>
    </row>
    <row r="948" ht="15.75" customHeight="1">
      <c r="O948" s="12"/>
      <c r="P948" s="12"/>
      <c r="Q948" s="7"/>
      <c r="R948" s="7"/>
      <c r="S948" s="7"/>
      <c r="T948" s="12"/>
    </row>
    <row r="949" ht="15.75" customHeight="1">
      <c r="O949" s="12"/>
      <c r="P949" s="12"/>
      <c r="Q949" s="7"/>
      <c r="R949" s="7"/>
      <c r="S949" s="7"/>
      <c r="T949" s="12"/>
    </row>
    <row r="950" ht="15.75" customHeight="1">
      <c r="O950" s="12"/>
      <c r="P950" s="12"/>
      <c r="Q950" s="7"/>
      <c r="R950" s="7"/>
      <c r="S950" s="7"/>
      <c r="T950" s="12"/>
    </row>
    <row r="951" ht="15.75" customHeight="1">
      <c r="O951" s="12"/>
      <c r="P951" s="12"/>
      <c r="Q951" s="7"/>
      <c r="R951" s="7"/>
      <c r="S951" s="7"/>
      <c r="T951" s="12"/>
    </row>
    <row r="952" ht="15.75" customHeight="1">
      <c r="O952" s="12"/>
      <c r="P952" s="12"/>
      <c r="Q952" s="7"/>
      <c r="R952" s="7"/>
      <c r="S952" s="7"/>
      <c r="T952" s="12"/>
    </row>
    <row r="953" ht="15.75" customHeight="1">
      <c r="O953" s="12"/>
      <c r="P953" s="12"/>
      <c r="Q953" s="7"/>
      <c r="R953" s="7"/>
      <c r="S953" s="7"/>
      <c r="T953" s="12"/>
    </row>
    <row r="954" ht="15.75" customHeight="1">
      <c r="O954" s="12"/>
      <c r="P954" s="12"/>
      <c r="Q954" s="7"/>
      <c r="R954" s="7"/>
      <c r="S954" s="7"/>
      <c r="T954" s="12"/>
    </row>
    <row r="955" ht="15.75" customHeight="1">
      <c r="O955" s="12"/>
      <c r="P955" s="12"/>
      <c r="Q955" s="7"/>
      <c r="R955" s="7"/>
      <c r="S955" s="7"/>
      <c r="T955" s="12"/>
    </row>
    <row r="956" ht="15.75" customHeight="1">
      <c r="O956" s="12"/>
      <c r="P956" s="12"/>
      <c r="Q956" s="7"/>
      <c r="R956" s="7"/>
      <c r="S956" s="7"/>
      <c r="T956" s="12"/>
    </row>
    <row r="957" ht="15.75" customHeight="1">
      <c r="O957" s="12"/>
      <c r="P957" s="12"/>
      <c r="Q957" s="7"/>
      <c r="R957" s="7"/>
      <c r="S957" s="7"/>
      <c r="T957" s="12"/>
    </row>
    <row r="958" ht="15.75" customHeight="1">
      <c r="O958" s="12"/>
      <c r="P958" s="12"/>
      <c r="Q958" s="7"/>
      <c r="R958" s="7"/>
      <c r="S958" s="7"/>
      <c r="T958" s="12"/>
    </row>
    <row r="959" ht="15.75" customHeight="1">
      <c r="O959" s="12"/>
      <c r="P959" s="12"/>
      <c r="Q959" s="7"/>
      <c r="R959" s="7"/>
      <c r="S959" s="7"/>
      <c r="T959" s="12"/>
    </row>
    <row r="960" ht="15.75" customHeight="1">
      <c r="O960" s="12"/>
      <c r="P960" s="12"/>
      <c r="Q960" s="7"/>
      <c r="R960" s="7"/>
      <c r="S960" s="7"/>
      <c r="T960" s="12"/>
    </row>
    <row r="961" ht="15.75" customHeight="1">
      <c r="O961" s="12"/>
      <c r="P961" s="12"/>
      <c r="Q961" s="7"/>
      <c r="R961" s="7"/>
      <c r="S961" s="7"/>
      <c r="T961" s="12"/>
    </row>
    <row r="962" ht="15.75" customHeight="1">
      <c r="O962" s="12"/>
      <c r="P962" s="12"/>
      <c r="Q962" s="7"/>
      <c r="R962" s="7"/>
      <c r="S962" s="7"/>
      <c r="T962" s="12"/>
    </row>
    <row r="963" ht="15.75" customHeight="1">
      <c r="O963" s="12"/>
      <c r="P963" s="12"/>
      <c r="Q963" s="7"/>
      <c r="R963" s="7"/>
      <c r="S963" s="7"/>
      <c r="T963" s="12"/>
    </row>
    <row r="964" ht="15.75" customHeight="1">
      <c r="O964" s="12"/>
      <c r="P964" s="12"/>
      <c r="Q964" s="7"/>
      <c r="R964" s="7"/>
      <c r="S964" s="7"/>
      <c r="T964" s="12"/>
    </row>
    <row r="965" ht="15.75" customHeight="1">
      <c r="O965" s="12"/>
      <c r="P965" s="12"/>
      <c r="Q965" s="7"/>
      <c r="R965" s="7"/>
      <c r="S965" s="7"/>
      <c r="T965" s="12"/>
    </row>
    <row r="966" ht="15.75" customHeight="1">
      <c r="O966" s="12"/>
      <c r="P966" s="12"/>
      <c r="Q966" s="7"/>
      <c r="R966" s="7"/>
      <c r="S966" s="7"/>
      <c r="T966" s="12"/>
    </row>
    <row r="967" ht="15.75" customHeight="1">
      <c r="O967" s="12"/>
      <c r="P967" s="12"/>
      <c r="Q967" s="7"/>
      <c r="R967" s="7"/>
      <c r="S967" s="7"/>
      <c r="T967" s="12"/>
    </row>
    <row r="968" ht="15.75" customHeight="1">
      <c r="O968" s="12"/>
      <c r="P968" s="12"/>
      <c r="Q968" s="7"/>
      <c r="R968" s="7"/>
      <c r="S968" s="7"/>
      <c r="T968" s="12"/>
    </row>
    <row r="969" ht="15.75" customHeight="1">
      <c r="O969" s="12"/>
      <c r="P969" s="12"/>
      <c r="Q969" s="7"/>
      <c r="R969" s="7"/>
      <c r="S969" s="7"/>
      <c r="T969" s="12"/>
    </row>
    <row r="970" ht="15.75" customHeight="1">
      <c r="O970" s="12"/>
      <c r="P970" s="12"/>
      <c r="Q970" s="7"/>
      <c r="R970" s="7"/>
      <c r="S970" s="7"/>
      <c r="T970" s="12"/>
    </row>
    <row r="971" ht="15.75" customHeight="1">
      <c r="O971" s="12"/>
      <c r="P971" s="12"/>
      <c r="Q971" s="7"/>
      <c r="R971" s="7"/>
      <c r="S971" s="7"/>
      <c r="T971" s="12"/>
    </row>
    <row r="972" ht="15.75" customHeight="1">
      <c r="O972" s="12"/>
      <c r="P972" s="12"/>
      <c r="Q972" s="7"/>
      <c r="R972" s="7"/>
      <c r="S972" s="7"/>
      <c r="T972" s="12"/>
    </row>
    <row r="973" ht="15.75" customHeight="1">
      <c r="O973" s="12"/>
      <c r="P973" s="12"/>
      <c r="Q973" s="7"/>
      <c r="R973" s="7"/>
      <c r="S973" s="7"/>
      <c r="T973" s="12"/>
    </row>
    <row r="974" ht="15.75" customHeight="1">
      <c r="O974" s="12"/>
      <c r="P974" s="12"/>
      <c r="Q974" s="7"/>
      <c r="R974" s="7"/>
      <c r="S974" s="7"/>
      <c r="T974" s="12"/>
    </row>
    <row r="975" ht="15.75" customHeight="1">
      <c r="O975" s="12"/>
      <c r="P975" s="12"/>
      <c r="Q975" s="7"/>
      <c r="R975" s="7"/>
      <c r="S975" s="7"/>
      <c r="T975" s="12"/>
    </row>
    <row r="976" ht="15.75" customHeight="1">
      <c r="O976" s="12"/>
      <c r="P976" s="12"/>
      <c r="Q976" s="7"/>
      <c r="R976" s="7"/>
      <c r="S976" s="7"/>
      <c r="T976" s="12"/>
    </row>
    <row r="977" ht="15.75" customHeight="1">
      <c r="O977" s="12"/>
      <c r="P977" s="12"/>
      <c r="Q977" s="7"/>
      <c r="R977" s="7"/>
      <c r="S977" s="7"/>
      <c r="T977" s="12"/>
    </row>
    <row r="978" ht="15.75" customHeight="1">
      <c r="O978" s="12"/>
      <c r="P978" s="12"/>
      <c r="Q978" s="7"/>
      <c r="R978" s="7"/>
      <c r="S978" s="7"/>
      <c r="T978" s="12"/>
    </row>
    <row r="979" ht="15.75" customHeight="1">
      <c r="O979" s="12"/>
      <c r="P979" s="12"/>
      <c r="Q979" s="7"/>
      <c r="R979" s="7"/>
      <c r="S979" s="7"/>
      <c r="T979" s="12"/>
    </row>
    <row r="980" ht="15.75" customHeight="1">
      <c r="O980" s="12"/>
      <c r="P980" s="12"/>
      <c r="Q980" s="7"/>
      <c r="R980" s="7"/>
      <c r="S980" s="7"/>
      <c r="T980" s="12"/>
    </row>
    <row r="981" ht="15.75" customHeight="1">
      <c r="O981" s="12"/>
      <c r="P981" s="12"/>
      <c r="Q981" s="7"/>
      <c r="R981" s="7"/>
      <c r="S981" s="7"/>
      <c r="T981" s="12"/>
    </row>
    <row r="982" ht="15.75" customHeight="1">
      <c r="O982" s="12"/>
      <c r="P982" s="12"/>
      <c r="Q982" s="7"/>
      <c r="R982" s="7"/>
      <c r="S982" s="7"/>
      <c r="T982" s="12"/>
    </row>
    <row r="983" ht="15.75" customHeight="1">
      <c r="O983" s="12"/>
      <c r="P983" s="12"/>
      <c r="Q983" s="7"/>
      <c r="R983" s="7"/>
      <c r="S983" s="7"/>
      <c r="T983" s="12"/>
    </row>
    <row r="984" ht="15.75" customHeight="1">
      <c r="O984" s="12"/>
      <c r="P984" s="12"/>
      <c r="Q984" s="7"/>
      <c r="R984" s="7"/>
      <c r="S984" s="7"/>
      <c r="T984" s="12"/>
    </row>
    <row r="985" ht="15.75" customHeight="1">
      <c r="O985" s="12"/>
      <c r="P985" s="12"/>
      <c r="Q985" s="7"/>
      <c r="R985" s="7"/>
      <c r="S985" s="7"/>
      <c r="T985" s="12"/>
    </row>
    <row r="986" ht="15.75" customHeight="1">
      <c r="O986" s="12"/>
      <c r="P986" s="12"/>
      <c r="Q986" s="7"/>
      <c r="R986" s="7"/>
      <c r="S986" s="7"/>
      <c r="T986" s="12"/>
    </row>
    <row r="987" ht="15.75" customHeight="1">
      <c r="O987" s="12"/>
      <c r="P987" s="12"/>
      <c r="Q987" s="7"/>
      <c r="R987" s="7"/>
      <c r="S987" s="7"/>
      <c r="T987" s="12"/>
    </row>
    <row r="988" ht="15.75" customHeight="1">
      <c r="O988" s="12"/>
      <c r="P988" s="12"/>
      <c r="Q988" s="7"/>
      <c r="R988" s="7"/>
      <c r="S988" s="7"/>
      <c r="T988" s="12"/>
    </row>
    <row r="989" ht="15.75" customHeight="1">
      <c r="O989" s="12"/>
      <c r="P989" s="12"/>
      <c r="Q989" s="7"/>
      <c r="R989" s="7"/>
      <c r="S989" s="7"/>
      <c r="T989" s="12"/>
    </row>
    <row r="990" ht="15.75" customHeight="1">
      <c r="O990" s="12"/>
      <c r="P990" s="12"/>
      <c r="Q990" s="7"/>
      <c r="R990" s="7"/>
      <c r="S990" s="7"/>
      <c r="T990" s="12"/>
    </row>
    <row r="991" ht="15.75" customHeight="1">
      <c r="O991" s="12"/>
      <c r="P991" s="12"/>
      <c r="Q991" s="7"/>
      <c r="R991" s="7"/>
      <c r="S991" s="7"/>
      <c r="T991" s="12"/>
    </row>
    <row r="992" ht="15.75" customHeight="1">
      <c r="O992" s="12"/>
      <c r="P992" s="12"/>
      <c r="Q992" s="7"/>
      <c r="R992" s="7"/>
      <c r="S992" s="7"/>
      <c r="T992" s="12"/>
    </row>
    <row r="993" ht="15.75" customHeight="1">
      <c r="O993" s="12"/>
      <c r="P993" s="12"/>
      <c r="Q993" s="7"/>
      <c r="R993" s="7"/>
      <c r="S993" s="7"/>
      <c r="T993" s="12"/>
    </row>
    <row r="994" ht="15.75" customHeight="1">
      <c r="O994" s="12"/>
      <c r="P994" s="12"/>
      <c r="Q994" s="7"/>
      <c r="R994" s="7"/>
      <c r="S994" s="7"/>
      <c r="T994" s="12"/>
    </row>
    <row r="995" ht="15.75" customHeight="1">
      <c r="O995" s="12"/>
      <c r="P995" s="12"/>
      <c r="Q995" s="7"/>
      <c r="R995" s="7"/>
      <c r="S995" s="7"/>
      <c r="T995" s="12"/>
    </row>
    <row r="996" ht="15.75" customHeight="1">
      <c r="O996" s="12"/>
      <c r="P996" s="12"/>
      <c r="Q996" s="7"/>
      <c r="R996" s="7"/>
      <c r="S996" s="7"/>
      <c r="T996" s="12"/>
    </row>
    <row r="997" ht="15.75" customHeight="1">
      <c r="O997" s="12"/>
      <c r="P997" s="12"/>
      <c r="Q997" s="7"/>
      <c r="R997" s="7"/>
      <c r="S997" s="7"/>
      <c r="T997" s="12"/>
    </row>
    <row r="998" ht="15.75" customHeight="1">
      <c r="O998" s="12"/>
      <c r="P998" s="12"/>
      <c r="Q998" s="7"/>
      <c r="R998" s="7"/>
      <c r="S998" s="7"/>
      <c r="T998" s="12"/>
    </row>
    <row r="999" ht="15.75" customHeight="1">
      <c r="O999" s="12"/>
      <c r="P999" s="12"/>
      <c r="Q999" s="7"/>
      <c r="R999" s="7"/>
      <c r="S999" s="7"/>
      <c r="T999" s="12"/>
    </row>
    <row r="1000" ht="15.75" customHeight="1">
      <c r="O1000" s="12"/>
      <c r="P1000" s="12"/>
      <c r="Q1000" s="7"/>
      <c r="R1000" s="7"/>
      <c r="S1000" s="7"/>
      <c r="T1000" s="12"/>
    </row>
  </sheetData>
  <mergeCells count="2">
    <mergeCell ref="A2:D2"/>
    <mergeCell ref="J4:N4"/>
  </mergeCells>
  <printOptions/>
  <pageMargins bottom="0.49" footer="0.0" header="0.0" left="0.22" right="0.22" top="0.35"/>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4.5"/>
    <col customWidth="1" min="2" max="2" width="23.38"/>
    <col customWidth="1" min="3" max="3" width="8.0"/>
    <col customWidth="1" min="4" max="4" width="12.63"/>
    <col customWidth="1" min="5" max="5" width="12.0"/>
    <col customWidth="1" min="6" max="7" width="11.75"/>
    <col customWidth="1" min="8" max="8" width="11.13"/>
    <col customWidth="1" min="9" max="10" width="12.38"/>
    <col customWidth="1" min="11" max="11" width="10.0"/>
    <col customWidth="1" min="12" max="12" width="10.25"/>
    <col customWidth="1" min="13" max="13" width="9.13"/>
    <col customWidth="1" min="14" max="14" width="10.0"/>
    <col customWidth="1" min="15" max="15" width="11.38"/>
    <col customWidth="1" min="16" max="17" width="9.13"/>
    <col customWidth="1" min="18" max="18" width="2.88"/>
    <col customWidth="1" min="19" max="22" width="12.25"/>
    <col customWidth="1" min="23" max="23" width="5.63"/>
    <col customWidth="1" min="24" max="26" width="7.75"/>
  </cols>
  <sheetData>
    <row r="1" ht="27.75" customHeight="1">
      <c r="A1" s="1" t="s">
        <v>357</v>
      </c>
      <c r="B1" s="1"/>
      <c r="C1" s="1"/>
      <c r="D1" s="1"/>
      <c r="E1" s="1"/>
      <c r="F1" s="1"/>
      <c r="G1" s="126"/>
      <c r="V1" s="7"/>
      <c r="W1" s="7"/>
      <c r="X1" s="7"/>
    </row>
    <row r="2">
      <c r="A2" s="5" t="str">
        <f>IF(ISBLANK(Company_Name),"Payroll Summary | Year 1",Company_Name&amp;" | Payroll Summary |Year 1")</f>
        <v>OTW Paints | Payroll Summary |Year 1</v>
      </c>
      <c r="B2" s="5"/>
      <c r="C2" s="5"/>
      <c r="I2" s="127"/>
      <c r="V2" s="7"/>
      <c r="W2" s="7"/>
      <c r="X2" s="7"/>
    </row>
    <row r="3">
      <c r="B3" s="360"/>
      <c r="V3" s="7"/>
      <c r="W3" s="7"/>
      <c r="X3" s="7"/>
    </row>
    <row r="4">
      <c r="A4" s="362" t="str">
        <f>"Financial Projections Start Date:  "&amp;IF(ISBLANK(Projected_Start_Date),"",TEXT(Projected_Start_Date,"mm/dd/yy"))</f>
        <v>Financial Projections Start Date:  01/01/16</v>
      </c>
      <c r="B4" s="363"/>
      <c r="C4" s="103"/>
      <c r="D4" s="12"/>
      <c r="E4" s="12"/>
      <c r="F4" s="12"/>
      <c r="G4" s="12"/>
      <c r="H4" s="12"/>
      <c r="I4" s="12"/>
      <c r="J4" s="12"/>
      <c r="K4" s="12"/>
      <c r="L4" s="12"/>
      <c r="M4" s="12"/>
      <c r="N4" s="12"/>
      <c r="O4" s="12"/>
      <c r="P4" s="12"/>
      <c r="Q4" s="12"/>
      <c r="R4" s="12"/>
      <c r="S4" s="12"/>
      <c r="T4" s="12"/>
      <c r="U4" s="12"/>
      <c r="V4" s="12"/>
      <c r="W4" s="7"/>
      <c r="X4" s="7"/>
      <c r="Y4" s="7"/>
    </row>
    <row r="5">
      <c r="A5" s="364"/>
      <c r="B5" s="367"/>
      <c r="C5" s="367"/>
      <c r="D5" s="367"/>
      <c r="E5" s="367" t="s">
        <v>359</v>
      </c>
      <c r="F5" s="367"/>
      <c r="G5" s="368" t="s">
        <v>107</v>
      </c>
      <c r="H5" s="368" t="s">
        <v>109</v>
      </c>
      <c r="I5" s="368" t="s">
        <v>110</v>
      </c>
      <c r="J5" s="368" t="s">
        <v>111</v>
      </c>
      <c r="K5" s="12"/>
      <c r="L5" s="12"/>
      <c r="M5" s="12"/>
      <c r="N5" s="12"/>
      <c r="O5" s="12"/>
      <c r="P5" s="12"/>
      <c r="Q5" s="12"/>
      <c r="R5" s="12"/>
      <c r="S5" s="12"/>
      <c r="T5" s="12"/>
      <c r="U5" s="12"/>
      <c r="V5" s="12"/>
      <c r="W5" s="7"/>
      <c r="X5" s="7"/>
      <c r="Y5" s="7"/>
    </row>
    <row r="6">
      <c r="A6" s="12"/>
      <c r="B6" s="12"/>
      <c r="C6" s="12"/>
      <c r="D6" s="12"/>
      <c r="E6" s="133"/>
      <c r="F6" s="12"/>
      <c r="G6" s="369">
        <f>YR2_Salaries_Increase</f>
        <v>0.03</v>
      </c>
      <c r="H6" s="369">
        <f>YR3_Salaries_Increase</f>
        <v>0.03</v>
      </c>
      <c r="I6" s="369">
        <f>YR4_Salaries_Increase</f>
        <v>0.05</v>
      </c>
      <c r="J6" s="369">
        <f>YR5_Salaries_Increase</f>
        <v>0.05</v>
      </c>
      <c r="K6" s="12"/>
      <c r="L6" s="12"/>
      <c r="M6" s="12"/>
      <c r="N6" s="12"/>
      <c r="O6" s="12"/>
      <c r="P6" s="12"/>
      <c r="Q6" s="12"/>
      <c r="R6" s="12"/>
      <c r="S6" s="12"/>
      <c r="T6" s="12"/>
      <c r="U6" s="12"/>
      <c r="V6" s="12"/>
      <c r="W6" s="7"/>
      <c r="X6" s="7"/>
      <c r="Y6" s="7"/>
    </row>
    <row r="7">
      <c r="A7" s="370" t="str">
        <f>IF(ISBLANK(Projected_Start_Date),"",TEXT(Projected_Start_Date,"yyy"))</f>
        <v>2016</v>
      </c>
      <c r="B7" s="19"/>
      <c r="C7" s="19"/>
      <c r="D7" s="19"/>
      <c r="E7" s="19"/>
      <c r="F7" s="19"/>
      <c r="G7" s="19"/>
      <c r="H7" s="19"/>
      <c r="I7" s="19"/>
      <c r="J7" s="19"/>
      <c r="K7" s="43"/>
      <c r="L7" s="43"/>
      <c r="M7" s="43"/>
      <c r="N7" s="43"/>
      <c r="O7" s="43"/>
      <c r="P7" s="43"/>
      <c r="Q7" s="43"/>
      <c r="R7" s="12"/>
      <c r="S7" s="12"/>
      <c r="T7" s="12"/>
      <c r="U7" s="12"/>
      <c r="V7" s="12"/>
      <c r="W7" s="7"/>
      <c r="X7" s="7"/>
      <c r="Y7" s="7"/>
    </row>
    <row r="8">
      <c r="A8" s="371"/>
      <c r="B8" s="19"/>
      <c r="C8" s="79"/>
      <c r="D8" s="19"/>
      <c r="E8" s="372">
        <f>DATE(YEAR(Projected_Start_Date),1,1)</f>
        <v>42370</v>
      </c>
      <c r="F8" s="372">
        <f t="shared" ref="F8:P8" si="1">EDATE(E8,1)</f>
        <v>42401</v>
      </c>
      <c r="G8" s="372">
        <f t="shared" si="1"/>
        <v>42430</v>
      </c>
      <c r="H8" s="372">
        <f t="shared" si="1"/>
        <v>42461</v>
      </c>
      <c r="I8" s="372">
        <f t="shared" si="1"/>
        <v>42491</v>
      </c>
      <c r="J8" s="372">
        <f t="shared" si="1"/>
        <v>42522</v>
      </c>
      <c r="K8" s="372">
        <f t="shared" si="1"/>
        <v>42552</v>
      </c>
      <c r="L8" s="372">
        <f t="shared" si="1"/>
        <v>42583</v>
      </c>
      <c r="M8" s="372">
        <f t="shared" si="1"/>
        <v>42614</v>
      </c>
      <c r="N8" s="372">
        <f t="shared" si="1"/>
        <v>42644</v>
      </c>
      <c r="O8" s="372">
        <f t="shared" si="1"/>
        <v>42675</v>
      </c>
      <c r="P8" s="372">
        <f t="shared" si="1"/>
        <v>42705</v>
      </c>
      <c r="Q8" s="374" t="s">
        <v>315</v>
      </c>
      <c r="R8" s="237"/>
      <c r="S8" s="375" t="s">
        <v>107</v>
      </c>
      <c r="T8" s="376" t="s">
        <v>109</v>
      </c>
      <c r="U8" s="376" t="s">
        <v>110</v>
      </c>
      <c r="V8" s="377" t="s">
        <v>111</v>
      </c>
      <c r="W8" s="7"/>
      <c r="X8" s="7"/>
      <c r="Y8" s="7"/>
    </row>
    <row r="9">
      <c r="A9" s="53"/>
      <c r="B9" s="133"/>
      <c r="C9" s="12"/>
      <c r="D9" s="378" t="s">
        <v>360</v>
      </c>
      <c r="E9" s="379">
        <f t="shared" ref="E9:P9" si="2">SUM(E10:E11)</f>
        <v>2</v>
      </c>
      <c r="F9" s="380">
        <f t="shared" si="2"/>
        <v>2</v>
      </c>
      <c r="G9" s="380">
        <f t="shared" si="2"/>
        <v>2</v>
      </c>
      <c r="H9" s="380">
        <f t="shared" si="2"/>
        <v>2</v>
      </c>
      <c r="I9" s="380">
        <f t="shared" si="2"/>
        <v>2</v>
      </c>
      <c r="J9" s="380">
        <f t="shared" si="2"/>
        <v>2</v>
      </c>
      <c r="K9" s="380">
        <f t="shared" si="2"/>
        <v>2</v>
      </c>
      <c r="L9" s="380">
        <f t="shared" si="2"/>
        <v>2</v>
      </c>
      <c r="M9" s="380">
        <f t="shared" si="2"/>
        <v>2</v>
      </c>
      <c r="N9" s="380">
        <f t="shared" si="2"/>
        <v>2</v>
      </c>
      <c r="O9" s="380">
        <f t="shared" si="2"/>
        <v>2</v>
      </c>
      <c r="P9" s="380">
        <f t="shared" si="2"/>
        <v>2</v>
      </c>
      <c r="Q9" s="381">
        <f t="shared" ref="Q9:Q11" si="4">P9</f>
        <v>2</v>
      </c>
      <c r="R9" s="12"/>
      <c r="S9" s="53">
        <f t="shared" ref="S9:S11" si="5">Q35</f>
        <v>2</v>
      </c>
      <c r="T9" s="12">
        <f t="shared" ref="T9:T11" si="6">Q61</f>
        <v>2</v>
      </c>
      <c r="U9" s="12">
        <f t="shared" ref="U9:V9" si="3">T9</f>
        <v>2</v>
      </c>
      <c r="V9" s="219">
        <f t="shared" si="3"/>
        <v>2</v>
      </c>
      <c r="W9" s="134"/>
      <c r="X9" s="134"/>
    </row>
    <row r="10">
      <c r="A10" s="53"/>
      <c r="B10" s="12"/>
      <c r="C10" s="12"/>
      <c r="D10" s="133" t="s">
        <v>361</v>
      </c>
      <c r="E10" s="382">
        <f>COUNTIFS(PERS_StartDate,"&lt;="&amp;E8,PERS_Status,"Full-Time",PERS_Annual_Salaries,"&gt;0")+COUNTIFS(PERS_StartDate,"&lt;="&amp;E8,PERS_Status,"Part-Time",PERS_Annual_Salaries,"&gt;0")</f>
        <v>0</v>
      </c>
      <c r="F10" s="382">
        <f>COUNTIFS(PERS_StartDate,"&lt;="&amp;F8,PERS_Status,"Full-Time",PERS_Annual_Salaries,"&gt;0")+COUNTIFS(PERS_StartDate,"&lt;="&amp;F8,PERS_Status,"Part-Time",PERS_Annual_Salaries,"&gt;0")</f>
        <v>0</v>
      </c>
      <c r="G10" s="382">
        <f>COUNTIFS(PERS_StartDate,"&lt;="&amp;G8,PERS_Status,"Full-Time",PERS_Annual_Salaries,"&gt;0")+COUNTIFS(PERS_StartDate,"&lt;="&amp;G8,PERS_Status,"Part-Time",PERS_Annual_Salaries,"&gt;0")</f>
        <v>0</v>
      </c>
      <c r="H10" s="382">
        <f>COUNTIFS(PERS_StartDate,"&lt;="&amp;H8,PERS_Status,"Full-Time",PERS_Annual_Salaries,"&gt;0")+COUNTIFS(PERS_StartDate,"&lt;="&amp;H8,PERS_Status,"Part-Time",PERS_Annual_Salaries,"&gt;0")</f>
        <v>0</v>
      </c>
      <c r="I10" s="382">
        <f>COUNTIFS(PERS_StartDate,"&lt;="&amp;I8,PERS_Status,"Full-Time",PERS_Annual_Salaries,"&gt;0")+COUNTIFS(PERS_StartDate,"&lt;="&amp;I8,PERS_Status,"Part-Time",PERS_Annual_Salaries,"&gt;0")</f>
        <v>0</v>
      </c>
      <c r="J10" s="382">
        <f>COUNTIFS(PERS_StartDate,"&lt;="&amp;J8,PERS_Status,"Full-Time",PERS_Annual_Salaries,"&gt;0")+COUNTIFS(PERS_StartDate,"&lt;="&amp;J8,PERS_Status,"Part-Time",PERS_Annual_Salaries,"&gt;0")</f>
        <v>0</v>
      </c>
      <c r="K10" s="382">
        <f>COUNTIFS(PERS_StartDate,"&lt;="&amp;K8,PERS_Status,"Full-Time",PERS_Annual_Salaries,"&gt;0")+COUNTIFS(PERS_StartDate,"&lt;="&amp;K8,PERS_Status,"Part-Time",PERS_Annual_Salaries,"&gt;0")</f>
        <v>0</v>
      </c>
      <c r="L10" s="382">
        <f>COUNTIFS(PERS_StartDate,"&lt;="&amp;L8,PERS_Status,"Full-Time",PERS_Annual_Salaries,"&gt;0")+COUNTIFS(PERS_StartDate,"&lt;="&amp;L8,PERS_Status,"Part-Time",PERS_Annual_Salaries,"&gt;0")</f>
        <v>0</v>
      </c>
      <c r="M10" s="382">
        <f>COUNTIFS(PERS_StartDate,"&lt;="&amp;M8,PERS_Status,"Full-Time",PERS_Annual_Salaries,"&gt;0")+COUNTIFS(PERS_StartDate,"&lt;="&amp;M8,PERS_Status,"Part-Time",PERS_Annual_Salaries,"&gt;0")</f>
        <v>0</v>
      </c>
      <c r="N10" s="382">
        <f>COUNTIFS(PERS_StartDate,"&lt;="&amp;N8,PERS_Status,"Full-Time",PERS_Annual_Salaries,"&gt;0")+COUNTIFS(PERS_StartDate,"&lt;="&amp;N8,PERS_Status,"Part-Time",PERS_Annual_Salaries,"&gt;0")</f>
        <v>0</v>
      </c>
      <c r="O10" s="382">
        <f>COUNTIFS(PERS_StartDate,"&lt;="&amp;O8,PERS_Status,"Full-Time",PERS_Annual_Salaries,"&gt;0")+COUNTIFS(PERS_StartDate,"&lt;="&amp;O8,PERS_Status,"Part-Time",PERS_Annual_Salaries,"&gt;0")</f>
        <v>0</v>
      </c>
      <c r="P10" s="382">
        <f>COUNTIFS(PERS_StartDate,"&lt;="&amp;P8,PERS_Status,"Full-Time",PERS_Annual_Salaries,"&gt;0")+COUNTIFS(PERS_StartDate,"&lt;="&amp;P8,PERS_Status,"Part-Time",PERS_Annual_Salaries,"&gt;0")</f>
        <v>0</v>
      </c>
      <c r="Q10" s="381">
        <f t="shared" si="4"/>
        <v>0</v>
      </c>
      <c r="R10" s="12"/>
      <c r="S10" s="53">
        <f t="shared" si="5"/>
        <v>0</v>
      </c>
      <c r="T10" s="12">
        <f t="shared" si="6"/>
        <v>0</v>
      </c>
      <c r="U10" s="12">
        <f t="shared" ref="U10:V10" si="7">T10</f>
        <v>0</v>
      </c>
      <c r="V10" s="219">
        <f t="shared" si="7"/>
        <v>0</v>
      </c>
      <c r="W10" s="134"/>
      <c r="X10" s="134"/>
    </row>
    <row r="11">
      <c r="A11" s="53"/>
      <c r="B11" s="12"/>
      <c r="C11" s="12"/>
      <c r="D11" s="133" t="s">
        <v>362</v>
      </c>
      <c r="E11" s="382">
        <f>COUNTIFS(PERS_StartDate,"&lt;="&amp;E8,PERS_Status,"Contractor",PERS_Annual_Salaries,"&gt;0")</f>
        <v>2</v>
      </c>
      <c r="F11" s="382">
        <f>COUNTIFS(PERS_StartDate,"&lt;="&amp;F8,PERS_Status,"Contractor",PERS_Annual_Salaries,"&gt;0")</f>
        <v>2</v>
      </c>
      <c r="G11" s="382">
        <f>COUNTIFS(PERS_StartDate,"&lt;="&amp;G8,PERS_Status,"Contractor",PERS_Annual_Salaries,"&gt;0")</f>
        <v>2</v>
      </c>
      <c r="H11" s="382">
        <f>COUNTIFS(PERS_StartDate,"&lt;="&amp;H8,PERS_Status,"Contractor",PERS_Annual_Salaries,"&gt;0")</f>
        <v>2</v>
      </c>
      <c r="I11" s="382">
        <f>COUNTIFS(PERS_StartDate,"&lt;="&amp;I8,PERS_Status,"Contractor",PERS_Annual_Salaries,"&gt;0")</f>
        <v>2</v>
      </c>
      <c r="J11" s="382">
        <f>COUNTIFS(PERS_StartDate,"&lt;="&amp;J8,PERS_Status,"Contractor",PERS_Annual_Salaries,"&gt;0")</f>
        <v>2</v>
      </c>
      <c r="K11" s="382">
        <f>COUNTIFS(PERS_StartDate,"&lt;="&amp;K8,PERS_Status,"Contractor",PERS_Annual_Salaries,"&gt;0")</f>
        <v>2</v>
      </c>
      <c r="L11" s="382">
        <f>COUNTIFS(PERS_StartDate,"&lt;="&amp;L8,PERS_Status,"Contractor",PERS_Annual_Salaries,"&gt;0")</f>
        <v>2</v>
      </c>
      <c r="M11" s="382">
        <f>COUNTIFS(PERS_StartDate,"&lt;="&amp;M8,PERS_Status,"Contractor",PERS_Annual_Salaries,"&gt;0")</f>
        <v>2</v>
      </c>
      <c r="N11" s="382">
        <f>COUNTIFS(PERS_StartDate,"&lt;="&amp;N8,PERS_Status,"Contractor",PERS_Annual_Salaries,"&gt;0")</f>
        <v>2</v>
      </c>
      <c r="O11" s="382">
        <f>COUNTIFS(PERS_StartDate,"&lt;="&amp;O8,PERS_Status,"Contractor",PERS_Annual_Salaries,"&gt;0")</f>
        <v>2</v>
      </c>
      <c r="P11" s="382">
        <f>COUNTIFS(PERS_StartDate,"&lt;="&amp;P8,PERS_Status,"Contractor",PERS_Annual_Salaries,"&gt;0")</f>
        <v>2</v>
      </c>
      <c r="Q11" s="381">
        <f t="shared" si="4"/>
        <v>2</v>
      </c>
      <c r="R11" s="12"/>
      <c r="S11" s="53">
        <f t="shared" si="5"/>
        <v>2</v>
      </c>
      <c r="T11" s="12">
        <f t="shared" si="6"/>
        <v>2</v>
      </c>
      <c r="U11" s="12">
        <f t="shared" ref="U11:V11" si="8">T11</f>
        <v>2</v>
      </c>
      <c r="V11" s="219">
        <f t="shared" si="8"/>
        <v>2</v>
      </c>
      <c r="W11" s="7"/>
      <c r="X11" s="7"/>
    </row>
    <row r="12">
      <c r="A12" s="53"/>
      <c r="B12" s="12"/>
      <c r="C12" s="12"/>
      <c r="D12" s="138"/>
      <c r="E12" s="383"/>
      <c r="F12" s="384"/>
      <c r="G12" s="384"/>
      <c r="H12" s="384"/>
      <c r="I12" s="384"/>
      <c r="J12" s="384"/>
      <c r="K12" s="384"/>
      <c r="L12" s="384"/>
      <c r="M12" s="384"/>
      <c r="N12" s="384"/>
      <c r="O12" s="384"/>
      <c r="P12" s="384"/>
      <c r="Q12" s="381"/>
      <c r="R12" s="12"/>
      <c r="S12" s="385"/>
      <c r="T12" s="386"/>
      <c r="U12" s="386"/>
      <c r="V12" s="219"/>
      <c r="W12" s="7"/>
      <c r="X12" s="7"/>
      <c r="Y12" s="7"/>
    </row>
    <row r="13">
      <c r="A13" s="53"/>
      <c r="B13" s="12"/>
      <c r="C13" s="12"/>
      <c r="D13" s="378" t="s">
        <v>363</v>
      </c>
      <c r="E13" s="387">
        <f>SUMIFS(PERS_FirstMo,PERS_StartDate,"&gt;="&amp;E$8,PERS_StartDate,"&lt;"&amp;F$8,PERS_Status,"Full-Time")+SUMIFS(PERS_FirstMo,PERS_StartDate,"&gt;="&amp;E$8,PERS_StartDate,"&lt;"&amp;F$8,PERS_Status,"Part-Time")+SUMIFS(PERS_Monthly,PERS_StartDate,"&lt;"&amp;E$8,PERS_Status,"Full-Time")+SUMIFS(PERS_Monthly,PERS_StartDate,"&lt;"&amp;E$8,PERS_Status,"Part-Time")</f>
        <v>0</v>
      </c>
      <c r="F13" s="388">
        <f>SUMIFS(PERS_FirstMo,PERS_StartDate,"&gt;="&amp;F$8,PERS_StartDate,"&lt;"&amp;G$8,PERS_Status,"Full-Time")+SUMIFS(PERS_FirstMo,PERS_StartDate,"&gt;="&amp;F$8,PERS_StartDate,"&lt;"&amp;G$8,PERS_Status,"Part-Time")+SUMIFS(PERS_Monthly,PERS_StartDate,"&lt;"&amp;F$8,PERS_Status,"Full-Time")+SUMIFS(PERS_Monthly,PERS_StartDate,"&lt;"&amp;F$8,PERS_Status,"Part-Time")</f>
        <v>0</v>
      </c>
      <c r="G13" s="388">
        <f>SUMIFS(PERS_FirstMo,PERS_StartDate,"&gt;="&amp;G$8,PERS_StartDate,"&lt;"&amp;H$8,PERS_Status,"Full-Time")+SUMIFS(PERS_FirstMo,PERS_StartDate,"&gt;="&amp;G$8,PERS_StartDate,"&lt;"&amp;H$8,PERS_Status,"Part-Time")+SUMIFS(PERS_Monthly,PERS_StartDate,"&lt;"&amp;G$8,PERS_Status,"Full-Time")+SUMIFS(PERS_Monthly,PERS_StartDate,"&lt;"&amp;G$8,PERS_Status,"Part-Time")</f>
        <v>0</v>
      </c>
      <c r="H13" s="388">
        <f>SUMIFS(PERS_FirstMo,PERS_StartDate,"&gt;="&amp;H$8,PERS_StartDate,"&lt;"&amp;I$8,PERS_Status,"Full-Time")+SUMIFS(PERS_FirstMo,PERS_StartDate,"&gt;="&amp;H$8,PERS_StartDate,"&lt;"&amp;I$8,PERS_Status,"Part-Time")+SUMIFS(PERS_Monthly,PERS_StartDate,"&lt;"&amp;H$8,PERS_Status,"Full-Time")+SUMIFS(PERS_Monthly,PERS_StartDate,"&lt;"&amp;H$8,PERS_Status,"Part-Time")</f>
        <v>0</v>
      </c>
      <c r="I13" s="388">
        <f>SUMIFS(PERS_FirstMo,PERS_StartDate,"&gt;="&amp;I$8,PERS_StartDate,"&lt;"&amp;J$8,PERS_Status,"Full-Time")+SUMIFS(PERS_FirstMo,PERS_StartDate,"&gt;="&amp;I$8,PERS_StartDate,"&lt;"&amp;J$8,PERS_Status,"Part-Time")+SUMIFS(PERS_Monthly,PERS_StartDate,"&lt;"&amp;I$8,PERS_Status,"Full-Time")+SUMIFS(PERS_Monthly,PERS_StartDate,"&lt;"&amp;I$8,PERS_Status,"Part-Time")</f>
        <v>0</v>
      </c>
      <c r="J13" s="388">
        <f>SUMIFS(PERS_FirstMo,PERS_StartDate,"&gt;="&amp;J$8,PERS_StartDate,"&lt;"&amp;K$8,PERS_Status,"Full-Time")+SUMIFS(PERS_FirstMo,PERS_StartDate,"&gt;="&amp;J$8,PERS_StartDate,"&lt;"&amp;K$8,PERS_Status,"Part-Time")+SUMIFS(PERS_Monthly,PERS_StartDate,"&lt;"&amp;J$8,PERS_Status,"Full-Time")+SUMIFS(PERS_Monthly,PERS_StartDate,"&lt;"&amp;J$8,PERS_Status,"Part-Time")</f>
        <v>0</v>
      </c>
      <c r="K13" s="388">
        <f>SUMIFS(PERS_FirstMo,PERS_StartDate,"&gt;="&amp;K$8,PERS_StartDate,"&lt;"&amp;L$8,PERS_Status,"Full-Time")+SUMIFS(PERS_FirstMo,PERS_StartDate,"&gt;="&amp;K$8,PERS_StartDate,"&lt;"&amp;L$8,PERS_Status,"Part-Time")+SUMIFS(PERS_Monthly,PERS_StartDate,"&lt;"&amp;K$8,PERS_Status,"Full-Time")+SUMIFS(PERS_Monthly,PERS_StartDate,"&lt;"&amp;K$8,PERS_Status,"Part-Time")</f>
        <v>0</v>
      </c>
      <c r="L13" s="388">
        <f>SUMIFS(PERS_FirstMo,PERS_StartDate,"&gt;="&amp;L$8,PERS_StartDate,"&lt;"&amp;M$8,PERS_Status,"Full-Time")+SUMIFS(PERS_FirstMo,PERS_StartDate,"&gt;="&amp;L$8,PERS_StartDate,"&lt;"&amp;M$8,PERS_Status,"Part-Time")+SUMIFS(PERS_Monthly,PERS_StartDate,"&lt;"&amp;L$8,PERS_Status,"Full-Time")+SUMIFS(PERS_Monthly,PERS_StartDate,"&lt;"&amp;L$8,PERS_Status,"Part-Time")</f>
        <v>0</v>
      </c>
      <c r="M13" s="388">
        <f>SUMIFS(PERS_FirstMo,PERS_StartDate,"&gt;="&amp;M$8,PERS_StartDate,"&lt;"&amp;N$8,PERS_Status,"Full-Time")+SUMIFS(PERS_FirstMo,PERS_StartDate,"&gt;="&amp;M$8,PERS_StartDate,"&lt;"&amp;N$8,PERS_Status,"Part-Time")+SUMIFS(PERS_Monthly,PERS_StartDate,"&lt;"&amp;M$8,PERS_Status,"Full-Time")+SUMIFS(PERS_Monthly,PERS_StartDate,"&lt;"&amp;M$8,PERS_Status,"Part-Time")</f>
        <v>0</v>
      </c>
      <c r="N13" s="388">
        <f>SUMIFS(PERS_FirstMo,PERS_StartDate,"&gt;="&amp;N$8,PERS_StartDate,"&lt;"&amp;O$8,PERS_Status,"Full-Time")+SUMIFS(PERS_FirstMo,PERS_StartDate,"&gt;="&amp;N$8,PERS_StartDate,"&lt;"&amp;O$8,PERS_Status,"Part-Time")+SUMIFS(PERS_Monthly,PERS_StartDate,"&lt;"&amp;N$8,PERS_Status,"Full-Time")+SUMIFS(PERS_Monthly,PERS_StartDate,"&lt;"&amp;N$8,PERS_Status,"Part-Time")</f>
        <v>0</v>
      </c>
      <c r="O13" s="388">
        <f>SUMIFS(PERS_FirstMo,PERS_StartDate,"&gt;="&amp;O$8,PERS_StartDate,"&lt;"&amp;P$8,PERS_Status,"Full-Time")+SUMIFS(PERS_FirstMo,PERS_StartDate,"&gt;="&amp;O$8,PERS_StartDate,"&lt;"&amp;P$8,PERS_Status,"Part-Time")+SUMIFS(PERS_Monthly,PERS_StartDate,"&lt;"&amp;O$8,PERS_Status,"Full-Time")+SUMIFS(PERS_Monthly,PERS_StartDate,"&lt;"&amp;O$8,PERS_Status,"Part-Time")</f>
        <v>0</v>
      </c>
      <c r="P13" s="388">
        <f>SUMIFS(PERS_FirstMo,PERS_StartDate,"&gt;="&amp;P$8,PERS_StartDate,"&lt;"&amp;E$34,PERS_Status,"Full-Time")+SUMIFS(PERS_FirstMo,PERS_StartDate,"&gt;="&amp;P$8,PERS_StartDate,"&lt;"&amp;E$34,PERS_Status,"Part-Time")+SUMIFS(PERS_Monthly,PERS_StartDate,"&lt;"&amp;P$8,PERS_Status,"Full-Time")+SUMIFS(PERS_Monthly,PERS_StartDate,"&lt;"&amp;P$8,PERS_Status,"Part-Time")</f>
        <v>0</v>
      </c>
      <c r="Q13" s="389">
        <f t="shared" ref="Q13:Q15" si="9">SUM(E13:P13)</f>
        <v>0</v>
      </c>
      <c r="R13" s="12"/>
      <c r="S13" s="391">
        <f t="shared" ref="S13:S15" si="10">Q39</f>
        <v>0</v>
      </c>
      <c r="T13" s="392">
        <f t="shared" ref="T13:T15" si="11">Q65</f>
        <v>0</v>
      </c>
      <c r="U13" s="392">
        <f>T13*(1+YR4_Pay_Summary)</f>
        <v>0</v>
      </c>
      <c r="V13" s="394">
        <f>U13*(1+YR5_Pay_Summary)</f>
        <v>0</v>
      </c>
      <c r="W13" s="7"/>
      <c r="X13" s="7"/>
      <c r="Y13" s="7"/>
    </row>
    <row r="14">
      <c r="A14" s="53"/>
      <c r="B14" s="12"/>
      <c r="C14" s="12"/>
      <c r="D14" s="378" t="s">
        <v>365</v>
      </c>
      <c r="E14" s="395">
        <f>SUMIFS(PERS_FirstMo,PERS_StartDate,"&gt;="&amp;E$8,PERS_StartDate,"&lt;"&amp;F$8,PERS_Status,"Contractor")+SUMIFS(PERS_Monthly,PERS_StartDate,"&lt;"&amp;E$8,PERS_Status,"Contractor")</f>
        <v>4022.988506</v>
      </c>
      <c r="F14" s="396">
        <f>SUMIFS(PERS_FirstMo,PERS_StartDate,"&gt;="&amp;F$8,PERS_StartDate,"&lt;"&amp;G$8,PERS_Status,"Contractor")+SUMIFS(PERS_Monthly,PERS_StartDate,"&lt;"&amp;F$8,PERS_Status,"Contractor")</f>
        <v>4166.666667</v>
      </c>
      <c r="G14" s="396">
        <f>SUMIFS(PERS_FirstMo,PERS_StartDate,"&gt;="&amp;G$8,PERS_StartDate,"&lt;"&amp;H$8,PERS_Status,"Contractor")+SUMIFS(PERS_Monthly,PERS_StartDate,"&lt;"&amp;G$8,PERS_Status,"Contractor")</f>
        <v>4166.666667</v>
      </c>
      <c r="H14" s="396">
        <f>SUMIFS(PERS_FirstMo,PERS_StartDate,"&gt;="&amp;H$8,PERS_StartDate,"&lt;"&amp;I$8,PERS_Status,"Contractor")+SUMIFS(PERS_Monthly,PERS_StartDate,"&lt;"&amp;H$8,PERS_Status,"Contractor")</f>
        <v>4166.666667</v>
      </c>
      <c r="I14" s="396">
        <f>SUMIFS(PERS_FirstMo,PERS_StartDate,"&gt;="&amp;I$8,PERS_StartDate,"&lt;"&amp;J$8,PERS_Status,"Contractor")+SUMIFS(PERS_Monthly,PERS_StartDate,"&lt;"&amp;I$8,PERS_Status,"Contractor")</f>
        <v>4166.666667</v>
      </c>
      <c r="J14" s="396">
        <f>SUMIFS(PERS_FirstMo,PERS_StartDate,"&gt;="&amp;J$8,PERS_StartDate,"&lt;"&amp;K$8,PERS_Status,"Contractor")+SUMIFS(PERS_Monthly,PERS_StartDate,"&lt;"&amp;J$8,PERS_Status,"Contractor")</f>
        <v>4166.666667</v>
      </c>
      <c r="K14" s="396">
        <f>SUMIFS(PERS_FirstMo,PERS_StartDate,"&gt;="&amp;K$8,PERS_StartDate,"&lt;"&amp;L$8,PERS_Status,"Contractor")+SUMIFS(PERS_Monthly,PERS_StartDate,"&lt;"&amp;K$8,PERS_Status,"Contractor")</f>
        <v>4166.666667</v>
      </c>
      <c r="L14" s="396">
        <f>SUMIFS(PERS_FirstMo,PERS_StartDate,"&gt;="&amp;L$8,PERS_StartDate,"&lt;"&amp;M$8,PERS_Status,"Contractor")+SUMIFS(PERS_Monthly,PERS_StartDate,"&lt;"&amp;L$8,PERS_Status,"Contractor")</f>
        <v>4166.666667</v>
      </c>
      <c r="M14" s="396">
        <f>SUMIFS(PERS_FirstMo,PERS_StartDate,"&gt;="&amp;M$8,PERS_StartDate,"&lt;"&amp;N$8,PERS_Status,"Contractor")+SUMIFS(PERS_Monthly,PERS_StartDate,"&lt;"&amp;M$8,PERS_Status,"Contractor")</f>
        <v>4166.666667</v>
      </c>
      <c r="N14" s="396">
        <f>SUMIFS(PERS_FirstMo,PERS_StartDate,"&gt;="&amp;N$8,PERS_StartDate,"&lt;"&amp;O$8,PERS_Status,"Contractor")+SUMIFS(PERS_Monthly,PERS_StartDate,"&lt;"&amp;N$8,PERS_Status,"Contractor")</f>
        <v>4166.666667</v>
      </c>
      <c r="O14" s="396">
        <f>SUMIFS(PERS_FirstMo,PERS_StartDate,"&gt;="&amp;O$8,PERS_StartDate,"&lt;"&amp;P$8,PERS_Status,"Contractor")+SUMIFS(PERS_Monthly,PERS_StartDate,"&lt;"&amp;O$8,PERS_Status,"Contractor")</f>
        <v>4166.666667</v>
      </c>
      <c r="P14" s="396">
        <f>SUMIFS(PERS_FirstMo,PERS_StartDate,"&gt;="&amp;P$8,PERS_StartDate,"&lt;"&amp;E$34,PERS_Status,"Contractor")+SUMIFS(PERS_Monthly,PERS_StartDate,"&lt;"&amp;P$8,PERS_Status,"Contractor")</f>
        <v>4166.666667</v>
      </c>
      <c r="Q14" s="397">
        <f t="shared" si="9"/>
        <v>49856.32184</v>
      </c>
      <c r="R14" s="12"/>
      <c r="S14" s="398">
        <f t="shared" si="10"/>
        <v>51500</v>
      </c>
      <c r="T14" s="399">
        <f t="shared" si="11"/>
        <v>53045</v>
      </c>
      <c r="U14" s="399">
        <f>T14*(1+YR4_Pay_Summary)</f>
        <v>55697.25</v>
      </c>
      <c r="V14" s="400">
        <f>U14*(1+YR5_Pay_Summary)</f>
        <v>58482.1125</v>
      </c>
      <c r="W14" s="7"/>
      <c r="X14" s="7"/>
      <c r="Y14" s="7"/>
    </row>
    <row r="15">
      <c r="A15" s="53"/>
      <c r="B15" s="12"/>
      <c r="C15" s="12"/>
      <c r="D15" s="378" t="s">
        <v>366</v>
      </c>
      <c r="E15" s="395">
        <f t="shared" ref="E15:P15" si="12">SUM(E19:E28)</f>
        <v>0</v>
      </c>
      <c r="F15" s="396">
        <f t="shared" si="12"/>
        <v>0</v>
      </c>
      <c r="G15" s="396">
        <f t="shared" si="12"/>
        <v>0</v>
      </c>
      <c r="H15" s="396">
        <f t="shared" si="12"/>
        <v>0</v>
      </c>
      <c r="I15" s="396">
        <f t="shared" si="12"/>
        <v>0</v>
      </c>
      <c r="J15" s="396">
        <f t="shared" si="12"/>
        <v>0</v>
      </c>
      <c r="K15" s="396">
        <f t="shared" si="12"/>
        <v>0</v>
      </c>
      <c r="L15" s="396">
        <f t="shared" si="12"/>
        <v>0</v>
      </c>
      <c r="M15" s="396">
        <f t="shared" si="12"/>
        <v>0</v>
      </c>
      <c r="N15" s="396">
        <f t="shared" si="12"/>
        <v>0</v>
      </c>
      <c r="O15" s="396">
        <f t="shared" si="12"/>
        <v>0</v>
      </c>
      <c r="P15" s="396">
        <f t="shared" si="12"/>
        <v>0</v>
      </c>
      <c r="Q15" s="397">
        <f t="shared" si="9"/>
        <v>0</v>
      </c>
      <c r="R15" s="12"/>
      <c r="S15" s="401">
        <f t="shared" si="10"/>
        <v>0</v>
      </c>
      <c r="T15" s="402">
        <f t="shared" si="11"/>
        <v>0</v>
      </c>
      <c r="U15" s="402">
        <f>T15*(1+YR4_Pay_Summary)</f>
        <v>0</v>
      </c>
      <c r="V15" s="403">
        <f>U15*(1+YR5_Pay_Summary)</f>
        <v>0</v>
      </c>
      <c r="W15" s="7"/>
      <c r="X15" s="7"/>
      <c r="Y15" s="7"/>
    </row>
    <row r="16">
      <c r="A16" s="53"/>
      <c r="B16" s="12"/>
      <c r="C16" s="12"/>
      <c r="D16" s="404" t="s">
        <v>263</v>
      </c>
      <c r="E16" s="405">
        <f t="shared" ref="E16:Q16" si="13">SUM(E13:E15)</f>
        <v>4022.988506</v>
      </c>
      <c r="F16" s="406">
        <f t="shared" si="13"/>
        <v>4166.666667</v>
      </c>
      <c r="G16" s="406">
        <f t="shared" si="13"/>
        <v>4166.666667</v>
      </c>
      <c r="H16" s="406">
        <f t="shared" si="13"/>
        <v>4166.666667</v>
      </c>
      <c r="I16" s="406">
        <f t="shared" si="13"/>
        <v>4166.666667</v>
      </c>
      <c r="J16" s="406">
        <f t="shared" si="13"/>
        <v>4166.666667</v>
      </c>
      <c r="K16" s="406">
        <f t="shared" si="13"/>
        <v>4166.666667</v>
      </c>
      <c r="L16" s="406">
        <f t="shared" si="13"/>
        <v>4166.666667</v>
      </c>
      <c r="M16" s="406">
        <f t="shared" si="13"/>
        <v>4166.666667</v>
      </c>
      <c r="N16" s="406">
        <f t="shared" si="13"/>
        <v>4166.666667</v>
      </c>
      <c r="O16" s="406">
        <f t="shared" si="13"/>
        <v>4166.666667</v>
      </c>
      <c r="P16" s="406">
        <f t="shared" si="13"/>
        <v>4166.666667</v>
      </c>
      <c r="Q16" s="407">
        <f t="shared" si="13"/>
        <v>49856.32184</v>
      </c>
      <c r="R16" s="12"/>
      <c r="S16" s="408">
        <f t="shared" ref="S16:V16" si="14">SUM(S13:S15)</f>
        <v>51500</v>
      </c>
      <c r="T16" s="361">
        <f t="shared" si="14"/>
        <v>53045</v>
      </c>
      <c r="U16" s="361">
        <f t="shared" si="14"/>
        <v>55697.25</v>
      </c>
      <c r="V16" s="409">
        <f t="shared" si="14"/>
        <v>58482.1125</v>
      </c>
      <c r="W16" s="7"/>
      <c r="X16" s="7"/>
    </row>
    <row r="17">
      <c r="A17" s="53"/>
      <c r="B17" s="25"/>
      <c r="C17" s="12"/>
      <c r="D17" s="12"/>
      <c r="E17" s="383"/>
      <c r="F17" s="384"/>
      <c r="G17" s="384"/>
      <c r="H17" s="384"/>
      <c r="I17" s="384"/>
      <c r="J17" s="396"/>
      <c r="K17" s="384"/>
      <c r="L17" s="384"/>
      <c r="M17" s="384"/>
      <c r="N17" s="384"/>
      <c r="O17" s="384"/>
      <c r="P17" s="384"/>
      <c r="Q17" s="381"/>
      <c r="R17" s="12"/>
      <c r="S17" s="138" t="s">
        <v>367</v>
      </c>
      <c r="T17" s="12"/>
      <c r="U17" s="12"/>
      <c r="V17" s="12"/>
      <c r="W17" s="7"/>
      <c r="X17" s="7"/>
      <c r="Y17" s="7"/>
    </row>
    <row r="18">
      <c r="A18" s="53"/>
      <c r="B18" s="25" t="s">
        <v>366</v>
      </c>
      <c r="C18" s="12"/>
      <c r="D18" s="138" t="s">
        <v>368</v>
      </c>
      <c r="E18" s="383"/>
      <c r="F18" s="384"/>
      <c r="G18" s="384"/>
      <c r="H18" s="384"/>
      <c r="I18" s="384"/>
      <c r="J18" s="384"/>
      <c r="K18" s="384"/>
      <c r="L18" s="384"/>
      <c r="M18" s="384"/>
      <c r="N18" s="384"/>
      <c r="O18" s="384"/>
      <c r="P18" s="384"/>
      <c r="Q18" s="381"/>
      <c r="R18" s="12"/>
      <c r="S18" s="12"/>
      <c r="T18" s="12"/>
      <c r="U18" s="12"/>
      <c r="V18" s="12"/>
      <c r="W18" s="7"/>
      <c r="X18" s="7"/>
      <c r="Y18" s="7"/>
    </row>
    <row r="19">
      <c r="A19" s="53"/>
      <c r="B19" s="133" t="s">
        <v>369</v>
      </c>
      <c r="C19" s="410">
        <v>0.062</v>
      </c>
      <c r="D19" s="12">
        <v>102000.0</v>
      </c>
      <c r="E19" s="411">
        <f t="shared" ref="E19:P19" si="15">$C$19*E13</f>
        <v>0</v>
      </c>
      <c r="F19" s="411">
        <f t="shared" si="15"/>
        <v>0</v>
      </c>
      <c r="G19" s="411">
        <f t="shared" si="15"/>
        <v>0</v>
      </c>
      <c r="H19" s="411">
        <f t="shared" si="15"/>
        <v>0</v>
      </c>
      <c r="I19" s="411">
        <f t="shared" si="15"/>
        <v>0</v>
      </c>
      <c r="J19" s="411">
        <f t="shared" si="15"/>
        <v>0</v>
      </c>
      <c r="K19" s="411">
        <f t="shared" si="15"/>
        <v>0</v>
      </c>
      <c r="L19" s="411">
        <f t="shared" si="15"/>
        <v>0</v>
      </c>
      <c r="M19" s="411">
        <f t="shared" si="15"/>
        <v>0</v>
      </c>
      <c r="N19" s="411">
        <f t="shared" si="15"/>
        <v>0</v>
      </c>
      <c r="O19" s="411">
        <f t="shared" si="15"/>
        <v>0</v>
      </c>
      <c r="P19" s="411">
        <f t="shared" si="15"/>
        <v>0</v>
      </c>
      <c r="Q19" s="412">
        <f t="shared" ref="Q19:Q28" si="17">SUM(E19:P19)</f>
        <v>0</v>
      </c>
      <c r="R19" s="12"/>
      <c r="S19" s="12"/>
      <c r="T19" s="12"/>
      <c r="U19" s="12"/>
      <c r="V19" s="12"/>
      <c r="W19" s="7"/>
      <c r="X19" s="7"/>
      <c r="Y19" s="7"/>
    </row>
    <row r="20">
      <c r="A20" s="53"/>
      <c r="B20" s="133" t="s">
        <v>370</v>
      </c>
      <c r="C20" s="410">
        <v>0.0145</v>
      </c>
      <c r="D20" s="12"/>
      <c r="E20" s="411">
        <f t="shared" ref="E20:P20" si="16">$C$20*E13</f>
        <v>0</v>
      </c>
      <c r="F20" s="411">
        <f t="shared" si="16"/>
        <v>0</v>
      </c>
      <c r="G20" s="411">
        <f t="shared" si="16"/>
        <v>0</v>
      </c>
      <c r="H20" s="411">
        <f t="shared" si="16"/>
        <v>0</v>
      </c>
      <c r="I20" s="411">
        <f t="shared" si="16"/>
        <v>0</v>
      </c>
      <c r="J20" s="411">
        <f t="shared" si="16"/>
        <v>0</v>
      </c>
      <c r="K20" s="411">
        <f t="shared" si="16"/>
        <v>0</v>
      </c>
      <c r="L20" s="411">
        <f t="shared" si="16"/>
        <v>0</v>
      </c>
      <c r="M20" s="411">
        <f t="shared" si="16"/>
        <v>0</v>
      </c>
      <c r="N20" s="411">
        <f t="shared" si="16"/>
        <v>0</v>
      </c>
      <c r="O20" s="411">
        <f t="shared" si="16"/>
        <v>0</v>
      </c>
      <c r="P20" s="411">
        <f t="shared" si="16"/>
        <v>0</v>
      </c>
      <c r="Q20" s="412">
        <f t="shared" si="17"/>
        <v>0</v>
      </c>
      <c r="R20" s="12"/>
      <c r="S20" s="12"/>
      <c r="T20" s="12"/>
      <c r="U20" s="12"/>
      <c r="V20" s="12"/>
      <c r="W20" s="7"/>
      <c r="X20" s="7"/>
      <c r="Y20" s="7"/>
    </row>
    <row r="21" ht="15.75" customHeight="1">
      <c r="A21" s="53"/>
      <c r="B21" s="133" t="s">
        <v>371</v>
      </c>
      <c r="C21" s="410">
        <v>0.008</v>
      </c>
      <c r="D21" s="12">
        <v>7000.0</v>
      </c>
      <c r="E21" s="411">
        <f t="shared" ref="E21:P21" si="18">($C$21*$D$21/12)*E10</f>
        <v>0</v>
      </c>
      <c r="F21" s="411">
        <f t="shared" si="18"/>
        <v>0</v>
      </c>
      <c r="G21" s="411">
        <f t="shared" si="18"/>
        <v>0</v>
      </c>
      <c r="H21" s="411">
        <f t="shared" si="18"/>
        <v>0</v>
      </c>
      <c r="I21" s="411">
        <f t="shared" si="18"/>
        <v>0</v>
      </c>
      <c r="J21" s="411">
        <f t="shared" si="18"/>
        <v>0</v>
      </c>
      <c r="K21" s="411">
        <f t="shared" si="18"/>
        <v>0</v>
      </c>
      <c r="L21" s="411">
        <f t="shared" si="18"/>
        <v>0</v>
      </c>
      <c r="M21" s="411">
        <f t="shared" si="18"/>
        <v>0</v>
      </c>
      <c r="N21" s="411">
        <f t="shared" si="18"/>
        <v>0</v>
      </c>
      <c r="O21" s="411">
        <f t="shared" si="18"/>
        <v>0</v>
      </c>
      <c r="P21" s="411">
        <f t="shared" si="18"/>
        <v>0</v>
      </c>
      <c r="Q21" s="412">
        <f t="shared" si="17"/>
        <v>0</v>
      </c>
      <c r="R21" s="12"/>
      <c r="S21" s="12"/>
      <c r="T21" s="12"/>
      <c r="U21" s="12"/>
      <c r="V21" s="12"/>
      <c r="W21" s="7"/>
      <c r="X21" s="7"/>
      <c r="Y21" s="7"/>
    </row>
    <row r="22" ht="15.75" customHeight="1">
      <c r="A22" s="53"/>
      <c r="B22" s="133" t="s">
        <v>372</v>
      </c>
      <c r="C22" s="410">
        <v>0.027</v>
      </c>
      <c r="D22" s="12">
        <v>7000.0</v>
      </c>
      <c r="E22" s="411">
        <f t="shared" ref="E22:P22" si="19">($C$22*$D$22/12)*E10</f>
        <v>0</v>
      </c>
      <c r="F22" s="411">
        <f t="shared" si="19"/>
        <v>0</v>
      </c>
      <c r="G22" s="411">
        <f t="shared" si="19"/>
        <v>0</v>
      </c>
      <c r="H22" s="411">
        <f t="shared" si="19"/>
        <v>0</v>
      </c>
      <c r="I22" s="411">
        <f t="shared" si="19"/>
        <v>0</v>
      </c>
      <c r="J22" s="411">
        <f t="shared" si="19"/>
        <v>0</v>
      </c>
      <c r="K22" s="411">
        <f t="shared" si="19"/>
        <v>0</v>
      </c>
      <c r="L22" s="411">
        <f t="shared" si="19"/>
        <v>0</v>
      </c>
      <c r="M22" s="411">
        <f t="shared" si="19"/>
        <v>0</v>
      </c>
      <c r="N22" s="411">
        <f t="shared" si="19"/>
        <v>0</v>
      </c>
      <c r="O22" s="411">
        <f t="shared" si="19"/>
        <v>0</v>
      </c>
      <c r="P22" s="411">
        <f t="shared" si="19"/>
        <v>0</v>
      </c>
      <c r="Q22" s="412">
        <f t="shared" si="17"/>
        <v>0</v>
      </c>
      <c r="R22" s="12"/>
      <c r="S22" s="12"/>
      <c r="T22" s="12"/>
      <c r="U22" s="12"/>
      <c r="V22" s="12"/>
      <c r="W22" s="7"/>
      <c r="X22" s="7"/>
      <c r="Y22" s="7"/>
    </row>
    <row r="23" ht="15.75" customHeight="1">
      <c r="A23" s="53"/>
      <c r="B23" s="133" t="s">
        <v>373</v>
      </c>
      <c r="C23" s="410">
        <v>0.0</v>
      </c>
      <c r="D23" s="136"/>
      <c r="E23" s="411">
        <f t="shared" ref="E23:P23" si="20">$C$23*E$13</f>
        <v>0</v>
      </c>
      <c r="F23" s="411">
        <f t="shared" si="20"/>
        <v>0</v>
      </c>
      <c r="G23" s="411">
        <f t="shared" si="20"/>
        <v>0</v>
      </c>
      <c r="H23" s="411">
        <f t="shared" si="20"/>
        <v>0</v>
      </c>
      <c r="I23" s="411">
        <f t="shared" si="20"/>
        <v>0</v>
      </c>
      <c r="J23" s="411">
        <f t="shared" si="20"/>
        <v>0</v>
      </c>
      <c r="K23" s="411">
        <f t="shared" si="20"/>
        <v>0</v>
      </c>
      <c r="L23" s="411">
        <f t="shared" si="20"/>
        <v>0</v>
      </c>
      <c r="M23" s="411">
        <f t="shared" si="20"/>
        <v>0</v>
      </c>
      <c r="N23" s="411">
        <f t="shared" si="20"/>
        <v>0</v>
      </c>
      <c r="O23" s="411">
        <f t="shared" si="20"/>
        <v>0</v>
      </c>
      <c r="P23" s="411">
        <f t="shared" si="20"/>
        <v>0</v>
      </c>
      <c r="Q23" s="412">
        <f t="shared" si="17"/>
        <v>0</v>
      </c>
      <c r="R23" s="12"/>
      <c r="S23" s="12"/>
      <c r="T23" s="12"/>
      <c r="U23" s="12"/>
      <c r="V23" s="12"/>
      <c r="W23" s="7"/>
      <c r="X23" s="7"/>
      <c r="Y23" s="7"/>
    </row>
    <row r="24" ht="15.75" customHeight="1">
      <c r="A24" s="53"/>
      <c r="B24" s="133" t="s">
        <v>374</v>
      </c>
      <c r="C24" s="410">
        <v>0.0</v>
      </c>
      <c r="D24" s="136"/>
      <c r="E24" s="411">
        <f t="shared" ref="E24:P24" si="21">$C$2*E$13</f>
        <v>0</v>
      </c>
      <c r="F24" s="411">
        <f t="shared" si="21"/>
        <v>0</v>
      </c>
      <c r="G24" s="411">
        <f t="shared" si="21"/>
        <v>0</v>
      </c>
      <c r="H24" s="411">
        <f t="shared" si="21"/>
        <v>0</v>
      </c>
      <c r="I24" s="411">
        <f t="shared" si="21"/>
        <v>0</v>
      </c>
      <c r="J24" s="411">
        <f t="shared" si="21"/>
        <v>0</v>
      </c>
      <c r="K24" s="411">
        <f t="shared" si="21"/>
        <v>0</v>
      </c>
      <c r="L24" s="411">
        <f t="shared" si="21"/>
        <v>0</v>
      </c>
      <c r="M24" s="411">
        <f t="shared" si="21"/>
        <v>0</v>
      </c>
      <c r="N24" s="411">
        <f t="shared" si="21"/>
        <v>0</v>
      </c>
      <c r="O24" s="411">
        <f t="shared" si="21"/>
        <v>0</v>
      </c>
      <c r="P24" s="411">
        <f t="shared" si="21"/>
        <v>0</v>
      </c>
      <c r="Q24" s="412">
        <f t="shared" si="17"/>
        <v>0</v>
      </c>
      <c r="R24" s="12"/>
      <c r="S24" s="12"/>
      <c r="T24" s="12"/>
      <c r="U24" s="12"/>
      <c r="V24" s="12"/>
      <c r="W24" s="7"/>
      <c r="X24" s="7"/>
      <c r="Y24" s="7"/>
    </row>
    <row r="25" ht="15.75" customHeight="1">
      <c r="A25" s="53"/>
      <c r="B25" s="133" t="s">
        <v>375</v>
      </c>
      <c r="C25" s="410">
        <v>0.0</v>
      </c>
      <c r="D25" s="136"/>
      <c r="E25" s="411">
        <f t="shared" ref="E25:P25" si="22">$C$25*E$13</f>
        <v>0</v>
      </c>
      <c r="F25" s="411">
        <f t="shared" si="22"/>
        <v>0</v>
      </c>
      <c r="G25" s="411">
        <f t="shared" si="22"/>
        <v>0</v>
      </c>
      <c r="H25" s="411">
        <f t="shared" si="22"/>
        <v>0</v>
      </c>
      <c r="I25" s="411">
        <f t="shared" si="22"/>
        <v>0</v>
      </c>
      <c r="J25" s="411">
        <f t="shared" si="22"/>
        <v>0</v>
      </c>
      <c r="K25" s="411">
        <f t="shared" si="22"/>
        <v>0</v>
      </c>
      <c r="L25" s="411">
        <f t="shared" si="22"/>
        <v>0</v>
      </c>
      <c r="M25" s="411">
        <f t="shared" si="22"/>
        <v>0</v>
      </c>
      <c r="N25" s="411">
        <f t="shared" si="22"/>
        <v>0</v>
      </c>
      <c r="O25" s="411">
        <f t="shared" si="22"/>
        <v>0</v>
      </c>
      <c r="P25" s="411">
        <f t="shared" si="22"/>
        <v>0</v>
      </c>
      <c r="Q25" s="412">
        <f t="shared" si="17"/>
        <v>0</v>
      </c>
      <c r="R25" s="12"/>
      <c r="S25" s="12"/>
      <c r="T25" s="12"/>
      <c r="U25" s="12"/>
      <c r="V25" s="12"/>
      <c r="W25" s="7"/>
      <c r="X25" s="7"/>
      <c r="Y25" s="7"/>
    </row>
    <row r="26" ht="15.75" customHeight="1">
      <c r="A26" s="53"/>
      <c r="B26" s="133" t="s">
        <v>376</v>
      </c>
      <c r="C26" s="410">
        <v>0.0</v>
      </c>
      <c r="D26" s="136"/>
      <c r="E26" s="411">
        <f t="shared" ref="E26:P26" si="23">$C$26*E$13</f>
        <v>0</v>
      </c>
      <c r="F26" s="411">
        <f t="shared" si="23"/>
        <v>0</v>
      </c>
      <c r="G26" s="411">
        <f t="shared" si="23"/>
        <v>0</v>
      </c>
      <c r="H26" s="411">
        <f t="shared" si="23"/>
        <v>0</v>
      </c>
      <c r="I26" s="411">
        <f t="shared" si="23"/>
        <v>0</v>
      </c>
      <c r="J26" s="411">
        <f t="shared" si="23"/>
        <v>0</v>
      </c>
      <c r="K26" s="411">
        <f t="shared" si="23"/>
        <v>0</v>
      </c>
      <c r="L26" s="411">
        <f t="shared" si="23"/>
        <v>0</v>
      </c>
      <c r="M26" s="411">
        <f t="shared" si="23"/>
        <v>0</v>
      </c>
      <c r="N26" s="411">
        <f t="shared" si="23"/>
        <v>0</v>
      </c>
      <c r="O26" s="411">
        <f t="shared" si="23"/>
        <v>0</v>
      </c>
      <c r="P26" s="411">
        <f t="shared" si="23"/>
        <v>0</v>
      </c>
      <c r="Q26" s="412">
        <f t="shared" si="17"/>
        <v>0</v>
      </c>
      <c r="R26" s="12"/>
      <c r="S26" s="12"/>
      <c r="T26" s="12"/>
      <c r="U26" s="12"/>
      <c r="V26" s="12"/>
      <c r="W26" s="7"/>
      <c r="X26" s="7"/>
      <c r="Y26" s="7"/>
    </row>
    <row r="27" ht="15.75" customHeight="1">
      <c r="A27" s="53"/>
      <c r="B27" s="133" t="s">
        <v>377</v>
      </c>
      <c r="C27" s="410">
        <v>0.0</v>
      </c>
      <c r="D27" s="136"/>
      <c r="E27" s="411">
        <f t="shared" ref="E27:P27" si="24">$C$27*E$13</f>
        <v>0</v>
      </c>
      <c r="F27" s="411">
        <f t="shared" si="24"/>
        <v>0</v>
      </c>
      <c r="G27" s="411">
        <f t="shared" si="24"/>
        <v>0</v>
      </c>
      <c r="H27" s="411">
        <f t="shared" si="24"/>
        <v>0</v>
      </c>
      <c r="I27" s="411">
        <f t="shared" si="24"/>
        <v>0</v>
      </c>
      <c r="J27" s="411">
        <f t="shared" si="24"/>
        <v>0</v>
      </c>
      <c r="K27" s="411">
        <f t="shared" si="24"/>
        <v>0</v>
      </c>
      <c r="L27" s="411">
        <f t="shared" si="24"/>
        <v>0</v>
      </c>
      <c r="M27" s="411">
        <f t="shared" si="24"/>
        <v>0</v>
      </c>
      <c r="N27" s="411">
        <f t="shared" si="24"/>
        <v>0</v>
      </c>
      <c r="O27" s="411">
        <f t="shared" si="24"/>
        <v>0</v>
      </c>
      <c r="P27" s="411">
        <f t="shared" si="24"/>
        <v>0</v>
      </c>
      <c r="Q27" s="412">
        <f t="shared" si="17"/>
        <v>0</v>
      </c>
      <c r="R27" s="12"/>
      <c r="S27" s="12"/>
      <c r="T27" s="12"/>
      <c r="U27" s="12"/>
      <c r="V27" s="12"/>
      <c r="W27" s="7"/>
      <c r="X27" s="7"/>
      <c r="Y27" s="7"/>
    </row>
    <row r="28" ht="15.75" customHeight="1">
      <c r="A28" s="40"/>
      <c r="B28" s="139" t="s">
        <v>378</v>
      </c>
      <c r="C28" s="413">
        <v>0.04</v>
      </c>
      <c r="D28" s="43"/>
      <c r="E28" s="414">
        <f t="shared" ref="E28:P28" si="25">$C$28*E$13</f>
        <v>0</v>
      </c>
      <c r="F28" s="414">
        <f t="shared" si="25"/>
        <v>0</v>
      </c>
      <c r="G28" s="414">
        <f t="shared" si="25"/>
        <v>0</v>
      </c>
      <c r="H28" s="414">
        <f t="shared" si="25"/>
        <v>0</v>
      </c>
      <c r="I28" s="414">
        <f t="shared" si="25"/>
        <v>0</v>
      </c>
      <c r="J28" s="414">
        <f t="shared" si="25"/>
        <v>0</v>
      </c>
      <c r="K28" s="414">
        <f t="shared" si="25"/>
        <v>0</v>
      </c>
      <c r="L28" s="414">
        <f t="shared" si="25"/>
        <v>0</v>
      </c>
      <c r="M28" s="414">
        <f t="shared" si="25"/>
        <v>0</v>
      </c>
      <c r="N28" s="414">
        <f t="shared" si="25"/>
        <v>0</v>
      </c>
      <c r="O28" s="414">
        <f t="shared" si="25"/>
        <v>0</v>
      </c>
      <c r="P28" s="414">
        <f t="shared" si="25"/>
        <v>0</v>
      </c>
      <c r="Q28" s="415">
        <f t="shared" si="17"/>
        <v>0</v>
      </c>
      <c r="R28" s="25"/>
      <c r="S28" s="12"/>
      <c r="T28" s="12"/>
      <c r="U28" s="12"/>
      <c r="V28" s="25"/>
      <c r="W28" s="55"/>
      <c r="X28" s="55"/>
      <c r="Y28" s="55"/>
    </row>
    <row r="29" ht="15.75" customHeight="1">
      <c r="A29" s="53"/>
      <c r="B29" s="133"/>
      <c r="C29" s="12"/>
      <c r="D29" s="12"/>
      <c r="E29" s="12"/>
      <c r="F29" s="12"/>
      <c r="G29" s="12"/>
      <c r="H29" s="12"/>
      <c r="I29" s="12"/>
      <c r="J29" s="12"/>
      <c r="K29" s="12"/>
      <c r="L29" s="12"/>
      <c r="M29" s="12"/>
      <c r="N29" s="12"/>
      <c r="O29" s="133"/>
      <c r="P29" s="12"/>
      <c r="Q29" s="19"/>
      <c r="R29" s="12"/>
      <c r="S29" s="12"/>
      <c r="T29" s="12"/>
      <c r="U29" s="12"/>
      <c r="V29" s="134"/>
      <c r="W29" s="134"/>
      <c r="X29" s="134"/>
    </row>
    <row r="30" ht="15.75" customHeight="1">
      <c r="A30" s="416" t="str">
        <f>IF(ISBLANK(Company_Name),"Payroll Summary | Year 2",Company_Name&amp;" | Payroll Summary |Year 2")</f>
        <v>OTW Paints | Payroll Summary |Year 2</v>
      </c>
      <c r="B30" s="5"/>
      <c r="C30" s="5"/>
      <c r="D30" s="417"/>
      <c r="E30" s="273"/>
      <c r="F30" s="12"/>
      <c r="G30" s="12"/>
      <c r="H30" s="12"/>
      <c r="I30" s="127"/>
      <c r="J30" s="12"/>
      <c r="K30" s="273"/>
      <c r="L30" s="12"/>
      <c r="M30" s="12"/>
      <c r="N30" s="12"/>
      <c r="O30" s="12"/>
      <c r="P30" s="12"/>
      <c r="Q30" s="12"/>
      <c r="R30" s="12"/>
      <c r="S30" s="12"/>
      <c r="T30" s="12"/>
      <c r="U30" s="12"/>
      <c r="V30" s="7"/>
      <c r="W30" s="7"/>
      <c r="X30" s="7"/>
    </row>
    <row r="31" ht="15.75" customHeight="1">
      <c r="A31" s="53"/>
      <c r="B31" s="360"/>
      <c r="C31" s="12"/>
      <c r="D31" s="12"/>
      <c r="E31" s="12"/>
      <c r="F31" s="12"/>
      <c r="G31" s="12"/>
      <c r="H31" s="12"/>
      <c r="I31" s="12"/>
      <c r="J31" s="12"/>
      <c r="K31" s="12"/>
      <c r="L31" s="12"/>
      <c r="M31" s="12"/>
      <c r="N31" s="12"/>
      <c r="O31" s="12"/>
      <c r="P31" s="12"/>
      <c r="Q31" s="12"/>
      <c r="R31" s="12"/>
      <c r="S31" s="12"/>
      <c r="T31" s="12"/>
      <c r="U31" s="12"/>
      <c r="V31" s="7"/>
      <c r="W31" s="7"/>
      <c r="X31" s="7"/>
    </row>
    <row r="32" ht="15.75" customHeight="1">
      <c r="A32" s="53"/>
      <c r="B32" s="420" t="s">
        <v>379</v>
      </c>
      <c r="C32" s="422">
        <f>EDATE(DATEVALUE("1/1/"&amp;YEAR(Projected_Start_Date)),12)</f>
        <v>42736</v>
      </c>
      <c r="D32" s="12"/>
      <c r="E32" s="12"/>
      <c r="F32" s="12"/>
      <c r="G32" s="12"/>
      <c r="H32" s="12"/>
      <c r="I32" s="12"/>
      <c r="J32" s="12"/>
      <c r="K32" s="12"/>
      <c r="L32" s="12"/>
      <c r="M32" s="12"/>
      <c r="N32" s="12"/>
      <c r="O32" s="12"/>
      <c r="P32" s="12"/>
      <c r="Q32" s="12"/>
      <c r="R32" s="12"/>
      <c r="S32" s="12"/>
      <c r="T32" s="12"/>
      <c r="U32" s="12"/>
      <c r="V32" s="12"/>
      <c r="W32" s="7"/>
      <c r="X32" s="7"/>
      <c r="Y32" s="7"/>
    </row>
    <row r="33" ht="15.75" customHeight="1">
      <c r="A33" s="53"/>
      <c r="B33" s="12"/>
      <c r="C33" s="12"/>
      <c r="D33" s="12"/>
      <c r="E33" s="12"/>
      <c r="F33" s="12"/>
      <c r="G33" s="12"/>
      <c r="H33" s="12"/>
      <c r="I33" s="12"/>
      <c r="J33" s="12"/>
      <c r="K33" s="12"/>
      <c r="L33" s="12"/>
      <c r="M33" s="12"/>
      <c r="N33" s="12"/>
      <c r="O33" s="12"/>
      <c r="P33" s="12"/>
      <c r="Q33" s="43"/>
      <c r="R33" s="12"/>
      <c r="S33" s="12"/>
      <c r="T33" s="12"/>
      <c r="U33" s="12"/>
      <c r="V33" s="12"/>
      <c r="W33" s="7"/>
      <c r="X33" s="7"/>
      <c r="Y33" s="7"/>
    </row>
    <row r="34" ht="15.75" customHeight="1">
      <c r="A34" s="370" t="str">
        <f>IF(ISBLANK(Projected_Start_Date),"",TEXT((EDATE(DATEVALUE("1/1/"&amp;YEAR(Projected_Start_Date)),12)),"yyy"))</f>
        <v>2017</v>
      </c>
      <c r="B34" s="253"/>
      <c r="C34" s="425"/>
      <c r="D34" s="253"/>
      <c r="E34" s="372">
        <f>DATE(YEAR(C32),1,1)</f>
        <v>42736</v>
      </c>
      <c r="F34" s="372">
        <f t="shared" ref="F34:P34" si="26">EDATE(E34,1)</f>
        <v>42767</v>
      </c>
      <c r="G34" s="372">
        <f t="shared" si="26"/>
        <v>42795</v>
      </c>
      <c r="H34" s="372">
        <f t="shared" si="26"/>
        <v>42826</v>
      </c>
      <c r="I34" s="372">
        <f t="shared" si="26"/>
        <v>42856</v>
      </c>
      <c r="J34" s="372">
        <f t="shared" si="26"/>
        <v>42887</v>
      </c>
      <c r="K34" s="372">
        <f t="shared" si="26"/>
        <v>42917</v>
      </c>
      <c r="L34" s="372">
        <f t="shared" si="26"/>
        <v>42948</v>
      </c>
      <c r="M34" s="372">
        <f t="shared" si="26"/>
        <v>42979</v>
      </c>
      <c r="N34" s="372">
        <f t="shared" si="26"/>
        <v>43009</v>
      </c>
      <c r="O34" s="372">
        <f t="shared" si="26"/>
        <v>43040</v>
      </c>
      <c r="P34" s="372">
        <f t="shared" si="26"/>
        <v>43070</v>
      </c>
      <c r="Q34" s="374" t="s">
        <v>107</v>
      </c>
      <c r="R34" s="237"/>
      <c r="S34" s="12"/>
      <c r="T34" s="12"/>
      <c r="U34" s="12"/>
      <c r="V34" s="12"/>
      <c r="Y34" s="7"/>
    </row>
    <row r="35" ht="15.75" customHeight="1">
      <c r="A35" s="53"/>
      <c r="B35" s="133"/>
      <c r="C35" s="12"/>
      <c r="D35" s="378" t="s">
        <v>360</v>
      </c>
      <c r="E35" s="379">
        <f t="shared" ref="E35:P35" si="27">SUM(E36:E37)</f>
        <v>2</v>
      </c>
      <c r="F35" s="380">
        <f t="shared" si="27"/>
        <v>2</v>
      </c>
      <c r="G35" s="380">
        <f t="shared" si="27"/>
        <v>2</v>
      </c>
      <c r="H35" s="380">
        <f t="shared" si="27"/>
        <v>2</v>
      </c>
      <c r="I35" s="380">
        <f t="shared" si="27"/>
        <v>2</v>
      </c>
      <c r="J35" s="380">
        <f t="shared" si="27"/>
        <v>2</v>
      </c>
      <c r="K35" s="380">
        <f t="shared" si="27"/>
        <v>2</v>
      </c>
      <c r="L35" s="380">
        <f t="shared" si="27"/>
        <v>2</v>
      </c>
      <c r="M35" s="380">
        <f t="shared" si="27"/>
        <v>2</v>
      </c>
      <c r="N35" s="380">
        <f t="shared" si="27"/>
        <v>2</v>
      </c>
      <c r="O35" s="380">
        <f t="shared" si="27"/>
        <v>2</v>
      </c>
      <c r="P35" s="380">
        <f t="shared" si="27"/>
        <v>2</v>
      </c>
      <c r="Q35" s="426">
        <f t="shared" ref="Q35:Q37" si="28">P35</f>
        <v>2</v>
      </c>
      <c r="R35" s="12"/>
      <c r="S35" s="12"/>
      <c r="T35" s="12"/>
      <c r="U35" s="12"/>
      <c r="V35" s="12"/>
    </row>
    <row r="36" ht="15.75" customHeight="1">
      <c r="A36" s="53"/>
      <c r="B36" s="12"/>
      <c r="C36" s="12"/>
      <c r="D36" s="133" t="s">
        <v>361</v>
      </c>
      <c r="E36" s="427">
        <f>COUNTIFS(PERS_StartDate,"&lt;="&amp;E34,PERS_Status,"Full-Time",PERS_Annual_Salaries,"&gt;0")+COUNTIFS(PERS_StartDate,"&lt;="&amp;E34,PERS_Status,"Part-Time",PERS_Annual_Salaries,"&gt;0")</f>
        <v>0</v>
      </c>
      <c r="F36" s="427">
        <f>COUNTIFS(PERS_StartDate,"&lt;="&amp;F34,PERS_Status,"Full-Time",PERS_Annual_Salaries,"&gt;0")+COUNTIFS(PERS_StartDate,"&lt;="&amp;F34,PERS_Status,"Part-Time",PERS_Annual_Salaries,"&gt;0")</f>
        <v>0</v>
      </c>
      <c r="G36" s="427">
        <f>COUNTIFS(PERS_StartDate,"&lt;="&amp;G34,PERS_Status,"Full-Time",PERS_Annual_Salaries,"&gt;0")+COUNTIFS(PERS_StartDate,"&lt;="&amp;G34,PERS_Status,"Part-Time",PERS_Annual_Salaries,"&gt;0")</f>
        <v>0</v>
      </c>
      <c r="H36" s="427">
        <f>COUNTIFS(PERS_StartDate,"&lt;="&amp;H34,PERS_Status,"Full-Time",PERS_Annual_Salaries,"&gt;0")+COUNTIFS(PERS_StartDate,"&lt;="&amp;H34,PERS_Status,"Part-Time",PERS_Annual_Salaries,"&gt;0")</f>
        <v>0</v>
      </c>
      <c r="I36" s="427">
        <f>COUNTIFS(PERS_StartDate,"&lt;="&amp;I34,PERS_Status,"Full-Time",PERS_Annual_Salaries,"&gt;0")+COUNTIFS(PERS_StartDate,"&lt;="&amp;I34,PERS_Status,"Part-Time",PERS_Annual_Salaries,"&gt;0")</f>
        <v>0</v>
      </c>
      <c r="J36" s="427">
        <f>COUNTIFS(PERS_StartDate,"&lt;="&amp;J34,PERS_Status,"Full-Time",PERS_Annual_Salaries,"&gt;0")+COUNTIFS(PERS_StartDate,"&lt;="&amp;J34,PERS_Status,"Part-Time",PERS_Annual_Salaries,"&gt;0")</f>
        <v>0</v>
      </c>
      <c r="K36" s="427">
        <f>COUNTIFS(PERS_StartDate,"&lt;="&amp;K34,PERS_Status,"Full-Time",PERS_Annual_Salaries,"&gt;0")+COUNTIFS(PERS_StartDate,"&lt;="&amp;K34,PERS_Status,"Part-Time",PERS_Annual_Salaries,"&gt;0")</f>
        <v>0</v>
      </c>
      <c r="L36" s="427">
        <f>COUNTIFS(PERS_StartDate,"&lt;="&amp;L34,PERS_Status,"Full-Time",PERS_Annual_Salaries,"&gt;0")+COUNTIFS(PERS_StartDate,"&lt;="&amp;L34,PERS_Status,"Part-Time",PERS_Annual_Salaries,"&gt;0")</f>
        <v>0</v>
      </c>
      <c r="M36" s="427">
        <f>COUNTIFS(PERS_StartDate,"&lt;="&amp;M34,PERS_Status,"Full-Time",PERS_Annual_Salaries,"&gt;0")+COUNTIFS(PERS_StartDate,"&lt;="&amp;M34,PERS_Status,"Part-Time",PERS_Annual_Salaries,"&gt;0")</f>
        <v>0</v>
      </c>
      <c r="N36" s="427">
        <f>COUNTIFS(PERS_StartDate,"&lt;="&amp;N34,PERS_Status,"Full-Time",PERS_Annual_Salaries,"&gt;0")+COUNTIFS(PERS_StartDate,"&lt;="&amp;N34,PERS_Status,"Part-Time",PERS_Annual_Salaries,"&gt;0")</f>
        <v>0</v>
      </c>
      <c r="O36" s="427">
        <f>COUNTIFS(PERS_StartDate,"&lt;="&amp;O34,PERS_Status,"Full-Time",PERS_Annual_Salaries,"&gt;0")+COUNTIFS(PERS_StartDate,"&lt;="&amp;O34,PERS_Status,"Part-Time",PERS_Annual_Salaries,"&gt;0")</f>
        <v>0</v>
      </c>
      <c r="P36" s="427">
        <f>COUNTIFS(PERS_StartDate,"&lt;="&amp;P34,PERS_Status,"Full-Time",PERS_Annual_Salaries,"&gt;0")+COUNTIFS(PERS_StartDate,"&lt;="&amp;P34,PERS_Status,"Part-Time",PERS_Annual_Salaries,"&gt;0")</f>
        <v>0</v>
      </c>
      <c r="Q36" s="426">
        <f t="shared" si="28"/>
        <v>0</v>
      </c>
      <c r="R36" s="12"/>
      <c r="S36" s="12"/>
      <c r="T36" s="12"/>
      <c r="U36" s="12"/>
      <c r="V36" s="12"/>
    </row>
    <row r="37" ht="15.75" customHeight="1">
      <c r="A37" s="53"/>
      <c r="B37" s="12"/>
      <c r="C37" s="12"/>
      <c r="D37" s="133" t="s">
        <v>362</v>
      </c>
      <c r="E37" s="427">
        <f>COUNTIFS(PERS_StartDate,"&lt;="&amp;E34,PERS_Status,"Contractor",PERS_Annual_Salaries,"&gt;0")</f>
        <v>2</v>
      </c>
      <c r="F37" s="427">
        <f>COUNTIFS(PERS_StartDate,"&lt;="&amp;F34,PERS_Status,"Contractor",PERS_Annual_Salaries,"&gt;0")</f>
        <v>2</v>
      </c>
      <c r="G37" s="427">
        <f>COUNTIFS(PERS_StartDate,"&lt;="&amp;G34,PERS_Status,"Contractor",PERS_Annual_Salaries,"&gt;0")</f>
        <v>2</v>
      </c>
      <c r="H37" s="427">
        <f>COUNTIFS(PERS_StartDate,"&lt;="&amp;H34,PERS_Status,"Contractor",PERS_Annual_Salaries,"&gt;0")</f>
        <v>2</v>
      </c>
      <c r="I37" s="427">
        <f>COUNTIFS(PERS_StartDate,"&lt;="&amp;I34,PERS_Status,"Contractor",PERS_Annual_Salaries,"&gt;0")</f>
        <v>2</v>
      </c>
      <c r="J37" s="427">
        <f>COUNTIFS(PERS_StartDate,"&lt;="&amp;J34,PERS_Status,"Contractor",PERS_Annual_Salaries,"&gt;0")</f>
        <v>2</v>
      </c>
      <c r="K37" s="427">
        <f>COUNTIFS(PERS_StartDate,"&lt;="&amp;K34,PERS_Status,"Contractor",PERS_Annual_Salaries,"&gt;0")</f>
        <v>2</v>
      </c>
      <c r="L37" s="427">
        <f>COUNTIFS(PERS_StartDate,"&lt;="&amp;L34,PERS_Status,"Contractor",PERS_Annual_Salaries,"&gt;0")</f>
        <v>2</v>
      </c>
      <c r="M37" s="427">
        <f>COUNTIFS(PERS_StartDate,"&lt;="&amp;M34,PERS_Status,"Contractor",PERS_Annual_Salaries,"&gt;0")</f>
        <v>2</v>
      </c>
      <c r="N37" s="427">
        <f>COUNTIFS(PERS_StartDate,"&lt;="&amp;N34,PERS_Status,"Contractor",PERS_Annual_Salaries,"&gt;0")</f>
        <v>2</v>
      </c>
      <c r="O37" s="427">
        <f>COUNTIFS(PERS_StartDate,"&lt;="&amp;O34,PERS_Status,"Contractor",PERS_Annual_Salaries,"&gt;0")</f>
        <v>2</v>
      </c>
      <c r="P37" s="427">
        <f>COUNTIFS(PERS_StartDate,"&lt;="&amp;P34,PERS_Status,"Contractor",PERS_Annual_Salaries,"&gt;0")</f>
        <v>2</v>
      </c>
      <c r="Q37" s="426">
        <f t="shared" si="28"/>
        <v>2</v>
      </c>
      <c r="R37" s="12"/>
      <c r="S37" s="12"/>
      <c r="T37" s="12"/>
      <c r="U37" s="12"/>
      <c r="V37" s="12"/>
    </row>
    <row r="38" ht="15.75" customHeight="1">
      <c r="A38" s="53"/>
      <c r="B38" s="12"/>
      <c r="C38" s="12"/>
      <c r="D38" s="138"/>
      <c r="E38" s="383"/>
      <c r="F38" s="384"/>
      <c r="G38" s="384"/>
      <c r="H38" s="384"/>
      <c r="I38" s="384"/>
      <c r="J38" s="384"/>
      <c r="K38" s="384"/>
      <c r="L38" s="384"/>
      <c r="M38" s="384"/>
      <c r="N38" s="384"/>
      <c r="O38" s="384"/>
      <c r="P38" s="384"/>
      <c r="Q38" s="426"/>
      <c r="R38" s="12"/>
      <c r="S38" s="12"/>
      <c r="T38" s="12"/>
      <c r="U38" s="12"/>
      <c r="V38" s="12"/>
      <c r="Y38" s="7"/>
    </row>
    <row r="39" ht="15.75" customHeight="1">
      <c r="A39" s="53"/>
      <c r="B39" s="12"/>
      <c r="C39" s="12"/>
      <c r="D39" s="378" t="s">
        <v>363</v>
      </c>
      <c r="E39" s="387">
        <f>(SUMIFS(PERS_FirstMo,PERS_StartDate,"&gt;="&amp;E$34,PERS_StartDate,"&lt;"&amp;F$34,PERS_Status,"Full-Time")+SUMIFS(PERS_FirstMo,PERS_StartDate,"&gt;="&amp;E$34,PERS_StartDate,"&lt;"&amp;F$34,PERS_Status,"Part-Time")+SUMIFS(PERS_Monthly,PERS_StartDate,"&lt;"&amp;E$34,PERS_Status,"Full-Time")+SUMIFS(PERS_Monthly,PERS_StartDate,"&lt;"&amp;E$34,PERS_Status,"Part-Time"))*(1+YR2_Salaries_Increase)</f>
        <v>0</v>
      </c>
      <c r="F39" s="387">
        <f>(SUMIFS(PERS_FirstMo,PERS_StartDate,"&gt;="&amp;F$34,PERS_StartDate,"&lt;"&amp;G$34,PERS_Status,"Full-Time")+SUMIFS(PERS_FirstMo,PERS_StartDate,"&gt;="&amp;F$34,PERS_StartDate,"&lt;"&amp;G$34,PERS_Status,"Part-Time")+SUMIFS(PERS_Monthly,PERS_StartDate,"&lt;"&amp;F$34,PERS_Status,"Full-Time")+SUMIFS(PERS_Monthly,PERS_StartDate,"&lt;"&amp;F$34,PERS_Status,"Part-Time"))*(1+YR2_Salaries_Increase)</f>
        <v>0</v>
      </c>
      <c r="G39" s="387">
        <f>(SUMIFS(PERS_FirstMo,PERS_StartDate,"&gt;="&amp;G$34,PERS_StartDate,"&lt;"&amp;H$34,PERS_Status,"Full-Time")+SUMIFS(PERS_FirstMo,PERS_StartDate,"&gt;="&amp;G$34,PERS_StartDate,"&lt;"&amp;H$34,PERS_Status,"Part-Time")+SUMIFS(PERS_Monthly,PERS_StartDate,"&lt;"&amp;G$34,PERS_Status,"Full-Time")+SUMIFS(PERS_Monthly,PERS_StartDate,"&lt;"&amp;G$34,PERS_Status,"Part-Time"))*(1+YR2_Salaries_Increase)</f>
        <v>0</v>
      </c>
      <c r="H39" s="387">
        <f>(SUMIFS(PERS_FirstMo,PERS_StartDate,"&gt;="&amp;H$34,PERS_StartDate,"&lt;"&amp;I$34,PERS_Status,"Full-Time")+SUMIFS(PERS_FirstMo,PERS_StartDate,"&gt;="&amp;H$34,PERS_StartDate,"&lt;"&amp;I$34,PERS_Status,"Part-Time")+SUMIFS(PERS_Monthly,PERS_StartDate,"&lt;"&amp;H$34,PERS_Status,"Full-Time")+SUMIFS(PERS_Monthly,PERS_StartDate,"&lt;"&amp;H$34,PERS_Status,"Part-Time"))*(1+YR2_Salaries_Increase)</f>
        <v>0</v>
      </c>
      <c r="I39" s="387">
        <f>(SUMIFS(PERS_FirstMo,PERS_StartDate,"&gt;="&amp;I$34,PERS_StartDate,"&lt;"&amp;J$34,PERS_Status,"Full-Time")+SUMIFS(PERS_FirstMo,PERS_StartDate,"&gt;="&amp;I$34,PERS_StartDate,"&lt;"&amp;J$34,PERS_Status,"Part-Time")+SUMIFS(PERS_Monthly,PERS_StartDate,"&lt;"&amp;I$34,PERS_Status,"Full-Time")+SUMIFS(PERS_Monthly,PERS_StartDate,"&lt;"&amp;I$34,PERS_Status,"Part-Time"))*(1+YR2_Salaries_Increase)</f>
        <v>0</v>
      </c>
      <c r="J39" s="387">
        <f>(SUMIFS(PERS_FirstMo,PERS_StartDate,"&gt;="&amp;J$34,PERS_StartDate,"&lt;"&amp;K$34,PERS_Status,"Full-Time")+SUMIFS(PERS_FirstMo,PERS_StartDate,"&gt;="&amp;J$34,PERS_StartDate,"&lt;"&amp;K$34,PERS_Status,"Part-Time")+SUMIFS(PERS_Monthly,PERS_StartDate,"&lt;"&amp;J$34,PERS_Status,"Full-Time")+SUMIFS(PERS_Monthly,PERS_StartDate,"&lt;"&amp;J$34,PERS_Status,"Part-Time"))*(1+YR2_Salaries_Increase)</f>
        <v>0</v>
      </c>
      <c r="K39" s="387">
        <f>(SUMIFS(PERS_FirstMo,PERS_StartDate,"&gt;="&amp;K$34,PERS_StartDate,"&lt;"&amp;L$34,PERS_Status,"Full-Time")+SUMIFS(PERS_FirstMo,PERS_StartDate,"&gt;="&amp;K$34,PERS_StartDate,"&lt;"&amp;L$34,PERS_Status,"Part-Time")+SUMIFS(PERS_Monthly,PERS_StartDate,"&lt;"&amp;K$34,PERS_Status,"Full-Time")+SUMIFS(PERS_Monthly,PERS_StartDate,"&lt;"&amp;K$34,PERS_Status,"Part-Time"))*(1+YR2_Salaries_Increase)</f>
        <v>0</v>
      </c>
      <c r="L39" s="387">
        <f>(SUMIFS(PERS_FirstMo,PERS_StartDate,"&gt;="&amp;L$34,PERS_StartDate,"&lt;"&amp;M$34,PERS_Status,"Full-Time")+SUMIFS(PERS_FirstMo,PERS_StartDate,"&gt;="&amp;L$34,PERS_StartDate,"&lt;"&amp;M$34,PERS_Status,"Part-Time")+SUMIFS(PERS_Monthly,PERS_StartDate,"&lt;"&amp;L$34,PERS_Status,"Full-Time")+SUMIFS(PERS_Monthly,PERS_StartDate,"&lt;"&amp;L$34,PERS_Status,"Part-Time"))*(1+YR2_Salaries_Increase)</f>
        <v>0</v>
      </c>
      <c r="M39" s="387">
        <f>(SUMIFS(PERS_FirstMo,PERS_StartDate,"&gt;="&amp;M$34,PERS_StartDate,"&lt;"&amp;N$34,PERS_Status,"Full-Time")+SUMIFS(PERS_FirstMo,PERS_StartDate,"&gt;="&amp;M$34,PERS_StartDate,"&lt;"&amp;N$34,PERS_Status,"Part-Time")+SUMIFS(PERS_Monthly,PERS_StartDate,"&lt;"&amp;M$34,PERS_Status,"Full-Time")+SUMIFS(PERS_Monthly,PERS_StartDate,"&lt;"&amp;M$34,PERS_Status,"Part-Time"))*(1+YR2_Salaries_Increase)</f>
        <v>0</v>
      </c>
      <c r="N39" s="387">
        <f>(SUMIFS(PERS_FirstMo,PERS_StartDate,"&gt;="&amp;N$34,PERS_StartDate,"&lt;"&amp;O$34,PERS_Status,"Full-Time")+SUMIFS(PERS_FirstMo,PERS_StartDate,"&gt;="&amp;N$34,PERS_StartDate,"&lt;"&amp;O$34,PERS_Status,"Part-Time")+SUMIFS(PERS_Monthly,PERS_StartDate,"&lt;"&amp;N$34,PERS_Status,"Full-Time")+SUMIFS(PERS_Monthly,PERS_StartDate,"&lt;"&amp;N$34,PERS_Status,"Part-Time"))*(1+YR2_Salaries_Increase)</f>
        <v>0</v>
      </c>
      <c r="O39" s="387">
        <f>(SUMIFS(PERS_FirstMo,PERS_StartDate,"&gt;="&amp;O$34,PERS_StartDate,"&lt;"&amp;P$34,PERS_Status,"Full-Time")+SUMIFS(PERS_FirstMo,PERS_StartDate,"&gt;="&amp;O$34,PERS_StartDate,"&lt;"&amp;P$34,PERS_Status,"Part-Time")+SUMIFS(PERS_Monthly,PERS_StartDate,"&lt;"&amp;O$34,PERS_Status,"Full-Time")+SUMIFS(PERS_Monthly,PERS_StartDate,"&lt;"&amp;O$34,PERS_Status,"Part-Time"))*(1+YR2_Salaries_Increase)</f>
        <v>0</v>
      </c>
      <c r="P39" s="387">
        <f>(SUMIFS(PERS_FirstMo,PERS_StartDate,"&gt;="&amp;P$34,PERS_StartDate,"&lt;"&amp;P$60,PERS_Status,"Full-Time")+SUMIFS(PERS_FirstMo,PERS_StartDate,"&gt;="&amp;P$34,PERS_StartDate,"&lt;"&amp;P$60,PERS_Status,"Part-Time")+SUMIFS(PERS_Monthly,PERS_StartDate,"&lt;"&amp;P$34,PERS_Status,"Full-Time")+SUMIFS(PERS_Monthly,PERS_StartDate,"&lt;"&amp;P$34,PERS_Status,"Part-Time"))*(1+YR2_Salaries_Increase)</f>
        <v>0</v>
      </c>
      <c r="Q39" s="389">
        <f t="shared" ref="Q39:Q42" si="29">SUM(E39:P39)</f>
        <v>0</v>
      </c>
      <c r="R39" s="12"/>
      <c r="S39" s="12"/>
      <c r="T39" s="12"/>
      <c r="U39" s="12"/>
      <c r="V39" s="12"/>
      <c r="Y39" s="7"/>
    </row>
    <row r="40" ht="15.75" customHeight="1">
      <c r="A40" s="53"/>
      <c r="B40" s="12"/>
      <c r="C40" s="12"/>
      <c r="D40" s="378" t="s">
        <v>365</v>
      </c>
      <c r="E40" s="395">
        <f>(SUMIFS(PERS_FirstMo,PERS_StartDate,"&gt;="&amp;E$34,PERS_StartDate,"&lt;"&amp;F$34,PERS_Status,"Contractor")+SUMIFS(PERS_Monthly,PERS_StartDate,"&lt;"&amp;E$34,PERS_Status,"Contractor"))*(1+YR2_Salaries_Increase)</f>
        <v>4291.666667</v>
      </c>
      <c r="F40" s="395">
        <f>(SUMIFS(PERS_FirstMo,PERS_StartDate,"&gt;="&amp;F$34,PERS_StartDate,"&lt;"&amp;G$34,PERS_Status,"Contractor")+SUMIFS(PERS_Monthly,PERS_StartDate,"&lt;"&amp;F$34,PERS_Status,"Contractor"))*(1+YR2_Salaries_Increase)</f>
        <v>4291.666667</v>
      </c>
      <c r="G40" s="395">
        <f>(SUMIFS(PERS_FirstMo,PERS_StartDate,"&gt;="&amp;G$34,PERS_StartDate,"&lt;"&amp;H$34,PERS_Status,"Contractor")+SUMIFS(PERS_Monthly,PERS_StartDate,"&lt;"&amp;G$34,PERS_Status,"Contractor"))*(1+YR2_Salaries_Increase)</f>
        <v>4291.666667</v>
      </c>
      <c r="H40" s="395">
        <f>(SUMIFS(PERS_FirstMo,PERS_StartDate,"&gt;="&amp;H$34,PERS_StartDate,"&lt;"&amp;I$34,PERS_Status,"Contractor")+SUMIFS(PERS_Monthly,PERS_StartDate,"&lt;"&amp;H$34,PERS_Status,"Contractor"))*(1+YR2_Salaries_Increase)</f>
        <v>4291.666667</v>
      </c>
      <c r="I40" s="395">
        <f>(SUMIFS(PERS_FirstMo,PERS_StartDate,"&gt;="&amp;I$34,PERS_StartDate,"&lt;"&amp;J$34,PERS_Status,"Contractor")+SUMIFS(PERS_Monthly,PERS_StartDate,"&lt;"&amp;I$34,PERS_Status,"Contractor"))*(1+YR2_Salaries_Increase)</f>
        <v>4291.666667</v>
      </c>
      <c r="J40" s="395">
        <f>(SUMIFS(PERS_FirstMo,PERS_StartDate,"&gt;="&amp;J$34,PERS_StartDate,"&lt;"&amp;K$34,PERS_Status,"Contractor")+SUMIFS(PERS_Monthly,PERS_StartDate,"&lt;"&amp;J$34,PERS_Status,"Contractor"))*(1+YR2_Salaries_Increase)</f>
        <v>4291.666667</v>
      </c>
      <c r="K40" s="395">
        <f>(SUMIFS(PERS_FirstMo,PERS_StartDate,"&gt;="&amp;K$34,PERS_StartDate,"&lt;"&amp;L$34,PERS_Status,"Contractor")+SUMIFS(PERS_Monthly,PERS_StartDate,"&lt;"&amp;K$34,PERS_Status,"Contractor"))*(1+YR2_Salaries_Increase)</f>
        <v>4291.666667</v>
      </c>
      <c r="L40" s="395">
        <f>(SUMIFS(PERS_FirstMo,PERS_StartDate,"&gt;="&amp;L$34,PERS_StartDate,"&lt;"&amp;M$34,PERS_Status,"Contractor")+SUMIFS(PERS_Monthly,PERS_StartDate,"&lt;"&amp;L$34,PERS_Status,"Contractor"))*(1+YR2_Salaries_Increase)</f>
        <v>4291.666667</v>
      </c>
      <c r="M40" s="395">
        <f>(SUMIFS(PERS_FirstMo,PERS_StartDate,"&gt;="&amp;M$34,PERS_StartDate,"&lt;"&amp;N$34,PERS_Status,"Contractor")+SUMIFS(PERS_Monthly,PERS_StartDate,"&lt;"&amp;M$34,PERS_Status,"Contractor"))*(1+YR2_Salaries_Increase)</f>
        <v>4291.666667</v>
      </c>
      <c r="N40" s="395">
        <f>(SUMIFS(PERS_FirstMo,PERS_StartDate,"&gt;="&amp;N$34,PERS_StartDate,"&lt;"&amp;O$34,PERS_Status,"Contractor")+SUMIFS(PERS_Monthly,PERS_StartDate,"&lt;"&amp;N$34,PERS_Status,"Contractor"))*(1+YR2_Salaries_Increase)</f>
        <v>4291.666667</v>
      </c>
      <c r="O40" s="395">
        <f>(SUMIFS(PERS_FirstMo,PERS_StartDate,"&gt;="&amp;O$34,PERS_StartDate,"&lt;"&amp;P$34,PERS_Status,"Contractor")+SUMIFS(PERS_Monthly,PERS_StartDate,"&lt;"&amp;O$34,PERS_Status,"Contractor"))*(1+YR2_Salaries_Increase)</f>
        <v>4291.666667</v>
      </c>
      <c r="P40" s="395">
        <f>(SUMIFS(PERS_FirstMo,PERS_StartDate,"&gt;="&amp;P$34,PERS_StartDate,"&lt;"&amp;P$60,PERS_Status,"Contractor")+SUMIFS(PERS_Monthly,PERS_StartDate,"&lt;"&amp;P$34,PERS_Status,"Contractor"))*(1+YR2_Salaries_Increase)</f>
        <v>4291.666667</v>
      </c>
      <c r="Q40" s="397">
        <f t="shared" si="29"/>
        <v>51500</v>
      </c>
      <c r="R40" s="12"/>
      <c r="S40" s="12"/>
      <c r="T40" s="12"/>
      <c r="U40" s="12"/>
      <c r="V40" s="12"/>
      <c r="Y40" s="7"/>
    </row>
    <row r="41" ht="15.75" customHeight="1">
      <c r="A41" s="53"/>
      <c r="B41" s="12"/>
      <c r="C41" s="12"/>
      <c r="D41" s="378" t="s">
        <v>366</v>
      </c>
      <c r="E41" s="395">
        <f t="shared" ref="E41:P41" si="30">SUM(E45:E54)</f>
        <v>0</v>
      </c>
      <c r="F41" s="396">
        <f t="shared" si="30"/>
        <v>0</v>
      </c>
      <c r="G41" s="396">
        <f t="shared" si="30"/>
        <v>0</v>
      </c>
      <c r="H41" s="396">
        <f t="shared" si="30"/>
        <v>0</v>
      </c>
      <c r="I41" s="396">
        <f t="shared" si="30"/>
        <v>0</v>
      </c>
      <c r="J41" s="396">
        <f t="shared" si="30"/>
        <v>0</v>
      </c>
      <c r="K41" s="396">
        <f t="shared" si="30"/>
        <v>0</v>
      </c>
      <c r="L41" s="396">
        <f t="shared" si="30"/>
        <v>0</v>
      </c>
      <c r="M41" s="396">
        <f t="shared" si="30"/>
        <v>0</v>
      </c>
      <c r="N41" s="396">
        <f t="shared" si="30"/>
        <v>0</v>
      </c>
      <c r="O41" s="396">
        <f t="shared" si="30"/>
        <v>0</v>
      </c>
      <c r="P41" s="396">
        <f t="shared" si="30"/>
        <v>0</v>
      </c>
      <c r="Q41" s="397">
        <f t="shared" si="29"/>
        <v>0</v>
      </c>
      <c r="R41" s="12"/>
      <c r="S41" s="12"/>
      <c r="T41" s="12"/>
      <c r="U41" s="12"/>
      <c r="V41" s="12"/>
      <c r="Y41" s="7"/>
    </row>
    <row r="42" ht="15.75" customHeight="1">
      <c r="A42" s="53"/>
      <c r="B42" s="12"/>
      <c r="C42" s="12"/>
      <c r="D42" s="404" t="s">
        <v>263</v>
      </c>
      <c r="E42" s="405">
        <f t="shared" ref="E42:P42" si="31">SUM(E39:E41)</f>
        <v>4291.666667</v>
      </c>
      <c r="F42" s="428">
        <f t="shared" si="31"/>
        <v>4291.666667</v>
      </c>
      <c r="G42" s="428">
        <f t="shared" si="31"/>
        <v>4291.666667</v>
      </c>
      <c r="H42" s="428">
        <f t="shared" si="31"/>
        <v>4291.666667</v>
      </c>
      <c r="I42" s="428">
        <f t="shared" si="31"/>
        <v>4291.666667</v>
      </c>
      <c r="J42" s="428">
        <f t="shared" si="31"/>
        <v>4291.666667</v>
      </c>
      <c r="K42" s="428">
        <f t="shared" si="31"/>
        <v>4291.666667</v>
      </c>
      <c r="L42" s="428">
        <f t="shared" si="31"/>
        <v>4291.666667</v>
      </c>
      <c r="M42" s="428">
        <f t="shared" si="31"/>
        <v>4291.666667</v>
      </c>
      <c r="N42" s="428">
        <f t="shared" si="31"/>
        <v>4291.666667</v>
      </c>
      <c r="O42" s="428">
        <f t="shared" si="31"/>
        <v>4291.666667</v>
      </c>
      <c r="P42" s="428">
        <f t="shared" si="31"/>
        <v>4291.666667</v>
      </c>
      <c r="Q42" s="389">
        <f t="shared" si="29"/>
        <v>51500</v>
      </c>
      <c r="R42" s="12"/>
      <c r="S42" s="12"/>
      <c r="T42" s="12"/>
      <c r="U42" s="12"/>
      <c r="V42" s="12"/>
    </row>
    <row r="43" ht="15.75" customHeight="1">
      <c r="A43" s="53"/>
      <c r="B43" s="25"/>
      <c r="C43" s="12"/>
      <c r="D43" s="12"/>
      <c r="E43" s="383"/>
      <c r="F43" s="384"/>
      <c r="G43" s="384"/>
      <c r="H43" s="384"/>
      <c r="I43" s="384"/>
      <c r="J43" s="396"/>
      <c r="K43" s="384"/>
      <c r="L43" s="384"/>
      <c r="M43" s="384"/>
      <c r="N43" s="384"/>
      <c r="O43" s="384"/>
      <c r="P43" s="384"/>
      <c r="Q43" s="426"/>
      <c r="R43" s="12"/>
      <c r="S43" s="12"/>
      <c r="T43" s="12"/>
      <c r="U43" s="12"/>
      <c r="V43" s="12"/>
      <c r="Y43" s="7"/>
    </row>
    <row r="44" ht="15.75" customHeight="1">
      <c r="A44" s="53"/>
      <c r="B44" s="25" t="s">
        <v>366</v>
      </c>
      <c r="C44" s="12"/>
      <c r="D44" s="138" t="s">
        <v>368</v>
      </c>
      <c r="E44" s="383"/>
      <c r="F44" s="384"/>
      <c r="G44" s="384"/>
      <c r="H44" s="384"/>
      <c r="I44" s="384"/>
      <c r="J44" s="384"/>
      <c r="K44" s="384"/>
      <c r="L44" s="384"/>
      <c r="M44" s="384"/>
      <c r="N44" s="384"/>
      <c r="O44" s="384"/>
      <c r="P44" s="384"/>
      <c r="Q44" s="426"/>
      <c r="R44" s="12"/>
      <c r="S44" s="12"/>
      <c r="T44" s="12"/>
      <c r="U44" s="12"/>
      <c r="V44" s="12"/>
      <c r="Y44" s="7"/>
    </row>
    <row r="45" ht="15.75" customHeight="1">
      <c r="A45" s="53"/>
      <c r="B45" s="133" t="s">
        <v>369</v>
      </c>
      <c r="C45" s="136">
        <v>0.062</v>
      </c>
      <c r="D45" s="359">
        <v>102000.0</v>
      </c>
      <c r="E45" s="411">
        <f t="shared" ref="E45:P45" si="32">$C$45*E39</f>
        <v>0</v>
      </c>
      <c r="F45" s="411">
        <f t="shared" si="32"/>
        <v>0</v>
      </c>
      <c r="G45" s="411">
        <f t="shared" si="32"/>
        <v>0</v>
      </c>
      <c r="H45" s="411">
        <f t="shared" si="32"/>
        <v>0</v>
      </c>
      <c r="I45" s="411">
        <f t="shared" si="32"/>
        <v>0</v>
      </c>
      <c r="J45" s="411">
        <f t="shared" si="32"/>
        <v>0</v>
      </c>
      <c r="K45" s="411">
        <f t="shared" si="32"/>
        <v>0</v>
      </c>
      <c r="L45" s="411">
        <f t="shared" si="32"/>
        <v>0</v>
      </c>
      <c r="M45" s="411">
        <f t="shared" si="32"/>
        <v>0</v>
      </c>
      <c r="N45" s="411">
        <f t="shared" si="32"/>
        <v>0</v>
      </c>
      <c r="O45" s="411">
        <f t="shared" si="32"/>
        <v>0</v>
      </c>
      <c r="P45" s="411">
        <f t="shared" si="32"/>
        <v>0</v>
      </c>
      <c r="Q45" s="429">
        <f t="shared" ref="Q45:Q54" si="34">SUM(E45:P45)</f>
        <v>0</v>
      </c>
      <c r="R45" s="12"/>
      <c r="S45" s="12"/>
      <c r="T45" s="12"/>
      <c r="U45" s="12"/>
      <c r="V45" s="12"/>
      <c r="Y45" s="7"/>
    </row>
    <row r="46" ht="15.75" customHeight="1">
      <c r="A46" s="53"/>
      <c r="B46" s="133" t="s">
        <v>370</v>
      </c>
      <c r="C46" s="136">
        <v>0.0145</v>
      </c>
      <c r="D46" s="359"/>
      <c r="E46" s="411">
        <f t="shared" ref="E46:P46" si="33">$C$46*E39</f>
        <v>0</v>
      </c>
      <c r="F46" s="411">
        <f t="shared" si="33"/>
        <v>0</v>
      </c>
      <c r="G46" s="411">
        <f t="shared" si="33"/>
        <v>0</v>
      </c>
      <c r="H46" s="411">
        <f t="shared" si="33"/>
        <v>0</v>
      </c>
      <c r="I46" s="411">
        <f t="shared" si="33"/>
        <v>0</v>
      </c>
      <c r="J46" s="411">
        <f t="shared" si="33"/>
        <v>0</v>
      </c>
      <c r="K46" s="411">
        <f t="shared" si="33"/>
        <v>0</v>
      </c>
      <c r="L46" s="411">
        <f t="shared" si="33"/>
        <v>0</v>
      </c>
      <c r="M46" s="411">
        <f t="shared" si="33"/>
        <v>0</v>
      </c>
      <c r="N46" s="411">
        <f t="shared" si="33"/>
        <v>0</v>
      </c>
      <c r="O46" s="411">
        <f t="shared" si="33"/>
        <v>0</v>
      </c>
      <c r="P46" s="411">
        <f t="shared" si="33"/>
        <v>0</v>
      </c>
      <c r="Q46" s="429">
        <f t="shared" si="34"/>
        <v>0</v>
      </c>
      <c r="R46" s="12"/>
      <c r="S46" s="12"/>
      <c r="T46" s="12"/>
      <c r="U46" s="12"/>
      <c r="V46" s="12"/>
      <c r="Y46" s="7"/>
    </row>
    <row r="47" ht="15.75" customHeight="1">
      <c r="A47" s="53"/>
      <c r="B47" s="133" t="s">
        <v>371</v>
      </c>
      <c r="C47" s="136">
        <v>0.008</v>
      </c>
      <c r="D47" s="359">
        <v>7000.0</v>
      </c>
      <c r="E47" s="411">
        <f t="shared" ref="E47:P47" si="35">($C$47*$D$47/12)*E36</f>
        <v>0</v>
      </c>
      <c r="F47" s="411">
        <f t="shared" si="35"/>
        <v>0</v>
      </c>
      <c r="G47" s="411">
        <f t="shared" si="35"/>
        <v>0</v>
      </c>
      <c r="H47" s="411">
        <f t="shared" si="35"/>
        <v>0</v>
      </c>
      <c r="I47" s="411">
        <f t="shared" si="35"/>
        <v>0</v>
      </c>
      <c r="J47" s="411">
        <f t="shared" si="35"/>
        <v>0</v>
      </c>
      <c r="K47" s="411">
        <f t="shared" si="35"/>
        <v>0</v>
      </c>
      <c r="L47" s="411">
        <f t="shared" si="35"/>
        <v>0</v>
      </c>
      <c r="M47" s="411">
        <f t="shared" si="35"/>
        <v>0</v>
      </c>
      <c r="N47" s="411">
        <f t="shared" si="35"/>
        <v>0</v>
      </c>
      <c r="O47" s="411">
        <f t="shared" si="35"/>
        <v>0</v>
      </c>
      <c r="P47" s="411">
        <f t="shared" si="35"/>
        <v>0</v>
      </c>
      <c r="Q47" s="429">
        <f t="shared" si="34"/>
        <v>0</v>
      </c>
      <c r="R47" s="12"/>
      <c r="S47" s="12"/>
      <c r="T47" s="12"/>
      <c r="U47" s="12"/>
      <c r="V47" s="12"/>
      <c r="Y47" s="7"/>
    </row>
    <row r="48" ht="15.75" customHeight="1">
      <c r="A48" s="53"/>
      <c r="B48" s="133" t="s">
        <v>372</v>
      </c>
      <c r="C48" s="136">
        <v>0.027</v>
      </c>
      <c r="D48" s="359">
        <v>7000.0</v>
      </c>
      <c r="E48" s="411">
        <f t="shared" ref="E48:P48" si="36">($C$48*$D$48/12)*E36</f>
        <v>0</v>
      </c>
      <c r="F48" s="411">
        <f t="shared" si="36"/>
        <v>0</v>
      </c>
      <c r="G48" s="411">
        <f t="shared" si="36"/>
        <v>0</v>
      </c>
      <c r="H48" s="411">
        <f t="shared" si="36"/>
        <v>0</v>
      </c>
      <c r="I48" s="411">
        <f t="shared" si="36"/>
        <v>0</v>
      </c>
      <c r="J48" s="411">
        <f t="shared" si="36"/>
        <v>0</v>
      </c>
      <c r="K48" s="411">
        <f t="shared" si="36"/>
        <v>0</v>
      </c>
      <c r="L48" s="411">
        <f t="shared" si="36"/>
        <v>0</v>
      </c>
      <c r="M48" s="411">
        <f t="shared" si="36"/>
        <v>0</v>
      </c>
      <c r="N48" s="411">
        <f t="shared" si="36"/>
        <v>0</v>
      </c>
      <c r="O48" s="411">
        <f t="shared" si="36"/>
        <v>0</v>
      </c>
      <c r="P48" s="411">
        <f t="shared" si="36"/>
        <v>0</v>
      </c>
      <c r="Q48" s="429">
        <f t="shared" si="34"/>
        <v>0</v>
      </c>
      <c r="R48" s="12"/>
      <c r="S48" s="12"/>
      <c r="T48" s="12"/>
      <c r="U48" s="12"/>
      <c r="V48" s="12"/>
      <c r="Y48" s="7"/>
    </row>
    <row r="49" ht="15.75" customHeight="1">
      <c r="A49" s="53"/>
      <c r="B49" s="133" t="s">
        <v>373</v>
      </c>
      <c r="C49" s="136">
        <v>0.0</v>
      </c>
      <c r="D49" s="136"/>
      <c r="E49" s="411">
        <f t="shared" ref="E49:P49" si="37">$C$49*E$39</f>
        <v>0</v>
      </c>
      <c r="F49" s="411">
        <f t="shared" si="37"/>
        <v>0</v>
      </c>
      <c r="G49" s="411">
        <f t="shared" si="37"/>
        <v>0</v>
      </c>
      <c r="H49" s="411">
        <f t="shared" si="37"/>
        <v>0</v>
      </c>
      <c r="I49" s="411">
        <f t="shared" si="37"/>
        <v>0</v>
      </c>
      <c r="J49" s="411">
        <f t="shared" si="37"/>
        <v>0</v>
      </c>
      <c r="K49" s="411">
        <f t="shared" si="37"/>
        <v>0</v>
      </c>
      <c r="L49" s="411">
        <f t="shared" si="37"/>
        <v>0</v>
      </c>
      <c r="M49" s="411">
        <f t="shared" si="37"/>
        <v>0</v>
      </c>
      <c r="N49" s="411">
        <f t="shared" si="37"/>
        <v>0</v>
      </c>
      <c r="O49" s="411">
        <f t="shared" si="37"/>
        <v>0</v>
      </c>
      <c r="P49" s="411">
        <f t="shared" si="37"/>
        <v>0</v>
      </c>
      <c r="Q49" s="429">
        <f t="shared" si="34"/>
        <v>0</v>
      </c>
      <c r="R49" s="12"/>
      <c r="S49" s="12"/>
      <c r="T49" s="12"/>
      <c r="U49" s="12"/>
      <c r="V49" s="12"/>
      <c r="Y49" s="7"/>
    </row>
    <row r="50" ht="15.75" customHeight="1">
      <c r="A50" s="53"/>
      <c r="B50" s="133" t="s">
        <v>374</v>
      </c>
      <c r="C50" s="136">
        <v>0.0</v>
      </c>
      <c r="D50" s="136"/>
      <c r="E50" s="411">
        <f t="shared" ref="E50:P50" si="38">$C$50*E$39</f>
        <v>0</v>
      </c>
      <c r="F50" s="411">
        <f t="shared" si="38"/>
        <v>0</v>
      </c>
      <c r="G50" s="411">
        <f t="shared" si="38"/>
        <v>0</v>
      </c>
      <c r="H50" s="411">
        <f t="shared" si="38"/>
        <v>0</v>
      </c>
      <c r="I50" s="411">
        <f t="shared" si="38"/>
        <v>0</v>
      </c>
      <c r="J50" s="411">
        <f t="shared" si="38"/>
        <v>0</v>
      </c>
      <c r="K50" s="411">
        <f t="shared" si="38"/>
        <v>0</v>
      </c>
      <c r="L50" s="411">
        <f t="shared" si="38"/>
        <v>0</v>
      </c>
      <c r="M50" s="411">
        <f t="shared" si="38"/>
        <v>0</v>
      </c>
      <c r="N50" s="411">
        <f t="shared" si="38"/>
        <v>0</v>
      </c>
      <c r="O50" s="411">
        <f t="shared" si="38"/>
        <v>0</v>
      </c>
      <c r="P50" s="411">
        <f t="shared" si="38"/>
        <v>0</v>
      </c>
      <c r="Q50" s="429">
        <f t="shared" si="34"/>
        <v>0</v>
      </c>
      <c r="R50" s="12"/>
      <c r="S50" s="12"/>
      <c r="T50" s="12"/>
      <c r="U50" s="12"/>
      <c r="V50" s="12"/>
      <c r="Y50" s="7"/>
    </row>
    <row r="51" ht="15.75" customHeight="1">
      <c r="A51" s="53"/>
      <c r="B51" s="133" t="s">
        <v>375</v>
      </c>
      <c r="C51" s="136">
        <v>0.0</v>
      </c>
      <c r="D51" s="136"/>
      <c r="E51" s="411">
        <f t="shared" ref="E51:P51" si="39">$C$51*E$39</f>
        <v>0</v>
      </c>
      <c r="F51" s="411">
        <f t="shared" si="39"/>
        <v>0</v>
      </c>
      <c r="G51" s="411">
        <f t="shared" si="39"/>
        <v>0</v>
      </c>
      <c r="H51" s="411">
        <f t="shared" si="39"/>
        <v>0</v>
      </c>
      <c r="I51" s="411">
        <f t="shared" si="39"/>
        <v>0</v>
      </c>
      <c r="J51" s="411">
        <f t="shared" si="39"/>
        <v>0</v>
      </c>
      <c r="K51" s="411">
        <f t="shared" si="39"/>
        <v>0</v>
      </c>
      <c r="L51" s="411">
        <f t="shared" si="39"/>
        <v>0</v>
      </c>
      <c r="M51" s="411">
        <f t="shared" si="39"/>
        <v>0</v>
      </c>
      <c r="N51" s="411">
        <f t="shared" si="39"/>
        <v>0</v>
      </c>
      <c r="O51" s="411">
        <f t="shared" si="39"/>
        <v>0</v>
      </c>
      <c r="P51" s="411">
        <f t="shared" si="39"/>
        <v>0</v>
      </c>
      <c r="Q51" s="429">
        <f t="shared" si="34"/>
        <v>0</v>
      </c>
      <c r="R51" s="12"/>
      <c r="S51" s="12"/>
      <c r="T51" s="12"/>
      <c r="U51" s="12"/>
      <c r="V51" s="12"/>
      <c r="Y51" s="7"/>
    </row>
    <row r="52" ht="15.75" customHeight="1">
      <c r="A52" s="53"/>
      <c r="B52" s="133" t="s">
        <v>376</v>
      </c>
      <c r="C52" s="136">
        <v>0.0</v>
      </c>
      <c r="D52" s="136"/>
      <c r="E52" s="411">
        <f t="shared" ref="E52:P52" si="40">$C$52*E$39</f>
        <v>0</v>
      </c>
      <c r="F52" s="411">
        <f t="shared" si="40"/>
        <v>0</v>
      </c>
      <c r="G52" s="411">
        <f t="shared" si="40"/>
        <v>0</v>
      </c>
      <c r="H52" s="411">
        <f t="shared" si="40"/>
        <v>0</v>
      </c>
      <c r="I52" s="411">
        <f t="shared" si="40"/>
        <v>0</v>
      </c>
      <c r="J52" s="411">
        <f t="shared" si="40"/>
        <v>0</v>
      </c>
      <c r="K52" s="411">
        <f t="shared" si="40"/>
        <v>0</v>
      </c>
      <c r="L52" s="411">
        <f t="shared" si="40"/>
        <v>0</v>
      </c>
      <c r="M52" s="411">
        <f t="shared" si="40"/>
        <v>0</v>
      </c>
      <c r="N52" s="411">
        <f t="shared" si="40"/>
        <v>0</v>
      </c>
      <c r="O52" s="411">
        <f t="shared" si="40"/>
        <v>0</v>
      </c>
      <c r="P52" s="411">
        <f t="shared" si="40"/>
        <v>0</v>
      </c>
      <c r="Q52" s="429">
        <f t="shared" si="34"/>
        <v>0</v>
      </c>
      <c r="R52" s="12"/>
      <c r="S52" s="12"/>
      <c r="T52" s="12"/>
      <c r="U52" s="12"/>
      <c r="V52" s="12"/>
      <c r="Y52" s="7"/>
    </row>
    <row r="53" ht="15.75" customHeight="1">
      <c r="A53" s="53"/>
      <c r="B53" s="133" t="s">
        <v>377</v>
      </c>
      <c r="C53" s="136">
        <v>0.0</v>
      </c>
      <c r="D53" s="136"/>
      <c r="E53" s="411">
        <f t="shared" ref="E53:P53" si="41">$C$53*E$39</f>
        <v>0</v>
      </c>
      <c r="F53" s="411">
        <f t="shared" si="41"/>
        <v>0</v>
      </c>
      <c r="G53" s="411">
        <f t="shared" si="41"/>
        <v>0</v>
      </c>
      <c r="H53" s="411">
        <f t="shared" si="41"/>
        <v>0</v>
      </c>
      <c r="I53" s="411">
        <f t="shared" si="41"/>
        <v>0</v>
      </c>
      <c r="J53" s="411">
        <f t="shared" si="41"/>
        <v>0</v>
      </c>
      <c r="K53" s="411">
        <f t="shared" si="41"/>
        <v>0</v>
      </c>
      <c r="L53" s="411">
        <f t="shared" si="41"/>
        <v>0</v>
      </c>
      <c r="M53" s="411">
        <f t="shared" si="41"/>
        <v>0</v>
      </c>
      <c r="N53" s="411">
        <f t="shared" si="41"/>
        <v>0</v>
      </c>
      <c r="O53" s="411">
        <f t="shared" si="41"/>
        <v>0</v>
      </c>
      <c r="P53" s="411">
        <f t="shared" si="41"/>
        <v>0</v>
      </c>
      <c r="Q53" s="429">
        <f t="shared" si="34"/>
        <v>0</v>
      </c>
      <c r="R53" s="12"/>
      <c r="S53" s="12"/>
      <c r="T53" s="12"/>
      <c r="U53" s="12"/>
      <c r="V53" s="12"/>
      <c r="Y53" s="7"/>
    </row>
    <row r="54" ht="15.75" customHeight="1">
      <c r="A54" s="40"/>
      <c r="B54" s="139" t="s">
        <v>378</v>
      </c>
      <c r="C54" s="430">
        <v>0.04</v>
      </c>
      <c r="D54" s="43"/>
      <c r="E54" s="414">
        <f t="shared" ref="E54:P54" si="42">$C$54*E$39</f>
        <v>0</v>
      </c>
      <c r="F54" s="414">
        <f t="shared" si="42"/>
        <v>0</v>
      </c>
      <c r="G54" s="414">
        <f t="shared" si="42"/>
        <v>0</v>
      </c>
      <c r="H54" s="414">
        <f t="shared" si="42"/>
        <v>0</v>
      </c>
      <c r="I54" s="414">
        <f t="shared" si="42"/>
        <v>0</v>
      </c>
      <c r="J54" s="414">
        <f t="shared" si="42"/>
        <v>0</v>
      </c>
      <c r="K54" s="414">
        <f t="shared" si="42"/>
        <v>0</v>
      </c>
      <c r="L54" s="414">
        <f t="shared" si="42"/>
        <v>0</v>
      </c>
      <c r="M54" s="414">
        <f t="shared" si="42"/>
        <v>0</v>
      </c>
      <c r="N54" s="414">
        <f t="shared" si="42"/>
        <v>0</v>
      </c>
      <c r="O54" s="414">
        <f t="shared" si="42"/>
        <v>0</v>
      </c>
      <c r="P54" s="414">
        <f t="shared" si="42"/>
        <v>0</v>
      </c>
      <c r="Q54" s="431">
        <f t="shared" si="34"/>
        <v>0</v>
      </c>
      <c r="R54" s="25"/>
      <c r="S54" s="12"/>
      <c r="T54" s="12"/>
      <c r="U54" s="12"/>
      <c r="V54" s="12"/>
      <c r="Y54" s="55"/>
    </row>
    <row r="55" ht="15.75" customHeight="1">
      <c r="A55" s="12"/>
      <c r="B55" s="12"/>
      <c r="C55" s="12"/>
      <c r="D55" s="12"/>
      <c r="E55" s="12"/>
      <c r="F55" s="12"/>
      <c r="G55" s="12"/>
      <c r="H55" s="12"/>
      <c r="I55" s="12"/>
      <c r="J55" s="12"/>
      <c r="K55" s="12"/>
      <c r="L55" s="12"/>
      <c r="M55" s="12"/>
      <c r="N55" s="12"/>
      <c r="O55" s="12"/>
      <c r="P55" s="12"/>
      <c r="Q55" s="12"/>
      <c r="R55" s="12"/>
      <c r="S55" s="12"/>
      <c r="T55" s="12"/>
      <c r="U55" s="12"/>
      <c r="V55" s="12"/>
    </row>
    <row r="56" ht="15.75" customHeight="1">
      <c r="A56" s="5" t="str">
        <f>IF(ISBLANK(Company_Name),"Payroll Summary | Year 3",Company_Name&amp;" | Payroll Summary |Year 3")</f>
        <v>OTW Paints | Payroll Summary |Year 3</v>
      </c>
      <c r="B56" s="5"/>
      <c r="C56" s="5"/>
      <c r="D56" s="12"/>
      <c r="E56" s="67"/>
      <c r="F56" s="12"/>
      <c r="G56" s="12"/>
      <c r="H56" s="12"/>
      <c r="I56" s="127"/>
      <c r="J56" s="12"/>
      <c r="K56" s="273"/>
      <c r="L56" s="12"/>
      <c r="M56" s="12"/>
      <c r="N56" s="12"/>
      <c r="O56" s="12"/>
      <c r="P56" s="12"/>
      <c r="Q56" s="12"/>
      <c r="R56" s="12"/>
      <c r="S56" s="12"/>
      <c r="T56" s="12"/>
      <c r="U56" s="12"/>
      <c r="V56" s="12"/>
    </row>
    <row r="57" ht="15.75" customHeight="1">
      <c r="A57" s="12"/>
      <c r="B57" s="360"/>
      <c r="C57" s="12"/>
      <c r="D57" s="12"/>
      <c r="E57" s="12"/>
      <c r="F57" s="12"/>
      <c r="G57" s="12"/>
      <c r="H57" s="12"/>
      <c r="I57" s="12"/>
      <c r="J57" s="12"/>
      <c r="K57" s="12"/>
      <c r="L57" s="12"/>
      <c r="M57" s="12"/>
      <c r="N57" s="12"/>
      <c r="O57" s="12"/>
      <c r="P57" s="12"/>
      <c r="Q57" s="12"/>
      <c r="R57" s="12"/>
      <c r="S57" s="12"/>
      <c r="T57" s="12"/>
      <c r="U57" s="12"/>
      <c r="V57" s="12"/>
    </row>
    <row r="58" ht="15.75" customHeight="1">
      <c r="A58" s="12"/>
      <c r="B58" s="420" t="s">
        <v>380</v>
      </c>
      <c r="C58" s="422">
        <f>EDATE(DATEVALUE("1/1/"&amp;YEAR(C32)),12)</f>
        <v>43101</v>
      </c>
      <c r="D58" s="12"/>
      <c r="E58" s="12"/>
      <c r="F58" s="12"/>
      <c r="G58" s="12"/>
      <c r="H58" s="12"/>
      <c r="I58" s="12"/>
      <c r="J58" s="12"/>
      <c r="K58" s="12"/>
      <c r="L58" s="12"/>
      <c r="M58" s="12"/>
      <c r="N58" s="12"/>
      <c r="O58" s="12"/>
      <c r="P58" s="12"/>
      <c r="Q58" s="12"/>
      <c r="R58" s="12"/>
      <c r="S58" s="12"/>
      <c r="T58" s="12"/>
      <c r="U58" s="12"/>
      <c r="V58" s="12"/>
      <c r="Y58" s="7"/>
    </row>
    <row r="59" ht="15.75" customHeight="1">
      <c r="A59" s="12"/>
      <c r="B59" s="12"/>
      <c r="C59" s="12"/>
      <c r="D59" s="12"/>
      <c r="E59" s="12"/>
      <c r="F59" s="12"/>
      <c r="G59" s="12"/>
      <c r="H59" s="12"/>
      <c r="I59" s="12"/>
      <c r="J59" s="12"/>
      <c r="K59" s="12"/>
      <c r="L59" s="12"/>
      <c r="M59" s="12"/>
      <c r="N59" s="12"/>
      <c r="O59" s="12"/>
      <c r="P59" s="12"/>
      <c r="Q59" s="12"/>
      <c r="R59" s="12"/>
      <c r="S59" s="12"/>
      <c r="T59" s="12"/>
      <c r="U59" s="12"/>
      <c r="V59" s="12"/>
      <c r="Y59" s="7"/>
    </row>
    <row r="60" ht="15.75" customHeight="1">
      <c r="A60" s="370" t="str">
        <f>IF(ISBLANK(Projected_Start_Date),"",TEXT((EDATE(DATEVALUE("1/1/"&amp;YEAR(C32)),12)),"yyy"))</f>
        <v>2018</v>
      </c>
      <c r="B60" s="253"/>
      <c r="C60" s="425"/>
      <c r="D60" s="253"/>
      <c r="E60" s="372">
        <f>DATE(YEAR(C58),1,1)</f>
        <v>43101</v>
      </c>
      <c r="F60" s="372">
        <f t="shared" ref="F60:P60" si="43">EDATE(E60,1)</f>
        <v>43132</v>
      </c>
      <c r="G60" s="372">
        <f t="shared" si="43"/>
        <v>43160</v>
      </c>
      <c r="H60" s="372">
        <f t="shared" si="43"/>
        <v>43191</v>
      </c>
      <c r="I60" s="372">
        <f t="shared" si="43"/>
        <v>43221</v>
      </c>
      <c r="J60" s="372">
        <f t="shared" si="43"/>
        <v>43252</v>
      </c>
      <c r="K60" s="372">
        <f t="shared" si="43"/>
        <v>43282</v>
      </c>
      <c r="L60" s="372">
        <f t="shared" si="43"/>
        <v>43313</v>
      </c>
      <c r="M60" s="372">
        <f t="shared" si="43"/>
        <v>43344</v>
      </c>
      <c r="N60" s="372">
        <f t="shared" si="43"/>
        <v>43374</v>
      </c>
      <c r="O60" s="372">
        <f t="shared" si="43"/>
        <v>43405</v>
      </c>
      <c r="P60" s="372">
        <f t="shared" si="43"/>
        <v>43435</v>
      </c>
      <c r="Q60" s="374" t="s">
        <v>109</v>
      </c>
      <c r="R60" s="237"/>
      <c r="S60" s="12"/>
      <c r="T60" s="12"/>
      <c r="U60" s="12"/>
      <c r="V60" s="12"/>
      <c r="Y60" s="7"/>
    </row>
    <row r="61" ht="15.75" customHeight="1">
      <c r="A61" s="53"/>
      <c r="B61" s="133"/>
      <c r="C61" s="12"/>
      <c r="D61" s="378" t="s">
        <v>360</v>
      </c>
      <c r="E61" s="379">
        <f t="shared" ref="E61:P61" si="44">SUM(E62:E63)</f>
        <v>2</v>
      </c>
      <c r="F61" s="380">
        <f t="shared" si="44"/>
        <v>2</v>
      </c>
      <c r="G61" s="380">
        <f t="shared" si="44"/>
        <v>2</v>
      </c>
      <c r="H61" s="380">
        <f t="shared" si="44"/>
        <v>2</v>
      </c>
      <c r="I61" s="380">
        <f t="shared" si="44"/>
        <v>2</v>
      </c>
      <c r="J61" s="380">
        <f t="shared" si="44"/>
        <v>2</v>
      </c>
      <c r="K61" s="380">
        <f t="shared" si="44"/>
        <v>2</v>
      </c>
      <c r="L61" s="380">
        <f t="shared" si="44"/>
        <v>2</v>
      </c>
      <c r="M61" s="380">
        <f t="shared" si="44"/>
        <v>2</v>
      </c>
      <c r="N61" s="380">
        <f t="shared" si="44"/>
        <v>2</v>
      </c>
      <c r="O61" s="380">
        <f t="shared" si="44"/>
        <v>2</v>
      </c>
      <c r="P61" s="380">
        <f t="shared" si="44"/>
        <v>2</v>
      </c>
      <c r="Q61" s="426">
        <f t="shared" ref="Q61:Q63" si="45">P61</f>
        <v>2</v>
      </c>
      <c r="R61" s="12"/>
      <c r="S61" s="12"/>
      <c r="T61" s="12"/>
      <c r="U61" s="12"/>
      <c r="V61" s="12"/>
    </row>
    <row r="62" ht="15.75" customHeight="1">
      <c r="A62" s="53"/>
      <c r="B62" s="12"/>
      <c r="C62" s="12"/>
      <c r="D62" s="133" t="s">
        <v>361</v>
      </c>
      <c r="E62" s="427">
        <f>COUNTIFS(PERS_StartDate,"&lt;="&amp;E60,PERS_Status,"Full-Time",PERS_Annual_Salaries,"&gt;0")+COUNTIFS(PERS_StartDate,"&lt;="&amp;E60,PERS_Status,"Part-Time",PERS_Annual_Salaries,"&gt;0")</f>
        <v>0</v>
      </c>
      <c r="F62" s="427">
        <f>COUNTIFS(PERS_StartDate,"&lt;="&amp;F60,PERS_Status,"Full-Time",PERS_Annual_Salaries,"&gt;0")+COUNTIFS(PERS_StartDate,"&lt;="&amp;F60,PERS_Status,"Part-Time",PERS_Annual_Salaries,"&gt;0")</f>
        <v>0</v>
      </c>
      <c r="G62" s="427">
        <f>COUNTIFS(PERS_StartDate,"&lt;="&amp;G60,PERS_Status,"Full-Time",PERS_Annual_Salaries,"&gt;0")+COUNTIFS(PERS_StartDate,"&lt;="&amp;G60,PERS_Status,"Part-Time",PERS_Annual_Salaries,"&gt;0")</f>
        <v>0</v>
      </c>
      <c r="H62" s="427">
        <f>COUNTIFS(PERS_StartDate,"&lt;="&amp;H60,PERS_Status,"Full-Time",PERS_Annual_Salaries,"&gt;0")+COUNTIFS(PERS_StartDate,"&lt;="&amp;H60,PERS_Status,"Part-Time",PERS_Annual_Salaries,"&gt;0")</f>
        <v>0</v>
      </c>
      <c r="I62" s="427">
        <f>COUNTIFS(PERS_StartDate,"&lt;="&amp;I60,PERS_Status,"Full-Time",PERS_Annual_Salaries,"&gt;0")+COUNTIFS(PERS_StartDate,"&lt;="&amp;I60,PERS_Status,"Part-Time",PERS_Annual_Salaries,"&gt;0")</f>
        <v>0</v>
      </c>
      <c r="J62" s="427">
        <f>COUNTIFS(PERS_StartDate,"&lt;="&amp;J60,PERS_Status,"Full-Time",PERS_Annual_Salaries,"&gt;0")+COUNTIFS(PERS_StartDate,"&lt;="&amp;J60,PERS_Status,"Part-Time",PERS_Annual_Salaries,"&gt;0")</f>
        <v>0</v>
      </c>
      <c r="K62" s="427">
        <f>COUNTIFS(PERS_StartDate,"&lt;="&amp;K60,PERS_Status,"Full-Time",PERS_Annual_Salaries,"&gt;0")+COUNTIFS(PERS_StartDate,"&lt;="&amp;K60,PERS_Status,"Part-Time",PERS_Annual_Salaries,"&gt;0")</f>
        <v>0</v>
      </c>
      <c r="L62" s="427">
        <f>COUNTIFS(PERS_StartDate,"&lt;="&amp;L60,PERS_Status,"Full-Time",PERS_Annual_Salaries,"&gt;0")+COUNTIFS(PERS_StartDate,"&lt;="&amp;L60,PERS_Status,"Part-Time",PERS_Annual_Salaries,"&gt;0")</f>
        <v>0</v>
      </c>
      <c r="M62" s="427">
        <f>COUNTIFS(PERS_StartDate,"&lt;="&amp;M60,PERS_Status,"Full-Time",PERS_Annual_Salaries,"&gt;0")+COUNTIFS(PERS_StartDate,"&lt;="&amp;M60,PERS_Status,"Part-Time",PERS_Annual_Salaries,"&gt;0")</f>
        <v>0</v>
      </c>
      <c r="N62" s="427">
        <f>COUNTIFS(PERS_StartDate,"&lt;="&amp;N60,PERS_Status,"Full-Time",PERS_Annual_Salaries,"&gt;0")+COUNTIFS(PERS_StartDate,"&lt;="&amp;N60,PERS_Status,"Part-Time",PERS_Annual_Salaries,"&gt;0")</f>
        <v>0</v>
      </c>
      <c r="O62" s="427">
        <f>COUNTIFS(PERS_StartDate,"&lt;="&amp;O60,PERS_Status,"Full-Time",PERS_Annual_Salaries,"&gt;0")+COUNTIFS(PERS_StartDate,"&lt;="&amp;O60,PERS_Status,"Part-Time",PERS_Annual_Salaries,"&gt;0")</f>
        <v>0</v>
      </c>
      <c r="P62" s="427">
        <f>COUNTIFS(PERS_StartDate,"&lt;="&amp;P60,PERS_Status,"Full-Time",PERS_Annual_Salaries,"&gt;0")+COUNTIFS(PERS_StartDate,"&lt;="&amp;P60,PERS_Status,"Part-Time",PERS_Annual_Salaries,"&gt;0")</f>
        <v>0</v>
      </c>
      <c r="Q62" s="426">
        <f t="shared" si="45"/>
        <v>0</v>
      </c>
      <c r="R62" s="12"/>
      <c r="S62" s="12"/>
      <c r="T62" s="12"/>
      <c r="U62" s="12"/>
      <c r="V62" s="12"/>
    </row>
    <row r="63" ht="15.75" customHeight="1">
      <c r="A63" s="53"/>
      <c r="B63" s="12"/>
      <c r="C63" s="12"/>
      <c r="D63" s="133" t="s">
        <v>362</v>
      </c>
      <c r="E63" s="427">
        <f>COUNTIFS(PERS_StartDate,"&lt;="&amp;E60,PERS_Status,"Contractor",PERS_Annual_Salaries,"&gt;0")</f>
        <v>2</v>
      </c>
      <c r="F63" s="427">
        <f>COUNTIFS(PERS_StartDate,"&lt;="&amp;F60,PERS_Status,"Contractor",PERS_Annual_Salaries,"&gt;0")</f>
        <v>2</v>
      </c>
      <c r="G63" s="427">
        <f>COUNTIFS(PERS_StartDate,"&lt;="&amp;G60,PERS_Status,"Contractor",PERS_Annual_Salaries,"&gt;0")</f>
        <v>2</v>
      </c>
      <c r="H63" s="427">
        <f>COUNTIFS(PERS_StartDate,"&lt;="&amp;H60,PERS_Status,"Contractor",PERS_Annual_Salaries,"&gt;0")</f>
        <v>2</v>
      </c>
      <c r="I63" s="427">
        <f>COUNTIFS(PERS_StartDate,"&lt;="&amp;I60,PERS_Status,"Contractor",PERS_Annual_Salaries,"&gt;0")</f>
        <v>2</v>
      </c>
      <c r="J63" s="427">
        <f>COUNTIFS(PERS_StartDate,"&lt;="&amp;J60,PERS_Status,"Contractor",PERS_Annual_Salaries,"&gt;0")</f>
        <v>2</v>
      </c>
      <c r="K63" s="427">
        <f>COUNTIFS(PERS_StartDate,"&lt;="&amp;K60,PERS_Status,"Contractor",PERS_Annual_Salaries,"&gt;0")</f>
        <v>2</v>
      </c>
      <c r="L63" s="427">
        <f>COUNTIFS(PERS_StartDate,"&lt;="&amp;L60,PERS_Status,"Contractor",PERS_Annual_Salaries,"&gt;0")</f>
        <v>2</v>
      </c>
      <c r="M63" s="427">
        <f>COUNTIFS(PERS_StartDate,"&lt;="&amp;M60,PERS_Status,"Contractor",PERS_Annual_Salaries,"&gt;0")</f>
        <v>2</v>
      </c>
      <c r="N63" s="427">
        <f>COUNTIFS(PERS_StartDate,"&lt;="&amp;N60,PERS_Status,"Contractor",PERS_Annual_Salaries,"&gt;0")</f>
        <v>2</v>
      </c>
      <c r="O63" s="427">
        <f>COUNTIFS(PERS_StartDate,"&lt;="&amp;O60,PERS_Status,"Contractor",PERS_Annual_Salaries,"&gt;0")</f>
        <v>2</v>
      </c>
      <c r="P63" s="427">
        <f>COUNTIFS(PERS_StartDate,"&lt;="&amp;P60,PERS_Status,"Contractor",PERS_Annual_Salaries,"&gt;0")</f>
        <v>2</v>
      </c>
      <c r="Q63" s="426">
        <f t="shared" si="45"/>
        <v>2</v>
      </c>
      <c r="R63" s="12"/>
      <c r="S63" s="12"/>
      <c r="T63" s="12"/>
      <c r="U63" s="12"/>
      <c r="V63" s="12"/>
    </row>
    <row r="64" ht="15.75" customHeight="1">
      <c r="A64" s="53"/>
      <c r="B64" s="12"/>
      <c r="C64" s="12"/>
      <c r="D64" s="138"/>
      <c r="E64" s="383"/>
      <c r="F64" s="384"/>
      <c r="G64" s="384"/>
      <c r="H64" s="384"/>
      <c r="I64" s="384"/>
      <c r="J64" s="384"/>
      <c r="K64" s="384"/>
      <c r="L64" s="384"/>
      <c r="M64" s="384"/>
      <c r="N64" s="384"/>
      <c r="O64" s="384"/>
      <c r="P64" s="384"/>
      <c r="Q64" s="426"/>
      <c r="R64" s="12"/>
      <c r="S64" s="12"/>
      <c r="T64" s="12"/>
      <c r="U64" s="12"/>
      <c r="V64" s="12"/>
      <c r="Y64" s="7"/>
    </row>
    <row r="65" ht="15.75" customHeight="1">
      <c r="A65" s="53"/>
      <c r="B65" s="12"/>
      <c r="C65" s="12"/>
      <c r="D65" s="378" t="s">
        <v>363</v>
      </c>
      <c r="E65" s="387">
        <f>(((SUMIFS(PERS_FirstMo,PERS_StartDate,"&gt;="&amp;E$60,PERS_StartDate,"&lt;"&amp;F$60,PERS_Status,"Full-Time")+SUMIFS(PERS_FirstMo,PERS_StartDate,"&gt;="&amp;E$60,PERS_StartDate,"&lt;"&amp;F$60,PERS_Status,"Part-Time")+SUMIFS(PERS_Monthly,PERS_StartDate,"&lt;"&amp;E$60,PERS_Status,"Full-Time")+SUMIFS(PERS_Monthly,PERS_StartDate,"&lt;"&amp;E$60,PERS_Status,"Part-Time")))*(1+YR2_Salaries_Increase))*(1+YR3_Salaries_Increase)</f>
        <v>0</v>
      </c>
      <c r="F65" s="387">
        <f>(((SUMIFS(PERS_FirstMo,PERS_StartDate,"&gt;="&amp;F$60,PERS_StartDate,"&lt;"&amp;G$60,PERS_Status,"Full-Time")+SUMIFS(PERS_FirstMo,PERS_StartDate,"&gt;="&amp;F$60,PERS_StartDate,"&lt;"&amp;G$60,PERS_Status,"Part-Time")+SUMIFS(PERS_Monthly,PERS_StartDate,"&lt;"&amp;F$60,PERS_Status,"Full-Time")+SUMIFS(PERS_Monthly,PERS_StartDate,"&lt;"&amp;F$60,PERS_Status,"Part-Time")))*(1+YR2_Salaries_Increase))*(1+YR3_Salaries_Increase)</f>
        <v>0</v>
      </c>
      <c r="G65" s="387">
        <f>(((SUMIFS(PERS_FirstMo,PERS_StartDate,"&gt;="&amp;G$60,PERS_StartDate,"&lt;"&amp;H$60,PERS_Status,"Full-Time")+SUMIFS(PERS_FirstMo,PERS_StartDate,"&gt;="&amp;G$60,PERS_StartDate,"&lt;"&amp;H$60,PERS_Status,"Part-Time")+SUMIFS(PERS_Monthly,PERS_StartDate,"&lt;"&amp;G$60,PERS_Status,"Full-Time")+SUMIFS(PERS_Monthly,PERS_StartDate,"&lt;"&amp;G$60,PERS_Status,"Part-Time")))*(1+YR2_Salaries_Increase))*(1+YR3_Salaries_Increase)</f>
        <v>0</v>
      </c>
      <c r="H65" s="387">
        <f>(((SUMIFS(PERS_FirstMo,PERS_StartDate,"&gt;="&amp;H$60,PERS_StartDate,"&lt;"&amp;I$60,PERS_Status,"Full-Time")+SUMIFS(PERS_FirstMo,PERS_StartDate,"&gt;="&amp;H$60,PERS_StartDate,"&lt;"&amp;I$60,PERS_Status,"Part-Time")+SUMIFS(PERS_Monthly,PERS_StartDate,"&lt;"&amp;H$60,PERS_Status,"Full-Time")+SUMIFS(PERS_Monthly,PERS_StartDate,"&lt;"&amp;H$60,PERS_Status,"Part-Time")))*(1+YR2_Salaries_Increase))*(1+YR3_Salaries_Increase)</f>
        <v>0</v>
      </c>
      <c r="I65" s="387">
        <f>(((SUMIFS(PERS_FirstMo,PERS_StartDate,"&gt;="&amp;I$60,PERS_StartDate,"&lt;"&amp;J$60,PERS_Status,"Full-Time")+SUMIFS(PERS_FirstMo,PERS_StartDate,"&gt;="&amp;I$60,PERS_StartDate,"&lt;"&amp;J$60,PERS_Status,"Part-Time")+SUMIFS(PERS_Monthly,PERS_StartDate,"&lt;"&amp;I$60,PERS_Status,"Full-Time")+SUMIFS(PERS_Monthly,PERS_StartDate,"&lt;"&amp;I$60,PERS_Status,"Part-Time")))*(1+YR2_Salaries_Increase))*(1+YR3_Salaries_Increase)</f>
        <v>0</v>
      </c>
      <c r="J65" s="387">
        <f>(((SUMIFS(PERS_FirstMo,PERS_StartDate,"&gt;="&amp;J$60,PERS_StartDate,"&lt;"&amp;K$60,PERS_Status,"Full-Time")+SUMIFS(PERS_FirstMo,PERS_StartDate,"&gt;="&amp;J$60,PERS_StartDate,"&lt;"&amp;K$60,PERS_Status,"Part-Time")+SUMIFS(PERS_Monthly,PERS_StartDate,"&lt;"&amp;J$60,PERS_Status,"Full-Time")+SUMIFS(PERS_Monthly,PERS_StartDate,"&lt;"&amp;J$60,PERS_Status,"Part-Time")))*(1+YR2_Salaries_Increase))*(1+YR3_Salaries_Increase)</f>
        <v>0</v>
      </c>
      <c r="K65" s="387">
        <f>(((SUMIFS(PERS_FirstMo,PERS_StartDate,"&gt;="&amp;K$60,PERS_StartDate,"&lt;"&amp;L$60,PERS_Status,"Full-Time")+SUMIFS(PERS_FirstMo,PERS_StartDate,"&gt;="&amp;K$60,PERS_StartDate,"&lt;"&amp;L$60,PERS_Status,"Part-Time")+SUMIFS(PERS_Monthly,PERS_StartDate,"&lt;"&amp;K$60,PERS_Status,"Full-Time")+SUMIFS(PERS_Monthly,PERS_StartDate,"&lt;"&amp;K$60,PERS_Status,"Part-Time")))*(1+YR2_Salaries_Increase))*(1+YR3_Salaries_Increase)</f>
        <v>0</v>
      </c>
      <c r="L65" s="387">
        <f>(((SUMIFS(PERS_FirstMo,PERS_StartDate,"&gt;="&amp;L$60,PERS_StartDate,"&lt;"&amp;M$60,PERS_Status,"Full-Time")+SUMIFS(PERS_FirstMo,PERS_StartDate,"&gt;="&amp;L$60,PERS_StartDate,"&lt;"&amp;M$60,PERS_Status,"Part-Time")+SUMIFS(PERS_Monthly,PERS_StartDate,"&lt;"&amp;L$60,PERS_Status,"Full-Time")+SUMIFS(PERS_Monthly,PERS_StartDate,"&lt;"&amp;L$60,PERS_Status,"Part-Time")))*(1+YR2_Salaries_Increase))*(1+YR3_Salaries_Increase)</f>
        <v>0</v>
      </c>
      <c r="M65" s="387">
        <f>(((SUMIFS(PERS_FirstMo,PERS_StartDate,"&gt;="&amp;M$60,PERS_StartDate,"&lt;"&amp;N$60,PERS_Status,"Full-Time")+SUMIFS(PERS_FirstMo,PERS_StartDate,"&gt;="&amp;M$60,PERS_StartDate,"&lt;"&amp;N$60,PERS_Status,"Part-Time")+SUMIFS(PERS_Monthly,PERS_StartDate,"&lt;"&amp;M$60,PERS_Status,"Full-Time")+SUMIFS(PERS_Monthly,PERS_StartDate,"&lt;"&amp;M$60,PERS_Status,"Part-Time")))*(1+YR2_Salaries_Increase))*(1+YR3_Salaries_Increase)</f>
        <v>0</v>
      </c>
      <c r="N65" s="387">
        <f>(((SUMIFS(PERS_FirstMo,PERS_StartDate,"&gt;="&amp;N$60,PERS_StartDate,"&lt;"&amp;O$60,PERS_Status,"Full-Time")+SUMIFS(PERS_FirstMo,PERS_StartDate,"&gt;="&amp;N$60,PERS_StartDate,"&lt;"&amp;O$60,PERS_Status,"Part-Time")+SUMIFS(PERS_Monthly,PERS_StartDate,"&lt;"&amp;N$60,PERS_Status,"Full-Time")+SUMIFS(PERS_Monthly,PERS_StartDate,"&lt;"&amp;N$60,PERS_Status,"Part-Time")))*(1+YR2_Salaries_Increase))*(1+YR3_Salaries_Increase)</f>
        <v>0</v>
      </c>
      <c r="O65" s="387">
        <f>(((SUMIFS(PERS_FirstMo,PERS_StartDate,"&gt;="&amp;O$60,PERS_StartDate,"&lt;"&amp;P$60,PERS_Status,"Full-Time")+SUMIFS(PERS_FirstMo,PERS_StartDate,"&gt;="&amp;O$60,PERS_StartDate,"&lt;"&amp;P$60,PERS_Status,"Part-Time")+SUMIFS(PERS_Monthly,PERS_StartDate,"&lt;"&amp;O$60,PERS_Status,"Full-Time")+SUMIFS(PERS_Monthly,PERS_StartDate,"&lt;"&amp;O$60,PERS_Status,"Part-Time")))*(1+YR2_Salaries_Increase))*(1+YR3_Salaries_Increase)</f>
        <v>0</v>
      </c>
      <c r="P65" s="387">
        <f>(((SUMIFS(PERS_FirstMo,PERS_StartDate,"&gt;="&amp;P$60,PERS_StartDate,"&lt;"&amp;Q$60,PERS_Status,"Full-Time")+SUMIFS(PERS_FirstMo,PERS_StartDate,"&gt;="&amp;P$60,PERS_StartDate,"&lt;"&amp;Q$60,PERS_Status,"Part-Time")+SUMIFS(PERS_Monthly,PERS_StartDate,"&lt;"&amp;P$60,PERS_Status,"Full-Time")+SUMIFS(PERS_Monthly,PERS_StartDate,"&lt;"&amp;P$60,PERS_Status,"Part-Time")))*(1+YR2_Salaries_Increase))*(1+YR3_Salaries_Increase)</f>
        <v>0</v>
      </c>
      <c r="Q65" s="389">
        <f t="shared" ref="Q65:Q68" si="46">SUM(E65:P65)</f>
        <v>0</v>
      </c>
      <c r="R65" s="12"/>
      <c r="S65" s="12"/>
      <c r="T65" s="12"/>
      <c r="U65" s="12"/>
      <c r="V65" s="12"/>
      <c r="Y65" s="7"/>
    </row>
    <row r="66" ht="15.75" customHeight="1">
      <c r="A66" s="53"/>
      <c r="B66" s="12"/>
      <c r="C66" s="12"/>
      <c r="D66" s="378" t="s">
        <v>365</v>
      </c>
      <c r="E66" s="395">
        <f>(((SUMIFS(PERS_FirstMo,PERS_StartDate,"&gt;="&amp;E$60,PERS_StartDate,"&lt;"&amp;F$60,PERS_Status,"Contractor")+SUMIFS(PERS_Monthly,PERS_StartDate,"&lt;"&amp;E$60,PERS_Status,"Contractor")))*(1+YR2_Salaries_Increase))*(1+YR3_Salaries_Increase)</f>
        <v>4420.416667</v>
      </c>
      <c r="F66" s="395">
        <f>(((SUMIFS(PERS_FirstMo,PERS_StartDate,"&gt;="&amp;F$60,PERS_StartDate,"&lt;"&amp;G$60,PERS_Status,"Contractor")+SUMIFS(PERS_Monthly,PERS_StartDate,"&lt;"&amp;F$60,PERS_Status,"Contractor")))*(1+YR2_Salaries_Increase))*(1+YR3_Salaries_Increase)</f>
        <v>4420.416667</v>
      </c>
      <c r="G66" s="395">
        <f>(((SUMIFS(PERS_FirstMo,PERS_StartDate,"&gt;="&amp;G$60,PERS_StartDate,"&lt;"&amp;H$60,PERS_Status,"Contractor")+SUMIFS(PERS_Monthly,PERS_StartDate,"&lt;"&amp;G$60,PERS_Status,"Contractor")))*(1+YR2_Salaries_Increase))*(1+YR3_Salaries_Increase)</f>
        <v>4420.416667</v>
      </c>
      <c r="H66" s="395">
        <f>(((SUMIFS(PERS_FirstMo,PERS_StartDate,"&gt;="&amp;H$60,PERS_StartDate,"&lt;"&amp;I$60,PERS_Status,"Contractor")+SUMIFS(PERS_Monthly,PERS_StartDate,"&lt;"&amp;H$60,PERS_Status,"Contractor")))*(1+YR2_Salaries_Increase))*(1+YR3_Salaries_Increase)</f>
        <v>4420.416667</v>
      </c>
      <c r="I66" s="395">
        <f>(((SUMIFS(PERS_FirstMo,PERS_StartDate,"&gt;="&amp;I$60,PERS_StartDate,"&lt;"&amp;J$60,PERS_Status,"Contractor")+SUMIFS(PERS_Monthly,PERS_StartDate,"&lt;"&amp;I$60,PERS_Status,"Contractor")))*(1+YR2_Salaries_Increase))*(1+YR3_Salaries_Increase)</f>
        <v>4420.416667</v>
      </c>
      <c r="J66" s="395">
        <f>(((SUMIFS(PERS_FirstMo,PERS_StartDate,"&gt;="&amp;J$60,PERS_StartDate,"&lt;"&amp;K$60,PERS_Status,"Contractor")+SUMIFS(PERS_Monthly,PERS_StartDate,"&lt;"&amp;J$60,PERS_Status,"Contractor")))*(1+YR2_Salaries_Increase))*(1+YR3_Salaries_Increase)</f>
        <v>4420.416667</v>
      </c>
      <c r="K66" s="395">
        <f>(((SUMIFS(PERS_FirstMo,PERS_StartDate,"&gt;="&amp;K$60,PERS_StartDate,"&lt;"&amp;L$60,PERS_Status,"Contractor")+SUMIFS(PERS_Monthly,PERS_StartDate,"&lt;"&amp;K$60,PERS_Status,"Contractor")))*(1+YR2_Salaries_Increase))*(1+YR3_Salaries_Increase)</f>
        <v>4420.416667</v>
      </c>
      <c r="L66" s="395">
        <f>(((SUMIFS(PERS_FirstMo,PERS_StartDate,"&gt;="&amp;L$60,PERS_StartDate,"&lt;"&amp;M$60,PERS_Status,"Contractor")+SUMIFS(PERS_Monthly,PERS_StartDate,"&lt;"&amp;L$60,PERS_Status,"Contractor")))*(1+YR2_Salaries_Increase))*(1+YR3_Salaries_Increase)</f>
        <v>4420.416667</v>
      </c>
      <c r="M66" s="395">
        <f>(((SUMIFS(PERS_FirstMo,PERS_StartDate,"&gt;="&amp;M$60,PERS_StartDate,"&lt;"&amp;N$60,PERS_Status,"Contractor")+SUMIFS(PERS_Monthly,PERS_StartDate,"&lt;"&amp;M$60,PERS_Status,"Contractor")))*(1+YR2_Salaries_Increase))*(1+YR3_Salaries_Increase)</f>
        <v>4420.416667</v>
      </c>
      <c r="N66" s="395">
        <f>(((SUMIFS(PERS_FirstMo,PERS_StartDate,"&gt;="&amp;N$60,PERS_StartDate,"&lt;"&amp;O$60,PERS_Status,"Contractor")+SUMIFS(PERS_Monthly,PERS_StartDate,"&lt;"&amp;N$60,PERS_Status,"Contractor")))*(1+YR2_Salaries_Increase))*(1+YR3_Salaries_Increase)</f>
        <v>4420.416667</v>
      </c>
      <c r="O66" s="395">
        <f>(((SUMIFS(PERS_FirstMo,PERS_StartDate,"&gt;="&amp;O$60,PERS_StartDate,"&lt;"&amp;P$60,PERS_Status,"Contractor")+SUMIFS(PERS_Monthly,PERS_StartDate,"&lt;"&amp;O$60,PERS_Status,"Contractor")))*(1+YR2_Salaries_Increase))*(1+YR3_Salaries_Increase)</f>
        <v>4420.416667</v>
      </c>
      <c r="P66" s="395">
        <f>(((SUMIFS(PERS_FirstMo,PERS_StartDate,"&gt;="&amp;P$60,PERS_StartDate,"&lt;"&amp;Q$60,PERS_Status,"Contractor")+SUMIFS(PERS_Monthly,PERS_StartDate,"&lt;"&amp;P$60,PERS_Status,"Contractor")))*(1+YR2_Salaries_Increase))*(1+YR3_Salaries_Increase)</f>
        <v>4420.416667</v>
      </c>
      <c r="Q66" s="397">
        <f t="shared" si="46"/>
        <v>53045</v>
      </c>
      <c r="R66" s="12"/>
      <c r="S66" s="12"/>
      <c r="T66" s="12"/>
      <c r="U66" s="12"/>
      <c r="V66" s="12"/>
      <c r="Y66" s="7"/>
    </row>
    <row r="67" ht="15.75" customHeight="1">
      <c r="A67" s="53"/>
      <c r="B67" s="12"/>
      <c r="C67" s="12"/>
      <c r="D67" s="378" t="s">
        <v>366</v>
      </c>
      <c r="E67" s="395">
        <f t="shared" ref="E67:P67" si="47">SUM(E71:E80)</f>
        <v>0</v>
      </c>
      <c r="F67" s="396">
        <f t="shared" si="47"/>
        <v>0</v>
      </c>
      <c r="G67" s="396">
        <f t="shared" si="47"/>
        <v>0</v>
      </c>
      <c r="H67" s="396">
        <f t="shared" si="47"/>
        <v>0</v>
      </c>
      <c r="I67" s="396">
        <f t="shared" si="47"/>
        <v>0</v>
      </c>
      <c r="J67" s="396">
        <f t="shared" si="47"/>
        <v>0</v>
      </c>
      <c r="K67" s="396">
        <f t="shared" si="47"/>
        <v>0</v>
      </c>
      <c r="L67" s="396">
        <f t="shared" si="47"/>
        <v>0</v>
      </c>
      <c r="M67" s="396">
        <f t="shared" si="47"/>
        <v>0</v>
      </c>
      <c r="N67" s="396">
        <f t="shared" si="47"/>
        <v>0</v>
      </c>
      <c r="O67" s="396">
        <f t="shared" si="47"/>
        <v>0</v>
      </c>
      <c r="P67" s="396">
        <f t="shared" si="47"/>
        <v>0</v>
      </c>
      <c r="Q67" s="397">
        <f t="shared" si="46"/>
        <v>0</v>
      </c>
      <c r="R67" s="12"/>
      <c r="S67" s="12"/>
      <c r="T67" s="12"/>
      <c r="U67" s="12"/>
      <c r="V67" s="12"/>
      <c r="Y67" s="7"/>
    </row>
    <row r="68" ht="15.75" customHeight="1">
      <c r="A68" s="53"/>
      <c r="B68" s="12"/>
      <c r="C68" s="12"/>
      <c r="D68" s="404" t="s">
        <v>263</v>
      </c>
      <c r="E68" s="405">
        <f t="shared" ref="E68:P68" si="48">SUM(E65:E67)</f>
        <v>4420.416667</v>
      </c>
      <c r="F68" s="428">
        <f t="shared" si="48"/>
        <v>4420.416667</v>
      </c>
      <c r="G68" s="428">
        <f t="shared" si="48"/>
        <v>4420.416667</v>
      </c>
      <c r="H68" s="428">
        <f t="shared" si="48"/>
        <v>4420.416667</v>
      </c>
      <c r="I68" s="428">
        <f t="shared" si="48"/>
        <v>4420.416667</v>
      </c>
      <c r="J68" s="428">
        <f t="shared" si="48"/>
        <v>4420.416667</v>
      </c>
      <c r="K68" s="428">
        <f t="shared" si="48"/>
        <v>4420.416667</v>
      </c>
      <c r="L68" s="428">
        <f t="shared" si="48"/>
        <v>4420.416667</v>
      </c>
      <c r="M68" s="428">
        <f t="shared" si="48"/>
        <v>4420.416667</v>
      </c>
      <c r="N68" s="428">
        <f t="shared" si="48"/>
        <v>4420.416667</v>
      </c>
      <c r="O68" s="428">
        <f t="shared" si="48"/>
        <v>4420.416667</v>
      </c>
      <c r="P68" s="428">
        <f t="shared" si="48"/>
        <v>4420.416667</v>
      </c>
      <c r="Q68" s="389">
        <f t="shared" si="46"/>
        <v>53045</v>
      </c>
      <c r="R68" s="12"/>
      <c r="S68" s="12"/>
      <c r="T68" s="12"/>
      <c r="U68" s="12"/>
      <c r="V68" s="12"/>
    </row>
    <row r="69" ht="15.75" customHeight="1">
      <c r="A69" s="53"/>
      <c r="B69" s="25"/>
      <c r="C69" s="12"/>
      <c r="D69" s="12"/>
      <c r="E69" s="383"/>
      <c r="F69" s="384"/>
      <c r="G69" s="384"/>
      <c r="H69" s="384"/>
      <c r="I69" s="384"/>
      <c r="J69" s="396"/>
      <c r="K69" s="384"/>
      <c r="L69" s="384"/>
      <c r="M69" s="384"/>
      <c r="N69" s="384"/>
      <c r="O69" s="384"/>
      <c r="P69" s="384"/>
      <c r="Q69" s="426"/>
      <c r="R69" s="12"/>
      <c r="S69" s="12"/>
      <c r="T69" s="12"/>
      <c r="U69" s="12"/>
      <c r="V69" s="12"/>
      <c r="Y69" s="7"/>
    </row>
    <row r="70" ht="15.75" customHeight="1">
      <c r="A70" s="53"/>
      <c r="B70" s="25" t="s">
        <v>366</v>
      </c>
      <c r="C70" s="12"/>
      <c r="D70" s="138" t="s">
        <v>368</v>
      </c>
      <c r="E70" s="383"/>
      <c r="F70" s="384"/>
      <c r="G70" s="384"/>
      <c r="H70" s="384"/>
      <c r="I70" s="384"/>
      <c r="J70" s="384"/>
      <c r="K70" s="384"/>
      <c r="L70" s="384"/>
      <c r="M70" s="384"/>
      <c r="N70" s="384"/>
      <c r="O70" s="384"/>
      <c r="P70" s="384"/>
      <c r="Q70" s="426"/>
      <c r="R70" s="12"/>
      <c r="S70" s="12"/>
      <c r="T70" s="12"/>
      <c r="U70" s="12"/>
      <c r="V70" s="12"/>
      <c r="Y70" s="7"/>
    </row>
    <row r="71" ht="15.75" customHeight="1">
      <c r="A71" s="53"/>
      <c r="B71" s="133" t="s">
        <v>369</v>
      </c>
      <c r="C71" s="136">
        <v>0.062</v>
      </c>
      <c r="D71" s="12">
        <v>102000.0</v>
      </c>
      <c r="E71" s="411">
        <f t="shared" ref="E71:P71" si="49">$C$19*E65</f>
        <v>0</v>
      </c>
      <c r="F71" s="411">
        <f t="shared" si="49"/>
        <v>0</v>
      </c>
      <c r="G71" s="411">
        <f t="shared" si="49"/>
        <v>0</v>
      </c>
      <c r="H71" s="411">
        <f t="shared" si="49"/>
        <v>0</v>
      </c>
      <c r="I71" s="411">
        <f t="shared" si="49"/>
        <v>0</v>
      </c>
      <c r="J71" s="411">
        <f t="shared" si="49"/>
        <v>0</v>
      </c>
      <c r="K71" s="411">
        <f t="shared" si="49"/>
        <v>0</v>
      </c>
      <c r="L71" s="411">
        <f t="shared" si="49"/>
        <v>0</v>
      </c>
      <c r="M71" s="411">
        <f t="shared" si="49"/>
        <v>0</v>
      </c>
      <c r="N71" s="411">
        <f t="shared" si="49"/>
        <v>0</v>
      </c>
      <c r="O71" s="411">
        <f t="shared" si="49"/>
        <v>0</v>
      </c>
      <c r="P71" s="411">
        <f t="shared" si="49"/>
        <v>0</v>
      </c>
      <c r="Q71" s="412">
        <f t="shared" ref="Q71:Q80" si="51">SUM(E71:P71)</f>
        <v>0</v>
      </c>
      <c r="R71" s="12"/>
      <c r="S71" s="12"/>
      <c r="T71" s="12"/>
      <c r="U71" s="12"/>
      <c r="V71" s="12"/>
      <c r="Y71" s="7"/>
    </row>
    <row r="72" ht="15.75" customHeight="1">
      <c r="A72" s="53"/>
      <c r="B72" s="133" t="s">
        <v>370</v>
      </c>
      <c r="C72" s="136">
        <v>0.0145</v>
      </c>
      <c r="D72" s="12"/>
      <c r="E72" s="411">
        <f t="shared" ref="E72:P72" si="50">$C$20*E65</f>
        <v>0</v>
      </c>
      <c r="F72" s="411">
        <f t="shared" si="50"/>
        <v>0</v>
      </c>
      <c r="G72" s="411">
        <f t="shared" si="50"/>
        <v>0</v>
      </c>
      <c r="H72" s="411">
        <f t="shared" si="50"/>
        <v>0</v>
      </c>
      <c r="I72" s="411">
        <f t="shared" si="50"/>
        <v>0</v>
      </c>
      <c r="J72" s="411">
        <f t="shared" si="50"/>
        <v>0</v>
      </c>
      <c r="K72" s="411">
        <f t="shared" si="50"/>
        <v>0</v>
      </c>
      <c r="L72" s="411">
        <f t="shared" si="50"/>
        <v>0</v>
      </c>
      <c r="M72" s="411">
        <f t="shared" si="50"/>
        <v>0</v>
      </c>
      <c r="N72" s="411">
        <f t="shared" si="50"/>
        <v>0</v>
      </c>
      <c r="O72" s="411">
        <f t="shared" si="50"/>
        <v>0</v>
      </c>
      <c r="P72" s="411">
        <f t="shared" si="50"/>
        <v>0</v>
      </c>
      <c r="Q72" s="412">
        <f t="shared" si="51"/>
        <v>0</v>
      </c>
      <c r="R72" s="12"/>
      <c r="S72" s="12"/>
      <c r="T72" s="12"/>
      <c r="U72" s="12"/>
      <c r="V72" s="12"/>
      <c r="Y72" s="7"/>
    </row>
    <row r="73" ht="15.75" customHeight="1">
      <c r="A73" s="53"/>
      <c r="B73" s="133" t="s">
        <v>371</v>
      </c>
      <c r="C73" s="136">
        <v>0.008</v>
      </c>
      <c r="D73" s="12">
        <v>7000.0</v>
      </c>
      <c r="E73" s="411">
        <f t="shared" ref="E73:P73" si="52">($C$73*$D$73/12)*E62</f>
        <v>0</v>
      </c>
      <c r="F73" s="411">
        <f t="shared" si="52"/>
        <v>0</v>
      </c>
      <c r="G73" s="411">
        <f t="shared" si="52"/>
        <v>0</v>
      </c>
      <c r="H73" s="411">
        <f t="shared" si="52"/>
        <v>0</v>
      </c>
      <c r="I73" s="411">
        <f t="shared" si="52"/>
        <v>0</v>
      </c>
      <c r="J73" s="411">
        <f t="shared" si="52"/>
        <v>0</v>
      </c>
      <c r="K73" s="411">
        <f t="shared" si="52"/>
        <v>0</v>
      </c>
      <c r="L73" s="411">
        <f t="shared" si="52"/>
        <v>0</v>
      </c>
      <c r="M73" s="411">
        <f t="shared" si="52"/>
        <v>0</v>
      </c>
      <c r="N73" s="411">
        <f t="shared" si="52"/>
        <v>0</v>
      </c>
      <c r="O73" s="411">
        <f t="shared" si="52"/>
        <v>0</v>
      </c>
      <c r="P73" s="411">
        <f t="shared" si="52"/>
        <v>0</v>
      </c>
      <c r="Q73" s="412">
        <f t="shared" si="51"/>
        <v>0</v>
      </c>
      <c r="R73" s="12"/>
      <c r="S73" s="12"/>
      <c r="T73" s="12"/>
      <c r="U73" s="12"/>
      <c r="V73" s="12"/>
      <c r="Y73" s="7"/>
    </row>
    <row r="74" ht="15.75" customHeight="1">
      <c r="A74" s="53"/>
      <c r="B74" s="133" t="s">
        <v>372</v>
      </c>
      <c r="C74" s="136">
        <v>0.027</v>
      </c>
      <c r="D74" s="12">
        <v>7000.0</v>
      </c>
      <c r="E74" s="411">
        <f t="shared" ref="E74:P74" si="53">($C$74*$D$74/12)*E62</f>
        <v>0</v>
      </c>
      <c r="F74" s="411">
        <f t="shared" si="53"/>
        <v>0</v>
      </c>
      <c r="G74" s="411">
        <f t="shared" si="53"/>
        <v>0</v>
      </c>
      <c r="H74" s="411">
        <f t="shared" si="53"/>
        <v>0</v>
      </c>
      <c r="I74" s="411">
        <f t="shared" si="53"/>
        <v>0</v>
      </c>
      <c r="J74" s="411">
        <f t="shared" si="53"/>
        <v>0</v>
      </c>
      <c r="K74" s="411">
        <f t="shared" si="53"/>
        <v>0</v>
      </c>
      <c r="L74" s="411">
        <f t="shared" si="53"/>
        <v>0</v>
      </c>
      <c r="M74" s="411">
        <f t="shared" si="53"/>
        <v>0</v>
      </c>
      <c r="N74" s="411">
        <f t="shared" si="53"/>
        <v>0</v>
      </c>
      <c r="O74" s="411">
        <f t="shared" si="53"/>
        <v>0</v>
      </c>
      <c r="P74" s="411">
        <f t="shared" si="53"/>
        <v>0</v>
      </c>
      <c r="Q74" s="412">
        <f t="shared" si="51"/>
        <v>0</v>
      </c>
      <c r="R74" s="12"/>
      <c r="S74" s="12"/>
      <c r="T74" s="12"/>
      <c r="U74" s="12"/>
      <c r="V74" s="12"/>
      <c r="Y74" s="7"/>
    </row>
    <row r="75" ht="15.75" customHeight="1">
      <c r="A75" s="53"/>
      <c r="B75" s="133" t="s">
        <v>373</v>
      </c>
      <c r="C75" s="136">
        <v>0.0</v>
      </c>
      <c r="D75" s="136"/>
      <c r="E75" s="411">
        <f t="shared" ref="E75:P75" si="54">$C75*E$65</f>
        <v>0</v>
      </c>
      <c r="F75" s="411">
        <f t="shared" si="54"/>
        <v>0</v>
      </c>
      <c r="G75" s="411">
        <f t="shared" si="54"/>
        <v>0</v>
      </c>
      <c r="H75" s="411">
        <f t="shared" si="54"/>
        <v>0</v>
      </c>
      <c r="I75" s="411">
        <f t="shared" si="54"/>
        <v>0</v>
      </c>
      <c r="J75" s="411">
        <f t="shared" si="54"/>
        <v>0</v>
      </c>
      <c r="K75" s="411">
        <f t="shared" si="54"/>
        <v>0</v>
      </c>
      <c r="L75" s="411">
        <f t="shared" si="54"/>
        <v>0</v>
      </c>
      <c r="M75" s="411">
        <f t="shared" si="54"/>
        <v>0</v>
      </c>
      <c r="N75" s="411">
        <f t="shared" si="54"/>
        <v>0</v>
      </c>
      <c r="O75" s="411">
        <f t="shared" si="54"/>
        <v>0</v>
      </c>
      <c r="P75" s="411">
        <f t="shared" si="54"/>
        <v>0</v>
      </c>
      <c r="Q75" s="412">
        <f t="shared" si="51"/>
        <v>0</v>
      </c>
      <c r="R75" s="12"/>
      <c r="S75" s="12"/>
      <c r="T75" s="12"/>
      <c r="U75" s="12"/>
      <c r="V75" s="12"/>
      <c r="Y75" s="7"/>
    </row>
    <row r="76" ht="15.75" customHeight="1">
      <c r="A76" s="53"/>
      <c r="B76" s="133" t="s">
        <v>374</v>
      </c>
      <c r="C76" s="136">
        <v>0.0</v>
      </c>
      <c r="D76" s="136"/>
      <c r="E76" s="411">
        <f t="shared" ref="E76:P76" si="55">$C76*E$65</f>
        <v>0</v>
      </c>
      <c r="F76" s="411">
        <f t="shared" si="55"/>
        <v>0</v>
      </c>
      <c r="G76" s="411">
        <f t="shared" si="55"/>
        <v>0</v>
      </c>
      <c r="H76" s="411">
        <f t="shared" si="55"/>
        <v>0</v>
      </c>
      <c r="I76" s="411">
        <f t="shared" si="55"/>
        <v>0</v>
      </c>
      <c r="J76" s="411">
        <f t="shared" si="55"/>
        <v>0</v>
      </c>
      <c r="K76" s="411">
        <f t="shared" si="55"/>
        <v>0</v>
      </c>
      <c r="L76" s="411">
        <f t="shared" si="55"/>
        <v>0</v>
      </c>
      <c r="M76" s="411">
        <f t="shared" si="55"/>
        <v>0</v>
      </c>
      <c r="N76" s="411">
        <f t="shared" si="55"/>
        <v>0</v>
      </c>
      <c r="O76" s="411">
        <f t="shared" si="55"/>
        <v>0</v>
      </c>
      <c r="P76" s="411">
        <f t="shared" si="55"/>
        <v>0</v>
      </c>
      <c r="Q76" s="412">
        <f t="shared" si="51"/>
        <v>0</v>
      </c>
      <c r="R76" s="12"/>
      <c r="S76" s="12"/>
      <c r="T76" s="12"/>
      <c r="U76" s="12"/>
      <c r="V76" s="12"/>
      <c r="Y76" s="7"/>
    </row>
    <row r="77" ht="15.75" customHeight="1">
      <c r="A77" s="53"/>
      <c r="B77" s="133" t="s">
        <v>375</v>
      </c>
      <c r="C77" s="136">
        <v>0.0</v>
      </c>
      <c r="D77" s="136"/>
      <c r="E77" s="411">
        <f t="shared" ref="E77:P77" si="56">$C77*E$65</f>
        <v>0</v>
      </c>
      <c r="F77" s="411">
        <f t="shared" si="56"/>
        <v>0</v>
      </c>
      <c r="G77" s="411">
        <f t="shared" si="56"/>
        <v>0</v>
      </c>
      <c r="H77" s="411">
        <f t="shared" si="56"/>
        <v>0</v>
      </c>
      <c r="I77" s="411">
        <f t="shared" si="56"/>
        <v>0</v>
      </c>
      <c r="J77" s="411">
        <f t="shared" si="56"/>
        <v>0</v>
      </c>
      <c r="K77" s="411">
        <f t="shared" si="56"/>
        <v>0</v>
      </c>
      <c r="L77" s="411">
        <f t="shared" si="56"/>
        <v>0</v>
      </c>
      <c r="M77" s="411">
        <f t="shared" si="56"/>
        <v>0</v>
      </c>
      <c r="N77" s="411">
        <f t="shared" si="56"/>
        <v>0</v>
      </c>
      <c r="O77" s="411">
        <f t="shared" si="56"/>
        <v>0</v>
      </c>
      <c r="P77" s="411">
        <f t="shared" si="56"/>
        <v>0</v>
      </c>
      <c r="Q77" s="412">
        <f t="shared" si="51"/>
        <v>0</v>
      </c>
      <c r="R77" s="12"/>
      <c r="S77" s="12"/>
      <c r="T77" s="12"/>
      <c r="U77" s="12"/>
      <c r="V77" s="12"/>
      <c r="Y77" s="7"/>
    </row>
    <row r="78" ht="15.75" customHeight="1">
      <c r="A78" s="53"/>
      <c r="B78" s="133" t="s">
        <v>376</v>
      </c>
      <c r="C78" s="136">
        <v>0.0</v>
      </c>
      <c r="D78" s="136"/>
      <c r="E78" s="411">
        <f t="shared" ref="E78:P78" si="57">$C78*E$65</f>
        <v>0</v>
      </c>
      <c r="F78" s="411">
        <f t="shared" si="57"/>
        <v>0</v>
      </c>
      <c r="G78" s="411">
        <f t="shared" si="57"/>
        <v>0</v>
      </c>
      <c r="H78" s="411">
        <f t="shared" si="57"/>
        <v>0</v>
      </c>
      <c r="I78" s="411">
        <f t="shared" si="57"/>
        <v>0</v>
      </c>
      <c r="J78" s="411">
        <f t="shared" si="57"/>
        <v>0</v>
      </c>
      <c r="K78" s="411">
        <f t="shared" si="57"/>
        <v>0</v>
      </c>
      <c r="L78" s="411">
        <f t="shared" si="57"/>
        <v>0</v>
      </c>
      <c r="M78" s="411">
        <f t="shared" si="57"/>
        <v>0</v>
      </c>
      <c r="N78" s="411">
        <f t="shared" si="57"/>
        <v>0</v>
      </c>
      <c r="O78" s="411">
        <f t="shared" si="57"/>
        <v>0</v>
      </c>
      <c r="P78" s="411">
        <f t="shared" si="57"/>
        <v>0</v>
      </c>
      <c r="Q78" s="412">
        <f t="shared" si="51"/>
        <v>0</v>
      </c>
      <c r="R78" s="12"/>
      <c r="S78" s="12"/>
      <c r="T78" s="12"/>
      <c r="U78" s="12"/>
      <c r="V78" s="12"/>
      <c r="Y78" s="7"/>
    </row>
    <row r="79" ht="15.75" customHeight="1">
      <c r="A79" s="53"/>
      <c r="B79" s="133" t="s">
        <v>377</v>
      </c>
      <c r="C79" s="136">
        <v>0.0</v>
      </c>
      <c r="D79" s="136"/>
      <c r="E79" s="411">
        <f t="shared" ref="E79:P79" si="58">$C79*E$65</f>
        <v>0</v>
      </c>
      <c r="F79" s="411">
        <f t="shared" si="58"/>
        <v>0</v>
      </c>
      <c r="G79" s="411">
        <f t="shared" si="58"/>
        <v>0</v>
      </c>
      <c r="H79" s="411">
        <f t="shared" si="58"/>
        <v>0</v>
      </c>
      <c r="I79" s="411">
        <f t="shared" si="58"/>
        <v>0</v>
      </c>
      <c r="J79" s="411">
        <f t="shared" si="58"/>
        <v>0</v>
      </c>
      <c r="K79" s="411">
        <f t="shared" si="58"/>
        <v>0</v>
      </c>
      <c r="L79" s="411">
        <f t="shared" si="58"/>
        <v>0</v>
      </c>
      <c r="M79" s="411">
        <f t="shared" si="58"/>
        <v>0</v>
      </c>
      <c r="N79" s="411">
        <f t="shared" si="58"/>
        <v>0</v>
      </c>
      <c r="O79" s="411">
        <f t="shared" si="58"/>
        <v>0</v>
      </c>
      <c r="P79" s="411">
        <f t="shared" si="58"/>
        <v>0</v>
      </c>
      <c r="Q79" s="412">
        <f t="shared" si="51"/>
        <v>0</v>
      </c>
      <c r="R79" s="12"/>
      <c r="S79" s="12"/>
      <c r="T79" s="12"/>
      <c r="U79" s="12"/>
      <c r="V79" s="12"/>
      <c r="Y79" s="7"/>
    </row>
    <row r="80" ht="15.75" customHeight="1">
      <c r="A80" s="40"/>
      <c r="B80" s="139" t="s">
        <v>378</v>
      </c>
      <c r="C80" s="430">
        <v>0.04</v>
      </c>
      <c r="D80" s="43"/>
      <c r="E80" s="414">
        <f t="shared" ref="E80:P80" si="59">$C80*E$65</f>
        <v>0</v>
      </c>
      <c r="F80" s="414">
        <f t="shared" si="59"/>
        <v>0</v>
      </c>
      <c r="G80" s="414">
        <f t="shared" si="59"/>
        <v>0</v>
      </c>
      <c r="H80" s="414">
        <f t="shared" si="59"/>
        <v>0</v>
      </c>
      <c r="I80" s="414">
        <f t="shared" si="59"/>
        <v>0</v>
      </c>
      <c r="J80" s="414">
        <f t="shared" si="59"/>
        <v>0</v>
      </c>
      <c r="K80" s="414">
        <f t="shared" si="59"/>
        <v>0</v>
      </c>
      <c r="L80" s="414">
        <f t="shared" si="59"/>
        <v>0</v>
      </c>
      <c r="M80" s="414">
        <f t="shared" si="59"/>
        <v>0</v>
      </c>
      <c r="N80" s="414">
        <f t="shared" si="59"/>
        <v>0</v>
      </c>
      <c r="O80" s="414">
        <f t="shared" si="59"/>
        <v>0</v>
      </c>
      <c r="P80" s="414">
        <f t="shared" si="59"/>
        <v>0</v>
      </c>
      <c r="Q80" s="415">
        <f t="shared" si="51"/>
        <v>0</v>
      </c>
      <c r="R80" s="25"/>
      <c r="S80" s="12"/>
      <c r="T80" s="12"/>
      <c r="U80" s="12"/>
      <c r="V80" s="12"/>
      <c r="Y80" s="55"/>
    </row>
    <row r="81" ht="15.75" customHeight="1">
      <c r="A81" s="12"/>
      <c r="B81" s="12"/>
      <c r="C81" s="12"/>
      <c r="D81" s="12"/>
      <c r="E81" s="12"/>
      <c r="F81" s="12"/>
      <c r="G81" s="12"/>
      <c r="H81" s="12"/>
      <c r="I81" s="12"/>
      <c r="J81" s="12"/>
      <c r="K81" s="12"/>
      <c r="L81" s="12"/>
      <c r="M81" s="12"/>
      <c r="N81" s="12"/>
      <c r="O81" s="12"/>
      <c r="P81" s="12"/>
      <c r="Q81" s="12"/>
      <c r="R81" s="12"/>
      <c r="S81" s="12"/>
      <c r="T81" s="12"/>
      <c r="U81" s="12"/>
      <c r="V81" s="7"/>
      <c r="W81" s="7"/>
      <c r="X81" s="7"/>
    </row>
    <row r="82" ht="15.75" customHeight="1">
      <c r="A82" s="12"/>
      <c r="B82" s="12"/>
      <c r="C82" s="12"/>
      <c r="D82" s="12"/>
      <c r="E82" s="12"/>
      <c r="F82" s="12"/>
      <c r="G82" s="12"/>
      <c r="H82" s="12"/>
      <c r="I82" s="12"/>
      <c r="J82" s="12"/>
      <c r="K82" s="12"/>
      <c r="L82" s="12"/>
      <c r="M82" s="12"/>
      <c r="N82" s="12"/>
      <c r="O82" s="12"/>
      <c r="P82" s="12"/>
      <c r="Q82" s="12"/>
      <c r="R82" s="12"/>
      <c r="S82" s="12"/>
      <c r="T82" s="12"/>
      <c r="U82" s="12"/>
      <c r="V82" s="7"/>
      <c r="W82" s="7"/>
      <c r="X82" s="7"/>
    </row>
    <row r="83" ht="15.75" customHeight="1">
      <c r="A83" s="12"/>
      <c r="B83" s="12"/>
      <c r="C83" s="12"/>
      <c r="D83" s="12"/>
      <c r="E83" s="12"/>
      <c r="F83" s="12"/>
      <c r="G83" s="12"/>
      <c r="H83" s="12"/>
      <c r="I83" s="12"/>
      <c r="J83" s="12"/>
      <c r="K83" s="12"/>
      <c r="L83" s="12"/>
      <c r="M83" s="12"/>
      <c r="N83" s="12"/>
      <c r="O83" s="12"/>
      <c r="P83" s="12"/>
      <c r="Q83" s="12"/>
      <c r="R83" s="12"/>
      <c r="S83" s="12"/>
      <c r="T83" s="12"/>
      <c r="U83" s="12"/>
      <c r="V83" s="7"/>
      <c r="W83" s="7"/>
      <c r="X83" s="7"/>
    </row>
    <row r="84" ht="15.75" customHeight="1">
      <c r="V84" s="7"/>
      <c r="W84" s="7"/>
      <c r="X84" s="7"/>
    </row>
    <row r="85" ht="15.75" customHeight="1">
      <c r="V85" s="7"/>
      <c r="W85" s="7"/>
      <c r="X85" s="7"/>
    </row>
    <row r="86" ht="15.75" customHeight="1">
      <c r="V86" s="7"/>
      <c r="W86" s="7"/>
      <c r="X86" s="7"/>
    </row>
    <row r="87" ht="15.75" customHeight="1">
      <c r="V87" s="7"/>
      <c r="W87" s="7"/>
      <c r="X87" s="7"/>
    </row>
    <row r="88" ht="15.75" customHeight="1">
      <c r="V88" s="7"/>
      <c r="W88" s="7"/>
      <c r="X88" s="7"/>
    </row>
    <row r="89" ht="15.75" customHeight="1">
      <c r="V89" s="7"/>
      <c r="W89" s="7"/>
      <c r="X89" s="7"/>
    </row>
    <row r="90" ht="15.75" customHeight="1">
      <c r="V90" s="7"/>
      <c r="W90" s="7"/>
      <c r="X90" s="7"/>
    </row>
    <row r="91" ht="15.75" customHeight="1">
      <c r="V91" s="7"/>
      <c r="W91" s="7"/>
      <c r="X91" s="7"/>
    </row>
    <row r="92" ht="15.75" customHeight="1">
      <c r="V92" s="7"/>
      <c r="W92" s="7"/>
      <c r="X92" s="7"/>
    </row>
    <row r="93" ht="15.75" customHeight="1">
      <c r="V93" s="7"/>
      <c r="W93" s="7"/>
      <c r="X93" s="7"/>
    </row>
    <row r="94" ht="15.75" customHeight="1">
      <c r="V94" s="7"/>
      <c r="W94" s="7"/>
      <c r="X94" s="7"/>
    </row>
    <row r="95" ht="15.75" customHeight="1">
      <c r="V95" s="7"/>
      <c r="W95" s="7"/>
      <c r="X95" s="7"/>
    </row>
    <row r="96" ht="15.75" customHeight="1">
      <c r="V96" s="7"/>
      <c r="W96" s="7"/>
      <c r="X96" s="7"/>
    </row>
    <row r="97" ht="15.75" customHeight="1">
      <c r="V97" s="7"/>
      <c r="W97" s="7"/>
      <c r="X97" s="7"/>
    </row>
    <row r="98" ht="15.75" customHeight="1">
      <c r="V98" s="7"/>
      <c r="W98" s="7"/>
      <c r="X98" s="7"/>
    </row>
    <row r="99" ht="15.75" customHeight="1">
      <c r="V99" s="7"/>
      <c r="W99" s="7"/>
      <c r="X99" s="7"/>
    </row>
    <row r="100" ht="15.75" customHeight="1">
      <c r="V100" s="7"/>
      <c r="W100" s="7"/>
      <c r="X100" s="7"/>
    </row>
    <row r="101" ht="15.75" customHeight="1">
      <c r="V101" s="7"/>
      <c r="W101" s="7"/>
      <c r="X101" s="7"/>
    </row>
    <row r="102" ht="15.75" customHeight="1">
      <c r="V102" s="7"/>
      <c r="W102" s="7"/>
      <c r="X102" s="7"/>
    </row>
    <row r="103" ht="15.75" customHeight="1">
      <c r="V103" s="7"/>
      <c r="W103" s="7"/>
      <c r="X103" s="7"/>
    </row>
    <row r="104" ht="15.75" customHeight="1">
      <c r="V104" s="7"/>
      <c r="W104" s="7"/>
      <c r="X104" s="7"/>
    </row>
    <row r="105" ht="15.75" customHeight="1">
      <c r="V105" s="7"/>
      <c r="W105" s="7"/>
      <c r="X105" s="7"/>
    </row>
    <row r="106" ht="15.75" customHeight="1">
      <c r="V106" s="7"/>
      <c r="W106" s="7"/>
      <c r="X106" s="7"/>
    </row>
    <row r="107" ht="15.75" customHeight="1">
      <c r="V107" s="7"/>
      <c r="W107" s="7"/>
      <c r="X107" s="7"/>
    </row>
    <row r="108" ht="15.75" customHeight="1">
      <c r="V108" s="7"/>
      <c r="W108" s="7"/>
      <c r="X108" s="7"/>
    </row>
    <row r="109" ht="15.75" customHeight="1">
      <c r="V109" s="7"/>
      <c r="W109" s="7"/>
      <c r="X109" s="7"/>
    </row>
    <row r="110" ht="15.75" customHeight="1">
      <c r="V110" s="7"/>
      <c r="W110" s="7"/>
      <c r="X110" s="7"/>
    </row>
    <row r="111" ht="15.75" customHeight="1">
      <c r="V111" s="7"/>
      <c r="W111" s="7"/>
      <c r="X111" s="7"/>
    </row>
    <row r="112" ht="15.75" customHeight="1">
      <c r="V112" s="7"/>
      <c r="W112" s="7"/>
      <c r="X112" s="7"/>
    </row>
    <row r="113" ht="15.75" customHeight="1">
      <c r="V113" s="7"/>
      <c r="W113" s="7"/>
      <c r="X113" s="7"/>
    </row>
    <row r="114" ht="15.75" customHeight="1">
      <c r="V114" s="7"/>
      <c r="W114" s="7"/>
      <c r="X114" s="7"/>
    </row>
    <row r="115" ht="15.75" customHeight="1">
      <c r="V115" s="7"/>
      <c r="W115" s="7"/>
      <c r="X115" s="7"/>
    </row>
    <row r="116" ht="15.75" customHeight="1">
      <c r="V116" s="7"/>
      <c r="W116" s="7"/>
      <c r="X116" s="7"/>
    </row>
    <row r="117" ht="15.75" customHeight="1">
      <c r="V117" s="7"/>
      <c r="W117" s="7"/>
      <c r="X117" s="7"/>
    </row>
    <row r="118" ht="15.75" customHeight="1">
      <c r="V118" s="7"/>
      <c r="W118" s="7"/>
      <c r="X118" s="7"/>
    </row>
    <row r="119" ht="15.75" customHeight="1">
      <c r="V119" s="7"/>
      <c r="W119" s="7"/>
      <c r="X119" s="7"/>
    </row>
    <row r="120" ht="15.75" customHeight="1">
      <c r="V120" s="7"/>
      <c r="W120" s="7"/>
      <c r="X120" s="7"/>
    </row>
    <row r="121" ht="15.75" customHeight="1">
      <c r="V121" s="7"/>
      <c r="W121" s="7"/>
      <c r="X121" s="7"/>
    </row>
    <row r="122" ht="15.75" customHeight="1">
      <c r="V122" s="7"/>
      <c r="W122" s="7"/>
      <c r="X122" s="7"/>
    </row>
    <row r="123" ht="15.75" customHeight="1">
      <c r="V123" s="7"/>
      <c r="W123" s="7"/>
      <c r="X123" s="7"/>
    </row>
    <row r="124" ht="15.75" customHeight="1">
      <c r="V124" s="7"/>
      <c r="W124" s="7"/>
      <c r="X124" s="7"/>
    </row>
    <row r="125" ht="15.75" customHeight="1">
      <c r="V125" s="7"/>
      <c r="W125" s="7"/>
      <c r="X125" s="7"/>
    </row>
    <row r="126" ht="15.75" customHeight="1">
      <c r="V126" s="7"/>
      <c r="W126" s="7"/>
      <c r="X126" s="7"/>
    </row>
    <row r="127" ht="15.75" customHeight="1">
      <c r="V127" s="7"/>
      <c r="W127" s="7"/>
      <c r="X127" s="7"/>
    </row>
    <row r="128" ht="15.75" customHeight="1">
      <c r="V128" s="7"/>
      <c r="W128" s="7"/>
      <c r="X128" s="7"/>
    </row>
    <row r="129" ht="15.75" customHeight="1">
      <c r="V129" s="7"/>
      <c r="W129" s="7"/>
      <c r="X129" s="7"/>
    </row>
    <row r="130" ht="15.75" customHeight="1">
      <c r="V130" s="7"/>
      <c r="W130" s="7"/>
      <c r="X130" s="7"/>
    </row>
    <row r="131" ht="15.75" customHeight="1">
      <c r="V131" s="7"/>
      <c r="W131" s="7"/>
      <c r="X131" s="7"/>
    </row>
    <row r="132" ht="15.75" customHeight="1">
      <c r="V132" s="7"/>
      <c r="W132" s="7"/>
      <c r="X132" s="7"/>
    </row>
    <row r="133" ht="15.75" customHeight="1">
      <c r="V133" s="7"/>
      <c r="W133" s="7"/>
      <c r="X133" s="7"/>
    </row>
    <row r="134" ht="15.75" customHeight="1">
      <c r="V134" s="7"/>
      <c r="W134" s="7"/>
      <c r="X134" s="7"/>
    </row>
    <row r="135" ht="15.75" customHeight="1">
      <c r="V135" s="7"/>
      <c r="W135" s="7"/>
      <c r="X135" s="7"/>
    </row>
    <row r="136" ht="15.75" customHeight="1">
      <c r="V136" s="7"/>
      <c r="W136" s="7"/>
      <c r="X136" s="7"/>
    </row>
    <row r="137" ht="15.75" customHeight="1">
      <c r="V137" s="7"/>
      <c r="W137" s="7"/>
      <c r="X137" s="7"/>
    </row>
    <row r="138" ht="15.75" customHeight="1">
      <c r="V138" s="7"/>
      <c r="W138" s="7"/>
      <c r="X138" s="7"/>
    </row>
    <row r="139" ht="15.75" customHeight="1">
      <c r="V139" s="7"/>
      <c r="W139" s="7"/>
      <c r="X139" s="7"/>
    </row>
    <row r="140" ht="15.75" customHeight="1">
      <c r="V140" s="7"/>
      <c r="W140" s="7"/>
      <c r="X140" s="7"/>
    </row>
    <row r="141" ht="15.75" customHeight="1">
      <c r="V141" s="7"/>
      <c r="W141" s="7"/>
      <c r="X141" s="7"/>
    </row>
    <row r="142" ht="15.75" customHeight="1">
      <c r="V142" s="7"/>
      <c r="W142" s="7"/>
      <c r="X142" s="7"/>
    </row>
    <row r="143" ht="15.75" customHeight="1">
      <c r="V143" s="7"/>
      <c r="W143" s="7"/>
      <c r="X143" s="7"/>
    </row>
    <row r="144" ht="15.75" customHeight="1">
      <c r="V144" s="7"/>
      <c r="W144" s="7"/>
      <c r="X144" s="7"/>
    </row>
    <row r="145" ht="15.75" customHeight="1">
      <c r="V145" s="7"/>
      <c r="W145" s="7"/>
      <c r="X145" s="7"/>
    </row>
    <row r="146" ht="15.75" customHeight="1">
      <c r="V146" s="7"/>
      <c r="W146" s="7"/>
      <c r="X146" s="7"/>
    </row>
    <row r="147" ht="15.75" customHeight="1">
      <c r="V147" s="7"/>
      <c r="W147" s="7"/>
      <c r="X147" s="7"/>
    </row>
    <row r="148" ht="15.75" customHeight="1">
      <c r="V148" s="7"/>
      <c r="W148" s="7"/>
      <c r="X148" s="7"/>
    </row>
    <row r="149" ht="15.75" customHeight="1">
      <c r="V149" s="7"/>
      <c r="W149" s="7"/>
      <c r="X149" s="7"/>
    </row>
    <row r="150" ht="15.75" customHeight="1">
      <c r="V150" s="7"/>
      <c r="W150" s="7"/>
      <c r="X150" s="7"/>
    </row>
    <row r="151" ht="15.75" customHeight="1">
      <c r="V151" s="7"/>
      <c r="W151" s="7"/>
      <c r="X151" s="7"/>
    </row>
    <row r="152" ht="15.75" customHeight="1">
      <c r="V152" s="7"/>
      <c r="W152" s="7"/>
      <c r="X152" s="7"/>
    </row>
    <row r="153" ht="15.75" customHeight="1">
      <c r="V153" s="7"/>
      <c r="W153" s="7"/>
      <c r="X153" s="7"/>
    </row>
    <row r="154" ht="15.75" customHeight="1">
      <c r="V154" s="7"/>
      <c r="W154" s="7"/>
      <c r="X154" s="7"/>
    </row>
    <row r="155" ht="15.75" customHeight="1">
      <c r="V155" s="7"/>
      <c r="W155" s="7"/>
      <c r="X155" s="7"/>
    </row>
    <row r="156" ht="15.75" customHeight="1">
      <c r="V156" s="7"/>
      <c r="W156" s="7"/>
      <c r="X156" s="7"/>
    </row>
    <row r="157" ht="15.75" customHeight="1">
      <c r="V157" s="7"/>
      <c r="W157" s="7"/>
      <c r="X157" s="7"/>
    </row>
    <row r="158" ht="15.75" customHeight="1">
      <c r="V158" s="7"/>
      <c r="W158" s="7"/>
      <c r="X158" s="7"/>
    </row>
    <row r="159" ht="15.75" customHeight="1">
      <c r="V159" s="7"/>
      <c r="W159" s="7"/>
      <c r="X159" s="7"/>
    </row>
    <row r="160" ht="15.75" customHeight="1">
      <c r="V160" s="7"/>
      <c r="W160" s="7"/>
      <c r="X160" s="7"/>
    </row>
    <row r="161" ht="15.75" customHeight="1">
      <c r="V161" s="7"/>
      <c r="W161" s="7"/>
      <c r="X161" s="7"/>
    </row>
    <row r="162" ht="15.75" customHeight="1">
      <c r="V162" s="7"/>
      <c r="W162" s="7"/>
      <c r="X162" s="7"/>
    </row>
    <row r="163" ht="15.75" customHeight="1">
      <c r="V163" s="7"/>
      <c r="W163" s="7"/>
      <c r="X163" s="7"/>
    </row>
    <row r="164" ht="15.75" customHeight="1">
      <c r="V164" s="7"/>
      <c r="W164" s="7"/>
      <c r="X164" s="7"/>
    </row>
    <row r="165" ht="15.75" customHeight="1">
      <c r="V165" s="7"/>
      <c r="W165" s="7"/>
      <c r="X165" s="7"/>
    </row>
    <row r="166" ht="15.75" customHeight="1">
      <c r="V166" s="7"/>
      <c r="W166" s="7"/>
      <c r="X166" s="7"/>
    </row>
    <row r="167" ht="15.75" customHeight="1">
      <c r="V167" s="7"/>
      <c r="W167" s="7"/>
      <c r="X167" s="7"/>
    </row>
    <row r="168" ht="15.75" customHeight="1">
      <c r="V168" s="7"/>
      <c r="W168" s="7"/>
      <c r="X168" s="7"/>
    </row>
    <row r="169" ht="15.75" customHeight="1">
      <c r="V169" s="7"/>
      <c r="W169" s="7"/>
      <c r="X169" s="7"/>
    </row>
    <row r="170" ht="15.75" customHeight="1">
      <c r="V170" s="7"/>
      <c r="W170" s="7"/>
      <c r="X170" s="7"/>
    </row>
    <row r="171" ht="15.75" customHeight="1">
      <c r="V171" s="7"/>
      <c r="W171" s="7"/>
      <c r="X171" s="7"/>
    </row>
    <row r="172" ht="15.75" customHeight="1">
      <c r="V172" s="7"/>
      <c r="W172" s="7"/>
      <c r="X172" s="7"/>
    </row>
    <row r="173" ht="15.75" customHeight="1">
      <c r="V173" s="7"/>
      <c r="W173" s="7"/>
      <c r="X173" s="7"/>
    </row>
    <row r="174" ht="15.75" customHeight="1">
      <c r="V174" s="7"/>
      <c r="W174" s="7"/>
      <c r="X174" s="7"/>
    </row>
    <row r="175" ht="15.75" customHeight="1">
      <c r="V175" s="7"/>
      <c r="W175" s="7"/>
      <c r="X175" s="7"/>
    </row>
    <row r="176" ht="15.75" customHeight="1">
      <c r="V176" s="7"/>
      <c r="W176" s="7"/>
      <c r="X176" s="7"/>
    </row>
    <row r="177" ht="15.75" customHeight="1">
      <c r="V177" s="7"/>
      <c r="W177" s="7"/>
      <c r="X177" s="7"/>
    </row>
    <row r="178" ht="15.75" customHeight="1">
      <c r="V178" s="7"/>
      <c r="W178" s="7"/>
      <c r="X178" s="7"/>
    </row>
    <row r="179" ht="15.75" customHeight="1">
      <c r="V179" s="7"/>
      <c r="W179" s="7"/>
      <c r="X179" s="7"/>
    </row>
    <row r="180" ht="15.75" customHeight="1">
      <c r="V180" s="7"/>
      <c r="W180" s="7"/>
      <c r="X180" s="7"/>
    </row>
    <row r="181" ht="15.75" customHeight="1">
      <c r="V181" s="7"/>
      <c r="W181" s="7"/>
      <c r="X181" s="7"/>
    </row>
    <row r="182" ht="15.75" customHeight="1">
      <c r="V182" s="7"/>
      <c r="W182" s="7"/>
      <c r="X182" s="7"/>
    </row>
    <row r="183" ht="15.75" customHeight="1">
      <c r="V183" s="7"/>
      <c r="W183" s="7"/>
      <c r="X183" s="7"/>
    </row>
    <row r="184" ht="15.75" customHeight="1">
      <c r="V184" s="7"/>
      <c r="W184" s="7"/>
      <c r="X184" s="7"/>
    </row>
    <row r="185" ht="15.75" customHeight="1">
      <c r="V185" s="7"/>
      <c r="W185" s="7"/>
      <c r="X185" s="7"/>
    </row>
    <row r="186" ht="15.75" customHeight="1">
      <c r="V186" s="7"/>
      <c r="W186" s="7"/>
      <c r="X186" s="7"/>
    </row>
    <row r="187" ht="15.75" customHeight="1">
      <c r="V187" s="7"/>
      <c r="W187" s="7"/>
      <c r="X187" s="7"/>
    </row>
    <row r="188" ht="15.75" customHeight="1">
      <c r="V188" s="7"/>
      <c r="W188" s="7"/>
      <c r="X188" s="7"/>
    </row>
    <row r="189" ht="15.75" customHeight="1">
      <c r="V189" s="7"/>
      <c r="W189" s="7"/>
      <c r="X189" s="7"/>
    </row>
    <row r="190" ht="15.75" customHeight="1">
      <c r="V190" s="7"/>
      <c r="W190" s="7"/>
      <c r="X190" s="7"/>
    </row>
    <row r="191" ht="15.75" customHeight="1">
      <c r="V191" s="7"/>
      <c r="W191" s="7"/>
      <c r="X191" s="7"/>
    </row>
    <row r="192" ht="15.75" customHeight="1">
      <c r="V192" s="7"/>
      <c r="W192" s="7"/>
      <c r="X192" s="7"/>
    </row>
    <row r="193" ht="15.75" customHeight="1">
      <c r="V193" s="7"/>
      <c r="W193" s="7"/>
      <c r="X193" s="7"/>
    </row>
    <row r="194" ht="15.75" customHeight="1">
      <c r="V194" s="7"/>
      <c r="W194" s="7"/>
      <c r="X194" s="7"/>
    </row>
    <row r="195" ht="15.75" customHeight="1">
      <c r="V195" s="7"/>
      <c r="W195" s="7"/>
      <c r="X195" s="7"/>
    </row>
    <row r="196" ht="15.75" customHeight="1">
      <c r="V196" s="7"/>
      <c r="W196" s="7"/>
      <c r="X196" s="7"/>
    </row>
    <row r="197" ht="15.75" customHeight="1">
      <c r="V197" s="7"/>
      <c r="W197" s="7"/>
      <c r="X197" s="7"/>
    </row>
    <row r="198" ht="15.75" customHeight="1">
      <c r="V198" s="7"/>
      <c r="W198" s="7"/>
      <c r="X198" s="7"/>
    </row>
    <row r="199" ht="15.75" customHeight="1">
      <c r="V199" s="7"/>
      <c r="W199" s="7"/>
      <c r="X199" s="7"/>
    </row>
    <row r="200" ht="15.75" customHeight="1">
      <c r="V200" s="7"/>
      <c r="W200" s="7"/>
      <c r="X200" s="7"/>
    </row>
    <row r="201" ht="15.75" customHeight="1">
      <c r="V201" s="7"/>
      <c r="W201" s="7"/>
      <c r="X201" s="7"/>
    </row>
    <row r="202" ht="15.75" customHeight="1">
      <c r="V202" s="7"/>
      <c r="W202" s="7"/>
      <c r="X202" s="7"/>
    </row>
    <row r="203" ht="15.75" customHeight="1">
      <c r="V203" s="7"/>
      <c r="W203" s="7"/>
      <c r="X203" s="7"/>
    </row>
    <row r="204" ht="15.75" customHeight="1">
      <c r="V204" s="7"/>
      <c r="W204" s="7"/>
      <c r="X204" s="7"/>
    </row>
    <row r="205" ht="15.75" customHeight="1">
      <c r="V205" s="7"/>
      <c r="W205" s="7"/>
      <c r="X205" s="7"/>
    </row>
    <row r="206" ht="15.75" customHeight="1">
      <c r="V206" s="7"/>
      <c r="W206" s="7"/>
      <c r="X206" s="7"/>
    </row>
    <row r="207" ht="15.75" customHeight="1">
      <c r="V207" s="7"/>
      <c r="W207" s="7"/>
      <c r="X207" s="7"/>
    </row>
    <row r="208" ht="15.75" customHeight="1">
      <c r="V208" s="7"/>
      <c r="W208" s="7"/>
      <c r="X208" s="7"/>
    </row>
    <row r="209" ht="15.75" customHeight="1">
      <c r="V209" s="7"/>
      <c r="W209" s="7"/>
      <c r="X209" s="7"/>
    </row>
    <row r="210" ht="15.75" customHeight="1">
      <c r="V210" s="7"/>
      <c r="W210" s="7"/>
      <c r="X210" s="7"/>
    </row>
    <row r="211" ht="15.75" customHeight="1">
      <c r="V211" s="7"/>
      <c r="W211" s="7"/>
      <c r="X211" s="7"/>
    </row>
    <row r="212" ht="15.75" customHeight="1">
      <c r="V212" s="7"/>
      <c r="W212" s="7"/>
      <c r="X212" s="7"/>
    </row>
    <row r="213" ht="15.75" customHeight="1">
      <c r="V213" s="7"/>
      <c r="W213" s="7"/>
      <c r="X213" s="7"/>
    </row>
    <row r="214" ht="15.75" customHeight="1">
      <c r="V214" s="7"/>
      <c r="W214" s="7"/>
      <c r="X214" s="7"/>
    </row>
    <row r="215" ht="15.75" customHeight="1">
      <c r="V215" s="7"/>
      <c r="W215" s="7"/>
      <c r="X215" s="7"/>
    </row>
    <row r="216" ht="15.75" customHeight="1">
      <c r="V216" s="7"/>
      <c r="W216" s="7"/>
      <c r="X216" s="7"/>
    </row>
    <row r="217" ht="15.75" customHeight="1">
      <c r="V217" s="7"/>
      <c r="W217" s="7"/>
      <c r="X217" s="7"/>
    </row>
    <row r="218" ht="15.75" customHeight="1">
      <c r="V218" s="7"/>
      <c r="W218" s="7"/>
      <c r="X218" s="7"/>
    </row>
    <row r="219" ht="15.75" customHeight="1">
      <c r="V219" s="7"/>
      <c r="W219" s="7"/>
      <c r="X219" s="7"/>
    </row>
    <row r="220" ht="15.75" customHeight="1">
      <c r="V220" s="7"/>
      <c r="W220" s="7"/>
      <c r="X220" s="7"/>
    </row>
    <row r="221" ht="15.75" customHeight="1">
      <c r="V221" s="7"/>
      <c r="W221" s="7"/>
      <c r="X221" s="7"/>
    </row>
    <row r="222" ht="15.75" customHeight="1">
      <c r="V222" s="7"/>
      <c r="W222" s="7"/>
      <c r="X222" s="7"/>
    </row>
    <row r="223" ht="15.75" customHeight="1">
      <c r="V223" s="7"/>
      <c r="W223" s="7"/>
      <c r="X223" s="7"/>
    </row>
    <row r="224" ht="15.75" customHeight="1">
      <c r="V224" s="7"/>
      <c r="W224" s="7"/>
      <c r="X224" s="7"/>
    </row>
    <row r="225" ht="15.75" customHeight="1">
      <c r="V225" s="7"/>
      <c r="W225" s="7"/>
      <c r="X225" s="7"/>
    </row>
    <row r="226" ht="15.75" customHeight="1">
      <c r="V226" s="7"/>
      <c r="W226" s="7"/>
      <c r="X226" s="7"/>
    </row>
    <row r="227" ht="15.75" customHeight="1">
      <c r="V227" s="7"/>
      <c r="W227" s="7"/>
      <c r="X227" s="7"/>
    </row>
    <row r="228" ht="15.75" customHeight="1">
      <c r="V228" s="7"/>
      <c r="W228" s="7"/>
      <c r="X228" s="7"/>
    </row>
    <row r="229" ht="15.75" customHeight="1">
      <c r="V229" s="7"/>
      <c r="W229" s="7"/>
      <c r="X229" s="7"/>
    </row>
    <row r="230" ht="15.75" customHeight="1">
      <c r="V230" s="7"/>
      <c r="W230" s="7"/>
      <c r="X230" s="7"/>
    </row>
    <row r="231" ht="15.75" customHeight="1">
      <c r="V231" s="7"/>
      <c r="W231" s="7"/>
      <c r="X231" s="7"/>
    </row>
    <row r="232" ht="15.75" customHeight="1">
      <c r="V232" s="7"/>
      <c r="W232" s="7"/>
      <c r="X232" s="7"/>
    </row>
    <row r="233" ht="15.75" customHeight="1">
      <c r="V233" s="7"/>
      <c r="W233" s="7"/>
      <c r="X233" s="7"/>
    </row>
    <row r="234" ht="15.75" customHeight="1">
      <c r="V234" s="7"/>
      <c r="W234" s="7"/>
      <c r="X234" s="7"/>
    </row>
    <row r="235" ht="15.75" customHeight="1">
      <c r="V235" s="7"/>
      <c r="W235" s="7"/>
      <c r="X235" s="7"/>
    </row>
    <row r="236" ht="15.75" customHeight="1">
      <c r="V236" s="7"/>
      <c r="W236" s="7"/>
      <c r="X236" s="7"/>
    </row>
    <row r="237" ht="15.75" customHeight="1">
      <c r="V237" s="7"/>
      <c r="W237" s="7"/>
      <c r="X237" s="7"/>
    </row>
    <row r="238" ht="15.75" customHeight="1">
      <c r="V238" s="7"/>
      <c r="W238" s="7"/>
      <c r="X238" s="7"/>
    </row>
    <row r="239" ht="15.75" customHeight="1">
      <c r="V239" s="7"/>
      <c r="W239" s="7"/>
      <c r="X239" s="7"/>
    </row>
    <row r="240" ht="15.75" customHeight="1">
      <c r="V240" s="7"/>
      <c r="W240" s="7"/>
      <c r="X240" s="7"/>
    </row>
    <row r="241" ht="15.75" customHeight="1">
      <c r="V241" s="7"/>
      <c r="W241" s="7"/>
      <c r="X241" s="7"/>
    </row>
    <row r="242" ht="15.75" customHeight="1">
      <c r="V242" s="7"/>
      <c r="W242" s="7"/>
      <c r="X242" s="7"/>
    </row>
    <row r="243" ht="15.75" customHeight="1">
      <c r="V243" s="7"/>
      <c r="W243" s="7"/>
      <c r="X243" s="7"/>
    </row>
    <row r="244" ht="15.75" customHeight="1">
      <c r="V244" s="7"/>
      <c r="W244" s="7"/>
      <c r="X244" s="7"/>
    </row>
    <row r="245" ht="15.75" customHeight="1">
      <c r="V245" s="7"/>
      <c r="W245" s="7"/>
      <c r="X245" s="7"/>
    </row>
    <row r="246" ht="15.75" customHeight="1">
      <c r="V246" s="7"/>
      <c r="W246" s="7"/>
      <c r="X246" s="7"/>
    </row>
    <row r="247" ht="15.75" customHeight="1">
      <c r="V247" s="7"/>
      <c r="W247" s="7"/>
      <c r="X247" s="7"/>
    </row>
    <row r="248" ht="15.75" customHeight="1">
      <c r="V248" s="7"/>
      <c r="W248" s="7"/>
      <c r="X248" s="7"/>
    </row>
    <row r="249" ht="15.75" customHeight="1">
      <c r="V249" s="7"/>
      <c r="W249" s="7"/>
      <c r="X249" s="7"/>
    </row>
    <row r="250" ht="15.75" customHeight="1">
      <c r="V250" s="7"/>
      <c r="W250" s="7"/>
      <c r="X250" s="7"/>
    </row>
    <row r="251" ht="15.75" customHeight="1">
      <c r="V251" s="7"/>
      <c r="W251" s="7"/>
      <c r="X251" s="7"/>
    </row>
    <row r="252" ht="15.75" customHeight="1">
      <c r="V252" s="7"/>
      <c r="W252" s="7"/>
      <c r="X252" s="7"/>
    </row>
    <row r="253" ht="15.75" customHeight="1">
      <c r="V253" s="7"/>
      <c r="W253" s="7"/>
      <c r="X253" s="7"/>
    </row>
    <row r="254" ht="15.75" customHeight="1">
      <c r="V254" s="7"/>
      <c r="W254" s="7"/>
      <c r="X254" s="7"/>
    </row>
    <row r="255" ht="15.75" customHeight="1">
      <c r="V255" s="7"/>
      <c r="W255" s="7"/>
      <c r="X255" s="7"/>
    </row>
    <row r="256" ht="15.75" customHeight="1">
      <c r="V256" s="7"/>
      <c r="W256" s="7"/>
      <c r="X256" s="7"/>
    </row>
    <row r="257" ht="15.75" customHeight="1">
      <c r="V257" s="7"/>
      <c r="W257" s="7"/>
      <c r="X257" s="7"/>
    </row>
    <row r="258" ht="15.75" customHeight="1">
      <c r="V258" s="7"/>
      <c r="W258" s="7"/>
      <c r="X258" s="7"/>
    </row>
    <row r="259" ht="15.75" customHeight="1">
      <c r="V259" s="7"/>
      <c r="W259" s="7"/>
      <c r="X259" s="7"/>
    </row>
    <row r="260" ht="15.75" customHeight="1">
      <c r="V260" s="7"/>
      <c r="W260" s="7"/>
      <c r="X260" s="7"/>
    </row>
    <row r="261" ht="15.75" customHeight="1">
      <c r="V261" s="7"/>
      <c r="W261" s="7"/>
      <c r="X261" s="7"/>
    </row>
    <row r="262" ht="15.75" customHeight="1">
      <c r="V262" s="7"/>
      <c r="W262" s="7"/>
      <c r="X262" s="7"/>
    </row>
    <row r="263" ht="15.75" customHeight="1">
      <c r="V263" s="7"/>
      <c r="W263" s="7"/>
      <c r="X263" s="7"/>
    </row>
    <row r="264" ht="15.75" customHeight="1">
      <c r="V264" s="7"/>
      <c r="W264" s="7"/>
      <c r="X264" s="7"/>
    </row>
    <row r="265" ht="15.75" customHeight="1">
      <c r="V265" s="7"/>
      <c r="W265" s="7"/>
      <c r="X265" s="7"/>
    </row>
    <row r="266" ht="15.75" customHeight="1">
      <c r="V266" s="7"/>
      <c r="W266" s="7"/>
      <c r="X266" s="7"/>
    </row>
    <row r="267" ht="15.75" customHeight="1">
      <c r="V267" s="7"/>
      <c r="W267" s="7"/>
      <c r="X267" s="7"/>
    </row>
    <row r="268" ht="15.75" customHeight="1">
      <c r="V268" s="7"/>
      <c r="W268" s="7"/>
      <c r="X268" s="7"/>
    </row>
    <row r="269" ht="15.75" customHeight="1">
      <c r="V269" s="7"/>
      <c r="W269" s="7"/>
      <c r="X269" s="7"/>
    </row>
    <row r="270" ht="15.75" customHeight="1">
      <c r="V270" s="7"/>
      <c r="W270" s="7"/>
      <c r="X270" s="7"/>
    </row>
    <row r="271" ht="15.75" customHeight="1">
      <c r="V271" s="7"/>
      <c r="W271" s="7"/>
      <c r="X271" s="7"/>
    </row>
    <row r="272" ht="15.75" customHeight="1">
      <c r="V272" s="7"/>
      <c r="W272" s="7"/>
      <c r="X272" s="7"/>
    </row>
    <row r="273" ht="15.75" customHeight="1">
      <c r="V273" s="7"/>
      <c r="W273" s="7"/>
      <c r="X273" s="7"/>
    </row>
    <row r="274" ht="15.75" customHeight="1">
      <c r="V274" s="7"/>
      <c r="W274" s="7"/>
      <c r="X274" s="7"/>
    </row>
    <row r="275" ht="15.75" customHeight="1">
      <c r="V275" s="7"/>
      <c r="W275" s="7"/>
      <c r="X275" s="7"/>
    </row>
    <row r="276" ht="15.75" customHeight="1">
      <c r="V276" s="7"/>
      <c r="W276" s="7"/>
      <c r="X276" s="7"/>
    </row>
    <row r="277" ht="15.75" customHeight="1">
      <c r="V277" s="7"/>
      <c r="W277" s="7"/>
      <c r="X277" s="7"/>
    </row>
    <row r="278" ht="15.75" customHeight="1">
      <c r="V278" s="7"/>
      <c r="W278" s="7"/>
      <c r="X278" s="7"/>
    </row>
    <row r="279" ht="15.75" customHeight="1">
      <c r="V279" s="7"/>
      <c r="W279" s="7"/>
      <c r="X279" s="7"/>
    </row>
    <row r="280" ht="15.75" customHeight="1">
      <c r="V280" s="7"/>
      <c r="W280" s="7"/>
      <c r="X280" s="7"/>
    </row>
    <row r="281" ht="15.75" customHeight="1">
      <c r="V281" s="7"/>
      <c r="W281" s="7"/>
      <c r="X281" s="7"/>
    </row>
    <row r="282" ht="15.75" customHeight="1">
      <c r="V282" s="7"/>
      <c r="W282" s="7"/>
      <c r="X282" s="7"/>
    </row>
    <row r="283" ht="15.75" customHeight="1">
      <c r="V283" s="7"/>
      <c r="W283" s="7"/>
      <c r="X283" s="7"/>
    </row>
    <row r="284" ht="15.75" customHeight="1">
      <c r="V284" s="7"/>
      <c r="W284" s="7"/>
      <c r="X284" s="7"/>
    </row>
    <row r="285" ht="15.75" customHeight="1">
      <c r="V285" s="7"/>
      <c r="W285" s="7"/>
      <c r="X285" s="7"/>
    </row>
    <row r="286" ht="15.75" customHeight="1">
      <c r="V286" s="7"/>
      <c r="W286" s="7"/>
      <c r="X286" s="7"/>
    </row>
    <row r="287" ht="15.75" customHeight="1">
      <c r="V287" s="7"/>
      <c r="W287" s="7"/>
      <c r="X287" s="7"/>
    </row>
    <row r="288" ht="15.75" customHeight="1">
      <c r="V288" s="7"/>
      <c r="W288" s="7"/>
      <c r="X288" s="7"/>
    </row>
    <row r="289" ht="15.75" customHeight="1">
      <c r="V289" s="7"/>
      <c r="W289" s="7"/>
      <c r="X289" s="7"/>
    </row>
    <row r="290" ht="15.75" customHeight="1">
      <c r="V290" s="7"/>
      <c r="W290" s="7"/>
      <c r="X290" s="7"/>
    </row>
    <row r="291" ht="15.75" customHeight="1">
      <c r="V291" s="7"/>
      <c r="W291" s="7"/>
      <c r="X291" s="7"/>
    </row>
    <row r="292" ht="15.75" customHeight="1">
      <c r="V292" s="7"/>
      <c r="W292" s="7"/>
      <c r="X292" s="7"/>
    </row>
    <row r="293" ht="15.75" customHeight="1">
      <c r="V293" s="7"/>
      <c r="W293" s="7"/>
      <c r="X293" s="7"/>
    </row>
    <row r="294" ht="15.75" customHeight="1">
      <c r="V294" s="7"/>
      <c r="W294" s="7"/>
      <c r="X294" s="7"/>
    </row>
    <row r="295" ht="15.75" customHeight="1">
      <c r="V295" s="7"/>
      <c r="W295" s="7"/>
      <c r="X295" s="7"/>
    </row>
    <row r="296" ht="15.75" customHeight="1">
      <c r="V296" s="7"/>
      <c r="W296" s="7"/>
      <c r="X296" s="7"/>
    </row>
    <row r="297" ht="15.75" customHeight="1">
      <c r="V297" s="7"/>
      <c r="W297" s="7"/>
      <c r="X297" s="7"/>
    </row>
    <row r="298" ht="15.75" customHeight="1">
      <c r="V298" s="7"/>
      <c r="W298" s="7"/>
      <c r="X298" s="7"/>
    </row>
    <row r="299" ht="15.75" customHeight="1">
      <c r="V299" s="7"/>
      <c r="W299" s="7"/>
      <c r="X299" s="7"/>
    </row>
    <row r="300" ht="15.75" customHeight="1">
      <c r="V300" s="7"/>
      <c r="W300" s="7"/>
      <c r="X300" s="7"/>
    </row>
    <row r="301" ht="15.75" customHeight="1">
      <c r="V301" s="7"/>
      <c r="W301" s="7"/>
      <c r="X301" s="7"/>
    </row>
    <row r="302" ht="15.75" customHeight="1">
      <c r="V302" s="7"/>
      <c r="W302" s="7"/>
      <c r="X302" s="7"/>
    </row>
    <row r="303" ht="15.75" customHeight="1">
      <c r="V303" s="7"/>
      <c r="W303" s="7"/>
      <c r="X303" s="7"/>
    </row>
    <row r="304" ht="15.75" customHeight="1">
      <c r="V304" s="7"/>
      <c r="W304" s="7"/>
      <c r="X304" s="7"/>
    </row>
    <row r="305" ht="15.75" customHeight="1">
      <c r="V305" s="7"/>
      <c r="W305" s="7"/>
      <c r="X305" s="7"/>
    </row>
    <row r="306" ht="15.75" customHeight="1">
      <c r="V306" s="7"/>
      <c r="W306" s="7"/>
      <c r="X306" s="7"/>
    </row>
    <row r="307" ht="15.75" customHeight="1">
      <c r="V307" s="7"/>
      <c r="W307" s="7"/>
      <c r="X307" s="7"/>
    </row>
    <row r="308" ht="15.75" customHeight="1">
      <c r="V308" s="7"/>
      <c r="W308" s="7"/>
      <c r="X308" s="7"/>
    </row>
    <row r="309" ht="15.75" customHeight="1">
      <c r="V309" s="7"/>
      <c r="W309" s="7"/>
      <c r="X309" s="7"/>
    </row>
    <row r="310" ht="15.75" customHeight="1">
      <c r="V310" s="7"/>
      <c r="W310" s="7"/>
      <c r="X310" s="7"/>
    </row>
    <row r="311" ht="15.75" customHeight="1">
      <c r="V311" s="7"/>
      <c r="W311" s="7"/>
      <c r="X311" s="7"/>
    </row>
    <row r="312" ht="15.75" customHeight="1">
      <c r="V312" s="7"/>
      <c r="W312" s="7"/>
      <c r="X312" s="7"/>
    </row>
    <row r="313" ht="15.75" customHeight="1">
      <c r="V313" s="7"/>
      <c r="W313" s="7"/>
      <c r="X313" s="7"/>
    </row>
    <row r="314" ht="15.75" customHeight="1">
      <c r="V314" s="7"/>
      <c r="W314" s="7"/>
      <c r="X314" s="7"/>
    </row>
    <row r="315" ht="15.75" customHeight="1">
      <c r="V315" s="7"/>
      <c r="W315" s="7"/>
      <c r="X315" s="7"/>
    </row>
    <row r="316" ht="15.75" customHeight="1">
      <c r="V316" s="7"/>
      <c r="W316" s="7"/>
      <c r="X316" s="7"/>
    </row>
    <row r="317" ht="15.75" customHeight="1">
      <c r="V317" s="7"/>
      <c r="W317" s="7"/>
      <c r="X317" s="7"/>
    </row>
    <row r="318" ht="15.75" customHeight="1">
      <c r="V318" s="7"/>
      <c r="W318" s="7"/>
      <c r="X318" s="7"/>
    </row>
    <row r="319" ht="15.75" customHeight="1">
      <c r="V319" s="7"/>
      <c r="W319" s="7"/>
      <c r="X319" s="7"/>
    </row>
    <row r="320" ht="15.75" customHeight="1">
      <c r="V320" s="7"/>
      <c r="W320" s="7"/>
      <c r="X320" s="7"/>
    </row>
    <row r="321" ht="15.75" customHeight="1">
      <c r="V321" s="7"/>
      <c r="W321" s="7"/>
      <c r="X321" s="7"/>
    </row>
    <row r="322" ht="15.75" customHeight="1">
      <c r="V322" s="7"/>
      <c r="W322" s="7"/>
      <c r="X322" s="7"/>
    </row>
    <row r="323" ht="15.75" customHeight="1">
      <c r="V323" s="7"/>
      <c r="W323" s="7"/>
      <c r="X323" s="7"/>
    </row>
    <row r="324" ht="15.75" customHeight="1">
      <c r="V324" s="7"/>
      <c r="W324" s="7"/>
      <c r="X324" s="7"/>
    </row>
    <row r="325" ht="15.75" customHeight="1">
      <c r="V325" s="7"/>
      <c r="W325" s="7"/>
      <c r="X325" s="7"/>
    </row>
    <row r="326" ht="15.75" customHeight="1">
      <c r="V326" s="7"/>
      <c r="W326" s="7"/>
      <c r="X326" s="7"/>
    </row>
    <row r="327" ht="15.75" customHeight="1">
      <c r="V327" s="7"/>
      <c r="W327" s="7"/>
      <c r="X327" s="7"/>
    </row>
    <row r="328" ht="15.75" customHeight="1">
      <c r="V328" s="7"/>
      <c r="W328" s="7"/>
      <c r="X328" s="7"/>
    </row>
    <row r="329" ht="15.75" customHeight="1">
      <c r="V329" s="7"/>
      <c r="W329" s="7"/>
      <c r="X329" s="7"/>
    </row>
    <row r="330" ht="15.75" customHeight="1">
      <c r="V330" s="7"/>
      <c r="W330" s="7"/>
      <c r="X330" s="7"/>
    </row>
    <row r="331" ht="15.75" customHeight="1">
      <c r="V331" s="7"/>
      <c r="W331" s="7"/>
      <c r="X331" s="7"/>
    </row>
    <row r="332" ht="15.75" customHeight="1">
      <c r="V332" s="7"/>
      <c r="W332" s="7"/>
      <c r="X332" s="7"/>
    </row>
    <row r="333" ht="15.75" customHeight="1">
      <c r="V333" s="7"/>
      <c r="W333" s="7"/>
      <c r="X333" s="7"/>
    </row>
    <row r="334" ht="15.75" customHeight="1">
      <c r="V334" s="7"/>
      <c r="W334" s="7"/>
      <c r="X334" s="7"/>
    </row>
    <row r="335" ht="15.75" customHeight="1">
      <c r="V335" s="7"/>
      <c r="W335" s="7"/>
      <c r="X335" s="7"/>
    </row>
    <row r="336" ht="15.75" customHeight="1">
      <c r="V336" s="7"/>
      <c r="W336" s="7"/>
      <c r="X336" s="7"/>
    </row>
    <row r="337" ht="15.75" customHeight="1">
      <c r="V337" s="7"/>
      <c r="W337" s="7"/>
      <c r="X337" s="7"/>
    </row>
    <row r="338" ht="15.75" customHeight="1">
      <c r="V338" s="7"/>
      <c r="W338" s="7"/>
      <c r="X338" s="7"/>
    </row>
    <row r="339" ht="15.75" customHeight="1">
      <c r="V339" s="7"/>
      <c r="W339" s="7"/>
      <c r="X339" s="7"/>
    </row>
    <row r="340" ht="15.75" customHeight="1">
      <c r="V340" s="7"/>
      <c r="W340" s="7"/>
      <c r="X340" s="7"/>
    </row>
    <row r="341" ht="15.75" customHeight="1">
      <c r="V341" s="7"/>
      <c r="W341" s="7"/>
      <c r="X341" s="7"/>
    </row>
    <row r="342" ht="15.75" customHeight="1">
      <c r="V342" s="7"/>
      <c r="W342" s="7"/>
      <c r="X342" s="7"/>
    </row>
    <row r="343" ht="15.75" customHeight="1">
      <c r="V343" s="7"/>
      <c r="W343" s="7"/>
      <c r="X343" s="7"/>
    </row>
    <row r="344" ht="15.75" customHeight="1">
      <c r="V344" s="7"/>
      <c r="W344" s="7"/>
      <c r="X344" s="7"/>
    </row>
    <row r="345" ht="15.75" customHeight="1">
      <c r="V345" s="7"/>
      <c r="W345" s="7"/>
      <c r="X345" s="7"/>
    </row>
    <row r="346" ht="15.75" customHeight="1">
      <c r="V346" s="7"/>
      <c r="W346" s="7"/>
      <c r="X346" s="7"/>
    </row>
    <row r="347" ht="15.75" customHeight="1">
      <c r="V347" s="7"/>
      <c r="W347" s="7"/>
      <c r="X347" s="7"/>
    </row>
    <row r="348" ht="15.75" customHeight="1">
      <c r="V348" s="7"/>
      <c r="W348" s="7"/>
      <c r="X348" s="7"/>
    </row>
    <row r="349" ht="15.75" customHeight="1">
      <c r="V349" s="7"/>
      <c r="W349" s="7"/>
      <c r="X349" s="7"/>
    </row>
    <row r="350" ht="15.75" customHeight="1">
      <c r="V350" s="7"/>
      <c r="W350" s="7"/>
      <c r="X350" s="7"/>
    </row>
    <row r="351" ht="15.75" customHeight="1">
      <c r="V351" s="7"/>
      <c r="W351" s="7"/>
      <c r="X351" s="7"/>
    </row>
    <row r="352" ht="15.75" customHeight="1">
      <c r="V352" s="7"/>
      <c r="W352" s="7"/>
      <c r="X352" s="7"/>
    </row>
    <row r="353" ht="15.75" customHeight="1">
      <c r="V353" s="7"/>
      <c r="W353" s="7"/>
      <c r="X353" s="7"/>
    </row>
    <row r="354" ht="15.75" customHeight="1">
      <c r="V354" s="7"/>
      <c r="W354" s="7"/>
      <c r="X354" s="7"/>
    </row>
    <row r="355" ht="15.75" customHeight="1">
      <c r="V355" s="7"/>
      <c r="W355" s="7"/>
      <c r="X355" s="7"/>
    </row>
    <row r="356" ht="15.75" customHeight="1">
      <c r="V356" s="7"/>
      <c r="W356" s="7"/>
      <c r="X356" s="7"/>
    </row>
    <row r="357" ht="15.75" customHeight="1">
      <c r="V357" s="7"/>
      <c r="W357" s="7"/>
      <c r="X357" s="7"/>
    </row>
    <row r="358" ht="15.75" customHeight="1">
      <c r="V358" s="7"/>
      <c r="W358" s="7"/>
      <c r="X358" s="7"/>
    </row>
    <row r="359" ht="15.75" customHeight="1">
      <c r="V359" s="7"/>
      <c r="W359" s="7"/>
      <c r="X359" s="7"/>
    </row>
    <row r="360" ht="15.75" customHeight="1">
      <c r="V360" s="7"/>
      <c r="W360" s="7"/>
      <c r="X360" s="7"/>
    </row>
    <row r="361" ht="15.75" customHeight="1">
      <c r="V361" s="7"/>
      <c r="W361" s="7"/>
      <c r="X361" s="7"/>
    </row>
    <row r="362" ht="15.75" customHeight="1">
      <c r="V362" s="7"/>
      <c r="W362" s="7"/>
      <c r="X362" s="7"/>
    </row>
    <row r="363" ht="15.75" customHeight="1">
      <c r="V363" s="7"/>
      <c r="W363" s="7"/>
      <c r="X363" s="7"/>
    </row>
    <row r="364" ht="15.75" customHeight="1">
      <c r="V364" s="7"/>
      <c r="W364" s="7"/>
      <c r="X364" s="7"/>
    </row>
    <row r="365" ht="15.75" customHeight="1">
      <c r="V365" s="7"/>
      <c r="W365" s="7"/>
      <c r="X365" s="7"/>
    </row>
    <row r="366" ht="15.75" customHeight="1">
      <c r="V366" s="7"/>
      <c r="W366" s="7"/>
      <c r="X366" s="7"/>
    </row>
    <row r="367" ht="15.75" customHeight="1">
      <c r="V367" s="7"/>
      <c r="W367" s="7"/>
      <c r="X367" s="7"/>
    </row>
    <row r="368" ht="15.75" customHeight="1">
      <c r="V368" s="7"/>
      <c r="W368" s="7"/>
      <c r="X368" s="7"/>
    </row>
    <row r="369" ht="15.75" customHeight="1">
      <c r="V369" s="7"/>
      <c r="W369" s="7"/>
      <c r="X369" s="7"/>
    </row>
    <row r="370" ht="15.75" customHeight="1">
      <c r="V370" s="7"/>
      <c r="W370" s="7"/>
      <c r="X370" s="7"/>
    </row>
    <row r="371" ht="15.75" customHeight="1">
      <c r="V371" s="7"/>
      <c r="W371" s="7"/>
      <c r="X371" s="7"/>
    </row>
    <row r="372" ht="15.75" customHeight="1">
      <c r="V372" s="7"/>
      <c r="W372" s="7"/>
      <c r="X372" s="7"/>
    </row>
    <row r="373" ht="15.75" customHeight="1">
      <c r="V373" s="7"/>
      <c r="W373" s="7"/>
      <c r="X373" s="7"/>
    </row>
    <row r="374" ht="15.75" customHeight="1">
      <c r="V374" s="7"/>
      <c r="W374" s="7"/>
      <c r="X374" s="7"/>
    </row>
    <row r="375" ht="15.75" customHeight="1">
      <c r="V375" s="7"/>
      <c r="W375" s="7"/>
      <c r="X375" s="7"/>
    </row>
    <row r="376" ht="15.75" customHeight="1">
      <c r="V376" s="7"/>
      <c r="W376" s="7"/>
      <c r="X376" s="7"/>
    </row>
    <row r="377" ht="15.75" customHeight="1">
      <c r="V377" s="7"/>
      <c r="W377" s="7"/>
      <c r="X377" s="7"/>
    </row>
    <row r="378" ht="15.75" customHeight="1">
      <c r="V378" s="7"/>
      <c r="W378" s="7"/>
      <c r="X378" s="7"/>
    </row>
    <row r="379" ht="15.75" customHeight="1">
      <c r="V379" s="7"/>
      <c r="W379" s="7"/>
      <c r="X379" s="7"/>
    </row>
    <row r="380" ht="15.75" customHeight="1">
      <c r="V380" s="7"/>
      <c r="W380" s="7"/>
      <c r="X380" s="7"/>
    </row>
    <row r="381" ht="15.75" customHeight="1">
      <c r="V381" s="7"/>
      <c r="W381" s="7"/>
      <c r="X381" s="7"/>
    </row>
    <row r="382" ht="15.75" customHeight="1">
      <c r="V382" s="7"/>
      <c r="W382" s="7"/>
      <c r="X382" s="7"/>
    </row>
    <row r="383" ht="15.75" customHeight="1">
      <c r="V383" s="7"/>
      <c r="W383" s="7"/>
      <c r="X383" s="7"/>
    </row>
    <row r="384" ht="15.75" customHeight="1">
      <c r="V384" s="7"/>
      <c r="W384" s="7"/>
      <c r="X384" s="7"/>
    </row>
    <row r="385" ht="15.75" customHeight="1">
      <c r="V385" s="7"/>
      <c r="W385" s="7"/>
      <c r="X385" s="7"/>
    </row>
    <row r="386" ht="15.75" customHeight="1">
      <c r="V386" s="7"/>
      <c r="W386" s="7"/>
      <c r="X386" s="7"/>
    </row>
    <row r="387" ht="15.75" customHeight="1">
      <c r="V387" s="7"/>
      <c r="W387" s="7"/>
      <c r="X387" s="7"/>
    </row>
    <row r="388" ht="15.75" customHeight="1">
      <c r="V388" s="7"/>
      <c r="W388" s="7"/>
      <c r="X388" s="7"/>
    </row>
    <row r="389" ht="15.75" customHeight="1">
      <c r="V389" s="7"/>
      <c r="W389" s="7"/>
      <c r="X389" s="7"/>
    </row>
    <row r="390" ht="15.75" customHeight="1">
      <c r="V390" s="7"/>
      <c r="W390" s="7"/>
      <c r="X390" s="7"/>
    </row>
    <row r="391" ht="15.75" customHeight="1">
      <c r="V391" s="7"/>
      <c r="W391" s="7"/>
      <c r="X391" s="7"/>
    </row>
    <row r="392" ht="15.75" customHeight="1">
      <c r="V392" s="7"/>
      <c r="W392" s="7"/>
      <c r="X392" s="7"/>
    </row>
    <row r="393" ht="15.75" customHeight="1">
      <c r="V393" s="7"/>
      <c r="W393" s="7"/>
      <c r="X393" s="7"/>
    </row>
    <row r="394" ht="15.75" customHeight="1">
      <c r="V394" s="7"/>
      <c r="W394" s="7"/>
      <c r="X394" s="7"/>
    </row>
    <row r="395" ht="15.75" customHeight="1">
      <c r="V395" s="7"/>
      <c r="W395" s="7"/>
      <c r="X395" s="7"/>
    </row>
    <row r="396" ht="15.75" customHeight="1">
      <c r="V396" s="7"/>
      <c r="W396" s="7"/>
      <c r="X396" s="7"/>
    </row>
    <row r="397" ht="15.75" customHeight="1">
      <c r="V397" s="7"/>
      <c r="W397" s="7"/>
      <c r="X397" s="7"/>
    </row>
    <row r="398" ht="15.75" customHeight="1">
      <c r="V398" s="7"/>
      <c r="W398" s="7"/>
      <c r="X398" s="7"/>
    </row>
    <row r="399" ht="15.75" customHeight="1">
      <c r="V399" s="7"/>
      <c r="W399" s="7"/>
      <c r="X399" s="7"/>
    </row>
    <row r="400" ht="15.75" customHeight="1">
      <c r="V400" s="7"/>
      <c r="W400" s="7"/>
      <c r="X400" s="7"/>
    </row>
    <row r="401" ht="15.75" customHeight="1">
      <c r="V401" s="7"/>
      <c r="W401" s="7"/>
      <c r="X401" s="7"/>
    </row>
    <row r="402" ht="15.75" customHeight="1">
      <c r="V402" s="7"/>
      <c r="W402" s="7"/>
      <c r="X402" s="7"/>
    </row>
    <row r="403" ht="15.75" customHeight="1">
      <c r="V403" s="7"/>
      <c r="W403" s="7"/>
      <c r="X403" s="7"/>
    </row>
    <row r="404" ht="15.75" customHeight="1">
      <c r="V404" s="7"/>
      <c r="W404" s="7"/>
      <c r="X404" s="7"/>
    </row>
    <row r="405" ht="15.75" customHeight="1">
      <c r="V405" s="7"/>
      <c r="W405" s="7"/>
      <c r="X405" s="7"/>
    </row>
    <row r="406" ht="15.75" customHeight="1">
      <c r="V406" s="7"/>
      <c r="W406" s="7"/>
      <c r="X406" s="7"/>
    </row>
    <row r="407" ht="15.75" customHeight="1">
      <c r="V407" s="7"/>
      <c r="W407" s="7"/>
      <c r="X407" s="7"/>
    </row>
    <row r="408" ht="15.75" customHeight="1">
      <c r="V408" s="7"/>
      <c r="W408" s="7"/>
      <c r="X408" s="7"/>
    </row>
    <row r="409" ht="15.75" customHeight="1">
      <c r="V409" s="7"/>
      <c r="W409" s="7"/>
      <c r="X409" s="7"/>
    </row>
    <row r="410" ht="15.75" customHeight="1">
      <c r="V410" s="7"/>
      <c r="W410" s="7"/>
      <c r="X410" s="7"/>
    </row>
    <row r="411" ht="15.75" customHeight="1">
      <c r="V411" s="7"/>
      <c r="W411" s="7"/>
      <c r="X411" s="7"/>
    </row>
    <row r="412" ht="15.75" customHeight="1">
      <c r="V412" s="7"/>
      <c r="W412" s="7"/>
      <c r="X412" s="7"/>
    </row>
    <row r="413" ht="15.75" customHeight="1">
      <c r="V413" s="7"/>
      <c r="W413" s="7"/>
      <c r="X413" s="7"/>
    </row>
    <row r="414" ht="15.75" customHeight="1">
      <c r="V414" s="7"/>
      <c r="W414" s="7"/>
      <c r="X414" s="7"/>
    </row>
    <row r="415" ht="15.75" customHeight="1">
      <c r="V415" s="7"/>
      <c r="W415" s="7"/>
      <c r="X415" s="7"/>
    </row>
    <row r="416" ht="15.75" customHeight="1">
      <c r="V416" s="7"/>
      <c r="W416" s="7"/>
      <c r="X416" s="7"/>
    </row>
    <row r="417" ht="15.75" customHeight="1">
      <c r="V417" s="7"/>
      <c r="W417" s="7"/>
      <c r="X417" s="7"/>
    </row>
    <row r="418" ht="15.75" customHeight="1">
      <c r="V418" s="7"/>
      <c r="W418" s="7"/>
      <c r="X418" s="7"/>
    </row>
    <row r="419" ht="15.75" customHeight="1">
      <c r="V419" s="7"/>
      <c r="W419" s="7"/>
      <c r="X419" s="7"/>
    </row>
    <row r="420" ht="15.75" customHeight="1">
      <c r="V420" s="7"/>
      <c r="W420" s="7"/>
      <c r="X420" s="7"/>
    </row>
    <row r="421" ht="15.75" customHeight="1">
      <c r="V421" s="7"/>
      <c r="W421" s="7"/>
      <c r="X421" s="7"/>
    </row>
    <row r="422" ht="15.75" customHeight="1">
      <c r="V422" s="7"/>
      <c r="W422" s="7"/>
      <c r="X422" s="7"/>
    </row>
    <row r="423" ht="15.75" customHeight="1">
      <c r="V423" s="7"/>
      <c r="W423" s="7"/>
      <c r="X423" s="7"/>
    </row>
    <row r="424" ht="15.75" customHeight="1">
      <c r="V424" s="7"/>
      <c r="W424" s="7"/>
      <c r="X424" s="7"/>
    </row>
    <row r="425" ht="15.75" customHeight="1">
      <c r="V425" s="7"/>
      <c r="W425" s="7"/>
      <c r="X425" s="7"/>
    </row>
    <row r="426" ht="15.75" customHeight="1">
      <c r="V426" s="7"/>
      <c r="W426" s="7"/>
      <c r="X426" s="7"/>
    </row>
    <row r="427" ht="15.75" customHeight="1">
      <c r="V427" s="7"/>
      <c r="W427" s="7"/>
      <c r="X427" s="7"/>
    </row>
    <row r="428" ht="15.75" customHeight="1">
      <c r="V428" s="7"/>
      <c r="W428" s="7"/>
      <c r="X428" s="7"/>
    </row>
    <row r="429" ht="15.75" customHeight="1">
      <c r="V429" s="7"/>
      <c r="W429" s="7"/>
      <c r="X429" s="7"/>
    </row>
    <row r="430" ht="15.75" customHeight="1">
      <c r="V430" s="7"/>
      <c r="W430" s="7"/>
      <c r="X430" s="7"/>
    </row>
    <row r="431" ht="15.75" customHeight="1">
      <c r="V431" s="7"/>
      <c r="W431" s="7"/>
      <c r="X431" s="7"/>
    </row>
    <row r="432" ht="15.75" customHeight="1">
      <c r="V432" s="7"/>
      <c r="W432" s="7"/>
      <c r="X432" s="7"/>
    </row>
    <row r="433" ht="15.75" customHeight="1">
      <c r="V433" s="7"/>
      <c r="W433" s="7"/>
      <c r="X433" s="7"/>
    </row>
    <row r="434" ht="15.75" customHeight="1">
      <c r="V434" s="7"/>
      <c r="W434" s="7"/>
      <c r="X434" s="7"/>
    </row>
    <row r="435" ht="15.75" customHeight="1">
      <c r="V435" s="7"/>
      <c r="W435" s="7"/>
      <c r="X435" s="7"/>
    </row>
    <row r="436" ht="15.75" customHeight="1">
      <c r="V436" s="7"/>
      <c r="W436" s="7"/>
      <c r="X436" s="7"/>
    </row>
    <row r="437" ht="15.75" customHeight="1">
      <c r="V437" s="7"/>
      <c r="W437" s="7"/>
      <c r="X437" s="7"/>
    </row>
    <row r="438" ht="15.75" customHeight="1">
      <c r="V438" s="7"/>
      <c r="W438" s="7"/>
      <c r="X438" s="7"/>
    </row>
    <row r="439" ht="15.75" customHeight="1">
      <c r="V439" s="7"/>
      <c r="W439" s="7"/>
      <c r="X439" s="7"/>
    </row>
    <row r="440" ht="15.75" customHeight="1">
      <c r="V440" s="7"/>
      <c r="W440" s="7"/>
      <c r="X440" s="7"/>
    </row>
    <row r="441" ht="15.75" customHeight="1">
      <c r="V441" s="7"/>
      <c r="W441" s="7"/>
      <c r="X441" s="7"/>
    </row>
    <row r="442" ht="15.75" customHeight="1">
      <c r="V442" s="7"/>
      <c r="W442" s="7"/>
      <c r="X442" s="7"/>
    </row>
    <row r="443" ht="15.75" customHeight="1">
      <c r="V443" s="7"/>
      <c r="W443" s="7"/>
      <c r="X443" s="7"/>
    </row>
    <row r="444" ht="15.75" customHeight="1">
      <c r="V444" s="7"/>
      <c r="W444" s="7"/>
      <c r="X444" s="7"/>
    </row>
    <row r="445" ht="15.75" customHeight="1">
      <c r="V445" s="7"/>
      <c r="W445" s="7"/>
      <c r="X445" s="7"/>
    </row>
    <row r="446" ht="15.75" customHeight="1">
      <c r="V446" s="7"/>
      <c r="W446" s="7"/>
      <c r="X446" s="7"/>
    </row>
    <row r="447" ht="15.75" customHeight="1">
      <c r="V447" s="7"/>
      <c r="W447" s="7"/>
      <c r="X447" s="7"/>
    </row>
    <row r="448" ht="15.75" customHeight="1">
      <c r="V448" s="7"/>
      <c r="W448" s="7"/>
      <c r="X448" s="7"/>
    </row>
    <row r="449" ht="15.75" customHeight="1">
      <c r="V449" s="7"/>
      <c r="W449" s="7"/>
      <c r="X449" s="7"/>
    </row>
    <row r="450" ht="15.75" customHeight="1">
      <c r="V450" s="7"/>
      <c r="W450" s="7"/>
      <c r="X450" s="7"/>
    </row>
    <row r="451" ht="15.75" customHeight="1">
      <c r="V451" s="7"/>
      <c r="W451" s="7"/>
      <c r="X451" s="7"/>
    </row>
    <row r="452" ht="15.75" customHeight="1">
      <c r="V452" s="7"/>
      <c r="W452" s="7"/>
      <c r="X452" s="7"/>
    </row>
    <row r="453" ht="15.75" customHeight="1">
      <c r="V453" s="7"/>
      <c r="W453" s="7"/>
      <c r="X453" s="7"/>
    </row>
    <row r="454" ht="15.75" customHeight="1">
      <c r="V454" s="7"/>
      <c r="W454" s="7"/>
      <c r="X454" s="7"/>
    </row>
    <row r="455" ht="15.75" customHeight="1">
      <c r="V455" s="7"/>
      <c r="W455" s="7"/>
      <c r="X455" s="7"/>
    </row>
    <row r="456" ht="15.75" customHeight="1">
      <c r="V456" s="7"/>
      <c r="W456" s="7"/>
      <c r="X456" s="7"/>
    </row>
    <row r="457" ht="15.75" customHeight="1">
      <c r="V457" s="7"/>
      <c r="W457" s="7"/>
      <c r="X457" s="7"/>
    </row>
    <row r="458" ht="15.75" customHeight="1">
      <c r="V458" s="7"/>
      <c r="W458" s="7"/>
      <c r="X458" s="7"/>
    </row>
    <row r="459" ht="15.75" customHeight="1">
      <c r="V459" s="7"/>
      <c r="W459" s="7"/>
      <c r="X459" s="7"/>
    </row>
    <row r="460" ht="15.75" customHeight="1">
      <c r="V460" s="7"/>
      <c r="W460" s="7"/>
      <c r="X460" s="7"/>
    </row>
    <row r="461" ht="15.75" customHeight="1">
      <c r="V461" s="7"/>
      <c r="W461" s="7"/>
      <c r="X461" s="7"/>
    </row>
    <row r="462" ht="15.75" customHeight="1">
      <c r="V462" s="7"/>
      <c r="W462" s="7"/>
      <c r="X462" s="7"/>
    </row>
    <row r="463" ht="15.75" customHeight="1">
      <c r="V463" s="7"/>
      <c r="W463" s="7"/>
      <c r="X463" s="7"/>
    </row>
    <row r="464" ht="15.75" customHeight="1">
      <c r="V464" s="7"/>
      <c r="W464" s="7"/>
      <c r="X464" s="7"/>
    </row>
    <row r="465" ht="15.75" customHeight="1">
      <c r="V465" s="7"/>
      <c r="W465" s="7"/>
      <c r="X465" s="7"/>
    </row>
    <row r="466" ht="15.75" customHeight="1">
      <c r="V466" s="7"/>
      <c r="W466" s="7"/>
      <c r="X466" s="7"/>
    </row>
    <row r="467" ht="15.75" customHeight="1">
      <c r="V467" s="7"/>
      <c r="W467" s="7"/>
      <c r="X467" s="7"/>
    </row>
    <row r="468" ht="15.75" customHeight="1">
      <c r="V468" s="7"/>
      <c r="W468" s="7"/>
      <c r="X468" s="7"/>
    </row>
    <row r="469" ht="15.75" customHeight="1">
      <c r="V469" s="7"/>
      <c r="W469" s="7"/>
      <c r="X469" s="7"/>
    </row>
    <row r="470" ht="15.75" customHeight="1">
      <c r="V470" s="7"/>
      <c r="W470" s="7"/>
      <c r="X470" s="7"/>
    </row>
    <row r="471" ht="15.75" customHeight="1">
      <c r="V471" s="7"/>
      <c r="W471" s="7"/>
      <c r="X471" s="7"/>
    </row>
    <row r="472" ht="15.75" customHeight="1">
      <c r="V472" s="7"/>
      <c r="W472" s="7"/>
      <c r="X472" s="7"/>
    </row>
    <row r="473" ht="15.75" customHeight="1">
      <c r="V473" s="7"/>
      <c r="W473" s="7"/>
      <c r="X473" s="7"/>
    </row>
    <row r="474" ht="15.75" customHeight="1">
      <c r="V474" s="7"/>
      <c r="W474" s="7"/>
      <c r="X474" s="7"/>
    </row>
    <row r="475" ht="15.75" customHeight="1">
      <c r="V475" s="7"/>
      <c r="W475" s="7"/>
      <c r="X475" s="7"/>
    </row>
    <row r="476" ht="15.75" customHeight="1">
      <c r="V476" s="7"/>
      <c r="W476" s="7"/>
      <c r="X476" s="7"/>
    </row>
    <row r="477" ht="15.75" customHeight="1">
      <c r="V477" s="7"/>
      <c r="W477" s="7"/>
      <c r="X477" s="7"/>
    </row>
    <row r="478" ht="15.75" customHeight="1">
      <c r="V478" s="7"/>
      <c r="W478" s="7"/>
      <c r="X478" s="7"/>
    </row>
    <row r="479" ht="15.75" customHeight="1">
      <c r="V479" s="7"/>
      <c r="W479" s="7"/>
      <c r="X479" s="7"/>
    </row>
    <row r="480" ht="15.75" customHeight="1">
      <c r="V480" s="7"/>
      <c r="W480" s="7"/>
      <c r="X480" s="7"/>
    </row>
    <row r="481" ht="15.75" customHeight="1">
      <c r="V481" s="7"/>
      <c r="W481" s="7"/>
      <c r="X481" s="7"/>
    </row>
    <row r="482" ht="15.75" customHeight="1">
      <c r="V482" s="7"/>
      <c r="W482" s="7"/>
      <c r="X482" s="7"/>
    </row>
    <row r="483" ht="15.75" customHeight="1">
      <c r="V483" s="7"/>
      <c r="W483" s="7"/>
      <c r="X483" s="7"/>
    </row>
    <row r="484" ht="15.75" customHeight="1">
      <c r="V484" s="7"/>
      <c r="W484" s="7"/>
      <c r="X484" s="7"/>
    </row>
    <row r="485" ht="15.75" customHeight="1">
      <c r="V485" s="7"/>
      <c r="W485" s="7"/>
      <c r="X485" s="7"/>
    </row>
    <row r="486" ht="15.75" customHeight="1">
      <c r="V486" s="7"/>
      <c r="W486" s="7"/>
      <c r="X486" s="7"/>
    </row>
    <row r="487" ht="15.75" customHeight="1">
      <c r="V487" s="7"/>
      <c r="W487" s="7"/>
      <c r="X487" s="7"/>
    </row>
    <row r="488" ht="15.75" customHeight="1">
      <c r="V488" s="7"/>
      <c r="W488" s="7"/>
      <c r="X488" s="7"/>
    </row>
    <row r="489" ht="15.75" customHeight="1">
      <c r="V489" s="7"/>
      <c r="W489" s="7"/>
      <c r="X489" s="7"/>
    </row>
    <row r="490" ht="15.75" customHeight="1">
      <c r="V490" s="7"/>
      <c r="W490" s="7"/>
      <c r="X490" s="7"/>
    </row>
    <row r="491" ht="15.75" customHeight="1">
      <c r="V491" s="7"/>
      <c r="W491" s="7"/>
      <c r="X491" s="7"/>
    </row>
    <row r="492" ht="15.75" customHeight="1">
      <c r="V492" s="7"/>
      <c r="W492" s="7"/>
      <c r="X492" s="7"/>
    </row>
    <row r="493" ht="15.75" customHeight="1">
      <c r="V493" s="7"/>
      <c r="W493" s="7"/>
      <c r="X493" s="7"/>
    </row>
    <row r="494" ht="15.75" customHeight="1">
      <c r="V494" s="7"/>
      <c r="W494" s="7"/>
      <c r="X494" s="7"/>
    </row>
    <row r="495" ht="15.75" customHeight="1">
      <c r="V495" s="7"/>
      <c r="W495" s="7"/>
      <c r="X495" s="7"/>
    </row>
    <row r="496" ht="15.75" customHeight="1">
      <c r="V496" s="7"/>
      <c r="W496" s="7"/>
      <c r="X496" s="7"/>
    </row>
    <row r="497" ht="15.75" customHeight="1">
      <c r="V497" s="7"/>
      <c r="W497" s="7"/>
      <c r="X497" s="7"/>
    </row>
    <row r="498" ht="15.75" customHeight="1">
      <c r="V498" s="7"/>
      <c r="W498" s="7"/>
      <c r="X498" s="7"/>
    </row>
    <row r="499" ht="15.75" customHeight="1">
      <c r="V499" s="7"/>
      <c r="W499" s="7"/>
      <c r="X499" s="7"/>
    </row>
    <row r="500" ht="15.75" customHeight="1">
      <c r="V500" s="7"/>
      <c r="W500" s="7"/>
      <c r="X500" s="7"/>
    </row>
    <row r="501" ht="15.75" customHeight="1">
      <c r="V501" s="7"/>
      <c r="W501" s="7"/>
      <c r="X501" s="7"/>
    </row>
    <row r="502" ht="15.75" customHeight="1">
      <c r="V502" s="7"/>
      <c r="W502" s="7"/>
      <c r="X502" s="7"/>
    </row>
    <row r="503" ht="15.75" customHeight="1">
      <c r="V503" s="7"/>
      <c r="W503" s="7"/>
      <c r="X503" s="7"/>
    </row>
    <row r="504" ht="15.75" customHeight="1">
      <c r="V504" s="7"/>
      <c r="W504" s="7"/>
      <c r="X504" s="7"/>
    </row>
    <row r="505" ht="15.75" customHeight="1">
      <c r="V505" s="7"/>
      <c r="W505" s="7"/>
      <c r="X505" s="7"/>
    </row>
    <row r="506" ht="15.75" customHeight="1">
      <c r="V506" s="7"/>
      <c r="W506" s="7"/>
      <c r="X506" s="7"/>
    </row>
    <row r="507" ht="15.75" customHeight="1">
      <c r="V507" s="7"/>
      <c r="W507" s="7"/>
      <c r="X507" s="7"/>
    </row>
    <row r="508" ht="15.75" customHeight="1">
      <c r="V508" s="7"/>
      <c r="W508" s="7"/>
      <c r="X508" s="7"/>
    </row>
    <row r="509" ht="15.75" customHeight="1">
      <c r="V509" s="7"/>
      <c r="W509" s="7"/>
      <c r="X509" s="7"/>
    </row>
    <row r="510" ht="15.75" customHeight="1">
      <c r="V510" s="7"/>
      <c r="W510" s="7"/>
      <c r="X510" s="7"/>
    </row>
    <row r="511" ht="15.75" customHeight="1">
      <c r="V511" s="7"/>
      <c r="W511" s="7"/>
      <c r="X511" s="7"/>
    </row>
    <row r="512" ht="15.75" customHeight="1">
      <c r="V512" s="7"/>
      <c r="W512" s="7"/>
      <c r="X512" s="7"/>
    </row>
    <row r="513" ht="15.75" customHeight="1">
      <c r="V513" s="7"/>
      <c r="W513" s="7"/>
      <c r="X513" s="7"/>
    </row>
    <row r="514" ht="15.75" customHeight="1">
      <c r="V514" s="7"/>
      <c r="W514" s="7"/>
      <c r="X514" s="7"/>
    </row>
    <row r="515" ht="15.75" customHeight="1">
      <c r="V515" s="7"/>
      <c r="W515" s="7"/>
      <c r="X515" s="7"/>
    </row>
    <row r="516" ht="15.75" customHeight="1">
      <c r="V516" s="7"/>
      <c r="W516" s="7"/>
      <c r="X516" s="7"/>
    </row>
    <row r="517" ht="15.75" customHeight="1">
      <c r="V517" s="7"/>
      <c r="W517" s="7"/>
      <c r="X517" s="7"/>
    </row>
    <row r="518" ht="15.75" customHeight="1">
      <c r="V518" s="7"/>
      <c r="W518" s="7"/>
      <c r="X518" s="7"/>
    </row>
    <row r="519" ht="15.75" customHeight="1">
      <c r="V519" s="7"/>
      <c r="W519" s="7"/>
      <c r="X519" s="7"/>
    </row>
    <row r="520" ht="15.75" customHeight="1">
      <c r="V520" s="7"/>
      <c r="W520" s="7"/>
      <c r="X520" s="7"/>
    </row>
    <row r="521" ht="15.75" customHeight="1">
      <c r="V521" s="7"/>
      <c r="W521" s="7"/>
      <c r="X521" s="7"/>
    </row>
    <row r="522" ht="15.75" customHeight="1">
      <c r="V522" s="7"/>
      <c r="W522" s="7"/>
      <c r="X522" s="7"/>
    </row>
    <row r="523" ht="15.75" customHeight="1">
      <c r="V523" s="7"/>
      <c r="W523" s="7"/>
      <c r="X523" s="7"/>
    </row>
    <row r="524" ht="15.75" customHeight="1">
      <c r="V524" s="7"/>
      <c r="W524" s="7"/>
      <c r="X524" s="7"/>
    </row>
    <row r="525" ht="15.75" customHeight="1">
      <c r="V525" s="7"/>
      <c r="W525" s="7"/>
      <c r="X525" s="7"/>
    </row>
    <row r="526" ht="15.75" customHeight="1">
      <c r="V526" s="7"/>
      <c r="W526" s="7"/>
      <c r="X526" s="7"/>
    </row>
    <row r="527" ht="15.75" customHeight="1">
      <c r="V527" s="7"/>
      <c r="W527" s="7"/>
      <c r="X527" s="7"/>
    </row>
    <row r="528" ht="15.75" customHeight="1">
      <c r="V528" s="7"/>
      <c r="W528" s="7"/>
      <c r="X528" s="7"/>
    </row>
    <row r="529" ht="15.75" customHeight="1">
      <c r="V529" s="7"/>
      <c r="W529" s="7"/>
      <c r="X529" s="7"/>
    </row>
    <row r="530" ht="15.75" customHeight="1">
      <c r="V530" s="7"/>
      <c r="W530" s="7"/>
      <c r="X530" s="7"/>
    </row>
    <row r="531" ht="15.75" customHeight="1">
      <c r="V531" s="7"/>
      <c r="W531" s="7"/>
      <c r="X531" s="7"/>
    </row>
    <row r="532" ht="15.75" customHeight="1">
      <c r="V532" s="7"/>
      <c r="W532" s="7"/>
      <c r="X532" s="7"/>
    </row>
    <row r="533" ht="15.75" customHeight="1">
      <c r="V533" s="7"/>
      <c r="W533" s="7"/>
      <c r="X533" s="7"/>
    </row>
    <row r="534" ht="15.75" customHeight="1">
      <c r="V534" s="7"/>
      <c r="W534" s="7"/>
      <c r="X534" s="7"/>
    </row>
    <row r="535" ht="15.75" customHeight="1">
      <c r="V535" s="7"/>
      <c r="W535" s="7"/>
      <c r="X535" s="7"/>
    </row>
    <row r="536" ht="15.75" customHeight="1">
      <c r="V536" s="7"/>
      <c r="W536" s="7"/>
      <c r="X536" s="7"/>
    </row>
    <row r="537" ht="15.75" customHeight="1">
      <c r="V537" s="7"/>
      <c r="W537" s="7"/>
      <c r="X537" s="7"/>
    </row>
    <row r="538" ht="15.75" customHeight="1">
      <c r="V538" s="7"/>
      <c r="W538" s="7"/>
      <c r="X538" s="7"/>
    </row>
    <row r="539" ht="15.75" customHeight="1">
      <c r="V539" s="7"/>
      <c r="W539" s="7"/>
      <c r="X539" s="7"/>
    </row>
    <row r="540" ht="15.75" customHeight="1">
      <c r="V540" s="7"/>
      <c r="W540" s="7"/>
      <c r="X540" s="7"/>
    </row>
    <row r="541" ht="15.75" customHeight="1">
      <c r="V541" s="7"/>
      <c r="W541" s="7"/>
      <c r="X541" s="7"/>
    </row>
    <row r="542" ht="15.75" customHeight="1">
      <c r="V542" s="7"/>
      <c r="W542" s="7"/>
      <c r="X542" s="7"/>
    </row>
    <row r="543" ht="15.75" customHeight="1">
      <c r="V543" s="7"/>
      <c r="W543" s="7"/>
      <c r="X543" s="7"/>
    </row>
    <row r="544" ht="15.75" customHeight="1">
      <c r="V544" s="7"/>
      <c r="W544" s="7"/>
      <c r="X544" s="7"/>
    </row>
    <row r="545" ht="15.75" customHeight="1">
      <c r="V545" s="7"/>
      <c r="W545" s="7"/>
      <c r="X545" s="7"/>
    </row>
    <row r="546" ht="15.75" customHeight="1">
      <c r="V546" s="7"/>
      <c r="W546" s="7"/>
      <c r="X546" s="7"/>
    </row>
    <row r="547" ht="15.75" customHeight="1">
      <c r="V547" s="7"/>
      <c r="W547" s="7"/>
      <c r="X547" s="7"/>
    </row>
    <row r="548" ht="15.75" customHeight="1">
      <c r="V548" s="7"/>
      <c r="W548" s="7"/>
      <c r="X548" s="7"/>
    </row>
    <row r="549" ht="15.75" customHeight="1">
      <c r="V549" s="7"/>
      <c r="W549" s="7"/>
      <c r="X549" s="7"/>
    </row>
    <row r="550" ht="15.75" customHeight="1">
      <c r="V550" s="7"/>
      <c r="W550" s="7"/>
      <c r="X550" s="7"/>
    </row>
    <row r="551" ht="15.75" customHeight="1">
      <c r="V551" s="7"/>
      <c r="W551" s="7"/>
      <c r="X551" s="7"/>
    </row>
    <row r="552" ht="15.75" customHeight="1">
      <c r="V552" s="7"/>
      <c r="W552" s="7"/>
      <c r="X552" s="7"/>
    </row>
    <row r="553" ht="15.75" customHeight="1">
      <c r="V553" s="7"/>
      <c r="W553" s="7"/>
      <c r="X553" s="7"/>
    </row>
    <row r="554" ht="15.75" customHeight="1">
      <c r="V554" s="7"/>
      <c r="W554" s="7"/>
      <c r="X554" s="7"/>
    </row>
    <row r="555" ht="15.75" customHeight="1">
      <c r="V555" s="7"/>
      <c r="W555" s="7"/>
      <c r="X555" s="7"/>
    </row>
    <row r="556" ht="15.75" customHeight="1">
      <c r="V556" s="7"/>
      <c r="W556" s="7"/>
      <c r="X556" s="7"/>
    </row>
    <row r="557" ht="15.75" customHeight="1">
      <c r="V557" s="7"/>
      <c r="W557" s="7"/>
      <c r="X557" s="7"/>
    </row>
    <row r="558" ht="15.75" customHeight="1">
      <c r="V558" s="7"/>
      <c r="W558" s="7"/>
      <c r="X558" s="7"/>
    </row>
    <row r="559" ht="15.75" customHeight="1">
      <c r="V559" s="7"/>
      <c r="W559" s="7"/>
      <c r="X559" s="7"/>
    </row>
    <row r="560" ht="15.75" customHeight="1">
      <c r="V560" s="7"/>
      <c r="W560" s="7"/>
      <c r="X560" s="7"/>
    </row>
    <row r="561" ht="15.75" customHeight="1">
      <c r="V561" s="7"/>
      <c r="W561" s="7"/>
      <c r="X561" s="7"/>
    </row>
    <row r="562" ht="15.75" customHeight="1">
      <c r="V562" s="7"/>
      <c r="W562" s="7"/>
      <c r="X562" s="7"/>
    </row>
    <row r="563" ht="15.75" customHeight="1">
      <c r="V563" s="7"/>
      <c r="W563" s="7"/>
      <c r="X563" s="7"/>
    </row>
    <row r="564" ht="15.75" customHeight="1">
      <c r="V564" s="7"/>
      <c r="W564" s="7"/>
      <c r="X564" s="7"/>
    </row>
    <row r="565" ht="15.75" customHeight="1">
      <c r="V565" s="7"/>
      <c r="W565" s="7"/>
      <c r="X565" s="7"/>
    </row>
    <row r="566" ht="15.75" customHeight="1">
      <c r="V566" s="7"/>
      <c r="W566" s="7"/>
      <c r="X566" s="7"/>
    </row>
    <row r="567" ht="15.75" customHeight="1">
      <c r="V567" s="7"/>
      <c r="W567" s="7"/>
      <c r="X567" s="7"/>
    </row>
    <row r="568" ht="15.75" customHeight="1">
      <c r="V568" s="7"/>
      <c r="W568" s="7"/>
      <c r="X568" s="7"/>
    </row>
    <row r="569" ht="15.75" customHeight="1">
      <c r="V569" s="7"/>
      <c r="W569" s="7"/>
      <c r="X569" s="7"/>
    </row>
    <row r="570" ht="15.75" customHeight="1">
      <c r="V570" s="7"/>
      <c r="W570" s="7"/>
      <c r="X570" s="7"/>
    </row>
    <row r="571" ht="15.75" customHeight="1">
      <c r="V571" s="7"/>
      <c r="W571" s="7"/>
      <c r="X571" s="7"/>
    </row>
    <row r="572" ht="15.75" customHeight="1">
      <c r="V572" s="7"/>
      <c r="W572" s="7"/>
      <c r="X572" s="7"/>
    </row>
    <row r="573" ht="15.75" customHeight="1">
      <c r="V573" s="7"/>
      <c r="W573" s="7"/>
      <c r="X573" s="7"/>
    </row>
    <row r="574" ht="15.75" customHeight="1">
      <c r="V574" s="7"/>
      <c r="W574" s="7"/>
      <c r="X574" s="7"/>
    </row>
    <row r="575" ht="15.75" customHeight="1">
      <c r="V575" s="7"/>
      <c r="W575" s="7"/>
      <c r="X575" s="7"/>
    </row>
    <row r="576" ht="15.75" customHeight="1">
      <c r="V576" s="7"/>
      <c r="W576" s="7"/>
      <c r="X576" s="7"/>
    </row>
    <row r="577" ht="15.75" customHeight="1">
      <c r="V577" s="7"/>
      <c r="W577" s="7"/>
      <c r="X577" s="7"/>
    </row>
    <row r="578" ht="15.75" customHeight="1">
      <c r="V578" s="7"/>
      <c r="W578" s="7"/>
      <c r="X578" s="7"/>
    </row>
    <row r="579" ht="15.75" customHeight="1">
      <c r="V579" s="7"/>
      <c r="W579" s="7"/>
      <c r="X579" s="7"/>
    </row>
    <row r="580" ht="15.75" customHeight="1">
      <c r="V580" s="7"/>
      <c r="W580" s="7"/>
      <c r="X580" s="7"/>
    </row>
    <row r="581" ht="15.75" customHeight="1">
      <c r="V581" s="7"/>
      <c r="W581" s="7"/>
      <c r="X581" s="7"/>
    </row>
    <row r="582" ht="15.75" customHeight="1">
      <c r="V582" s="7"/>
      <c r="W582" s="7"/>
      <c r="X582" s="7"/>
    </row>
    <row r="583" ht="15.75" customHeight="1">
      <c r="V583" s="7"/>
      <c r="W583" s="7"/>
      <c r="X583" s="7"/>
    </row>
    <row r="584" ht="15.75" customHeight="1">
      <c r="V584" s="7"/>
      <c r="W584" s="7"/>
      <c r="X584" s="7"/>
    </row>
    <row r="585" ht="15.75" customHeight="1">
      <c r="V585" s="7"/>
      <c r="W585" s="7"/>
      <c r="X585" s="7"/>
    </row>
    <row r="586" ht="15.75" customHeight="1">
      <c r="V586" s="7"/>
      <c r="W586" s="7"/>
      <c r="X586" s="7"/>
    </row>
    <row r="587" ht="15.75" customHeight="1">
      <c r="V587" s="7"/>
      <c r="W587" s="7"/>
      <c r="X587" s="7"/>
    </row>
    <row r="588" ht="15.75" customHeight="1">
      <c r="V588" s="7"/>
      <c r="W588" s="7"/>
      <c r="X588" s="7"/>
    </row>
    <row r="589" ht="15.75" customHeight="1">
      <c r="V589" s="7"/>
      <c r="W589" s="7"/>
      <c r="X589" s="7"/>
    </row>
    <row r="590" ht="15.75" customHeight="1">
      <c r="V590" s="7"/>
      <c r="W590" s="7"/>
      <c r="X590" s="7"/>
    </row>
    <row r="591" ht="15.75" customHeight="1">
      <c r="V591" s="7"/>
      <c r="W591" s="7"/>
      <c r="X591" s="7"/>
    </row>
    <row r="592" ht="15.75" customHeight="1">
      <c r="V592" s="7"/>
      <c r="W592" s="7"/>
      <c r="X592" s="7"/>
    </row>
    <row r="593" ht="15.75" customHeight="1">
      <c r="V593" s="7"/>
      <c r="W593" s="7"/>
      <c r="X593" s="7"/>
    </row>
    <row r="594" ht="15.75" customHeight="1">
      <c r="V594" s="7"/>
      <c r="W594" s="7"/>
      <c r="X594" s="7"/>
    </row>
    <row r="595" ht="15.75" customHeight="1">
      <c r="V595" s="7"/>
      <c r="W595" s="7"/>
      <c r="X595" s="7"/>
    </row>
    <row r="596" ht="15.75" customHeight="1">
      <c r="V596" s="7"/>
      <c r="W596" s="7"/>
      <c r="X596" s="7"/>
    </row>
    <row r="597" ht="15.75" customHeight="1">
      <c r="V597" s="7"/>
      <c r="W597" s="7"/>
      <c r="X597" s="7"/>
    </row>
    <row r="598" ht="15.75" customHeight="1">
      <c r="V598" s="7"/>
      <c r="W598" s="7"/>
      <c r="X598" s="7"/>
    </row>
    <row r="599" ht="15.75" customHeight="1">
      <c r="V599" s="7"/>
      <c r="W599" s="7"/>
      <c r="X599" s="7"/>
    </row>
    <row r="600" ht="15.75" customHeight="1">
      <c r="V600" s="7"/>
      <c r="W600" s="7"/>
      <c r="X600" s="7"/>
    </row>
    <row r="601" ht="15.75" customHeight="1">
      <c r="V601" s="7"/>
      <c r="W601" s="7"/>
      <c r="X601" s="7"/>
    </row>
    <row r="602" ht="15.75" customHeight="1">
      <c r="V602" s="7"/>
      <c r="W602" s="7"/>
      <c r="X602" s="7"/>
    </row>
    <row r="603" ht="15.75" customHeight="1">
      <c r="V603" s="7"/>
      <c r="W603" s="7"/>
      <c r="X603" s="7"/>
    </row>
    <row r="604" ht="15.75" customHeight="1">
      <c r="V604" s="7"/>
      <c r="W604" s="7"/>
      <c r="X604" s="7"/>
    </row>
    <row r="605" ht="15.75" customHeight="1">
      <c r="V605" s="7"/>
      <c r="W605" s="7"/>
      <c r="X605" s="7"/>
    </row>
    <row r="606" ht="15.75" customHeight="1">
      <c r="V606" s="7"/>
      <c r="W606" s="7"/>
      <c r="X606" s="7"/>
    </row>
    <row r="607" ht="15.75" customHeight="1">
      <c r="V607" s="7"/>
      <c r="W607" s="7"/>
      <c r="X607" s="7"/>
    </row>
    <row r="608" ht="15.75" customHeight="1">
      <c r="V608" s="7"/>
      <c r="W608" s="7"/>
      <c r="X608" s="7"/>
    </row>
    <row r="609" ht="15.75" customHeight="1">
      <c r="V609" s="7"/>
      <c r="W609" s="7"/>
      <c r="X609" s="7"/>
    </row>
    <row r="610" ht="15.75" customHeight="1">
      <c r="V610" s="7"/>
      <c r="W610" s="7"/>
      <c r="X610" s="7"/>
    </row>
    <row r="611" ht="15.75" customHeight="1">
      <c r="V611" s="7"/>
      <c r="W611" s="7"/>
      <c r="X611" s="7"/>
    </row>
    <row r="612" ht="15.75" customHeight="1">
      <c r="V612" s="7"/>
      <c r="W612" s="7"/>
      <c r="X612" s="7"/>
    </row>
    <row r="613" ht="15.75" customHeight="1">
      <c r="V613" s="7"/>
      <c r="W613" s="7"/>
      <c r="X613" s="7"/>
    </row>
    <row r="614" ht="15.75" customHeight="1">
      <c r="V614" s="7"/>
      <c r="W614" s="7"/>
      <c r="X614" s="7"/>
    </row>
    <row r="615" ht="15.75" customHeight="1">
      <c r="V615" s="7"/>
      <c r="W615" s="7"/>
      <c r="X615" s="7"/>
    </row>
    <row r="616" ht="15.75" customHeight="1">
      <c r="V616" s="7"/>
      <c r="W616" s="7"/>
      <c r="X616" s="7"/>
    </row>
    <row r="617" ht="15.75" customHeight="1">
      <c r="V617" s="7"/>
      <c r="W617" s="7"/>
      <c r="X617" s="7"/>
    </row>
    <row r="618" ht="15.75" customHeight="1">
      <c r="V618" s="7"/>
      <c r="W618" s="7"/>
      <c r="X618" s="7"/>
    </row>
    <row r="619" ht="15.75" customHeight="1">
      <c r="V619" s="7"/>
      <c r="W619" s="7"/>
      <c r="X619" s="7"/>
    </row>
    <row r="620" ht="15.75" customHeight="1">
      <c r="V620" s="7"/>
      <c r="W620" s="7"/>
      <c r="X620" s="7"/>
    </row>
    <row r="621" ht="15.75" customHeight="1">
      <c r="V621" s="7"/>
      <c r="W621" s="7"/>
      <c r="X621" s="7"/>
    </row>
    <row r="622" ht="15.75" customHeight="1">
      <c r="V622" s="7"/>
      <c r="W622" s="7"/>
      <c r="X622" s="7"/>
    </row>
    <row r="623" ht="15.75" customHeight="1">
      <c r="V623" s="7"/>
      <c r="W623" s="7"/>
      <c r="X623" s="7"/>
    </row>
    <row r="624" ht="15.75" customHeight="1">
      <c r="V624" s="7"/>
      <c r="W624" s="7"/>
      <c r="X624" s="7"/>
    </row>
    <row r="625" ht="15.75" customHeight="1">
      <c r="V625" s="7"/>
      <c r="W625" s="7"/>
      <c r="X625" s="7"/>
    </row>
    <row r="626" ht="15.75" customHeight="1">
      <c r="V626" s="7"/>
      <c r="W626" s="7"/>
      <c r="X626" s="7"/>
    </row>
    <row r="627" ht="15.75" customHeight="1">
      <c r="V627" s="7"/>
      <c r="W627" s="7"/>
      <c r="X627" s="7"/>
    </row>
    <row r="628" ht="15.75" customHeight="1">
      <c r="V628" s="7"/>
      <c r="W628" s="7"/>
      <c r="X628" s="7"/>
    </row>
    <row r="629" ht="15.75" customHeight="1">
      <c r="V629" s="7"/>
      <c r="W629" s="7"/>
      <c r="X629" s="7"/>
    </row>
    <row r="630" ht="15.75" customHeight="1">
      <c r="V630" s="7"/>
      <c r="W630" s="7"/>
      <c r="X630" s="7"/>
    </row>
    <row r="631" ht="15.75" customHeight="1">
      <c r="V631" s="7"/>
      <c r="W631" s="7"/>
      <c r="X631" s="7"/>
    </row>
    <row r="632" ht="15.75" customHeight="1">
      <c r="V632" s="7"/>
      <c r="W632" s="7"/>
      <c r="X632" s="7"/>
    </row>
    <row r="633" ht="15.75" customHeight="1">
      <c r="V633" s="7"/>
      <c r="W633" s="7"/>
      <c r="X633" s="7"/>
    </row>
    <row r="634" ht="15.75" customHeight="1">
      <c r="V634" s="7"/>
      <c r="W634" s="7"/>
      <c r="X634" s="7"/>
    </row>
    <row r="635" ht="15.75" customHeight="1">
      <c r="V635" s="7"/>
      <c r="W635" s="7"/>
      <c r="X635" s="7"/>
    </row>
    <row r="636" ht="15.75" customHeight="1">
      <c r="V636" s="7"/>
      <c r="W636" s="7"/>
      <c r="X636" s="7"/>
    </row>
    <row r="637" ht="15.75" customHeight="1">
      <c r="V637" s="7"/>
      <c r="W637" s="7"/>
      <c r="X637" s="7"/>
    </row>
    <row r="638" ht="15.75" customHeight="1">
      <c r="V638" s="7"/>
      <c r="W638" s="7"/>
      <c r="X638" s="7"/>
    </row>
    <row r="639" ht="15.75" customHeight="1">
      <c r="V639" s="7"/>
      <c r="W639" s="7"/>
      <c r="X639" s="7"/>
    </row>
    <row r="640" ht="15.75" customHeight="1">
      <c r="V640" s="7"/>
      <c r="W640" s="7"/>
      <c r="X640" s="7"/>
    </row>
    <row r="641" ht="15.75" customHeight="1">
      <c r="V641" s="7"/>
      <c r="W641" s="7"/>
      <c r="X641" s="7"/>
    </row>
    <row r="642" ht="15.75" customHeight="1">
      <c r="V642" s="7"/>
      <c r="W642" s="7"/>
      <c r="X642" s="7"/>
    </row>
    <row r="643" ht="15.75" customHeight="1">
      <c r="V643" s="7"/>
      <c r="W643" s="7"/>
      <c r="X643" s="7"/>
    </row>
    <row r="644" ht="15.75" customHeight="1">
      <c r="V644" s="7"/>
      <c r="W644" s="7"/>
      <c r="X644" s="7"/>
    </row>
    <row r="645" ht="15.75" customHeight="1">
      <c r="V645" s="7"/>
      <c r="W645" s="7"/>
      <c r="X645" s="7"/>
    </row>
    <row r="646" ht="15.75" customHeight="1">
      <c r="V646" s="7"/>
      <c r="W646" s="7"/>
      <c r="X646" s="7"/>
    </row>
    <row r="647" ht="15.75" customHeight="1">
      <c r="V647" s="7"/>
      <c r="W647" s="7"/>
      <c r="X647" s="7"/>
    </row>
    <row r="648" ht="15.75" customHeight="1">
      <c r="V648" s="7"/>
      <c r="W648" s="7"/>
      <c r="X648" s="7"/>
    </row>
    <row r="649" ht="15.75" customHeight="1">
      <c r="V649" s="7"/>
      <c r="W649" s="7"/>
      <c r="X649" s="7"/>
    </row>
    <row r="650" ht="15.75" customHeight="1">
      <c r="V650" s="7"/>
      <c r="W650" s="7"/>
      <c r="X650" s="7"/>
    </row>
    <row r="651" ht="15.75" customHeight="1">
      <c r="V651" s="7"/>
      <c r="W651" s="7"/>
      <c r="X651" s="7"/>
    </row>
    <row r="652" ht="15.75" customHeight="1">
      <c r="V652" s="7"/>
      <c r="W652" s="7"/>
      <c r="X652" s="7"/>
    </row>
    <row r="653" ht="15.75" customHeight="1">
      <c r="V653" s="7"/>
      <c r="W653" s="7"/>
      <c r="X653" s="7"/>
    </row>
    <row r="654" ht="15.75" customHeight="1">
      <c r="V654" s="7"/>
      <c r="W654" s="7"/>
      <c r="X654" s="7"/>
    </row>
    <row r="655" ht="15.75" customHeight="1">
      <c r="V655" s="7"/>
      <c r="W655" s="7"/>
      <c r="X655" s="7"/>
    </row>
    <row r="656" ht="15.75" customHeight="1">
      <c r="V656" s="7"/>
      <c r="W656" s="7"/>
      <c r="X656" s="7"/>
    </row>
    <row r="657" ht="15.75" customHeight="1">
      <c r="V657" s="7"/>
      <c r="W657" s="7"/>
      <c r="X657" s="7"/>
    </row>
    <row r="658" ht="15.75" customHeight="1">
      <c r="V658" s="7"/>
      <c r="W658" s="7"/>
      <c r="X658" s="7"/>
    </row>
    <row r="659" ht="15.75" customHeight="1">
      <c r="V659" s="7"/>
      <c r="W659" s="7"/>
      <c r="X659" s="7"/>
    </row>
    <row r="660" ht="15.75" customHeight="1">
      <c r="V660" s="7"/>
      <c r="W660" s="7"/>
      <c r="X660" s="7"/>
    </row>
    <row r="661" ht="15.75" customHeight="1">
      <c r="V661" s="7"/>
      <c r="W661" s="7"/>
      <c r="X661" s="7"/>
    </row>
    <row r="662" ht="15.75" customHeight="1">
      <c r="V662" s="7"/>
      <c r="W662" s="7"/>
      <c r="X662" s="7"/>
    </row>
    <row r="663" ht="15.75" customHeight="1">
      <c r="V663" s="7"/>
      <c r="W663" s="7"/>
      <c r="X663" s="7"/>
    </row>
    <row r="664" ht="15.75" customHeight="1">
      <c r="V664" s="7"/>
      <c r="W664" s="7"/>
      <c r="X664" s="7"/>
    </row>
    <row r="665" ht="15.75" customHeight="1">
      <c r="V665" s="7"/>
      <c r="W665" s="7"/>
      <c r="X665" s="7"/>
    </row>
    <row r="666" ht="15.75" customHeight="1">
      <c r="V666" s="7"/>
      <c r="W666" s="7"/>
      <c r="X666" s="7"/>
    </row>
    <row r="667" ht="15.75" customHeight="1">
      <c r="V667" s="7"/>
      <c r="W667" s="7"/>
      <c r="X667" s="7"/>
    </row>
    <row r="668" ht="15.75" customHeight="1">
      <c r="V668" s="7"/>
      <c r="W668" s="7"/>
      <c r="X668" s="7"/>
    </row>
    <row r="669" ht="15.75" customHeight="1">
      <c r="V669" s="7"/>
      <c r="W669" s="7"/>
      <c r="X669" s="7"/>
    </row>
    <row r="670" ht="15.75" customHeight="1">
      <c r="V670" s="7"/>
      <c r="W670" s="7"/>
      <c r="X670" s="7"/>
    </row>
    <row r="671" ht="15.75" customHeight="1">
      <c r="V671" s="7"/>
      <c r="W671" s="7"/>
      <c r="X671" s="7"/>
    </row>
    <row r="672" ht="15.75" customHeight="1">
      <c r="V672" s="7"/>
      <c r="W672" s="7"/>
      <c r="X672" s="7"/>
    </row>
    <row r="673" ht="15.75" customHeight="1">
      <c r="V673" s="7"/>
      <c r="W673" s="7"/>
      <c r="X673" s="7"/>
    </row>
    <row r="674" ht="15.75" customHeight="1">
      <c r="V674" s="7"/>
      <c r="W674" s="7"/>
      <c r="X674" s="7"/>
    </row>
    <row r="675" ht="15.75" customHeight="1">
      <c r="V675" s="7"/>
      <c r="W675" s="7"/>
      <c r="X675" s="7"/>
    </row>
    <row r="676" ht="15.75" customHeight="1">
      <c r="V676" s="7"/>
      <c r="W676" s="7"/>
      <c r="X676" s="7"/>
    </row>
    <row r="677" ht="15.75" customHeight="1">
      <c r="V677" s="7"/>
      <c r="W677" s="7"/>
      <c r="X677" s="7"/>
    </row>
    <row r="678" ht="15.75" customHeight="1">
      <c r="V678" s="7"/>
      <c r="W678" s="7"/>
      <c r="X678" s="7"/>
    </row>
    <row r="679" ht="15.75" customHeight="1">
      <c r="V679" s="7"/>
      <c r="W679" s="7"/>
      <c r="X679" s="7"/>
    </row>
    <row r="680" ht="15.75" customHeight="1">
      <c r="V680" s="7"/>
      <c r="W680" s="7"/>
      <c r="X680" s="7"/>
    </row>
    <row r="681" ht="15.75" customHeight="1">
      <c r="V681" s="7"/>
      <c r="W681" s="7"/>
      <c r="X681" s="7"/>
    </row>
    <row r="682" ht="15.75" customHeight="1">
      <c r="V682" s="7"/>
      <c r="W682" s="7"/>
      <c r="X682" s="7"/>
    </row>
    <row r="683" ht="15.75" customHeight="1">
      <c r="V683" s="7"/>
      <c r="W683" s="7"/>
      <c r="X683" s="7"/>
    </row>
    <row r="684" ht="15.75" customHeight="1">
      <c r="V684" s="7"/>
      <c r="W684" s="7"/>
      <c r="X684" s="7"/>
    </row>
    <row r="685" ht="15.75" customHeight="1">
      <c r="V685" s="7"/>
      <c r="W685" s="7"/>
      <c r="X685" s="7"/>
    </row>
    <row r="686" ht="15.75" customHeight="1">
      <c r="V686" s="7"/>
      <c r="W686" s="7"/>
      <c r="X686" s="7"/>
    </row>
    <row r="687" ht="15.75" customHeight="1">
      <c r="V687" s="7"/>
      <c r="W687" s="7"/>
      <c r="X687" s="7"/>
    </row>
    <row r="688" ht="15.75" customHeight="1">
      <c r="V688" s="7"/>
      <c r="W688" s="7"/>
      <c r="X688" s="7"/>
    </row>
    <row r="689" ht="15.75" customHeight="1">
      <c r="V689" s="7"/>
      <c r="W689" s="7"/>
      <c r="X689" s="7"/>
    </row>
    <row r="690" ht="15.75" customHeight="1">
      <c r="V690" s="7"/>
      <c r="W690" s="7"/>
      <c r="X690" s="7"/>
    </row>
    <row r="691" ht="15.75" customHeight="1">
      <c r="V691" s="7"/>
      <c r="W691" s="7"/>
      <c r="X691" s="7"/>
    </row>
    <row r="692" ht="15.75" customHeight="1">
      <c r="V692" s="7"/>
      <c r="W692" s="7"/>
      <c r="X692" s="7"/>
    </row>
    <row r="693" ht="15.75" customHeight="1">
      <c r="V693" s="7"/>
      <c r="W693" s="7"/>
      <c r="X693" s="7"/>
    </row>
    <row r="694" ht="15.75" customHeight="1">
      <c r="V694" s="7"/>
      <c r="W694" s="7"/>
      <c r="X694" s="7"/>
    </row>
    <row r="695" ht="15.75" customHeight="1">
      <c r="V695" s="7"/>
      <c r="W695" s="7"/>
      <c r="X695" s="7"/>
    </row>
    <row r="696" ht="15.75" customHeight="1">
      <c r="V696" s="7"/>
      <c r="W696" s="7"/>
      <c r="X696" s="7"/>
    </row>
    <row r="697" ht="15.75" customHeight="1">
      <c r="V697" s="7"/>
      <c r="W697" s="7"/>
      <c r="X697" s="7"/>
    </row>
    <row r="698" ht="15.75" customHeight="1">
      <c r="V698" s="7"/>
      <c r="W698" s="7"/>
      <c r="X698" s="7"/>
    </row>
    <row r="699" ht="15.75" customHeight="1">
      <c r="V699" s="7"/>
      <c r="W699" s="7"/>
      <c r="X699" s="7"/>
    </row>
    <row r="700" ht="15.75" customHeight="1">
      <c r="V700" s="7"/>
      <c r="W700" s="7"/>
      <c r="X700" s="7"/>
    </row>
    <row r="701" ht="15.75" customHeight="1">
      <c r="V701" s="7"/>
      <c r="W701" s="7"/>
      <c r="X701" s="7"/>
    </row>
    <row r="702" ht="15.75" customHeight="1">
      <c r="V702" s="7"/>
      <c r="W702" s="7"/>
      <c r="X702" s="7"/>
    </row>
    <row r="703" ht="15.75" customHeight="1">
      <c r="V703" s="7"/>
      <c r="W703" s="7"/>
      <c r="X703" s="7"/>
    </row>
    <row r="704" ht="15.75" customHeight="1">
      <c r="V704" s="7"/>
      <c r="W704" s="7"/>
      <c r="X704" s="7"/>
    </row>
    <row r="705" ht="15.75" customHeight="1">
      <c r="V705" s="7"/>
      <c r="W705" s="7"/>
      <c r="X705" s="7"/>
    </row>
    <row r="706" ht="15.75" customHeight="1">
      <c r="V706" s="7"/>
      <c r="W706" s="7"/>
      <c r="X706" s="7"/>
    </row>
    <row r="707" ht="15.75" customHeight="1">
      <c r="V707" s="7"/>
      <c r="W707" s="7"/>
      <c r="X707" s="7"/>
    </row>
    <row r="708" ht="15.75" customHeight="1">
      <c r="V708" s="7"/>
      <c r="W708" s="7"/>
      <c r="X708" s="7"/>
    </row>
    <row r="709" ht="15.75" customHeight="1">
      <c r="V709" s="7"/>
      <c r="W709" s="7"/>
      <c r="X709" s="7"/>
    </row>
    <row r="710" ht="15.75" customHeight="1">
      <c r="V710" s="7"/>
      <c r="W710" s="7"/>
      <c r="X710" s="7"/>
    </row>
    <row r="711" ht="15.75" customHeight="1">
      <c r="V711" s="7"/>
      <c r="W711" s="7"/>
      <c r="X711" s="7"/>
    </row>
    <row r="712" ht="15.75" customHeight="1">
      <c r="V712" s="7"/>
      <c r="W712" s="7"/>
      <c r="X712" s="7"/>
    </row>
    <row r="713" ht="15.75" customHeight="1">
      <c r="V713" s="7"/>
      <c r="W713" s="7"/>
      <c r="X713" s="7"/>
    </row>
    <row r="714" ht="15.75" customHeight="1">
      <c r="V714" s="7"/>
      <c r="W714" s="7"/>
      <c r="X714" s="7"/>
    </row>
    <row r="715" ht="15.75" customHeight="1">
      <c r="V715" s="7"/>
      <c r="W715" s="7"/>
      <c r="X715" s="7"/>
    </row>
    <row r="716" ht="15.75" customHeight="1">
      <c r="V716" s="7"/>
      <c r="W716" s="7"/>
      <c r="X716" s="7"/>
    </row>
    <row r="717" ht="15.75" customHeight="1">
      <c r="V717" s="7"/>
      <c r="W717" s="7"/>
      <c r="X717" s="7"/>
    </row>
    <row r="718" ht="15.75" customHeight="1">
      <c r="V718" s="7"/>
      <c r="W718" s="7"/>
      <c r="X718" s="7"/>
    </row>
    <row r="719" ht="15.75" customHeight="1">
      <c r="V719" s="7"/>
      <c r="W719" s="7"/>
      <c r="X719" s="7"/>
    </row>
    <row r="720" ht="15.75" customHeight="1">
      <c r="V720" s="7"/>
      <c r="W720" s="7"/>
      <c r="X720" s="7"/>
    </row>
    <row r="721" ht="15.75" customHeight="1">
      <c r="V721" s="7"/>
      <c r="W721" s="7"/>
      <c r="X721" s="7"/>
    </row>
    <row r="722" ht="15.75" customHeight="1">
      <c r="V722" s="7"/>
      <c r="W722" s="7"/>
      <c r="X722" s="7"/>
    </row>
    <row r="723" ht="15.75" customHeight="1">
      <c r="V723" s="7"/>
      <c r="W723" s="7"/>
      <c r="X723" s="7"/>
    </row>
    <row r="724" ht="15.75" customHeight="1">
      <c r="V724" s="7"/>
      <c r="W724" s="7"/>
      <c r="X724" s="7"/>
    </row>
    <row r="725" ht="15.75" customHeight="1">
      <c r="V725" s="7"/>
      <c r="W725" s="7"/>
      <c r="X725" s="7"/>
    </row>
    <row r="726" ht="15.75" customHeight="1">
      <c r="V726" s="7"/>
      <c r="W726" s="7"/>
      <c r="X726" s="7"/>
    </row>
    <row r="727" ht="15.75" customHeight="1">
      <c r="V727" s="7"/>
      <c r="W727" s="7"/>
      <c r="X727" s="7"/>
    </row>
    <row r="728" ht="15.75" customHeight="1">
      <c r="V728" s="7"/>
      <c r="W728" s="7"/>
      <c r="X728" s="7"/>
    </row>
    <row r="729" ht="15.75" customHeight="1">
      <c r="V729" s="7"/>
      <c r="W729" s="7"/>
      <c r="X729" s="7"/>
    </row>
    <row r="730" ht="15.75" customHeight="1">
      <c r="V730" s="7"/>
      <c r="W730" s="7"/>
      <c r="X730" s="7"/>
    </row>
    <row r="731" ht="15.75" customHeight="1">
      <c r="V731" s="7"/>
      <c r="W731" s="7"/>
      <c r="X731" s="7"/>
    </row>
    <row r="732" ht="15.75" customHeight="1">
      <c r="V732" s="7"/>
      <c r="W732" s="7"/>
      <c r="X732" s="7"/>
    </row>
    <row r="733" ht="15.75" customHeight="1">
      <c r="V733" s="7"/>
      <c r="W733" s="7"/>
      <c r="X733" s="7"/>
    </row>
    <row r="734" ht="15.75" customHeight="1">
      <c r="V734" s="7"/>
      <c r="W734" s="7"/>
      <c r="X734" s="7"/>
    </row>
    <row r="735" ht="15.75" customHeight="1">
      <c r="V735" s="7"/>
      <c r="W735" s="7"/>
      <c r="X735" s="7"/>
    </row>
    <row r="736" ht="15.75" customHeight="1">
      <c r="V736" s="7"/>
      <c r="W736" s="7"/>
      <c r="X736" s="7"/>
    </row>
    <row r="737" ht="15.75" customHeight="1">
      <c r="V737" s="7"/>
      <c r="W737" s="7"/>
      <c r="X737" s="7"/>
    </row>
    <row r="738" ht="15.75" customHeight="1">
      <c r="V738" s="7"/>
      <c r="W738" s="7"/>
      <c r="X738" s="7"/>
    </row>
    <row r="739" ht="15.75" customHeight="1">
      <c r="V739" s="7"/>
      <c r="W739" s="7"/>
      <c r="X739" s="7"/>
    </row>
    <row r="740" ht="15.75" customHeight="1">
      <c r="V740" s="7"/>
      <c r="W740" s="7"/>
      <c r="X740" s="7"/>
    </row>
    <row r="741" ht="15.75" customHeight="1">
      <c r="V741" s="7"/>
      <c r="W741" s="7"/>
      <c r="X741" s="7"/>
    </row>
    <row r="742" ht="15.75" customHeight="1">
      <c r="V742" s="7"/>
      <c r="W742" s="7"/>
      <c r="X742" s="7"/>
    </row>
    <row r="743" ht="15.75" customHeight="1">
      <c r="V743" s="7"/>
      <c r="W743" s="7"/>
      <c r="X743" s="7"/>
    </row>
    <row r="744" ht="15.75" customHeight="1">
      <c r="V744" s="7"/>
      <c r="W744" s="7"/>
      <c r="X744" s="7"/>
    </row>
    <row r="745" ht="15.75" customHeight="1">
      <c r="V745" s="7"/>
      <c r="W745" s="7"/>
      <c r="X745" s="7"/>
    </row>
    <row r="746" ht="15.75" customHeight="1">
      <c r="V746" s="7"/>
      <c r="W746" s="7"/>
      <c r="X746" s="7"/>
    </row>
    <row r="747" ht="15.75" customHeight="1">
      <c r="V747" s="7"/>
      <c r="W747" s="7"/>
      <c r="X747" s="7"/>
    </row>
    <row r="748" ht="15.75" customHeight="1">
      <c r="V748" s="7"/>
      <c r="W748" s="7"/>
      <c r="X748" s="7"/>
    </row>
    <row r="749" ht="15.75" customHeight="1">
      <c r="V749" s="7"/>
      <c r="W749" s="7"/>
      <c r="X749" s="7"/>
    </row>
    <row r="750" ht="15.75" customHeight="1">
      <c r="V750" s="7"/>
      <c r="W750" s="7"/>
      <c r="X750" s="7"/>
    </row>
    <row r="751" ht="15.75" customHeight="1">
      <c r="V751" s="7"/>
      <c r="W751" s="7"/>
      <c r="X751" s="7"/>
    </row>
    <row r="752" ht="15.75" customHeight="1">
      <c r="V752" s="7"/>
      <c r="W752" s="7"/>
      <c r="X752" s="7"/>
    </row>
    <row r="753" ht="15.75" customHeight="1">
      <c r="V753" s="7"/>
      <c r="W753" s="7"/>
      <c r="X753" s="7"/>
    </row>
    <row r="754" ht="15.75" customHeight="1">
      <c r="V754" s="7"/>
      <c r="W754" s="7"/>
      <c r="X754" s="7"/>
    </row>
    <row r="755" ht="15.75" customHeight="1">
      <c r="V755" s="7"/>
      <c r="W755" s="7"/>
      <c r="X755" s="7"/>
    </row>
    <row r="756" ht="15.75" customHeight="1">
      <c r="V756" s="7"/>
      <c r="W756" s="7"/>
      <c r="X756" s="7"/>
    </row>
    <row r="757" ht="15.75" customHeight="1">
      <c r="V757" s="7"/>
      <c r="W757" s="7"/>
      <c r="X757" s="7"/>
    </row>
    <row r="758" ht="15.75" customHeight="1">
      <c r="V758" s="7"/>
      <c r="W758" s="7"/>
      <c r="X758" s="7"/>
    </row>
    <row r="759" ht="15.75" customHeight="1">
      <c r="V759" s="7"/>
      <c r="W759" s="7"/>
      <c r="X759" s="7"/>
    </row>
    <row r="760" ht="15.75" customHeight="1">
      <c r="V760" s="7"/>
      <c r="W760" s="7"/>
      <c r="X760" s="7"/>
    </row>
    <row r="761" ht="15.75" customHeight="1">
      <c r="V761" s="7"/>
      <c r="W761" s="7"/>
      <c r="X761" s="7"/>
    </row>
    <row r="762" ht="15.75" customHeight="1">
      <c r="V762" s="7"/>
      <c r="W762" s="7"/>
      <c r="X762" s="7"/>
    </row>
    <row r="763" ht="15.75" customHeight="1">
      <c r="V763" s="7"/>
      <c r="W763" s="7"/>
      <c r="X763" s="7"/>
    </row>
    <row r="764" ht="15.75" customHeight="1">
      <c r="V764" s="7"/>
      <c r="W764" s="7"/>
      <c r="X764" s="7"/>
    </row>
    <row r="765" ht="15.75" customHeight="1">
      <c r="V765" s="7"/>
      <c r="W765" s="7"/>
      <c r="X765" s="7"/>
    </row>
    <row r="766" ht="15.75" customHeight="1">
      <c r="V766" s="7"/>
      <c r="W766" s="7"/>
      <c r="X766" s="7"/>
    </row>
    <row r="767" ht="15.75" customHeight="1">
      <c r="V767" s="7"/>
      <c r="W767" s="7"/>
      <c r="X767" s="7"/>
    </row>
    <row r="768" ht="15.75" customHeight="1">
      <c r="V768" s="7"/>
      <c r="W768" s="7"/>
      <c r="X768" s="7"/>
    </row>
    <row r="769" ht="15.75" customHeight="1">
      <c r="V769" s="7"/>
      <c r="W769" s="7"/>
      <c r="X769" s="7"/>
    </row>
    <row r="770" ht="15.75" customHeight="1">
      <c r="V770" s="7"/>
      <c r="W770" s="7"/>
      <c r="X770" s="7"/>
    </row>
    <row r="771" ht="15.75" customHeight="1">
      <c r="V771" s="7"/>
      <c r="W771" s="7"/>
      <c r="X771" s="7"/>
    </row>
    <row r="772" ht="15.75" customHeight="1">
      <c r="V772" s="7"/>
      <c r="W772" s="7"/>
      <c r="X772" s="7"/>
    </row>
    <row r="773" ht="15.75" customHeight="1">
      <c r="V773" s="7"/>
      <c r="W773" s="7"/>
      <c r="X773" s="7"/>
    </row>
    <row r="774" ht="15.75" customHeight="1">
      <c r="V774" s="7"/>
      <c r="W774" s="7"/>
      <c r="X774" s="7"/>
    </row>
    <row r="775" ht="15.75" customHeight="1">
      <c r="V775" s="7"/>
      <c r="W775" s="7"/>
      <c r="X775" s="7"/>
    </row>
    <row r="776" ht="15.75" customHeight="1">
      <c r="V776" s="7"/>
      <c r="W776" s="7"/>
      <c r="X776" s="7"/>
    </row>
    <row r="777" ht="15.75" customHeight="1">
      <c r="V777" s="7"/>
      <c r="W777" s="7"/>
      <c r="X777" s="7"/>
    </row>
    <row r="778" ht="15.75" customHeight="1">
      <c r="V778" s="7"/>
      <c r="W778" s="7"/>
      <c r="X778" s="7"/>
    </row>
    <row r="779" ht="15.75" customHeight="1">
      <c r="V779" s="7"/>
      <c r="W779" s="7"/>
      <c r="X779" s="7"/>
    </row>
    <row r="780" ht="15.75" customHeight="1">
      <c r="V780" s="7"/>
      <c r="W780" s="7"/>
      <c r="X780" s="7"/>
    </row>
    <row r="781" ht="15.75" customHeight="1">
      <c r="V781" s="7"/>
      <c r="W781" s="7"/>
      <c r="X781" s="7"/>
    </row>
    <row r="782" ht="15.75" customHeight="1">
      <c r="V782" s="7"/>
      <c r="W782" s="7"/>
      <c r="X782" s="7"/>
    </row>
    <row r="783" ht="15.75" customHeight="1">
      <c r="V783" s="7"/>
      <c r="W783" s="7"/>
      <c r="X783" s="7"/>
    </row>
    <row r="784" ht="15.75" customHeight="1">
      <c r="V784" s="7"/>
      <c r="W784" s="7"/>
      <c r="X784" s="7"/>
    </row>
    <row r="785" ht="15.75" customHeight="1">
      <c r="V785" s="7"/>
      <c r="W785" s="7"/>
      <c r="X785" s="7"/>
    </row>
    <row r="786" ht="15.75" customHeight="1">
      <c r="V786" s="7"/>
      <c r="W786" s="7"/>
      <c r="X786" s="7"/>
    </row>
    <row r="787" ht="15.75" customHeight="1">
      <c r="V787" s="7"/>
      <c r="W787" s="7"/>
      <c r="X787" s="7"/>
    </row>
    <row r="788" ht="15.75" customHeight="1">
      <c r="V788" s="7"/>
      <c r="W788" s="7"/>
      <c r="X788" s="7"/>
    </row>
    <row r="789" ht="15.75" customHeight="1">
      <c r="V789" s="7"/>
      <c r="W789" s="7"/>
      <c r="X789" s="7"/>
    </row>
    <row r="790" ht="15.75" customHeight="1">
      <c r="V790" s="7"/>
      <c r="W790" s="7"/>
      <c r="X790" s="7"/>
    </row>
    <row r="791" ht="15.75" customHeight="1">
      <c r="V791" s="7"/>
      <c r="W791" s="7"/>
      <c r="X791" s="7"/>
    </row>
    <row r="792" ht="15.75" customHeight="1">
      <c r="V792" s="7"/>
      <c r="W792" s="7"/>
      <c r="X792" s="7"/>
    </row>
    <row r="793" ht="15.75" customHeight="1">
      <c r="V793" s="7"/>
      <c r="W793" s="7"/>
      <c r="X793" s="7"/>
    </row>
    <row r="794" ht="15.75" customHeight="1">
      <c r="V794" s="7"/>
      <c r="W794" s="7"/>
      <c r="X794" s="7"/>
    </row>
    <row r="795" ht="15.75" customHeight="1">
      <c r="V795" s="7"/>
      <c r="W795" s="7"/>
      <c r="X795" s="7"/>
    </row>
    <row r="796" ht="15.75" customHeight="1">
      <c r="V796" s="7"/>
      <c r="W796" s="7"/>
      <c r="X796" s="7"/>
    </row>
    <row r="797" ht="15.75" customHeight="1">
      <c r="V797" s="7"/>
      <c r="W797" s="7"/>
      <c r="X797" s="7"/>
    </row>
    <row r="798" ht="15.75" customHeight="1">
      <c r="V798" s="7"/>
      <c r="W798" s="7"/>
      <c r="X798" s="7"/>
    </row>
    <row r="799" ht="15.75" customHeight="1">
      <c r="V799" s="7"/>
      <c r="W799" s="7"/>
      <c r="X799" s="7"/>
    </row>
    <row r="800" ht="15.75" customHeight="1">
      <c r="V800" s="7"/>
      <c r="W800" s="7"/>
      <c r="X800" s="7"/>
    </row>
    <row r="801" ht="15.75" customHeight="1">
      <c r="V801" s="7"/>
      <c r="W801" s="7"/>
      <c r="X801" s="7"/>
    </row>
    <row r="802" ht="15.75" customHeight="1">
      <c r="V802" s="7"/>
      <c r="W802" s="7"/>
      <c r="X802" s="7"/>
    </row>
    <row r="803" ht="15.75" customHeight="1">
      <c r="V803" s="7"/>
      <c r="W803" s="7"/>
      <c r="X803" s="7"/>
    </row>
    <row r="804" ht="15.75" customHeight="1">
      <c r="V804" s="7"/>
      <c r="W804" s="7"/>
      <c r="X804" s="7"/>
    </row>
    <row r="805" ht="15.75" customHeight="1">
      <c r="V805" s="7"/>
      <c r="W805" s="7"/>
      <c r="X805" s="7"/>
    </row>
    <row r="806" ht="15.75" customHeight="1">
      <c r="V806" s="7"/>
      <c r="W806" s="7"/>
      <c r="X806" s="7"/>
    </row>
    <row r="807" ht="15.75" customHeight="1">
      <c r="V807" s="7"/>
      <c r="W807" s="7"/>
      <c r="X807" s="7"/>
    </row>
    <row r="808" ht="15.75" customHeight="1">
      <c r="V808" s="7"/>
      <c r="W808" s="7"/>
      <c r="X808" s="7"/>
    </row>
    <row r="809" ht="15.75" customHeight="1">
      <c r="V809" s="7"/>
      <c r="W809" s="7"/>
      <c r="X809" s="7"/>
    </row>
    <row r="810" ht="15.75" customHeight="1">
      <c r="V810" s="7"/>
      <c r="W810" s="7"/>
      <c r="X810" s="7"/>
    </row>
    <row r="811" ht="15.75" customHeight="1">
      <c r="V811" s="7"/>
      <c r="W811" s="7"/>
      <c r="X811" s="7"/>
    </row>
    <row r="812" ht="15.75" customHeight="1">
      <c r="V812" s="7"/>
      <c r="W812" s="7"/>
      <c r="X812" s="7"/>
    </row>
    <row r="813" ht="15.75" customHeight="1">
      <c r="V813" s="7"/>
      <c r="W813" s="7"/>
      <c r="X813" s="7"/>
    </row>
    <row r="814" ht="15.75" customHeight="1">
      <c r="V814" s="7"/>
      <c r="W814" s="7"/>
      <c r="X814" s="7"/>
    </row>
    <row r="815" ht="15.75" customHeight="1">
      <c r="V815" s="7"/>
      <c r="W815" s="7"/>
      <c r="X815" s="7"/>
    </row>
    <row r="816" ht="15.75" customHeight="1">
      <c r="V816" s="7"/>
      <c r="W816" s="7"/>
      <c r="X816" s="7"/>
    </row>
    <row r="817" ht="15.75" customHeight="1">
      <c r="V817" s="7"/>
      <c r="W817" s="7"/>
      <c r="X817" s="7"/>
    </row>
    <row r="818" ht="15.75" customHeight="1">
      <c r="V818" s="7"/>
      <c r="W818" s="7"/>
      <c r="X818" s="7"/>
    </row>
    <row r="819" ht="15.75" customHeight="1">
      <c r="V819" s="7"/>
      <c r="W819" s="7"/>
      <c r="X819" s="7"/>
    </row>
    <row r="820" ht="15.75" customHeight="1">
      <c r="V820" s="7"/>
      <c r="W820" s="7"/>
      <c r="X820" s="7"/>
    </row>
    <row r="821" ht="15.75" customHeight="1">
      <c r="V821" s="7"/>
      <c r="W821" s="7"/>
      <c r="X821" s="7"/>
    </row>
    <row r="822" ht="15.75" customHeight="1">
      <c r="V822" s="7"/>
      <c r="W822" s="7"/>
      <c r="X822" s="7"/>
    </row>
    <row r="823" ht="15.75" customHeight="1">
      <c r="V823" s="7"/>
      <c r="W823" s="7"/>
      <c r="X823" s="7"/>
    </row>
    <row r="824" ht="15.75" customHeight="1">
      <c r="V824" s="7"/>
      <c r="W824" s="7"/>
      <c r="X824" s="7"/>
    </row>
    <row r="825" ht="15.75" customHeight="1">
      <c r="V825" s="7"/>
      <c r="W825" s="7"/>
      <c r="X825" s="7"/>
    </row>
    <row r="826" ht="15.75" customHeight="1">
      <c r="V826" s="7"/>
      <c r="W826" s="7"/>
      <c r="X826" s="7"/>
    </row>
    <row r="827" ht="15.75" customHeight="1">
      <c r="V827" s="7"/>
      <c r="W827" s="7"/>
      <c r="X827" s="7"/>
    </row>
    <row r="828" ht="15.75" customHeight="1">
      <c r="V828" s="7"/>
      <c r="W828" s="7"/>
      <c r="X828" s="7"/>
    </row>
    <row r="829" ht="15.75" customHeight="1">
      <c r="V829" s="7"/>
      <c r="W829" s="7"/>
      <c r="X829" s="7"/>
    </row>
    <row r="830" ht="15.75" customHeight="1">
      <c r="V830" s="7"/>
      <c r="W830" s="7"/>
      <c r="X830" s="7"/>
    </row>
    <row r="831" ht="15.75" customHeight="1">
      <c r="V831" s="7"/>
      <c r="W831" s="7"/>
      <c r="X831" s="7"/>
    </row>
    <row r="832" ht="15.75" customHeight="1">
      <c r="V832" s="7"/>
      <c r="W832" s="7"/>
      <c r="X832" s="7"/>
    </row>
    <row r="833" ht="15.75" customHeight="1">
      <c r="V833" s="7"/>
      <c r="W833" s="7"/>
      <c r="X833" s="7"/>
    </row>
    <row r="834" ht="15.75" customHeight="1">
      <c r="V834" s="7"/>
      <c r="W834" s="7"/>
      <c r="X834" s="7"/>
    </row>
    <row r="835" ht="15.75" customHeight="1">
      <c r="V835" s="7"/>
      <c r="W835" s="7"/>
      <c r="X835" s="7"/>
    </row>
    <row r="836" ht="15.75" customHeight="1">
      <c r="V836" s="7"/>
      <c r="W836" s="7"/>
      <c r="X836" s="7"/>
    </row>
    <row r="837" ht="15.75" customHeight="1">
      <c r="V837" s="7"/>
      <c r="W837" s="7"/>
      <c r="X837" s="7"/>
    </row>
    <row r="838" ht="15.75" customHeight="1">
      <c r="V838" s="7"/>
      <c r="W838" s="7"/>
      <c r="X838" s="7"/>
    </row>
    <row r="839" ht="15.75" customHeight="1">
      <c r="V839" s="7"/>
      <c r="W839" s="7"/>
      <c r="X839" s="7"/>
    </row>
    <row r="840" ht="15.75" customHeight="1">
      <c r="V840" s="7"/>
      <c r="W840" s="7"/>
      <c r="X840" s="7"/>
    </row>
    <row r="841" ht="15.75" customHeight="1">
      <c r="V841" s="7"/>
      <c r="W841" s="7"/>
      <c r="X841" s="7"/>
    </row>
    <row r="842" ht="15.75" customHeight="1">
      <c r="V842" s="7"/>
      <c r="W842" s="7"/>
      <c r="X842" s="7"/>
    </row>
    <row r="843" ht="15.75" customHeight="1">
      <c r="V843" s="7"/>
      <c r="W843" s="7"/>
      <c r="X843" s="7"/>
    </row>
    <row r="844" ht="15.75" customHeight="1">
      <c r="V844" s="7"/>
      <c r="W844" s="7"/>
      <c r="X844" s="7"/>
    </row>
    <row r="845" ht="15.75" customHeight="1">
      <c r="V845" s="7"/>
      <c r="W845" s="7"/>
      <c r="X845" s="7"/>
    </row>
    <row r="846" ht="15.75" customHeight="1">
      <c r="V846" s="7"/>
      <c r="W846" s="7"/>
      <c r="X846" s="7"/>
    </row>
    <row r="847" ht="15.75" customHeight="1">
      <c r="V847" s="7"/>
      <c r="W847" s="7"/>
      <c r="X847" s="7"/>
    </row>
    <row r="848" ht="15.75" customHeight="1">
      <c r="V848" s="7"/>
      <c r="W848" s="7"/>
      <c r="X848" s="7"/>
    </row>
    <row r="849" ht="15.75" customHeight="1">
      <c r="V849" s="7"/>
      <c r="W849" s="7"/>
      <c r="X849" s="7"/>
    </row>
    <row r="850" ht="15.75" customHeight="1">
      <c r="V850" s="7"/>
      <c r="W850" s="7"/>
      <c r="X850" s="7"/>
    </row>
    <row r="851" ht="15.75" customHeight="1">
      <c r="V851" s="7"/>
      <c r="W851" s="7"/>
      <c r="X851" s="7"/>
    </row>
    <row r="852" ht="15.75" customHeight="1">
      <c r="V852" s="7"/>
      <c r="W852" s="7"/>
      <c r="X852" s="7"/>
    </row>
    <row r="853" ht="15.75" customHeight="1">
      <c r="V853" s="7"/>
      <c r="W853" s="7"/>
      <c r="X853" s="7"/>
    </row>
    <row r="854" ht="15.75" customHeight="1">
      <c r="V854" s="7"/>
      <c r="W854" s="7"/>
      <c r="X854" s="7"/>
    </row>
    <row r="855" ht="15.75" customHeight="1">
      <c r="V855" s="7"/>
      <c r="W855" s="7"/>
      <c r="X855" s="7"/>
    </row>
    <row r="856" ht="15.75" customHeight="1">
      <c r="V856" s="7"/>
      <c r="W856" s="7"/>
      <c r="X856" s="7"/>
    </row>
    <row r="857" ht="15.75" customHeight="1">
      <c r="V857" s="7"/>
      <c r="W857" s="7"/>
      <c r="X857" s="7"/>
    </row>
    <row r="858" ht="15.75" customHeight="1">
      <c r="V858" s="7"/>
      <c r="W858" s="7"/>
      <c r="X858" s="7"/>
    </row>
    <row r="859" ht="15.75" customHeight="1">
      <c r="V859" s="7"/>
      <c r="W859" s="7"/>
      <c r="X859" s="7"/>
    </row>
    <row r="860" ht="15.75" customHeight="1">
      <c r="V860" s="7"/>
      <c r="W860" s="7"/>
      <c r="X860" s="7"/>
    </row>
    <row r="861" ht="15.75" customHeight="1">
      <c r="V861" s="7"/>
      <c r="W861" s="7"/>
      <c r="X861" s="7"/>
    </row>
    <row r="862" ht="15.75" customHeight="1">
      <c r="V862" s="7"/>
      <c r="W862" s="7"/>
      <c r="X862" s="7"/>
    </row>
    <row r="863" ht="15.75" customHeight="1">
      <c r="V863" s="7"/>
      <c r="W863" s="7"/>
      <c r="X863" s="7"/>
    </row>
    <row r="864" ht="15.75" customHeight="1">
      <c r="V864" s="7"/>
      <c r="W864" s="7"/>
      <c r="X864" s="7"/>
    </row>
    <row r="865" ht="15.75" customHeight="1">
      <c r="V865" s="7"/>
      <c r="W865" s="7"/>
      <c r="X865" s="7"/>
    </row>
    <row r="866" ht="15.75" customHeight="1">
      <c r="V866" s="7"/>
      <c r="W866" s="7"/>
      <c r="X866" s="7"/>
    </row>
    <row r="867" ht="15.75" customHeight="1">
      <c r="V867" s="7"/>
      <c r="W867" s="7"/>
      <c r="X867" s="7"/>
    </row>
    <row r="868" ht="15.75" customHeight="1">
      <c r="V868" s="7"/>
      <c r="W868" s="7"/>
      <c r="X868" s="7"/>
    </row>
    <row r="869" ht="15.75" customHeight="1">
      <c r="V869" s="7"/>
      <c r="W869" s="7"/>
      <c r="X869" s="7"/>
    </row>
    <row r="870" ht="15.75" customHeight="1">
      <c r="V870" s="7"/>
      <c r="W870" s="7"/>
      <c r="X870" s="7"/>
    </row>
    <row r="871" ht="15.75" customHeight="1">
      <c r="V871" s="7"/>
      <c r="W871" s="7"/>
      <c r="X871" s="7"/>
    </row>
    <row r="872" ht="15.75" customHeight="1">
      <c r="V872" s="7"/>
      <c r="W872" s="7"/>
      <c r="X872" s="7"/>
    </row>
    <row r="873" ht="15.75" customHeight="1">
      <c r="V873" s="7"/>
      <c r="W873" s="7"/>
      <c r="X873" s="7"/>
    </row>
    <row r="874" ht="15.75" customHeight="1">
      <c r="V874" s="7"/>
      <c r="W874" s="7"/>
      <c r="X874" s="7"/>
    </row>
    <row r="875" ht="15.75" customHeight="1">
      <c r="V875" s="7"/>
      <c r="W875" s="7"/>
      <c r="X875" s="7"/>
    </row>
    <row r="876" ht="15.75" customHeight="1">
      <c r="V876" s="7"/>
      <c r="W876" s="7"/>
      <c r="X876" s="7"/>
    </row>
    <row r="877" ht="15.75" customHeight="1">
      <c r="V877" s="7"/>
      <c r="W877" s="7"/>
      <c r="X877" s="7"/>
    </row>
    <row r="878" ht="15.75" customHeight="1">
      <c r="V878" s="7"/>
      <c r="W878" s="7"/>
      <c r="X878" s="7"/>
    </row>
    <row r="879" ht="15.75" customHeight="1">
      <c r="V879" s="7"/>
      <c r="W879" s="7"/>
      <c r="X879" s="7"/>
    </row>
    <row r="880" ht="15.75" customHeight="1">
      <c r="V880" s="7"/>
      <c r="W880" s="7"/>
      <c r="X880" s="7"/>
    </row>
    <row r="881" ht="15.75" customHeight="1">
      <c r="V881" s="7"/>
      <c r="W881" s="7"/>
      <c r="X881" s="7"/>
    </row>
    <row r="882" ht="15.75" customHeight="1">
      <c r="V882" s="7"/>
      <c r="W882" s="7"/>
      <c r="X882" s="7"/>
    </row>
    <row r="883" ht="15.75" customHeight="1">
      <c r="V883" s="7"/>
      <c r="W883" s="7"/>
      <c r="X883" s="7"/>
    </row>
    <row r="884" ht="15.75" customHeight="1">
      <c r="V884" s="7"/>
      <c r="W884" s="7"/>
      <c r="X884" s="7"/>
    </row>
    <row r="885" ht="15.75" customHeight="1">
      <c r="V885" s="7"/>
      <c r="W885" s="7"/>
      <c r="X885" s="7"/>
    </row>
    <row r="886" ht="15.75" customHeight="1">
      <c r="V886" s="7"/>
      <c r="W886" s="7"/>
      <c r="X886" s="7"/>
    </row>
    <row r="887" ht="15.75" customHeight="1">
      <c r="V887" s="7"/>
      <c r="W887" s="7"/>
      <c r="X887" s="7"/>
    </row>
    <row r="888" ht="15.75" customHeight="1">
      <c r="V888" s="7"/>
      <c r="W888" s="7"/>
      <c r="X888" s="7"/>
    </row>
    <row r="889" ht="15.75" customHeight="1">
      <c r="V889" s="7"/>
      <c r="W889" s="7"/>
      <c r="X889" s="7"/>
    </row>
    <row r="890" ht="15.75" customHeight="1">
      <c r="V890" s="7"/>
      <c r="W890" s="7"/>
      <c r="X890" s="7"/>
    </row>
    <row r="891" ht="15.75" customHeight="1">
      <c r="V891" s="7"/>
      <c r="W891" s="7"/>
      <c r="X891" s="7"/>
    </row>
    <row r="892" ht="15.75" customHeight="1">
      <c r="V892" s="7"/>
      <c r="W892" s="7"/>
      <c r="X892" s="7"/>
    </row>
    <row r="893" ht="15.75" customHeight="1">
      <c r="V893" s="7"/>
      <c r="W893" s="7"/>
      <c r="X893" s="7"/>
    </row>
    <row r="894" ht="15.75" customHeight="1">
      <c r="V894" s="7"/>
      <c r="W894" s="7"/>
      <c r="X894" s="7"/>
    </row>
    <row r="895" ht="15.75" customHeight="1">
      <c r="V895" s="7"/>
      <c r="W895" s="7"/>
      <c r="X895" s="7"/>
    </row>
    <row r="896" ht="15.75" customHeight="1">
      <c r="V896" s="7"/>
      <c r="W896" s="7"/>
      <c r="X896" s="7"/>
    </row>
    <row r="897" ht="15.75" customHeight="1">
      <c r="V897" s="7"/>
      <c r="W897" s="7"/>
      <c r="X897" s="7"/>
    </row>
    <row r="898" ht="15.75" customHeight="1">
      <c r="V898" s="7"/>
      <c r="W898" s="7"/>
      <c r="X898" s="7"/>
    </row>
    <row r="899" ht="15.75" customHeight="1">
      <c r="V899" s="7"/>
      <c r="W899" s="7"/>
      <c r="X899" s="7"/>
    </row>
    <row r="900" ht="15.75" customHeight="1">
      <c r="V900" s="7"/>
      <c r="W900" s="7"/>
      <c r="X900" s="7"/>
    </row>
    <row r="901" ht="15.75" customHeight="1">
      <c r="V901" s="7"/>
      <c r="W901" s="7"/>
      <c r="X901" s="7"/>
    </row>
    <row r="902" ht="15.75" customHeight="1">
      <c r="V902" s="7"/>
      <c r="W902" s="7"/>
      <c r="X902" s="7"/>
    </row>
    <row r="903" ht="15.75" customHeight="1">
      <c r="V903" s="7"/>
      <c r="W903" s="7"/>
      <c r="X903" s="7"/>
    </row>
    <row r="904" ht="15.75" customHeight="1">
      <c r="V904" s="7"/>
      <c r="W904" s="7"/>
      <c r="X904" s="7"/>
    </row>
    <row r="905" ht="15.75" customHeight="1">
      <c r="V905" s="7"/>
      <c r="W905" s="7"/>
      <c r="X905" s="7"/>
    </row>
    <row r="906" ht="15.75" customHeight="1">
      <c r="V906" s="7"/>
      <c r="W906" s="7"/>
      <c r="X906" s="7"/>
    </row>
    <row r="907" ht="15.75" customHeight="1">
      <c r="V907" s="7"/>
      <c r="W907" s="7"/>
      <c r="X907" s="7"/>
    </row>
    <row r="908" ht="15.75" customHeight="1">
      <c r="V908" s="7"/>
      <c r="W908" s="7"/>
      <c r="X908" s="7"/>
    </row>
    <row r="909" ht="15.75" customHeight="1">
      <c r="V909" s="7"/>
      <c r="W909" s="7"/>
      <c r="X909" s="7"/>
    </row>
    <row r="910" ht="15.75" customHeight="1">
      <c r="V910" s="7"/>
      <c r="W910" s="7"/>
      <c r="X910" s="7"/>
    </row>
    <row r="911" ht="15.75" customHeight="1">
      <c r="V911" s="7"/>
      <c r="W911" s="7"/>
      <c r="X911" s="7"/>
    </row>
    <row r="912" ht="15.75" customHeight="1">
      <c r="V912" s="7"/>
      <c r="W912" s="7"/>
      <c r="X912" s="7"/>
    </row>
    <row r="913" ht="15.75" customHeight="1">
      <c r="V913" s="7"/>
      <c r="W913" s="7"/>
      <c r="X913" s="7"/>
    </row>
    <row r="914" ht="15.75" customHeight="1">
      <c r="V914" s="7"/>
      <c r="W914" s="7"/>
      <c r="X914" s="7"/>
    </row>
    <row r="915" ht="15.75" customHeight="1">
      <c r="V915" s="7"/>
      <c r="W915" s="7"/>
      <c r="X915" s="7"/>
    </row>
    <row r="916" ht="15.75" customHeight="1">
      <c r="V916" s="7"/>
      <c r="W916" s="7"/>
      <c r="X916" s="7"/>
    </row>
    <row r="917" ht="15.75" customHeight="1">
      <c r="V917" s="7"/>
      <c r="W917" s="7"/>
      <c r="X917" s="7"/>
    </row>
    <row r="918" ht="15.75" customHeight="1">
      <c r="V918" s="7"/>
      <c r="W918" s="7"/>
      <c r="X918" s="7"/>
    </row>
    <row r="919" ht="15.75" customHeight="1">
      <c r="V919" s="7"/>
      <c r="W919" s="7"/>
      <c r="X919" s="7"/>
    </row>
    <row r="920" ht="15.75" customHeight="1">
      <c r="V920" s="7"/>
      <c r="W920" s="7"/>
      <c r="X920" s="7"/>
    </row>
    <row r="921" ht="15.75" customHeight="1">
      <c r="V921" s="7"/>
      <c r="W921" s="7"/>
      <c r="X921" s="7"/>
    </row>
    <row r="922" ht="15.75" customHeight="1">
      <c r="V922" s="7"/>
      <c r="W922" s="7"/>
      <c r="X922" s="7"/>
    </row>
    <row r="923" ht="15.75" customHeight="1">
      <c r="V923" s="7"/>
      <c r="W923" s="7"/>
      <c r="X923" s="7"/>
    </row>
    <row r="924" ht="15.75" customHeight="1">
      <c r="V924" s="7"/>
      <c r="W924" s="7"/>
      <c r="X924" s="7"/>
    </row>
    <row r="925" ht="15.75" customHeight="1">
      <c r="V925" s="7"/>
      <c r="W925" s="7"/>
      <c r="X925" s="7"/>
    </row>
    <row r="926" ht="15.75" customHeight="1">
      <c r="V926" s="7"/>
      <c r="W926" s="7"/>
      <c r="X926" s="7"/>
    </row>
    <row r="927" ht="15.75" customHeight="1">
      <c r="V927" s="7"/>
      <c r="W927" s="7"/>
      <c r="X927" s="7"/>
    </row>
    <row r="928" ht="15.75" customHeight="1">
      <c r="V928" s="7"/>
      <c r="W928" s="7"/>
      <c r="X928" s="7"/>
    </row>
    <row r="929" ht="15.75" customHeight="1">
      <c r="V929" s="7"/>
      <c r="W929" s="7"/>
      <c r="X929" s="7"/>
    </row>
    <row r="930" ht="15.75" customHeight="1">
      <c r="V930" s="7"/>
      <c r="W930" s="7"/>
      <c r="X930" s="7"/>
    </row>
    <row r="931" ht="15.75" customHeight="1">
      <c r="V931" s="7"/>
      <c r="W931" s="7"/>
      <c r="X931" s="7"/>
    </row>
    <row r="932" ht="15.75" customHeight="1">
      <c r="V932" s="7"/>
      <c r="W932" s="7"/>
      <c r="X932" s="7"/>
    </row>
    <row r="933" ht="15.75" customHeight="1">
      <c r="V933" s="7"/>
      <c r="W933" s="7"/>
      <c r="X933" s="7"/>
    </row>
    <row r="934" ht="15.75" customHeight="1">
      <c r="V934" s="7"/>
      <c r="W934" s="7"/>
      <c r="X934" s="7"/>
    </row>
    <row r="935" ht="15.75" customHeight="1">
      <c r="V935" s="7"/>
      <c r="W935" s="7"/>
      <c r="X935" s="7"/>
    </row>
    <row r="936" ht="15.75" customHeight="1">
      <c r="V936" s="7"/>
      <c r="W936" s="7"/>
      <c r="X936" s="7"/>
    </row>
    <row r="937" ht="15.75" customHeight="1">
      <c r="V937" s="7"/>
      <c r="W937" s="7"/>
      <c r="X937" s="7"/>
    </row>
    <row r="938" ht="15.75" customHeight="1">
      <c r="V938" s="7"/>
      <c r="W938" s="7"/>
      <c r="X938" s="7"/>
    </row>
    <row r="939" ht="15.75" customHeight="1">
      <c r="V939" s="7"/>
      <c r="W939" s="7"/>
      <c r="X939" s="7"/>
    </row>
    <row r="940" ht="15.75" customHeight="1">
      <c r="V940" s="7"/>
      <c r="W940" s="7"/>
      <c r="X940" s="7"/>
    </row>
    <row r="941" ht="15.75" customHeight="1">
      <c r="V941" s="7"/>
      <c r="W941" s="7"/>
      <c r="X941" s="7"/>
    </row>
    <row r="942" ht="15.75" customHeight="1">
      <c r="V942" s="7"/>
      <c r="W942" s="7"/>
      <c r="X942" s="7"/>
    </row>
    <row r="943" ht="15.75" customHeight="1">
      <c r="V943" s="7"/>
      <c r="W943" s="7"/>
      <c r="X943" s="7"/>
    </row>
    <row r="944" ht="15.75" customHeight="1">
      <c r="V944" s="7"/>
      <c r="W944" s="7"/>
      <c r="X944" s="7"/>
    </row>
    <row r="945" ht="15.75" customHeight="1">
      <c r="V945" s="7"/>
      <c r="W945" s="7"/>
      <c r="X945" s="7"/>
    </row>
    <row r="946" ht="15.75" customHeight="1">
      <c r="V946" s="7"/>
      <c r="W946" s="7"/>
      <c r="X946" s="7"/>
    </row>
    <row r="947" ht="15.75" customHeight="1">
      <c r="V947" s="7"/>
      <c r="W947" s="7"/>
      <c r="X947" s="7"/>
    </row>
    <row r="948" ht="15.75" customHeight="1">
      <c r="V948" s="7"/>
      <c r="W948" s="7"/>
      <c r="X948" s="7"/>
    </row>
    <row r="949" ht="15.75" customHeight="1">
      <c r="V949" s="7"/>
      <c r="W949" s="7"/>
      <c r="X949" s="7"/>
    </row>
    <row r="950" ht="15.75" customHeight="1">
      <c r="V950" s="7"/>
      <c r="W950" s="7"/>
      <c r="X950" s="7"/>
    </row>
    <row r="951" ht="15.75" customHeight="1">
      <c r="V951" s="7"/>
      <c r="W951" s="7"/>
      <c r="X951" s="7"/>
    </row>
    <row r="952" ht="15.75" customHeight="1">
      <c r="V952" s="7"/>
      <c r="W952" s="7"/>
      <c r="X952" s="7"/>
    </row>
    <row r="953" ht="15.75" customHeight="1">
      <c r="V953" s="7"/>
      <c r="W953" s="7"/>
      <c r="X953" s="7"/>
    </row>
    <row r="954" ht="15.75" customHeight="1">
      <c r="V954" s="7"/>
      <c r="W954" s="7"/>
      <c r="X954" s="7"/>
    </row>
    <row r="955" ht="15.75" customHeight="1">
      <c r="V955" s="7"/>
      <c r="W955" s="7"/>
      <c r="X955" s="7"/>
    </row>
    <row r="956" ht="15.75" customHeight="1">
      <c r="V956" s="7"/>
      <c r="W956" s="7"/>
      <c r="X956" s="7"/>
    </row>
    <row r="957" ht="15.75" customHeight="1">
      <c r="V957" s="7"/>
      <c r="W957" s="7"/>
      <c r="X957" s="7"/>
    </row>
    <row r="958" ht="15.75" customHeight="1">
      <c r="V958" s="7"/>
      <c r="W958" s="7"/>
      <c r="X958" s="7"/>
    </row>
    <row r="959" ht="15.75" customHeight="1">
      <c r="V959" s="7"/>
      <c r="W959" s="7"/>
      <c r="X959" s="7"/>
    </row>
    <row r="960" ht="15.75" customHeight="1">
      <c r="V960" s="7"/>
      <c r="W960" s="7"/>
      <c r="X960" s="7"/>
    </row>
    <row r="961" ht="15.75" customHeight="1">
      <c r="V961" s="7"/>
      <c r="W961" s="7"/>
      <c r="X961" s="7"/>
    </row>
    <row r="962" ht="15.75" customHeight="1">
      <c r="V962" s="7"/>
      <c r="W962" s="7"/>
      <c r="X962" s="7"/>
    </row>
    <row r="963" ht="15.75" customHeight="1">
      <c r="V963" s="7"/>
      <c r="W963" s="7"/>
      <c r="X963" s="7"/>
    </row>
    <row r="964" ht="15.75" customHeight="1">
      <c r="V964" s="7"/>
      <c r="W964" s="7"/>
      <c r="X964" s="7"/>
    </row>
    <row r="965" ht="15.75" customHeight="1">
      <c r="V965" s="7"/>
      <c r="W965" s="7"/>
      <c r="X965" s="7"/>
    </row>
    <row r="966" ht="15.75" customHeight="1">
      <c r="V966" s="7"/>
      <c r="W966" s="7"/>
      <c r="X966" s="7"/>
    </row>
    <row r="967" ht="15.75" customHeight="1">
      <c r="V967" s="7"/>
      <c r="W967" s="7"/>
      <c r="X967" s="7"/>
    </row>
    <row r="968" ht="15.75" customHeight="1">
      <c r="V968" s="7"/>
      <c r="W968" s="7"/>
      <c r="X968" s="7"/>
    </row>
    <row r="969" ht="15.75" customHeight="1">
      <c r="V969" s="7"/>
      <c r="W969" s="7"/>
      <c r="X969" s="7"/>
    </row>
    <row r="970" ht="15.75" customHeight="1">
      <c r="V970" s="7"/>
      <c r="W970" s="7"/>
      <c r="X970" s="7"/>
    </row>
    <row r="971" ht="15.75" customHeight="1">
      <c r="V971" s="7"/>
      <c r="W971" s="7"/>
      <c r="X971" s="7"/>
    </row>
    <row r="972" ht="15.75" customHeight="1">
      <c r="V972" s="7"/>
      <c r="W972" s="7"/>
      <c r="X972" s="7"/>
    </row>
    <row r="973" ht="15.75" customHeight="1">
      <c r="V973" s="7"/>
      <c r="W973" s="7"/>
      <c r="X973" s="7"/>
    </row>
    <row r="974" ht="15.75" customHeight="1">
      <c r="V974" s="7"/>
      <c r="W974" s="7"/>
      <c r="X974" s="7"/>
    </row>
    <row r="975" ht="15.75" customHeight="1">
      <c r="V975" s="7"/>
      <c r="W975" s="7"/>
      <c r="X975" s="7"/>
    </row>
    <row r="976" ht="15.75" customHeight="1">
      <c r="V976" s="7"/>
      <c r="W976" s="7"/>
      <c r="X976" s="7"/>
    </row>
    <row r="977" ht="15.75" customHeight="1">
      <c r="V977" s="7"/>
      <c r="W977" s="7"/>
      <c r="X977" s="7"/>
    </row>
    <row r="978" ht="15.75" customHeight="1">
      <c r="V978" s="7"/>
      <c r="W978" s="7"/>
      <c r="X978" s="7"/>
    </row>
    <row r="979" ht="15.75" customHeight="1">
      <c r="V979" s="7"/>
      <c r="W979" s="7"/>
      <c r="X979" s="7"/>
    </row>
    <row r="980" ht="15.75" customHeight="1">
      <c r="V980" s="7"/>
      <c r="W980" s="7"/>
      <c r="X980" s="7"/>
    </row>
    <row r="981" ht="15.75" customHeight="1">
      <c r="V981" s="7"/>
      <c r="W981" s="7"/>
      <c r="X981" s="7"/>
    </row>
    <row r="982" ht="15.75" customHeight="1">
      <c r="V982" s="7"/>
      <c r="W982" s="7"/>
      <c r="X982" s="7"/>
    </row>
    <row r="983" ht="15.75" customHeight="1">
      <c r="V983" s="7"/>
      <c r="W983" s="7"/>
      <c r="X983" s="7"/>
    </row>
    <row r="984" ht="15.75" customHeight="1">
      <c r="V984" s="7"/>
      <c r="W984" s="7"/>
      <c r="X984" s="7"/>
    </row>
    <row r="985" ht="15.75" customHeight="1">
      <c r="V985" s="7"/>
      <c r="W985" s="7"/>
      <c r="X985" s="7"/>
    </row>
    <row r="986" ht="15.75" customHeight="1">
      <c r="V986" s="7"/>
      <c r="W986" s="7"/>
      <c r="X986" s="7"/>
    </row>
    <row r="987" ht="15.75" customHeight="1">
      <c r="V987" s="7"/>
      <c r="W987" s="7"/>
      <c r="X987" s="7"/>
    </row>
    <row r="988" ht="15.75" customHeight="1">
      <c r="V988" s="7"/>
      <c r="W988" s="7"/>
      <c r="X988" s="7"/>
    </row>
    <row r="989" ht="15.75" customHeight="1">
      <c r="V989" s="7"/>
      <c r="W989" s="7"/>
      <c r="X989" s="7"/>
    </row>
    <row r="990" ht="15.75" customHeight="1">
      <c r="V990" s="7"/>
      <c r="W990" s="7"/>
      <c r="X990" s="7"/>
    </row>
    <row r="991" ht="15.75" customHeight="1">
      <c r="V991" s="7"/>
      <c r="W991" s="7"/>
      <c r="X991" s="7"/>
    </row>
    <row r="992" ht="15.75" customHeight="1">
      <c r="V992" s="7"/>
      <c r="W992" s="7"/>
      <c r="X992" s="7"/>
    </row>
    <row r="993" ht="15.75" customHeight="1">
      <c r="V993" s="7"/>
      <c r="W993" s="7"/>
      <c r="X993" s="7"/>
    </row>
    <row r="994" ht="15.75" customHeight="1">
      <c r="V994" s="7"/>
      <c r="W994" s="7"/>
      <c r="X994" s="7"/>
    </row>
    <row r="995" ht="15.75" customHeight="1">
      <c r="V995" s="7"/>
      <c r="W995" s="7"/>
      <c r="X995" s="7"/>
    </row>
    <row r="996" ht="15.75" customHeight="1">
      <c r="V996" s="7"/>
      <c r="W996" s="7"/>
      <c r="X996" s="7"/>
    </row>
    <row r="997" ht="15.75" customHeight="1">
      <c r="V997" s="7"/>
      <c r="W997" s="7"/>
      <c r="X997" s="7"/>
    </row>
    <row r="998" ht="15.75" customHeight="1">
      <c r="V998" s="7"/>
      <c r="W998" s="7"/>
      <c r="X998" s="7"/>
    </row>
    <row r="999" ht="15.75" customHeight="1">
      <c r="V999" s="7"/>
      <c r="W999" s="7"/>
      <c r="X999" s="7"/>
    </row>
    <row r="1000" ht="15.75" customHeight="1">
      <c r="V1000" s="7"/>
      <c r="W1000" s="7"/>
      <c r="X1000" s="7"/>
    </row>
  </sheetData>
  <mergeCells count="1">
    <mergeCell ref="A4:C4"/>
  </mergeCells>
  <printOptions/>
  <pageMargins bottom="0.75" footer="0.0" header="0.0" left="0.29" right="0.3" top="0.41"/>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outlineLevelRow="2"/>
  <cols>
    <col customWidth="1" min="1" max="1" width="24.75"/>
    <col customWidth="1" min="2" max="2" width="8.0"/>
    <col customWidth="1" min="3" max="3" width="1.0"/>
    <col customWidth="1" hidden="1" min="4" max="4" width="11.75"/>
    <col customWidth="1" min="5" max="6" width="9.13"/>
    <col customWidth="1" min="7" max="7" width="9.63"/>
    <col customWidth="1" min="8" max="9" width="9.13"/>
    <col customWidth="1" min="10" max="11" width="10.0"/>
    <col customWidth="1" min="12" max="12" width="9.13"/>
    <col customWidth="1" min="13" max="13" width="10.0"/>
    <col customWidth="1" min="14" max="15" width="9.13"/>
    <col customWidth="1" min="16" max="16" width="9.63"/>
    <col customWidth="1" min="17" max="17" width="10.88"/>
    <col customWidth="1" hidden="1" min="18" max="18" width="8.0"/>
    <col customWidth="1" min="19" max="26" width="7.75"/>
  </cols>
  <sheetData>
    <row r="1" ht="27.75" customHeight="1">
      <c r="A1" s="1" t="s">
        <v>381</v>
      </c>
      <c r="B1" s="2"/>
      <c r="C1" s="1"/>
      <c r="D1" s="1"/>
      <c r="E1" s="1"/>
      <c r="F1" s="1"/>
      <c r="G1" s="1"/>
      <c r="H1" s="1"/>
      <c r="I1" s="1"/>
      <c r="J1" s="1"/>
      <c r="Q1" s="25"/>
    </row>
    <row r="2">
      <c r="A2" s="432" t="str">
        <f>IF(ISBLANK(Company_Name),"Income Statement | Year 1",Company_Name&amp;" | Income Statement | Year 1")</f>
        <v>OTW Paints | Income Statement | Year 1</v>
      </c>
      <c r="B2" s="7"/>
      <c r="C2" s="12"/>
      <c r="D2" s="12"/>
      <c r="E2" s="12"/>
      <c r="F2" s="12"/>
      <c r="G2" s="12"/>
      <c r="H2" s="12"/>
      <c r="I2" s="12"/>
      <c r="J2" s="12"/>
      <c r="K2" s="12"/>
      <c r="L2" s="12"/>
      <c r="M2" s="12"/>
      <c r="N2" s="12"/>
      <c r="O2" s="12"/>
      <c r="P2" s="12"/>
      <c r="Q2" s="25"/>
    </row>
    <row r="3">
      <c r="A3" s="25"/>
      <c r="B3" s="7"/>
      <c r="C3" s="12"/>
      <c r="D3" s="12"/>
      <c r="E3" s="12"/>
      <c r="F3" s="12"/>
      <c r="G3" s="12"/>
      <c r="H3" s="12"/>
      <c r="I3" s="12"/>
      <c r="J3" s="12"/>
      <c r="K3" s="12"/>
      <c r="L3" s="12"/>
      <c r="M3" s="12"/>
      <c r="N3" s="12"/>
      <c r="O3" s="12"/>
      <c r="P3" s="12"/>
      <c r="Q3" s="25"/>
    </row>
    <row r="4" outlineLevel="1">
      <c r="A4" s="12"/>
      <c r="B4" s="7" t="s">
        <v>244</v>
      </c>
      <c r="C4" s="12"/>
      <c r="D4" s="138" t="s">
        <v>382</v>
      </c>
      <c r="E4" s="178">
        <f>DATE(YEAR(Projected_Start_Date),1,1)</f>
        <v>42370</v>
      </c>
      <c r="F4" s="178">
        <f t="shared" ref="F4:P4" si="1">EDATE(E4,1)</f>
        <v>42401</v>
      </c>
      <c r="G4" s="178">
        <f t="shared" si="1"/>
        <v>42430</v>
      </c>
      <c r="H4" s="178">
        <f t="shared" si="1"/>
        <v>42461</v>
      </c>
      <c r="I4" s="178">
        <f t="shared" si="1"/>
        <v>42491</v>
      </c>
      <c r="J4" s="178">
        <f t="shared" si="1"/>
        <v>42522</v>
      </c>
      <c r="K4" s="178">
        <f t="shared" si="1"/>
        <v>42552</v>
      </c>
      <c r="L4" s="178">
        <f t="shared" si="1"/>
        <v>42583</v>
      </c>
      <c r="M4" s="178">
        <f t="shared" si="1"/>
        <v>42614</v>
      </c>
      <c r="N4" s="178">
        <f t="shared" si="1"/>
        <v>42644</v>
      </c>
      <c r="O4" s="178">
        <f t="shared" si="1"/>
        <v>42675</v>
      </c>
      <c r="P4" s="178">
        <f t="shared" si="1"/>
        <v>42705</v>
      </c>
      <c r="Q4" s="55" t="s">
        <v>383</v>
      </c>
      <c r="R4" s="433" t="s">
        <v>384</v>
      </c>
    </row>
    <row r="5" outlineLevel="1">
      <c r="A5" s="434" t="s">
        <v>309</v>
      </c>
      <c r="B5" s="435"/>
      <c r="C5" s="436"/>
      <c r="D5" s="436"/>
      <c r="E5" s="436"/>
      <c r="F5" s="436"/>
      <c r="G5" s="436"/>
      <c r="H5" s="436"/>
      <c r="I5" s="436"/>
      <c r="J5" s="436"/>
      <c r="K5" s="436"/>
      <c r="L5" s="436"/>
      <c r="M5" s="436"/>
      <c r="N5" s="436"/>
      <c r="O5" s="436"/>
      <c r="P5" s="436"/>
      <c r="Q5" s="434"/>
      <c r="R5" s="436"/>
    </row>
    <row r="6" ht="15.75" customHeight="1" outlineLevel="2">
      <c r="A6" s="12" t="str">
        <f>IF(OR('A. Background'!B15="Product/Service",'A. Background'!B15=""),"",'A. Background'!B15)</f>
        <v>Paint</v>
      </c>
      <c r="B6" s="437" t="str">
        <f>IF(ISBLANK('A. Background'!G15),"",'A. Background'!G15)</f>
        <v/>
      </c>
      <c r="C6" s="12"/>
      <c r="D6" s="12"/>
      <c r="E6" s="67">
        <f>IFERROR('A. Background'!$D$15*'E. Sales Units'!E8,"")</f>
        <v>1400</v>
      </c>
      <c r="F6" s="67">
        <f>IFERROR('A. Background'!$D$15*'E. Sales Units'!F8,"")</f>
        <v>2100</v>
      </c>
      <c r="G6" s="67">
        <f>IFERROR('A. Background'!$D$15*'E. Sales Units'!G8,"")</f>
        <v>2100</v>
      </c>
      <c r="H6" s="67">
        <f>IFERROR('A. Background'!$D$15*'E. Sales Units'!H8,"")</f>
        <v>2100</v>
      </c>
      <c r="I6" s="67">
        <f>IFERROR('A. Background'!$D$15*'E. Sales Units'!I8,"")</f>
        <v>4200</v>
      </c>
      <c r="J6" s="67">
        <f>IFERROR('A. Background'!$D$15*'E. Sales Units'!J8,"")</f>
        <v>4200</v>
      </c>
      <c r="K6" s="67">
        <f>IFERROR('A. Background'!$D$15*'E. Sales Units'!K8,"")</f>
        <v>4200</v>
      </c>
      <c r="L6" s="67">
        <f>IFERROR('A. Background'!$D$15*'E. Sales Units'!L8,"")</f>
        <v>4200</v>
      </c>
      <c r="M6" s="67">
        <f>IFERROR('A. Background'!$D$15*'E. Sales Units'!M8,"")</f>
        <v>7000</v>
      </c>
      <c r="N6" s="67">
        <f>IFERROR('A. Background'!$D$15*'E. Sales Units'!N8,"")</f>
        <v>7000</v>
      </c>
      <c r="O6" s="67">
        <f>IFERROR('A. Background'!$D$15*'E. Sales Units'!O8,"")</f>
        <v>7000</v>
      </c>
      <c r="P6" s="67">
        <f>IFERROR('A. Background'!$D$15*'E. Sales Units'!P8,"")</f>
        <v>7000</v>
      </c>
      <c r="Q6" s="438">
        <f t="shared" ref="Q6:Q14" si="2">SUM(E6:P6)</f>
        <v>52500</v>
      </c>
      <c r="R6" s="439">
        <f t="shared" ref="R6:R13" si="3">IFERROR(Q6/SUM($Q$6:$Q$13),"")</f>
        <v>0.8235294118</v>
      </c>
    </row>
    <row r="7" ht="15.0" customHeight="1" outlineLevel="2">
      <c r="A7" s="12" t="str">
        <f>IF(OR('A. Background'!B16="Product/Service",'A. Background'!B16=""),"",'A. Background'!B16)</f>
        <v>REMOVER</v>
      </c>
      <c r="B7" s="437" t="str">
        <f>IF(ISBLANK('A. Background'!G16),"",'A. Background'!G16)</f>
        <v/>
      </c>
      <c r="C7" s="12"/>
      <c r="D7" s="12"/>
      <c r="E7" s="302">
        <f>IFERROR('A. Background'!$D$16*'E. Sales Units'!E9,"")</f>
        <v>300</v>
      </c>
      <c r="F7" s="302">
        <f>IFERROR('A. Background'!$D$16*'E. Sales Units'!F9,"")</f>
        <v>450</v>
      </c>
      <c r="G7" s="302">
        <f>IFERROR('A. Background'!$D$16*'E. Sales Units'!G9,"")</f>
        <v>450</v>
      </c>
      <c r="H7" s="302">
        <f>IFERROR('A. Background'!$D$16*'E. Sales Units'!H9,"")</f>
        <v>450</v>
      </c>
      <c r="I7" s="302">
        <f>IFERROR('A. Background'!$D$16*'E. Sales Units'!I9,"")</f>
        <v>900</v>
      </c>
      <c r="J7" s="302">
        <f>IFERROR('A. Background'!$D$16*'E. Sales Units'!J9,"")</f>
        <v>900</v>
      </c>
      <c r="K7" s="302">
        <f>IFERROR('A. Background'!$D$16*'E. Sales Units'!K9,"")</f>
        <v>900</v>
      </c>
      <c r="L7" s="302">
        <f>IFERROR('A. Background'!$D$16*'E. Sales Units'!L9,"")</f>
        <v>900</v>
      </c>
      <c r="M7" s="302">
        <f>IFERROR('A. Background'!$D$16*'E. Sales Units'!M9,"")</f>
        <v>1500</v>
      </c>
      <c r="N7" s="302">
        <f>IFERROR('A. Background'!$D$16*'E. Sales Units'!N9,"")</f>
        <v>1500</v>
      </c>
      <c r="O7" s="302">
        <f>IFERROR('A. Background'!$D$16*'E. Sales Units'!O9,"")</f>
        <v>1500</v>
      </c>
      <c r="P7" s="302">
        <f>IFERROR('A. Background'!$D$16*'E. Sales Units'!P9,"")</f>
        <v>1500</v>
      </c>
      <c r="Q7" s="399">
        <f t="shared" si="2"/>
        <v>11250</v>
      </c>
      <c r="R7" s="439">
        <f t="shared" si="3"/>
        <v>0.1764705882</v>
      </c>
    </row>
    <row r="8" ht="15.0" customHeight="1" outlineLevel="2">
      <c r="A8" s="12" t="str">
        <f>IF(OR('A. Background'!B17="Product/Service",'A. Background'!B17=""),"",'A. Background'!B17)</f>
        <v/>
      </c>
      <c r="B8" s="437" t="str">
        <f>IF(ISBLANK('A. Background'!G17),"",'A. Background'!G17)</f>
        <v/>
      </c>
      <c r="C8" s="12"/>
      <c r="D8" s="12"/>
      <c r="E8" s="302">
        <f>IFERROR('A. Background'!$D$17*'E. Sales Units'!E10,"")</f>
        <v>0</v>
      </c>
      <c r="F8" s="302">
        <f>IFERROR('A. Background'!$D$17*'E. Sales Units'!F10,"")</f>
        <v>0</v>
      </c>
      <c r="G8" s="302">
        <f>IFERROR('A. Background'!$D$17*'E. Sales Units'!G10,"")</f>
        <v>0</v>
      </c>
      <c r="H8" s="302">
        <f>IFERROR('A. Background'!$D$17*'E. Sales Units'!H10,"")</f>
        <v>0</v>
      </c>
      <c r="I8" s="302">
        <f>IFERROR('A. Background'!$D$17*'E. Sales Units'!I10,"")</f>
        <v>0</v>
      </c>
      <c r="J8" s="302">
        <f>IFERROR('A. Background'!$D$17*'E. Sales Units'!J10,"")</f>
        <v>0</v>
      </c>
      <c r="K8" s="302">
        <f>IFERROR('A. Background'!$D$17*'E. Sales Units'!K10,"")</f>
        <v>0</v>
      </c>
      <c r="L8" s="302">
        <f>IFERROR('A. Background'!$D$17*'E. Sales Units'!L10,"")</f>
        <v>0</v>
      </c>
      <c r="M8" s="302">
        <f>IFERROR('A. Background'!$D$17*'E. Sales Units'!M10,"")</f>
        <v>0</v>
      </c>
      <c r="N8" s="302">
        <f>IFERROR('A. Background'!$D$17*'E. Sales Units'!N10,"")</f>
        <v>0</v>
      </c>
      <c r="O8" s="302">
        <f>IFERROR('A. Background'!$D$17*'E. Sales Units'!O10,"")</f>
        <v>0</v>
      </c>
      <c r="P8" s="302">
        <f>IFERROR('A. Background'!$D$17*'E. Sales Units'!P10,"")</f>
        <v>0</v>
      </c>
      <c r="Q8" s="399">
        <f t="shared" si="2"/>
        <v>0</v>
      </c>
      <c r="R8" s="439">
        <f t="shared" si="3"/>
        <v>0</v>
      </c>
    </row>
    <row r="9" ht="15.0" customHeight="1" outlineLevel="2">
      <c r="A9" s="12" t="str">
        <f>IF(OR('A. Background'!B18="Product/Service",'A. Background'!B18=""),"",'A. Background'!B18)</f>
        <v/>
      </c>
      <c r="B9" s="437" t="str">
        <f>IF(ISBLANK('A. Background'!G18),"",'A. Background'!G18)</f>
        <v/>
      </c>
      <c r="C9" s="12"/>
      <c r="D9" s="12"/>
      <c r="E9" s="302">
        <f>IFERROR('A. Background'!$D$18*'E. Sales Units'!E11,"")</f>
        <v>0</v>
      </c>
      <c r="F9" s="302">
        <f>IFERROR('A. Background'!$D$18*'E. Sales Units'!F11,"")</f>
        <v>0</v>
      </c>
      <c r="G9" s="302">
        <f>IFERROR('A. Background'!$D$18*'E. Sales Units'!G11,"")</f>
        <v>0</v>
      </c>
      <c r="H9" s="302">
        <f>IFERROR('A. Background'!$D$18*'E. Sales Units'!H11,"")</f>
        <v>0</v>
      </c>
      <c r="I9" s="302">
        <f>IFERROR('A. Background'!$D$18*'E. Sales Units'!I11,"")</f>
        <v>0</v>
      </c>
      <c r="J9" s="302">
        <f>IFERROR('A. Background'!$D$18*'E. Sales Units'!J11,"")</f>
        <v>0</v>
      </c>
      <c r="K9" s="302">
        <f>IFERROR('A. Background'!$D$18*'E. Sales Units'!K11,"")</f>
        <v>0</v>
      </c>
      <c r="L9" s="302">
        <f>IFERROR('A. Background'!$D$18*'E. Sales Units'!L11,"")</f>
        <v>0</v>
      </c>
      <c r="M9" s="302">
        <f>IFERROR('A. Background'!$D$18*'E. Sales Units'!M11,"")</f>
        <v>0</v>
      </c>
      <c r="N9" s="302">
        <f>IFERROR('A. Background'!$D$18*'E. Sales Units'!N11,"")</f>
        <v>0</v>
      </c>
      <c r="O9" s="302">
        <f>IFERROR('A. Background'!$D$18*'E. Sales Units'!O11,"")</f>
        <v>0</v>
      </c>
      <c r="P9" s="302">
        <f>IFERROR('A. Background'!$D$18*'E. Sales Units'!P11,"")</f>
        <v>0</v>
      </c>
      <c r="Q9" s="399">
        <f t="shared" si="2"/>
        <v>0</v>
      </c>
      <c r="R9" s="439">
        <f t="shared" si="3"/>
        <v>0</v>
      </c>
    </row>
    <row r="10" ht="15.0" customHeight="1" outlineLevel="2">
      <c r="A10" s="12" t="str">
        <f>IF(OR('A. Background'!B19="Product/Service",'A. Background'!B19=""),"",'A. Background'!B19)</f>
        <v/>
      </c>
      <c r="B10" s="437" t="str">
        <f>IF(ISBLANK('A. Background'!G19),"",'A. Background'!G19)</f>
        <v/>
      </c>
      <c r="C10" s="12"/>
      <c r="D10" s="12"/>
      <c r="E10" s="302">
        <f>IFERROR('A. Background'!$D$19*'E. Sales Units'!E12,"")</f>
        <v>0</v>
      </c>
      <c r="F10" s="302">
        <f>IFERROR('A. Background'!$D$19*'E. Sales Units'!F12,"")</f>
        <v>0</v>
      </c>
      <c r="G10" s="302">
        <f>IFERROR('A. Background'!$D$19*'E. Sales Units'!G12,"")</f>
        <v>0</v>
      </c>
      <c r="H10" s="302">
        <f>IFERROR('A. Background'!$D$19*'E. Sales Units'!H12,"")</f>
        <v>0</v>
      </c>
      <c r="I10" s="302">
        <f>IFERROR('A. Background'!$D$19*'E. Sales Units'!I12,"")</f>
        <v>0</v>
      </c>
      <c r="J10" s="302">
        <f>IFERROR('A. Background'!$D$19*'E. Sales Units'!J12,"")</f>
        <v>0</v>
      </c>
      <c r="K10" s="302">
        <f>IFERROR('A. Background'!$D$19*'E. Sales Units'!K12,"")</f>
        <v>0</v>
      </c>
      <c r="L10" s="302">
        <f>IFERROR('A. Background'!$D$19*'E. Sales Units'!L12,"")</f>
        <v>0</v>
      </c>
      <c r="M10" s="302">
        <f>IFERROR('A. Background'!$D$19*'E. Sales Units'!M12,"")</f>
        <v>0</v>
      </c>
      <c r="N10" s="302">
        <f>IFERROR('A. Background'!$D$19*'E. Sales Units'!N12,"")</f>
        <v>0</v>
      </c>
      <c r="O10" s="302">
        <f>IFERROR('A. Background'!$D$19*'E. Sales Units'!O12,"")</f>
        <v>0</v>
      </c>
      <c r="P10" s="302">
        <f>IFERROR('A. Background'!$D$19*'E. Sales Units'!P12,"")</f>
        <v>0</v>
      </c>
      <c r="Q10" s="399">
        <f t="shared" si="2"/>
        <v>0</v>
      </c>
      <c r="R10" s="439">
        <f t="shared" si="3"/>
        <v>0</v>
      </c>
    </row>
    <row r="11" ht="15.0" customHeight="1" outlineLevel="2">
      <c r="A11" s="12" t="str">
        <f>IF(OR('A. Background'!B20="Product/Service",'A. Background'!B20=""),"",'A. Background'!B20)</f>
        <v/>
      </c>
      <c r="B11" s="437" t="str">
        <f>IF(ISBLANK('A. Background'!G20),"",'A. Background'!G20)</f>
        <v/>
      </c>
      <c r="C11" s="12"/>
      <c r="D11" s="12"/>
      <c r="E11" s="302">
        <f>IFERROR('A. Background'!$D$20*'E. Sales Units'!E13,"")</f>
        <v>0</v>
      </c>
      <c r="F11" s="302">
        <f>IFERROR('A. Background'!$D$20*'E. Sales Units'!F13,"")</f>
        <v>0</v>
      </c>
      <c r="G11" s="302">
        <f>IFERROR('A. Background'!$D$20*'E. Sales Units'!G13,"")</f>
        <v>0</v>
      </c>
      <c r="H11" s="302">
        <f>IFERROR('A. Background'!$D$20*'E. Sales Units'!H13,"")</f>
        <v>0</v>
      </c>
      <c r="I11" s="302">
        <f>IFERROR('A. Background'!$D$20*'E. Sales Units'!I13,"")</f>
        <v>0</v>
      </c>
      <c r="J11" s="302">
        <f>IFERROR('A. Background'!$D$20*'E. Sales Units'!J13,"")</f>
        <v>0</v>
      </c>
      <c r="K11" s="302">
        <f>IFERROR('A. Background'!$D$20*'E. Sales Units'!K13,"")</f>
        <v>0</v>
      </c>
      <c r="L11" s="302">
        <f>IFERROR('A. Background'!$D$20*'E. Sales Units'!L13,"")</f>
        <v>0</v>
      </c>
      <c r="M11" s="302">
        <f>IFERROR('A. Background'!$D$20*'E. Sales Units'!M13,"")</f>
        <v>0</v>
      </c>
      <c r="N11" s="302">
        <f>IFERROR('A. Background'!$D$20*'E. Sales Units'!N13,"")</f>
        <v>0</v>
      </c>
      <c r="O11" s="302">
        <f>IFERROR('A. Background'!$D$20*'E. Sales Units'!O13,"")</f>
        <v>0</v>
      </c>
      <c r="P11" s="302">
        <f>IFERROR('A. Background'!$D$20*'E. Sales Units'!P13,"")</f>
        <v>0</v>
      </c>
      <c r="Q11" s="399">
        <f t="shared" si="2"/>
        <v>0</v>
      </c>
      <c r="R11" s="439">
        <f t="shared" si="3"/>
        <v>0</v>
      </c>
    </row>
    <row r="12" ht="15.0" customHeight="1" outlineLevel="2">
      <c r="A12" s="12" t="str">
        <f>IF(OR('A. Background'!B21="Product/Service",'A. Background'!B21=""),"",'A. Background'!B21)</f>
        <v/>
      </c>
      <c r="B12" s="437" t="str">
        <f>IF(ISBLANK('A. Background'!G21),"",'A. Background'!G21)</f>
        <v/>
      </c>
      <c r="C12" s="12"/>
      <c r="D12" s="12"/>
      <c r="E12" s="302">
        <f>IFERROR('A. Background'!$D$21*'E. Sales Units'!E14,"")</f>
        <v>0</v>
      </c>
      <c r="F12" s="302">
        <f>IFERROR('A. Background'!$D$21*'E. Sales Units'!F14,"")</f>
        <v>0</v>
      </c>
      <c r="G12" s="302">
        <f>IFERROR('A. Background'!$D$21*'E. Sales Units'!G14,"")</f>
        <v>0</v>
      </c>
      <c r="H12" s="302">
        <f>IFERROR('A. Background'!$D$21*'E. Sales Units'!H14,"")</f>
        <v>0</v>
      </c>
      <c r="I12" s="302">
        <f>IFERROR('A. Background'!$D$21*'E. Sales Units'!I14,"")</f>
        <v>0</v>
      </c>
      <c r="J12" s="302">
        <f>IFERROR('A. Background'!$D$21*'E. Sales Units'!J14,"")</f>
        <v>0</v>
      </c>
      <c r="K12" s="302">
        <f>IFERROR('A. Background'!$D$21*'E. Sales Units'!K14,"")</f>
        <v>0</v>
      </c>
      <c r="L12" s="302">
        <f>IFERROR('A. Background'!$D$21*'E. Sales Units'!L14,"")</f>
        <v>0</v>
      </c>
      <c r="M12" s="302">
        <f>IFERROR('A. Background'!$D$21*'E. Sales Units'!M14,"")</f>
        <v>0</v>
      </c>
      <c r="N12" s="302">
        <f>IFERROR('A. Background'!$D$21*'E. Sales Units'!N14,"")</f>
        <v>0</v>
      </c>
      <c r="O12" s="302">
        <f>IFERROR('A. Background'!$D$21*'E. Sales Units'!O14,"")</f>
        <v>0</v>
      </c>
      <c r="P12" s="302">
        <f>IFERROR('A. Background'!$D$21*'E. Sales Units'!P14,"")</f>
        <v>0</v>
      </c>
      <c r="Q12" s="399">
        <f t="shared" si="2"/>
        <v>0</v>
      </c>
      <c r="R12" s="439">
        <f t="shared" si="3"/>
        <v>0</v>
      </c>
    </row>
    <row r="13" ht="15.75" customHeight="1" outlineLevel="2">
      <c r="A13" s="12" t="str">
        <f>IF(OR('A. Background'!B22="Product/Service",'A. Background'!B22=""),"",'A. Background'!B22)</f>
        <v/>
      </c>
      <c r="B13" s="437" t="str">
        <f>IF(ISBLANK('A. Background'!G22),"",'A. Background'!G22)</f>
        <v/>
      </c>
      <c r="C13" s="12"/>
      <c r="D13" s="12"/>
      <c r="E13" s="302">
        <f>IFERROR('A. Background'!$D$22*'E. Sales Units'!E15,"")</f>
        <v>0</v>
      </c>
      <c r="F13" s="302">
        <f>IFERROR('A. Background'!$D$22*'E. Sales Units'!F15,"")</f>
        <v>0</v>
      </c>
      <c r="G13" s="302">
        <f>IFERROR('A. Background'!$D$22*'E. Sales Units'!G15,"")</f>
        <v>0</v>
      </c>
      <c r="H13" s="302">
        <f>IFERROR('A. Background'!$D$22*'E. Sales Units'!H15,"")</f>
        <v>0</v>
      </c>
      <c r="I13" s="302">
        <f>IFERROR('A. Background'!$D$22*'E. Sales Units'!I15,"")</f>
        <v>0</v>
      </c>
      <c r="J13" s="302">
        <f>IFERROR('A. Background'!$D$22*'E. Sales Units'!J15,"")</f>
        <v>0</v>
      </c>
      <c r="K13" s="302">
        <f>IFERROR('A. Background'!$D$22*'E. Sales Units'!K15,"")</f>
        <v>0</v>
      </c>
      <c r="L13" s="302">
        <f>IFERROR('A. Background'!$D$22*'E. Sales Units'!L15,"")</f>
        <v>0</v>
      </c>
      <c r="M13" s="302">
        <f>IFERROR('A. Background'!$D$22*'E. Sales Units'!M15,"")</f>
        <v>0</v>
      </c>
      <c r="N13" s="302">
        <f>IFERROR('A. Background'!$D$22*'E. Sales Units'!N15,"")</f>
        <v>0</v>
      </c>
      <c r="O13" s="302">
        <f>IFERROR('A. Background'!$D$22*'E. Sales Units'!O15,"")</f>
        <v>0</v>
      </c>
      <c r="P13" s="302">
        <f>IFERROR('A. Background'!$D$22*'E. Sales Units'!P15,"")</f>
        <v>0</v>
      </c>
      <c r="Q13" s="399">
        <f t="shared" si="2"/>
        <v>0</v>
      </c>
      <c r="R13" s="439">
        <f t="shared" si="3"/>
        <v>0</v>
      </c>
    </row>
    <row r="14" outlineLevel="1">
      <c r="A14" s="133" t="s">
        <v>385</v>
      </c>
      <c r="B14" s="440"/>
      <c r="C14" s="12"/>
      <c r="D14" s="12"/>
      <c r="E14" s="321">
        <f t="shared" ref="E14:P14" si="4">SUM(E6:E13)</f>
        <v>1700</v>
      </c>
      <c r="F14" s="321">
        <f t="shared" si="4"/>
        <v>2550</v>
      </c>
      <c r="G14" s="321">
        <f t="shared" si="4"/>
        <v>2550</v>
      </c>
      <c r="H14" s="321">
        <f t="shared" si="4"/>
        <v>2550</v>
      </c>
      <c r="I14" s="321">
        <f t="shared" si="4"/>
        <v>5100</v>
      </c>
      <c r="J14" s="321">
        <f t="shared" si="4"/>
        <v>5100</v>
      </c>
      <c r="K14" s="321">
        <f t="shared" si="4"/>
        <v>5100</v>
      </c>
      <c r="L14" s="321">
        <f t="shared" si="4"/>
        <v>5100</v>
      </c>
      <c r="M14" s="321">
        <f t="shared" si="4"/>
        <v>8500</v>
      </c>
      <c r="N14" s="321">
        <f t="shared" si="4"/>
        <v>8500</v>
      </c>
      <c r="O14" s="321">
        <f t="shared" si="4"/>
        <v>8500</v>
      </c>
      <c r="P14" s="321">
        <f t="shared" si="4"/>
        <v>8500</v>
      </c>
      <c r="Q14" s="441">
        <f t="shared" si="2"/>
        <v>63750</v>
      </c>
      <c r="R14" s="442">
        <f>YR1_Revenue/SUM(Q14,Q25,Q34,Q72,Q83)</f>
        <v>0.3703702158</v>
      </c>
    </row>
    <row r="15" outlineLevel="1">
      <c r="A15" s="12"/>
      <c r="B15" s="440"/>
      <c r="C15" s="12"/>
      <c r="D15" s="12"/>
      <c r="E15" s="12"/>
      <c r="F15" s="12"/>
      <c r="G15" s="12"/>
      <c r="H15" s="12"/>
      <c r="I15" s="12"/>
      <c r="J15" s="12"/>
      <c r="K15" s="12"/>
      <c r="L15" s="12"/>
      <c r="M15" s="12"/>
      <c r="N15" s="12"/>
      <c r="O15" s="12"/>
      <c r="P15" s="12"/>
      <c r="Q15" s="25"/>
    </row>
    <row r="16" outlineLevel="1">
      <c r="A16" s="434" t="s">
        <v>386</v>
      </c>
      <c r="B16" s="435"/>
      <c r="C16" s="436"/>
      <c r="D16" s="436"/>
      <c r="E16" s="436"/>
      <c r="F16" s="436"/>
      <c r="G16" s="436"/>
      <c r="H16" s="436"/>
      <c r="I16" s="436"/>
      <c r="J16" s="436"/>
      <c r="K16" s="436"/>
      <c r="L16" s="436"/>
      <c r="M16" s="436"/>
      <c r="N16" s="436"/>
      <c r="O16" s="436"/>
      <c r="P16" s="436"/>
      <c r="Q16" s="434"/>
      <c r="R16" s="436"/>
    </row>
    <row r="17" ht="15.75" customHeight="1" outlineLevel="2">
      <c r="A17" s="12" t="str">
        <f>IF(OR('A. Background'!B15="Product/Service",'A. Background'!B15=""),"",'A. Background'!B15)</f>
        <v>Paint</v>
      </c>
      <c r="B17" s="437"/>
      <c r="C17" s="12"/>
      <c r="D17" s="12"/>
      <c r="E17" s="67">
        <f>IFERROR('A. Background'!$E$15*'E. Sales Units'!E8,"")</f>
        <v>450</v>
      </c>
      <c r="F17" s="67">
        <f>IFERROR('A. Background'!$E$15*'E. Sales Units'!F8,"")</f>
        <v>675</v>
      </c>
      <c r="G17" s="67">
        <f>IFERROR('A. Background'!$E$15*'E. Sales Units'!G8,"")</f>
        <v>675</v>
      </c>
      <c r="H17" s="67">
        <f>IFERROR('A. Background'!$E$15*'E. Sales Units'!H8,"")</f>
        <v>675</v>
      </c>
      <c r="I17" s="67">
        <f>IFERROR('A. Background'!$E$15*'E. Sales Units'!I8,"")</f>
        <v>1350</v>
      </c>
      <c r="J17" s="67">
        <f>IFERROR('A. Background'!$E$15*'E. Sales Units'!J8,"")</f>
        <v>1350</v>
      </c>
      <c r="K17" s="67">
        <f>IFERROR('A. Background'!$E$15*'E. Sales Units'!K8,"")</f>
        <v>1350</v>
      </c>
      <c r="L17" s="67">
        <f>IFERROR('A. Background'!$E$15*'E. Sales Units'!L8,"")</f>
        <v>1350</v>
      </c>
      <c r="M17" s="67">
        <f>IFERROR('A. Background'!$E$15*'E. Sales Units'!M8,"")</f>
        <v>2250</v>
      </c>
      <c r="N17" s="67">
        <f>IFERROR('A. Background'!$E$15*'E. Sales Units'!N8,"")</f>
        <v>2250</v>
      </c>
      <c r="O17" s="67">
        <f>IFERROR('A. Background'!$E$15*'E. Sales Units'!O8,"")</f>
        <v>2250</v>
      </c>
      <c r="P17" s="67">
        <f>IFERROR('A. Background'!$E$15*'E. Sales Units'!P8,"")</f>
        <v>2250</v>
      </c>
      <c r="Q17" s="438">
        <f t="shared" ref="Q17:Q25" si="5">SUM(E17:P17)</f>
        <v>16875</v>
      </c>
      <c r="R17" s="439">
        <f t="shared" ref="R17:R24" si="6">IFERROR(Q17/SUM($Q$17:$Q$24),"")</f>
        <v>0.8823529412</v>
      </c>
    </row>
    <row r="18" ht="15.0" customHeight="1" outlineLevel="2">
      <c r="A18" s="12" t="str">
        <f>IF(OR('A. Background'!B16="Product/Service",'A. Background'!B16=""),"",'A. Background'!B16)</f>
        <v>REMOVER</v>
      </c>
      <c r="B18" s="440"/>
      <c r="C18" s="12"/>
      <c r="D18" s="12"/>
      <c r="E18" s="302">
        <f>IFERROR('A. Background'!$E$16*'E. Sales Units'!E9,"")</f>
        <v>60</v>
      </c>
      <c r="F18" s="302">
        <f>IFERROR('A. Background'!$E$16*'E. Sales Units'!F9,"")</f>
        <v>90</v>
      </c>
      <c r="G18" s="302">
        <f>IFERROR('A. Background'!$E$16*'E. Sales Units'!G9,"")</f>
        <v>90</v>
      </c>
      <c r="H18" s="302">
        <f>IFERROR('A. Background'!$E$16*'E. Sales Units'!H9,"")</f>
        <v>90</v>
      </c>
      <c r="I18" s="302">
        <f>IFERROR('A. Background'!$E$16*'E. Sales Units'!I9,"")</f>
        <v>180</v>
      </c>
      <c r="J18" s="302">
        <f>IFERROR('A. Background'!$E$16*'E. Sales Units'!J9,"")</f>
        <v>180</v>
      </c>
      <c r="K18" s="302">
        <f>IFERROR('A. Background'!$E$16*'E. Sales Units'!K9,"")</f>
        <v>180</v>
      </c>
      <c r="L18" s="302">
        <f>IFERROR('A. Background'!$E$16*'E. Sales Units'!L9,"")</f>
        <v>180</v>
      </c>
      <c r="M18" s="302">
        <f>IFERROR('A. Background'!$E$16*'E. Sales Units'!M9,"")</f>
        <v>300</v>
      </c>
      <c r="N18" s="302">
        <f>IFERROR('A. Background'!$E$16*'E. Sales Units'!N9,"")</f>
        <v>300</v>
      </c>
      <c r="O18" s="302">
        <f>IFERROR('A. Background'!$E$16*'E. Sales Units'!O9,"")</f>
        <v>300</v>
      </c>
      <c r="P18" s="302">
        <f>IFERROR('A. Background'!$E$16*'E. Sales Units'!P9,"")</f>
        <v>300</v>
      </c>
      <c r="Q18" s="399">
        <f t="shared" si="5"/>
        <v>2250</v>
      </c>
      <c r="R18" s="439">
        <f t="shared" si="6"/>
        <v>0.1176470588</v>
      </c>
    </row>
    <row r="19" ht="15.0" customHeight="1" outlineLevel="2">
      <c r="A19" s="12" t="str">
        <f>IF(OR('A. Background'!B17="Product/Service",'A. Background'!B17=""),"",'A. Background'!B17)</f>
        <v/>
      </c>
      <c r="B19" s="440"/>
      <c r="C19" s="12"/>
      <c r="D19" s="12"/>
      <c r="E19" s="302">
        <f>IFERROR('A. Background'!$E$17*'E. Sales Units'!E10,"")</f>
        <v>0</v>
      </c>
      <c r="F19" s="302">
        <f>IFERROR('A. Background'!$E$17*'E. Sales Units'!F10,"")</f>
        <v>0</v>
      </c>
      <c r="G19" s="302">
        <f>IFERROR('A. Background'!$E$17*'E. Sales Units'!G10,"")</f>
        <v>0</v>
      </c>
      <c r="H19" s="302">
        <f>IFERROR('A. Background'!$E$17*'E. Sales Units'!H10,"")</f>
        <v>0</v>
      </c>
      <c r="I19" s="302">
        <f>IFERROR('A. Background'!$E$17*'E. Sales Units'!I10,"")</f>
        <v>0</v>
      </c>
      <c r="J19" s="302">
        <f>IFERROR('A. Background'!$E$17*'E. Sales Units'!J10,"")</f>
        <v>0</v>
      </c>
      <c r="K19" s="302">
        <f>IFERROR('A. Background'!$E$17*'E. Sales Units'!K10,"")</f>
        <v>0</v>
      </c>
      <c r="L19" s="302">
        <f>IFERROR('A. Background'!$E$17*'E. Sales Units'!L10,"")</f>
        <v>0</v>
      </c>
      <c r="M19" s="302">
        <f>IFERROR('A. Background'!$E$17*'E. Sales Units'!M10,"")</f>
        <v>0</v>
      </c>
      <c r="N19" s="302">
        <f>IFERROR('A. Background'!$E$17*'E. Sales Units'!N10,"")</f>
        <v>0</v>
      </c>
      <c r="O19" s="302">
        <f>IFERROR('A. Background'!$E$17*'E. Sales Units'!O10,"")</f>
        <v>0</v>
      </c>
      <c r="P19" s="302">
        <f>IFERROR('A. Background'!$E$17*'E. Sales Units'!P10,"")</f>
        <v>0</v>
      </c>
      <c r="Q19" s="399">
        <f t="shared" si="5"/>
        <v>0</v>
      </c>
      <c r="R19" s="439">
        <f t="shared" si="6"/>
        <v>0</v>
      </c>
    </row>
    <row r="20" ht="15.0" customHeight="1" outlineLevel="2">
      <c r="A20" s="12" t="str">
        <f>IF(OR('A. Background'!B18="Product/Service",'A. Background'!B18=""),"",'A. Background'!B18)</f>
        <v/>
      </c>
      <c r="B20" s="440"/>
      <c r="C20" s="12"/>
      <c r="D20" s="12"/>
      <c r="E20" s="302">
        <f>IFERROR('A. Background'!$E$18*'E. Sales Units'!E11,"")</f>
        <v>0</v>
      </c>
      <c r="F20" s="302">
        <f>IFERROR('A. Background'!$E$18*'E. Sales Units'!F11,"")</f>
        <v>0</v>
      </c>
      <c r="G20" s="302">
        <f>IFERROR('A. Background'!$E$18*'E. Sales Units'!G11,"")</f>
        <v>0</v>
      </c>
      <c r="H20" s="302">
        <f>IFERROR('A. Background'!$E$18*'E. Sales Units'!H11,"")</f>
        <v>0</v>
      </c>
      <c r="I20" s="302">
        <f>IFERROR('A. Background'!$E$18*'E. Sales Units'!I11,"")</f>
        <v>0</v>
      </c>
      <c r="J20" s="302">
        <f>IFERROR('A. Background'!$E$18*'E. Sales Units'!J11,"")</f>
        <v>0</v>
      </c>
      <c r="K20" s="302">
        <f>IFERROR('A. Background'!$E$18*'E. Sales Units'!K11,"")</f>
        <v>0</v>
      </c>
      <c r="L20" s="302">
        <f>IFERROR('A. Background'!$E$18*'E. Sales Units'!L11,"")</f>
        <v>0</v>
      </c>
      <c r="M20" s="302">
        <f>IFERROR('A. Background'!$E$18*'E. Sales Units'!M11,"")</f>
        <v>0</v>
      </c>
      <c r="N20" s="302">
        <f>IFERROR('A. Background'!$E$18*'E. Sales Units'!N11,"")</f>
        <v>0</v>
      </c>
      <c r="O20" s="302">
        <f>IFERROR('A. Background'!$E$18*'E. Sales Units'!O11,"")</f>
        <v>0</v>
      </c>
      <c r="P20" s="302">
        <f>IFERROR('A. Background'!$E$18*'E. Sales Units'!P11,"")</f>
        <v>0</v>
      </c>
      <c r="Q20" s="399">
        <f t="shared" si="5"/>
        <v>0</v>
      </c>
      <c r="R20" s="439">
        <f t="shared" si="6"/>
        <v>0</v>
      </c>
    </row>
    <row r="21" ht="15.0" customHeight="1" outlineLevel="2">
      <c r="A21" s="12" t="str">
        <f>IF(OR('A. Background'!B19="Product/Service",'A. Background'!B19=""),"",'A. Background'!B19)</f>
        <v/>
      </c>
      <c r="B21" s="440"/>
      <c r="C21" s="12"/>
      <c r="D21" s="12"/>
      <c r="E21" s="302">
        <f>IFERROR('A. Background'!$E$19*'E. Sales Units'!E12,"")</f>
        <v>0</v>
      </c>
      <c r="F21" s="302">
        <f>IFERROR('A. Background'!$E$19*'E. Sales Units'!F12,"")</f>
        <v>0</v>
      </c>
      <c r="G21" s="302">
        <f>IFERROR('A. Background'!$E$19*'E. Sales Units'!G12,"")</f>
        <v>0</v>
      </c>
      <c r="H21" s="302">
        <f>IFERROR('A. Background'!$E$19*'E. Sales Units'!H12,"")</f>
        <v>0</v>
      </c>
      <c r="I21" s="302">
        <f>IFERROR('A. Background'!$E$19*'E. Sales Units'!I12,"")</f>
        <v>0</v>
      </c>
      <c r="J21" s="302">
        <f>IFERROR('A. Background'!$E$19*'E. Sales Units'!J12,"")</f>
        <v>0</v>
      </c>
      <c r="K21" s="302">
        <f>IFERROR('A. Background'!$E$19*'E. Sales Units'!K12,"")</f>
        <v>0</v>
      </c>
      <c r="L21" s="302">
        <f>IFERROR('A. Background'!$E$19*'E. Sales Units'!L12,"")</f>
        <v>0</v>
      </c>
      <c r="M21" s="302">
        <f>IFERROR('A. Background'!$E$19*'E. Sales Units'!M12,"")</f>
        <v>0</v>
      </c>
      <c r="N21" s="302">
        <f>IFERROR('A. Background'!$E$19*'E. Sales Units'!N12,"")</f>
        <v>0</v>
      </c>
      <c r="O21" s="302">
        <f>IFERROR('A. Background'!$E$19*'E. Sales Units'!O12,"")</f>
        <v>0</v>
      </c>
      <c r="P21" s="302">
        <f>IFERROR('A. Background'!$E$19*'E. Sales Units'!P12,"")</f>
        <v>0</v>
      </c>
      <c r="Q21" s="399">
        <f t="shared" si="5"/>
        <v>0</v>
      </c>
      <c r="R21" s="439">
        <f t="shared" si="6"/>
        <v>0</v>
      </c>
    </row>
    <row r="22" ht="15.0" customHeight="1" outlineLevel="2">
      <c r="A22" s="12" t="str">
        <f>IF(OR('A. Background'!B20="Product/Service",'A. Background'!B20=""),"",'A. Background'!B20)</f>
        <v/>
      </c>
      <c r="B22" s="440"/>
      <c r="C22" s="12"/>
      <c r="D22" s="12"/>
      <c r="E22" s="302">
        <f>IFERROR('A. Background'!$E$20*'E. Sales Units'!E13,"")</f>
        <v>0</v>
      </c>
      <c r="F22" s="302">
        <f>IFERROR('A. Background'!$E$20*'E. Sales Units'!F13,"")</f>
        <v>0</v>
      </c>
      <c r="G22" s="302">
        <f>IFERROR('A. Background'!$E$20*'E. Sales Units'!G13,"")</f>
        <v>0</v>
      </c>
      <c r="H22" s="302">
        <f>IFERROR('A. Background'!$E$20*'E. Sales Units'!H13,"")</f>
        <v>0</v>
      </c>
      <c r="I22" s="302">
        <f>IFERROR('A. Background'!$E$20*'E. Sales Units'!I13,"")</f>
        <v>0</v>
      </c>
      <c r="J22" s="302">
        <f>IFERROR('A. Background'!$E$20*'E. Sales Units'!J13,"")</f>
        <v>0</v>
      </c>
      <c r="K22" s="302">
        <f>IFERROR('A. Background'!$E$20*'E. Sales Units'!K13,"")</f>
        <v>0</v>
      </c>
      <c r="L22" s="302">
        <f>IFERROR('A. Background'!$E$20*'E. Sales Units'!L13,"")</f>
        <v>0</v>
      </c>
      <c r="M22" s="302">
        <f>IFERROR('A. Background'!$E$20*'E. Sales Units'!M13,"")</f>
        <v>0</v>
      </c>
      <c r="N22" s="302">
        <f>IFERROR('A. Background'!$E$20*'E. Sales Units'!N13,"")</f>
        <v>0</v>
      </c>
      <c r="O22" s="302">
        <f>IFERROR('A. Background'!$E$20*'E. Sales Units'!O13,"")</f>
        <v>0</v>
      </c>
      <c r="P22" s="302">
        <f>IFERROR('A. Background'!$E$20*'E. Sales Units'!P13,"")</f>
        <v>0</v>
      </c>
      <c r="Q22" s="399">
        <f t="shared" si="5"/>
        <v>0</v>
      </c>
      <c r="R22" s="439">
        <f t="shared" si="6"/>
        <v>0</v>
      </c>
    </row>
    <row r="23" ht="15.0" customHeight="1" outlineLevel="2">
      <c r="A23" s="12" t="str">
        <f>IF(OR('A. Background'!B21="Product/Service",'A. Background'!B21=""),"",'A. Background'!B21)</f>
        <v/>
      </c>
      <c r="B23" s="440"/>
      <c r="C23" s="12"/>
      <c r="D23" s="12"/>
      <c r="E23" s="302">
        <f>IFERROR('A. Background'!$E$21*'E. Sales Units'!E14,"")</f>
        <v>0</v>
      </c>
      <c r="F23" s="302">
        <f>IFERROR('A. Background'!$E$21*'E. Sales Units'!F14,"")</f>
        <v>0</v>
      </c>
      <c r="G23" s="302">
        <f>IFERROR('A. Background'!$E$21*'E. Sales Units'!G14,"")</f>
        <v>0</v>
      </c>
      <c r="H23" s="302">
        <f>IFERROR('A. Background'!$E$21*'E. Sales Units'!H14,"")</f>
        <v>0</v>
      </c>
      <c r="I23" s="302">
        <f>IFERROR('A. Background'!$E$21*'E. Sales Units'!I14,"")</f>
        <v>0</v>
      </c>
      <c r="J23" s="302">
        <f>IFERROR('A. Background'!$E$21*'E. Sales Units'!J14,"")</f>
        <v>0</v>
      </c>
      <c r="K23" s="302">
        <f>IFERROR('A. Background'!$E$21*'E. Sales Units'!K14,"")</f>
        <v>0</v>
      </c>
      <c r="L23" s="302">
        <f>IFERROR('A. Background'!$E$21*'E. Sales Units'!L14,"")</f>
        <v>0</v>
      </c>
      <c r="M23" s="302">
        <f>IFERROR('A. Background'!$E$21*'E. Sales Units'!M14,"")</f>
        <v>0</v>
      </c>
      <c r="N23" s="302">
        <f>IFERROR('A. Background'!$E$21*'E. Sales Units'!N14,"")</f>
        <v>0</v>
      </c>
      <c r="O23" s="302">
        <f>IFERROR('A. Background'!$E$21*'E. Sales Units'!O14,"")</f>
        <v>0</v>
      </c>
      <c r="P23" s="302">
        <f>IFERROR('A. Background'!$E$21*'E. Sales Units'!P14,"")</f>
        <v>0</v>
      </c>
      <c r="Q23" s="399">
        <f t="shared" si="5"/>
        <v>0</v>
      </c>
      <c r="R23" s="439">
        <f t="shared" si="6"/>
        <v>0</v>
      </c>
    </row>
    <row r="24" ht="15.75" customHeight="1" outlineLevel="2">
      <c r="A24" s="12" t="str">
        <f>IF(OR('A. Background'!B22="Product/Service",'A. Background'!B22=""),"",'A. Background'!B22)</f>
        <v/>
      </c>
      <c r="B24" s="440"/>
      <c r="C24" s="12"/>
      <c r="D24" s="12"/>
      <c r="E24" s="302">
        <f>IFERROR('A. Background'!$E$22*'E. Sales Units'!E15,"")</f>
        <v>0</v>
      </c>
      <c r="F24" s="302">
        <f>IFERROR('A. Background'!$E$22*'E. Sales Units'!F15,"")</f>
        <v>0</v>
      </c>
      <c r="G24" s="302">
        <f>IFERROR('A. Background'!$E$22*'E. Sales Units'!G15,"")</f>
        <v>0</v>
      </c>
      <c r="H24" s="302">
        <f>IFERROR('A. Background'!$E$22*'E. Sales Units'!H15,"")</f>
        <v>0</v>
      </c>
      <c r="I24" s="302">
        <f>IFERROR('A. Background'!$E$22*'E. Sales Units'!I15,"")</f>
        <v>0</v>
      </c>
      <c r="J24" s="302">
        <f>IFERROR('A. Background'!$E$22*'E. Sales Units'!J15,"")</f>
        <v>0</v>
      </c>
      <c r="K24" s="302">
        <f>IFERROR('A. Background'!$E$22*'E. Sales Units'!K15,"")</f>
        <v>0</v>
      </c>
      <c r="L24" s="302">
        <f>IFERROR('A. Background'!$E$22*'E. Sales Units'!L15,"")</f>
        <v>0</v>
      </c>
      <c r="M24" s="302">
        <f>IFERROR('A. Background'!$E$22*'E. Sales Units'!M15,"")</f>
        <v>0</v>
      </c>
      <c r="N24" s="302">
        <f>IFERROR('A. Background'!$E$22*'E. Sales Units'!N15,"")</f>
        <v>0</v>
      </c>
      <c r="O24" s="302">
        <f>IFERROR('A. Background'!$E$22*'E. Sales Units'!O15,"")</f>
        <v>0</v>
      </c>
      <c r="P24" s="302">
        <f>IFERROR('A. Background'!$E$22*'E. Sales Units'!P15,"")</f>
        <v>0</v>
      </c>
      <c r="Q24" s="399">
        <f t="shared" si="5"/>
        <v>0</v>
      </c>
      <c r="R24" s="439">
        <f t="shared" si="6"/>
        <v>0</v>
      </c>
    </row>
    <row r="25" ht="15.75" customHeight="1" outlineLevel="1">
      <c r="A25" s="133" t="s">
        <v>387</v>
      </c>
      <c r="B25" s="440"/>
      <c r="C25" s="12"/>
      <c r="D25" s="12"/>
      <c r="E25" s="321">
        <f t="shared" ref="E25:P25" si="7">SUM(E17:E24)</f>
        <v>510</v>
      </c>
      <c r="F25" s="321">
        <f t="shared" si="7"/>
        <v>765</v>
      </c>
      <c r="G25" s="321">
        <f t="shared" si="7"/>
        <v>765</v>
      </c>
      <c r="H25" s="321">
        <f t="shared" si="7"/>
        <v>765</v>
      </c>
      <c r="I25" s="321">
        <f t="shared" si="7"/>
        <v>1530</v>
      </c>
      <c r="J25" s="321">
        <f t="shared" si="7"/>
        <v>1530</v>
      </c>
      <c r="K25" s="321">
        <f t="shared" si="7"/>
        <v>1530</v>
      </c>
      <c r="L25" s="321">
        <f t="shared" si="7"/>
        <v>1530</v>
      </c>
      <c r="M25" s="321">
        <f t="shared" si="7"/>
        <v>2550</v>
      </c>
      <c r="N25" s="321">
        <f t="shared" si="7"/>
        <v>2550</v>
      </c>
      <c r="O25" s="321">
        <f t="shared" si="7"/>
        <v>2550</v>
      </c>
      <c r="P25" s="321">
        <f t="shared" si="7"/>
        <v>2550</v>
      </c>
      <c r="Q25" s="441">
        <f t="shared" si="5"/>
        <v>19125</v>
      </c>
      <c r="R25" s="442">
        <f>YR1_COGS/SUM(Q14,Q25,Q34,Q72,Q83)</f>
        <v>0.1111110647</v>
      </c>
    </row>
    <row r="26" ht="15.75" customHeight="1" outlineLevel="1">
      <c r="A26" s="12"/>
      <c r="B26" s="440"/>
      <c r="C26" s="12"/>
      <c r="D26" s="12"/>
      <c r="E26" s="12"/>
      <c r="F26" s="12"/>
      <c r="G26" s="12"/>
      <c r="H26" s="12"/>
      <c r="I26" s="12"/>
      <c r="J26" s="12"/>
      <c r="K26" s="12"/>
      <c r="L26" s="12"/>
      <c r="M26" s="12"/>
      <c r="N26" s="12"/>
      <c r="O26" s="12"/>
      <c r="P26" s="12"/>
      <c r="Q26" s="25"/>
    </row>
    <row r="27" ht="15.75" customHeight="1" outlineLevel="1">
      <c r="A27" s="25" t="s">
        <v>388</v>
      </c>
      <c r="B27" s="440"/>
      <c r="C27" s="12"/>
      <c r="D27" s="12"/>
      <c r="E27" s="443">
        <f t="shared" ref="E27:P27" si="8">E14-E25</f>
        <v>1190</v>
      </c>
      <c r="F27" s="443">
        <f t="shared" si="8"/>
        <v>1785</v>
      </c>
      <c r="G27" s="443">
        <f t="shared" si="8"/>
        <v>1785</v>
      </c>
      <c r="H27" s="443">
        <f t="shared" si="8"/>
        <v>1785</v>
      </c>
      <c r="I27" s="443">
        <f t="shared" si="8"/>
        <v>3570</v>
      </c>
      <c r="J27" s="443">
        <f t="shared" si="8"/>
        <v>3570</v>
      </c>
      <c r="K27" s="443">
        <f t="shared" si="8"/>
        <v>3570</v>
      </c>
      <c r="L27" s="443">
        <f t="shared" si="8"/>
        <v>3570</v>
      </c>
      <c r="M27" s="443">
        <f t="shared" si="8"/>
        <v>5950</v>
      </c>
      <c r="N27" s="443">
        <f t="shared" si="8"/>
        <v>5950</v>
      </c>
      <c r="O27" s="443">
        <f t="shared" si="8"/>
        <v>5950</v>
      </c>
      <c r="P27" s="443">
        <f t="shared" si="8"/>
        <v>5950</v>
      </c>
      <c r="Q27" s="444">
        <f>SUM(E27:P27)</f>
        <v>44625</v>
      </c>
    </row>
    <row r="28" ht="15.75" customHeight="1" outlineLevel="1">
      <c r="A28" s="12"/>
      <c r="B28" s="7"/>
      <c r="C28" s="12"/>
      <c r="D28" s="12"/>
      <c r="E28" s="12"/>
      <c r="F28" s="12"/>
      <c r="G28" s="12"/>
      <c r="H28" s="12"/>
      <c r="I28" s="12"/>
      <c r="J28" s="12"/>
      <c r="K28" s="12"/>
      <c r="L28" s="12"/>
      <c r="M28" s="12"/>
      <c r="N28" s="12"/>
      <c r="O28" s="12"/>
      <c r="P28" s="12"/>
      <c r="Q28" s="25"/>
    </row>
    <row r="29" ht="15.75" customHeight="1" outlineLevel="1">
      <c r="A29" s="12"/>
      <c r="B29" s="7"/>
      <c r="C29" s="12"/>
      <c r="D29" s="12"/>
      <c r="E29" s="12"/>
      <c r="F29" s="12"/>
      <c r="G29" s="12"/>
      <c r="H29" s="12"/>
      <c r="I29" s="12"/>
      <c r="J29" s="12"/>
      <c r="K29" s="12"/>
      <c r="L29" s="12"/>
      <c r="M29" s="12"/>
      <c r="N29" s="12"/>
      <c r="O29" s="12"/>
      <c r="P29" s="12"/>
      <c r="Q29" s="25"/>
    </row>
    <row r="30" ht="15.75" customHeight="1" outlineLevel="1">
      <c r="A30" s="434" t="s">
        <v>389</v>
      </c>
      <c r="B30" s="435"/>
      <c r="C30" s="436"/>
      <c r="D30" s="436"/>
      <c r="E30" s="436"/>
      <c r="F30" s="436"/>
      <c r="G30" s="436"/>
      <c r="H30" s="436"/>
      <c r="I30" s="436"/>
      <c r="J30" s="436"/>
      <c r="K30" s="436"/>
      <c r="L30" s="436"/>
      <c r="M30" s="436"/>
      <c r="N30" s="436"/>
      <c r="O30" s="436"/>
      <c r="P30" s="436"/>
      <c r="Q30" s="434"/>
      <c r="R30" s="436"/>
    </row>
    <row r="31" ht="15.75" customHeight="1" outlineLevel="2">
      <c r="A31" s="12" t="str">
        <f>'Personnel Summary'!D13</f>
        <v>Salaries &amp; Wages</v>
      </c>
      <c r="B31" s="7"/>
      <c r="C31" s="12"/>
      <c r="D31" s="12" t="s">
        <v>390</v>
      </c>
      <c r="E31" s="67">
        <f>'Personnel Summary'!E13</f>
        <v>0</v>
      </c>
      <c r="F31" s="67">
        <f>'Personnel Summary'!F13</f>
        <v>0</v>
      </c>
      <c r="G31" s="67">
        <f>'Personnel Summary'!G13</f>
        <v>0</v>
      </c>
      <c r="H31" s="67">
        <f>'Personnel Summary'!H13</f>
        <v>0</v>
      </c>
      <c r="I31" s="67">
        <f>'Personnel Summary'!I13</f>
        <v>0</v>
      </c>
      <c r="J31" s="67">
        <f>'Personnel Summary'!J13</f>
        <v>0</v>
      </c>
      <c r="K31" s="67">
        <f>'Personnel Summary'!K13</f>
        <v>0</v>
      </c>
      <c r="L31" s="67">
        <f>'Personnel Summary'!L13</f>
        <v>0</v>
      </c>
      <c r="M31" s="67">
        <f>'Personnel Summary'!M13</f>
        <v>0</v>
      </c>
      <c r="N31" s="67">
        <f>'Personnel Summary'!N13</f>
        <v>0</v>
      </c>
      <c r="O31" s="67">
        <f>'Personnel Summary'!O13</f>
        <v>0</v>
      </c>
      <c r="P31" s="67">
        <f>'Personnel Summary'!P13</f>
        <v>0</v>
      </c>
      <c r="Q31" s="438">
        <f t="shared" ref="Q31:Q34" si="9">SUM(E31:P31)</f>
        <v>0</v>
      </c>
      <c r="R31" s="42">
        <f t="shared" ref="R31:R33" si="10">IFERROR(Q31/SUM($Q$31:$Q$33),"")</f>
        <v>0</v>
      </c>
    </row>
    <row r="32" ht="15.0" customHeight="1" outlineLevel="2">
      <c r="A32" s="12" t="str">
        <f>'Personnel Summary'!D14</f>
        <v>Independent Contractors</v>
      </c>
      <c r="B32" s="7"/>
      <c r="C32" s="12"/>
      <c r="D32" s="12" t="s">
        <v>390</v>
      </c>
      <c r="E32" s="302">
        <f>'Personnel Summary'!E14</f>
        <v>4022.988506</v>
      </c>
      <c r="F32" s="302">
        <f>'Personnel Summary'!F14</f>
        <v>4166.666667</v>
      </c>
      <c r="G32" s="302">
        <f>'Personnel Summary'!G14</f>
        <v>4166.666667</v>
      </c>
      <c r="H32" s="302">
        <f>'Personnel Summary'!H14</f>
        <v>4166.666667</v>
      </c>
      <c r="I32" s="302">
        <f>'Personnel Summary'!I14</f>
        <v>4166.666667</v>
      </c>
      <c r="J32" s="302">
        <f>'Personnel Summary'!J14</f>
        <v>4166.666667</v>
      </c>
      <c r="K32" s="302">
        <f>'Personnel Summary'!K14</f>
        <v>4166.666667</v>
      </c>
      <c r="L32" s="302">
        <f>'Personnel Summary'!L14</f>
        <v>4166.666667</v>
      </c>
      <c r="M32" s="302">
        <f>'Personnel Summary'!M14</f>
        <v>4166.666667</v>
      </c>
      <c r="N32" s="302">
        <f>'Personnel Summary'!N14</f>
        <v>4166.666667</v>
      </c>
      <c r="O32" s="302">
        <f>'Personnel Summary'!O14</f>
        <v>4166.666667</v>
      </c>
      <c r="P32" s="302">
        <f>'Personnel Summary'!P14</f>
        <v>4166.666667</v>
      </c>
      <c r="Q32" s="399">
        <f t="shared" si="9"/>
        <v>49856.32184</v>
      </c>
      <c r="R32" s="42">
        <f t="shared" si="10"/>
        <v>1</v>
      </c>
    </row>
    <row r="33" ht="15.75" customHeight="1" outlineLevel="2">
      <c r="A33" s="12" t="str">
        <f>'Personnel Summary'!D15</f>
        <v>Payroll Taxes &amp; Benefits</v>
      </c>
      <c r="B33" s="7"/>
      <c r="C33" s="12"/>
      <c r="D33" s="12" t="s">
        <v>390</v>
      </c>
      <c r="E33" s="302">
        <f>'Personnel Summary'!E15</f>
        <v>0</v>
      </c>
      <c r="F33" s="302">
        <f>'Personnel Summary'!F15</f>
        <v>0</v>
      </c>
      <c r="G33" s="302">
        <f>'Personnel Summary'!G15</f>
        <v>0</v>
      </c>
      <c r="H33" s="302">
        <f>'Personnel Summary'!H15</f>
        <v>0</v>
      </c>
      <c r="I33" s="302">
        <f>'Personnel Summary'!I15</f>
        <v>0</v>
      </c>
      <c r="J33" s="302">
        <f>'Personnel Summary'!J15</f>
        <v>0</v>
      </c>
      <c r="K33" s="302">
        <f>'Personnel Summary'!K15</f>
        <v>0</v>
      </c>
      <c r="L33" s="302">
        <f>'Personnel Summary'!L15</f>
        <v>0</v>
      </c>
      <c r="M33" s="302">
        <f>'Personnel Summary'!M15</f>
        <v>0</v>
      </c>
      <c r="N33" s="302">
        <f>'Personnel Summary'!N15</f>
        <v>0</v>
      </c>
      <c r="O33" s="302">
        <f>'Personnel Summary'!O15</f>
        <v>0</v>
      </c>
      <c r="P33" s="302">
        <f>'Personnel Summary'!P15</f>
        <v>0</v>
      </c>
      <c r="Q33" s="399">
        <f t="shared" si="9"/>
        <v>0</v>
      </c>
      <c r="R33" s="42">
        <f t="shared" si="10"/>
        <v>0</v>
      </c>
    </row>
    <row r="34" ht="15.75" customHeight="1" outlineLevel="1">
      <c r="A34" s="133" t="s">
        <v>391</v>
      </c>
      <c r="B34" s="7"/>
      <c r="C34" s="12"/>
      <c r="D34" s="12"/>
      <c r="E34" s="321">
        <f t="shared" ref="E34:P34" si="11">SUM(E31:E33)</f>
        <v>4022.988506</v>
      </c>
      <c r="F34" s="321">
        <f t="shared" si="11"/>
        <v>4166.666667</v>
      </c>
      <c r="G34" s="321">
        <f t="shared" si="11"/>
        <v>4166.666667</v>
      </c>
      <c r="H34" s="321">
        <f t="shared" si="11"/>
        <v>4166.666667</v>
      </c>
      <c r="I34" s="321">
        <f t="shared" si="11"/>
        <v>4166.666667</v>
      </c>
      <c r="J34" s="321">
        <f t="shared" si="11"/>
        <v>4166.666667</v>
      </c>
      <c r="K34" s="321">
        <f t="shared" si="11"/>
        <v>4166.666667</v>
      </c>
      <c r="L34" s="321">
        <f t="shared" si="11"/>
        <v>4166.666667</v>
      </c>
      <c r="M34" s="321">
        <f t="shared" si="11"/>
        <v>4166.666667</v>
      </c>
      <c r="N34" s="321">
        <f t="shared" si="11"/>
        <v>4166.666667</v>
      </c>
      <c r="O34" s="321">
        <f t="shared" si="11"/>
        <v>4166.666667</v>
      </c>
      <c r="P34" s="321">
        <f t="shared" si="11"/>
        <v>4166.666667</v>
      </c>
      <c r="Q34" s="441">
        <f t="shared" si="9"/>
        <v>49856.32184</v>
      </c>
      <c r="R34" s="442">
        <f>Q34/SUM(Q14,Q25,Q34,Q72,Q83)</f>
        <v>0.2896517126</v>
      </c>
    </row>
    <row r="35" ht="15.75" customHeight="1" outlineLevel="1">
      <c r="A35" s="12"/>
      <c r="B35" s="7"/>
      <c r="C35" s="12"/>
      <c r="D35" s="12"/>
      <c r="E35" s="12"/>
      <c r="F35" s="12"/>
      <c r="G35" s="12"/>
      <c r="H35" s="12"/>
      <c r="I35" s="12"/>
      <c r="J35" s="12"/>
      <c r="K35" s="12"/>
      <c r="L35" s="12"/>
      <c r="M35" s="12"/>
      <c r="N35" s="12"/>
      <c r="O35" s="12"/>
      <c r="P35" s="12"/>
      <c r="Q35" s="25"/>
    </row>
    <row r="36" ht="15.75" customHeight="1" outlineLevel="1">
      <c r="A36" s="434" t="s">
        <v>392</v>
      </c>
      <c r="B36" s="435"/>
      <c r="C36" s="436"/>
      <c r="D36" s="436"/>
      <c r="E36" s="436"/>
      <c r="F36" s="436"/>
      <c r="G36" s="436"/>
      <c r="H36" s="436"/>
      <c r="I36" s="436"/>
      <c r="J36" s="436"/>
      <c r="K36" s="436"/>
      <c r="L36" s="436"/>
      <c r="M36" s="436"/>
      <c r="N36" s="436"/>
      <c r="O36" s="436"/>
      <c r="P36" s="436"/>
      <c r="Q36" s="434"/>
      <c r="R36" s="436"/>
    </row>
    <row r="37" ht="15.75" customHeight="1" outlineLevel="2">
      <c r="A37" s="12" t="str">
        <f>'Expenses Summary'!G8</f>
        <v>Mortgage</v>
      </c>
      <c r="B37" s="445" t="str">
        <f>'Expenses Summary'!H8</f>
        <v/>
      </c>
      <c r="C37" s="12"/>
      <c r="D37" s="12" t="s">
        <v>393</v>
      </c>
      <c r="E37" s="67" t="str">
        <f>IF(Projected_Start_Date&lt;=E$4,$B37,0)</f>
        <v/>
      </c>
      <c r="F37" s="67" t="str">
        <f>IF(Projected_Start_Date&lt;=F$4,$B37,0)</f>
        <v/>
      </c>
      <c r="G37" s="67" t="str">
        <f>IF(Projected_Start_Date&lt;=G$4,$B37,0)</f>
        <v/>
      </c>
      <c r="H37" s="67" t="str">
        <f>IF(Projected_Start_Date&lt;=H$4,$B37,0)</f>
        <v/>
      </c>
      <c r="I37" s="67" t="str">
        <f>IF(Projected_Start_Date&lt;=I$4,$B37,0)</f>
        <v/>
      </c>
      <c r="J37" s="67" t="str">
        <f>IF(Projected_Start_Date&lt;=J$4,$B37,0)</f>
        <v/>
      </c>
      <c r="K37" s="67" t="str">
        <f>IF(Projected_Start_Date&lt;=K$4,$B37,0)</f>
        <v/>
      </c>
      <c r="L37" s="67" t="str">
        <f>IF(Projected_Start_Date&lt;=L$4,$B37,0)</f>
        <v/>
      </c>
      <c r="M37" s="67" t="str">
        <f>IF(Projected_Start_Date&lt;=M$4,$B37,0)</f>
        <v/>
      </c>
      <c r="N37" s="67" t="str">
        <f>IF(Projected_Start_Date&lt;=N$4,$B37,0)</f>
        <v/>
      </c>
      <c r="O37" s="67" t="str">
        <f>IF(Projected_Start_Date&lt;=O$4,$B37,0)</f>
        <v/>
      </c>
      <c r="P37" s="67" t="str">
        <f>IF(Projected_Start_Date&lt;=P$4,$B37,0)</f>
        <v/>
      </c>
      <c r="Q37" s="438">
        <f t="shared" ref="Q37:Q72" si="12">SUM(E37:P37)</f>
        <v>0</v>
      </c>
      <c r="R37" s="439">
        <f t="shared" ref="R37:R63" si="13">IFERROR(Q37/SUM($Q$37:$Q$71),0)</f>
        <v>0</v>
      </c>
    </row>
    <row r="38" ht="15.0" customHeight="1" outlineLevel="2">
      <c r="A38" s="12" t="str">
        <f>'Expenses Summary'!G9</f>
        <v>Rent</v>
      </c>
      <c r="B38" s="445">
        <f>'Expenses Summary'!H9</f>
        <v>0</v>
      </c>
      <c r="C38" s="12"/>
      <c r="D38" s="12" t="s">
        <v>393</v>
      </c>
      <c r="E38" s="302">
        <f>IF(Projected_Start_Date&lt;=E$4,$B38,0)</f>
        <v>0</v>
      </c>
      <c r="F38" s="302">
        <f>IF(Projected_Start_Date&lt;=F$4,$B38,0)</f>
        <v>0</v>
      </c>
      <c r="G38" s="302">
        <f>IF(Projected_Start_Date&lt;=G$4,$B38,0)</f>
        <v>0</v>
      </c>
      <c r="H38" s="302">
        <f>IF(Projected_Start_Date&lt;=H$4,$B38,0)</f>
        <v>0</v>
      </c>
      <c r="I38" s="302">
        <f>IF(Projected_Start_Date&lt;=I$4,$B38,0)</f>
        <v>0</v>
      </c>
      <c r="J38" s="302">
        <f>IF(Projected_Start_Date&lt;=J$4,$B38,0)</f>
        <v>0</v>
      </c>
      <c r="K38" s="302">
        <f>IF(Projected_Start_Date&lt;=K$4,$B38,0)</f>
        <v>0</v>
      </c>
      <c r="L38" s="302">
        <f>IF(Projected_Start_Date&lt;=L$4,$B38,0)</f>
        <v>0</v>
      </c>
      <c r="M38" s="302">
        <f>IF(Projected_Start_Date&lt;=M$4,$B38,0)</f>
        <v>0</v>
      </c>
      <c r="N38" s="302">
        <f>IF(Projected_Start_Date&lt;=N$4,$B38,0)</f>
        <v>0</v>
      </c>
      <c r="O38" s="302">
        <f>IF(Projected_Start_Date&lt;=O$4,$B38,0)</f>
        <v>0</v>
      </c>
      <c r="P38" s="302">
        <f>IF(Projected_Start_Date&lt;=P$4,$B38,0)</f>
        <v>0</v>
      </c>
      <c r="Q38" s="399">
        <f t="shared" si="12"/>
        <v>0</v>
      </c>
      <c r="R38" s="439">
        <f t="shared" si="13"/>
        <v>0</v>
      </c>
    </row>
    <row r="39" ht="15.0" customHeight="1" outlineLevel="2">
      <c r="A39" s="12" t="str">
        <f>'Expenses Summary'!G10</f>
        <v>Renovations</v>
      </c>
      <c r="B39" s="445" t="str">
        <f>'Expenses Summary'!H10</f>
        <v/>
      </c>
      <c r="C39" s="12"/>
      <c r="D39" s="12" t="s">
        <v>393</v>
      </c>
      <c r="E39" s="302" t="str">
        <f>IF(Projected_Start_Date&lt;=E$4,$B39,0)</f>
        <v/>
      </c>
      <c r="F39" s="302" t="str">
        <f>IF(Projected_Start_Date&lt;=F$4,$B39,0)</f>
        <v/>
      </c>
      <c r="G39" s="302" t="str">
        <f>IF(Projected_Start_Date&lt;=G$4,$B39,0)</f>
        <v/>
      </c>
      <c r="H39" s="302" t="str">
        <f>IF(Projected_Start_Date&lt;=H$4,$B39,0)</f>
        <v/>
      </c>
      <c r="I39" s="302" t="str">
        <f>IF(Projected_Start_Date&lt;=I$4,$B39,0)</f>
        <v/>
      </c>
      <c r="J39" s="302" t="str">
        <f>IF(Projected_Start_Date&lt;=J$4,$B39,0)</f>
        <v/>
      </c>
      <c r="K39" s="302" t="str">
        <f>IF(Projected_Start_Date&lt;=K$4,$B39,0)</f>
        <v/>
      </c>
      <c r="L39" s="302" t="str">
        <f>IF(Projected_Start_Date&lt;=L$4,$B39,0)</f>
        <v/>
      </c>
      <c r="M39" s="302" t="str">
        <f>IF(Projected_Start_Date&lt;=M$4,$B39,0)</f>
        <v/>
      </c>
      <c r="N39" s="302" t="str">
        <f>IF(Projected_Start_Date&lt;=N$4,$B39,0)</f>
        <v/>
      </c>
      <c r="O39" s="302" t="str">
        <f>IF(Projected_Start_Date&lt;=O$4,$B39,0)</f>
        <v/>
      </c>
      <c r="P39" s="302" t="str">
        <f>IF(Projected_Start_Date&lt;=P$4,$B39,0)</f>
        <v/>
      </c>
      <c r="Q39" s="399">
        <f t="shared" si="12"/>
        <v>0</v>
      </c>
      <c r="R39" s="439">
        <f t="shared" si="13"/>
        <v>0</v>
      </c>
    </row>
    <row r="40" ht="15.0" customHeight="1" outlineLevel="2">
      <c r="A40" s="12" t="str">
        <f>'Expenses Summary'!G11</f>
        <v>Equipment Leasing</v>
      </c>
      <c r="B40" s="445" t="str">
        <f>'Expenses Summary'!H11</f>
        <v/>
      </c>
      <c r="C40" s="12"/>
      <c r="D40" s="12" t="s">
        <v>393</v>
      </c>
      <c r="E40" s="302" t="str">
        <f>IF(Projected_Start_Date&lt;=E$4,$B40,0)</f>
        <v/>
      </c>
      <c r="F40" s="302" t="str">
        <f>IF(Projected_Start_Date&lt;=F$4,$B40,0)</f>
        <v/>
      </c>
      <c r="G40" s="302" t="str">
        <f>IF(Projected_Start_Date&lt;=G$4,$B40,0)</f>
        <v/>
      </c>
      <c r="H40" s="302" t="str">
        <f>IF(Projected_Start_Date&lt;=H$4,$B40,0)</f>
        <v/>
      </c>
      <c r="I40" s="302" t="str">
        <f>IF(Projected_Start_Date&lt;=I$4,$B40,0)</f>
        <v/>
      </c>
      <c r="J40" s="302" t="str">
        <f>IF(Projected_Start_Date&lt;=J$4,$B40,0)</f>
        <v/>
      </c>
      <c r="K40" s="302" t="str">
        <f>IF(Projected_Start_Date&lt;=K$4,$B40,0)</f>
        <v/>
      </c>
      <c r="L40" s="302" t="str">
        <f>IF(Projected_Start_Date&lt;=L$4,$B40,0)</f>
        <v/>
      </c>
      <c r="M40" s="302" t="str">
        <f>IF(Projected_Start_Date&lt;=M$4,$B40,0)</f>
        <v/>
      </c>
      <c r="N40" s="302" t="str">
        <f>IF(Projected_Start_Date&lt;=N$4,$B40,0)</f>
        <v/>
      </c>
      <c r="O40" s="302" t="str">
        <f>IF(Projected_Start_Date&lt;=O$4,$B40,0)</f>
        <v/>
      </c>
      <c r="P40" s="302" t="str">
        <f>IF(Projected_Start_Date&lt;=P$4,$B40,0)</f>
        <v/>
      </c>
      <c r="Q40" s="399">
        <f t="shared" si="12"/>
        <v>0</v>
      </c>
      <c r="R40" s="439">
        <f t="shared" si="13"/>
        <v>0</v>
      </c>
    </row>
    <row r="41" ht="15.0" customHeight="1" outlineLevel="2">
      <c r="A41" s="12" t="str">
        <f>'Expenses Summary'!G12</f>
        <v>Fixtures Leasing</v>
      </c>
      <c r="B41" s="445" t="str">
        <f>'Expenses Summary'!H12</f>
        <v/>
      </c>
      <c r="C41" s="12"/>
      <c r="D41" s="12" t="s">
        <v>393</v>
      </c>
      <c r="E41" s="302" t="str">
        <f>IF(Projected_Start_Date&lt;=E$4,$B41,0)</f>
        <v/>
      </c>
      <c r="F41" s="302" t="str">
        <f>IF(Projected_Start_Date&lt;=F$4,$B41,0)</f>
        <v/>
      </c>
      <c r="G41" s="302" t="str">
        <f>IF(Projected_Start_Date&lt;=G$4,$B41,0)</f>
        <v/>
      </c>
      <c r="H41" s="302" t="str">
        <f>IF(Projected_Start_Date&lt;=H$4,$B41,0)</f>
        <v/>
      </c>
      <c r="I41" s="302" t="str">
        <f>IF(Projected_Start_Date&lt;=I$4,$B41,0)</f>
        <v/>
      </c>
      <c r="J41" s="302" t="str">
        <f>IF(Projected_Start_Date&lt;=J$4,$B41,0)</f>
        <v/>
      </c>
      <c r="K41" s="302" t="str">
        <f>IF(Projected_Start_Date&lt;=K$4,$B41,0)</f>
        <v/>
      </c>
      <c r="L41" s="302" t="str">
        <f>IF(Projected_Start_Date&lt;=L$4,$B41,0)</f>
        <v/>
      </c>
      <c r="M41" s="302" t="str">
        <f>IF(Projected_Start_Date&lt;=M$4,$B41,0)</f>
        <v/>
      </c>
      <c r="N41" s="302" t="str">
        <f>IF(Projected_Start_Date&lt;=N$4,$B41,0)</f>
        <v/>
      </c>
      <c r="O41" s="302" t="str">
        <f>IF(Projected_Start_Date&lt;=O$4,$B41,0)</f>
        <v/>
      </c>
      <c r="P41" s="302" t="str">
        <f>IF(Projected_Start_Date&lt;=P$4,$B41,0)</f>
        <v/>
      </c>
      <c r="Q41" s="399">
        <f t="shared" si="12"/>
        <v>0</v>
      </c>
      <c r="R41" s="439">
        <f t="shared" si="13"/>
        <v>0</v>
      </c>
    </row>
    <row r="42" ht="15.0" customHeight="1" outlineLevel="2">
      <c r="A42" s="12" t="str">
        <f>'Expenses Summary'!G13</f>
        <v>Furniture Rental/Leasing</v>
      </c>
      <c r="B42" s="445" t="str">
        <f>'Expenses Summary'!H13</f>
        <v/>
      </c>
      <c r="C42" s="12"/>
      <c r="D42" s="12" t="s">
        <v>393</v>
      </c>
      <c r="E42" s="302" t="str">
        <f>IF(Projected_Start_Date&lt;=E$4,$B42,0)</f>
        <v/>
      </c>
      <c r="F42" s="302" t="str">
        <f>IF(Projected_Start_Date&lt;=F$4,$B42,0)</f>
        <v/>
      </c>
      <c r="G42" s="302" t="str">
        <f>IF(Projected_Start_Date&lt;=G$4,$B42,0)</f>
        <v/>
      </c>
      <c r="H42" s="302" t="str">
        <f>IF(Projected_Start_Date&lt;=H$4,$B42,0)</f>
        <v/>
      </c>
      <c r="I42" s="302" t="str">
        <f>IF(Projected_Start_Date&lt;=I$4,$B42,0)</f>
        <v/>
      </c>
      <c r="J42" s="302" t="str">
        <f>IF(Projected_Start_Date&lt;=J$4,$B42,0)</f>
        <v/>
      </c>
      <c r="K42" s="302" t="str">
        <f>IF(Projected_Start_Date&lt;=K$4,$B42,0)</f>
        <v/>
      </c>
      <c r="L42" s="302" t="str">
        <f>IF(Projected_Start_Date&lt;=L$4,$B42,0)</f>
        <v/>
      </c>
      <c r="M42" s="302" t="str">
        <f>IF(Projected_Start_Date&lt;=M$4,$B42,0)</f>
        <v/>
      </c>
      <c r="N42" s="302" t="str">
        <f>IF(Projected_Start_Date&lt;=N$4,$B42,0)</f>
        <v/>
      </c>
      <c r="O42" s="302" t="str">
        <f>IF(Projected_Start_Date&lt;=O$4,$B42,0)</f>
        <v/>
      </c>
      <c r="P42" s="302" t="str">
        <f>IF(Projected_Start_Date&lt;=P$4,$B42,0)</f>
        <v/>
      </c>
      <c r="Q42" s="399">
        <f t="shared" si="12"/>
        <v>0</v>
      </c>
      <c r="R42" s="439">
        <f t="shared" si="13"/>
        <v>0</v>
      </c>
    </row>
    <row r="43" ht="15.0" customHeight="1" outlineLevel="2">
      <c r="A43" s="12" t="str">
        <f>'Expenses Summary'!G14</f>
        <v>Vehicles Leasing &amp; Other Expenses</v>
      </c>
      <c r="B43" s="445" t="str">
        <f>'Expenses Summary'!H14</f>
        <v/>
      </c>
      <c r="C43" s="12"/>
      <c r="D43" s="12" t="s">
        <v>393</v>
      </c>
      <c r="E43" s="302" t="str">
        <f>IF(Projected_Start_Date&lt;=E$4,$B43,0)</f>
        <v/>
      </c>
      <c r="F43" s="302" t="str">
        <f>IF(Projected_Start_Date&lt;=F$4,$B43,0)</f>
        <v/>
      </c>
      <c r="G43" s="302" t="str">
        <f>IF(Projected_Start_Date&lt;=G$4,$B43,0)</f>
        <v/>
      </c>
      <c r="H43" s="302" t="str">
        <f>IF(Projected_Start_Date&lt;=H$4,$B43,0)</f>
        <v/>
      </c>
      <c r="I43" s="302" t="str">
        <f>IF(Projected_Start_Date&lt;=I$4,$B43,0)</f>
        <v/>
      </c>
      <c r="J43" s="302" t="str">
        <f>IF(Projected_Start_Date&lt;=J$4,$B43,0)</f>
        <v/>
      </c>
      <c r="K43" s="302" t="str">
        <f>IF(Projected_Start_Date&lt;=K$4,$B43,0)</f>
        <v/>
      </c>
      <c r="L43" s="302" t="str">
        <f>IF(Projected_Start_Date&lt;=L$4,$B43,0)</f>
        <v/>
      </c>
      <c r="M43" s="302" t="str">
        <f>IF(Projected_Start_Date&lt;=M$4,$B43,0)</f>
        <v/>
      </c>
      <c r="N43" s="302" t="str">
        <f>IF(Projected_Start_Date&lt;=N$4,$B43,0)</f>
        <v/>
      </c>
      <c r="O43" s="302" t="str">
        <f>IF(Projected_Start_Date&lt;=O$4,$B43,0)</f>
        <v/>
      </c>
      <c r="P43" s="302" t="str">
        <f>IF(Projected_Start_Date&lt;=P$4,$B43,0)</f>
        <v/>
      </c>
      <c r="Q43" s="399">
        <f t="shared" si="12"/>
        <v>0</v>
      </c>
      <c r="R43" s="439">
        <f t="shared" si="13"/>
        <v>0</v>
      </c>
    </row>
    <row r="44" ht="15.0" customHeight="1" outlineLevel="2">
      <c r="A44" s="12" t="str">
        <f>'Expenses Summary'!G15</f>
        <v>Mileage</v>
      </c>
      <c r="B44" s="445" t="str">
        <f>'Expenses Summary'!H15</f>
        <v/>
      </c>
      <c r="C44" s="12"/>
      <c r="D44" s="12" t="s">
        <v>126</v>
      </c>
      <c r="E44" s="302" t="str">
        <f>IF(Projected_Start_Date&lt;=E$4,$B44,0)</f>
        <v/>
      </c>
      <c r="F44" s="302" t="str">
        <f>IF(Projected_Start_Date&lt;=F$4,$B44,0)</f>
        <v/>
      </c>
      <c r="G44" s="302" t="str">
        <f>IF(Projected_Start_Date&lt;=G$4,$B44,0)</f>
        <v/>
      </c>
      <c r="H44" s="302" t="str">
        <f>IF(Projected_Start_Date&lt;=H$4,$B44,0)</f>
        <v/>
      </c>
      <c r="I44" s="302" t="str">
        <f>IF(Projected_Start_Date&lt;=I$4,$B44,0)</f>
        <v/>
      </c>
      <c r="J44" s="302" t="str">
        <f>IF(Projected_Start_Date&lt;=J$4,$B44,0)</f>
        <v/>
      </c>
      <c r="K44" s="302" t="str">
        <f>IF(Projected_Start_Date&lt;=K$4,$B44,0)</f>
        <v/>
      </c>
      <c r="L44" s="302" t="str">
        <f>IF(Projected_Start_Date&lt;=L$4,$B44,0)</f>
        <v/>
      </c>
      <c r="M44" s="302" t="str">
        <f>IF(Projected_Start_Date&lt;=M$4,$B44,0)</f>
        <v/>
      </c>
      <c r="N44" s="302" t="str">
        <f>IF(Projected_Start_Date&lt;=N$4,$B44,0)</f>
        <v/>
      </c>
      <c r="O44" s="302" t="str">
        <f>IF(Projected_Start_Date&lt;=O$4,$B44,0)</f>
        <v/>
      </c>
      <c r="P44" s="302" t="str">
        <f>IF(Projected_Start_Date&lt;=P$4,$B44,0)</f>
        <v/>
      </c>
      <c r="Q44" s="399">
        <f t="shared" si="12"/>
        <v>0</v>
      </c>
      <c r="R44" s="439">
        <f t="shared" si="13"/>
        <v>0</v>
      </c>
    </row>
    <row r="45" ht="15.0" customHeight="1" outlineLevel="2">
      <c r="A45" s="12" t="str">
        <f>'Expenses Summary'!G16</f>
        <v>Utilities</v>
      </c>
      <c r="B45" s="445" t="str">
        <f>'Expenses Summary'!H16</f>
        <v/>
      </c>
      <c r="C45" s="12"/>
      <c r="D45" s="12" t="s">
        <v>395</v>
      </c>
      <c r="E45" s="302" t="str">
        <f>IF(Projected_Start_Date&lt;=E$4,$B45,0)</f>
        <v/>
      </c>
      <c r="F45" s="302" t="str">
        <f>IF(Projected_Start_Date&lt;=F$4,$B45,0)</f>
        <v/>
      </c>
      <c r="G45" s="302" t="str">
        <f>IF(Projected_Start_Date&lt;=G$4,$B45,0)</f>
        <v/>
      </c>
      <c r="H45" s="302" t="str">
        <f>IF(Projected_Start_Date&lt;=H$4,$B45,0)</f>
        <v/>
      </c>
      <c r="I45" s="302" t="str">
        <f>IF(Projected_Start_Date&lt;=I$4,$B45,0)</f>
        <v/>
      </c>
      <c r="J45" s="302" t="str">
        <f>IF(Projected_Start_Date&lt;=J$4,$B45,0)</f>
        <v/>
      </c>
      <c r="K45" s="302" t="str">
        <f>IF(Projected_Start_Date&lt;=K$4,$B45,0)</f>
        <v/>
      </c>
      <c r="L45" s="302" t="str">
        <f>IF(Projected_Start_Date&lt;=L$4,$B45,0)</f>
        <v/>
      </c>
      <c r="M45" s="302" t="str">
        <f>IF(Projected_Start_Date&lt;=M$4,$B45,0)</f>
        <v/>
      </c>
      <c r="N45" s="302" t="str">
        <f>IF(Projected_Start_Date&lt;=N$4,$B45,0)</f>
        <v/>
      </c>
      <c r="O45" s="302" t="str">
        <f>IF(Projected_Start_Date&lt;=O$4,$B45,0)</f>
        <v/>
      </c>
      <c r="P45" s="302" t="str">
        <f>IF(Projected_Start_Date&lt;=P$4,$B45,0)</f>
        <v/>
      </c>
      <c r="Q45" s="399">
        <f t="shared" si="12"/>
        <v>0</v>
      </c>
      <c r="R45" s="439">
        <f t="shared" si="13"/>
        <v>0</v>
      </c>
    </row>
    <row r="46" ht="15.0" customHeight="1" outlineLevel="2">
      <c r="A46" s="12" t="str">
        <f>'Expenses Summary'!G17</f>
        <v>Telephone</v>
      </c>
      <c r="B46" s="445">
        <f>'Expenses Summary'!H17</f>
        <v>250</v>
      </c>
      <c r="C46" s="12"/>
      <c r="D46" s="12" t="s">
        <v>395</v>
      </c>
      <c r="E46" s="302">
        <f>IF(Projected_Start_Date&lt;=E$4,$B46,0)</f>
        <v>250</v>
      </c>
      <c r="F46" s="302">
        <f>IF(Projected_Start_Date&lt;=F$4,$B46,0)</f>
        <v>250</v>
      </c>
      <c r="G46" s="302">
        <f>IF(Projected_Start_Date&lt;=G$4,$B46,0)</f>
        <v>250</v>
      </c>
      <c r="H46" s="302">
        <f>IF(Projected_Start_Date&lt;=H$4,$B46,0)</f>
        <v>250</v>
      </c>
      <c r="I46" s="302">
        <f>IF(Projected_Start_Date&lt;=I$4,$B46,0)</f>
        <v>250</v>
      </c>
      <c r="J46" s="302">
        <f>IF(Projected_Start_Date&lt;=J$4,$B46,0)</f>
        <v>250</v>
      </c>
      <c r="K46" s="302">
        <f>IF(Projected_Start_Date&lt;=K$4,$B46,0)</f>
        <v>250</v>
      </c>
      <c r="L46" s="302">
        <f>IF(Projected_Start_Date&lt;=L$4,$B46,0)</f>
        <v>250</v>
      </c>
      <c r="M46" s="302">
        <f>IF(Projected_Start_Date&lt;=M$4,$B46,0)</f>
        <v>250</v>
      </c>
      <c r="N46" s="302">
        <f>IF(Projected_Start_Date&lt;=N$4,$B46,0)</f>
        <v>250</v>
      </c>
      <c r="O46" s="302">
        <f>IF(Projected_Start_Date&lt;=O$4,$B46,0)</f>
        <v>250</v>
      </c>
      <c r="P46" s="302">
        <f>IF(Projected_Start_Date&lt;=P$4,$B46,0)</f>
        <v>250</v>
      </c>
      <c r="Q46" s="399">
        <f t="shared" si="12"/>
        <v>3000</v>
      </c>
      <c r="R46" s="439">
        <f t="shared" si="13"/>
        <v>0.07615421228</v>
      </c>
    </row>
    <row r="47" ht="15.0" customHeight="1" outlineLevel="2">
      <c r="A47" s="12" t="str">
        <f>'Expenses Summary'!G18</f>
        <v>Insurance</v>
      </c>
      <c r="B47" s="445">
        <f>'Expenses Summary'!H18</f>
        <v>1000</v>
      </c>
      <c r="C47" s="12"/>
      <c r="D47" s="12" t="s">
        <v>409</v>
      </c>
      <c r="E47" s="302">
        <f>IF(Projected_Start_Date&lt;=E$4,$B47,0)</f>
        <v>1000</v>
      </c>
      <c r="F47" s="302">
        <f>IF(Projected_Start_Date&lt;=F$4,$B47,0)</f>
        <v>1000</v>
      </c>
      <c r="G47" s="302">
        <f>IF(Projected_Start_Date&lt;=G$4,$B47,0)</f>
        <v>1000</v>
      </c>
      <c r="H47" s="302">
        <f>IF(Projected_Start_Date&lt;=H$4,$B47,0)</f>
        <v>1000</v>
      </c>
      <c r="I47" s="302">
        <f>IF(Projected_Start_Date&lt;=I$4,$B47,0)</f>
        <v>1000</v>
      </c>
      <c r="J47" s="302">
        <f>IF(Projected_Start_Date&lt;=J$4,$B47,0)</f>
        <v>1000</v>
      </c>
      <c r="K47" s="302">
        <f>IF(Projected_Start_Date&lt;=K$4,$B47,0)</f>
        <v>1000</v>
      </c>
      <c r="L47" s="302">
        <f>IF(Projected_Start_Date&lt;=L$4,$B47,0)</f>
        <v>1000</v>
      </c>
      <c r="M47" s="302">
        <f>IF(Projected_Start_Date&lt;=M$4,$B47,0)</f>
        <v>1000</v>
      </c>
      <c r="N47" s="302">
        <f>IF(Projected_Start_Date&lt;=N$4,$B47,0)</f>
        <v>1000</v>
      </c>
      <c r="O47" s="302">
        <f>IF(Projected_Start_Date&lt;=O$4,$B47,0)</f>
        <v>1000</v>
      </c>
      <c r="P47" s="302">
        <f>IF(Projected_Start_Date&lt;=P$4,$B47,0)</f>
        <v>1000</v>
      </c>
      <c r="Q47" s="399">
        <f t="shared" si="12"/>
        <v>12000</v>
      </c>
      <c r="R47" s="439">
        <f t="shared" si="13"/>
        <v>0.3046168491</v>
      </c>
    </row>
    <row r="48" ht="15.0" customHeight="1" outlineLevel="2">
      <c r="A48" s="12" t="str">
        <f>'Expenses Summary'!G19</f>
        <v>Licenses</v>
      </c>
      <c r="B48" s="445" t="str">
        <f>'Expenses Summary'!H19</f>
        <v/>
      </c>
      <c r="C48" s="12"/>
      <c r="D48" s="12" t="s">
        <v>409</v>
      </c>
      <c r="E48" s="302" t="str">
        <f>IF(Projected_Start_Date&lt;=E$4,$B48,0)</f>
        <v/>
      </c>
      <c r="F48" s="302" t="str">
        <f>IF(Projected_Start_Date&lt;=F$4,$B48,0)</f>
        <v/>
      </c>
      <c r="G48" s="302" t="str">
        <f>IF(Projected_Start_Date&lt;=G$4,$B48,0)</f>
        <v/>
      </c>
      <c r="H48" s="302" t="str">
        <f>IF(Projected_Start_Date&lt;=H$4,$B48,0)</f>
        <v/>
      </c>
      <c r="I48" s="302" t="str">
        <f>IF(Projected_Start_Date&lt;=I$4,$B48,0)</f>
        <v/>
      </c>
      <c r="J48" s="302" t="str">
        <f>IF(Projected_Start_Date&lt;=J$4,$B48,0)</f>
        <v/>
      </c>
      <c r="K48" s="302" t="str">
        <f>IF(Projected_Start_Date&lt;=K$4,$B48,0)</f>
        <v/>
      </c>
      <c r="L48" s="302" t="str">
        <f>IF(Projected_Start_Date&lt;=L$4,$B48,0)</f>
        <v/>
      </c>
      <c r="M48" s="302" t="str">
        <f>IF(Projected_Start_Date&lt;=M$4,$B48,0)</f>
        <v/>
      </c>
      <c r="N48" s="302" t="str">
        <f>IF(Projected_Start_Date&lt;=N$4,$B48,0)</f>
        <v/>
      </c>
      <c r="O48" s="302" t="str">
        <f>IF(Projected_Start_Date&lt;=O$4,$B48,0)</f>
        <v/>
      </c>
      <c r="P48" s="302" t="str">
        <f>IF(Projected_Start_Date&lt;=P$4,$B48,0)</f>
        <v/>
      </c>
      <c r="Q48" s="399">
        <f t="shared" si="12"/>
        <v>0</v>
      </c>
      <c r="R48" s="439">
        <f t="shared" si="13"/>
        <v>0</v>
      </c>
    </row>
    <row r="49" ht="15.0" customHeight="1" outlineLevel="2">
      <c r="A49" s="12" t="str">
        <f>'Expenses Summary'!G20</f>
        <v>Bank or Merchant Fees</v>
      </c>
      <c r="B49" s="445" t="str">
        <f>'Expenses Summary'!H20</f>
        <v/>
      </c>
      <c r="C49" s="12"/>
      <c r="D49" s="12" t="s">
        <v>418</v>
      </c>
      <c r="E49" s="302" t="str">
        <f>IF(Projected_Start_Date&lt;=E$4,$B49,0)</f>
        <v/>
      </c>
      <c r="F49" s="302" t="str">
        <f>IF(Projected_Start_Date&lt;=F$4,$B49,0)</f>
        <v/>
      </c>
      <c r="G49" s="302" t="str">
        <f>IF(Projected_Start_Date&lt;=G$4,$B49,0)</f>
        <v/>
      </c>
      <c r="H49" s="302" t="str">
        <f>IF(Projected_Start_Date&lt;=H$4,$B49,0)</f>
        <v/>
      </c>
      <c r="I49" s="302" t="str">
        <f>IF(Projected_Start_Date&lt;=I$4,$B49,0)</f>
        <v/>
      </c>
      <c r="J49" s="302" t="str">
        <f>IF(Projected_Start_Date&lt;=J$4,$B49,0)</f>
        <v/>
      </c>
      <c r="K49" s="302" t="str">
        <f>IF(Projected_Start_Date&lt;=K$4,$B49,0)</f>
        <v/>
      </c>
      <c r="L49" s="302" t="str">
        <f>IF(Projected_Start_Date&lt;=L$4,$B49,0)</f>
        <v/>
      </c>
      <c r="M49" s="302" t="str">
        <f>IF(Projected_Start_Date&lt;=M$4,$B49,0)</f>
        <v/>
      </c>
      <c r="N49" s="302" t="str">
        <f>IF(Projected_Start_Date&lt;=N$4,$B49,0)</f>
        <v/>
      </c>
      <c r="O49" s="302" t="str">
        <f>IF(Projected_Start_Date&lt;=O$4,$B49,0)</f>
        <v/>
      </c>
      <c r="P49" s="302" t="str">
        <f>IF(Projected_Start_Date&lt;=P$4,$B49,0)</f>
        <v/>
      </c>
      <c r="Q49" s="399">
        <f t="shared" si="12"/>
        <v>0</v>
      </c>
      <c r="R49" s="439">
        <f t="shared" si="13"/>
        <v>0</v>
      </c>
    </row>
    <row r="50" ht="15.0" customHeight="1" outlineLevel="2">
      <c r="A50" s="12" t="str">
        <f>'Expenses Summary'!G21</f>
        <v>Web Maintenance</v>
      </c>
      <c r="B50" s="445" t="str">
        <f>'Expenses Summary'!H21</f>
        <v/>
      </c>
      <c r="C50" s="12"/>
      <c r="D50" s="12" t="s">
        <v>393</v>
      </c>
      <c r="E50" s="302" t="str">
        <f>IF(Projected_Start_Date&lt;=E$4,$B50,0)</f>
        <v/>
      </c>
      <c r="F50" s="302" t="str">
        <f>IF(Projected_Start_Date&lt;=F$4,$B50,0)</f>
        <v/>
      </c>
      <c r="G50" s="302" t="str">
        <f>IF(Projected_Start_Date&lt;=G$4,$B50,0)</f>
        <v/>
      </c>
      <c r="H50" s="302" t="str">
        <f>IF(Projected_Start_Date&lt;=H$4,$B50,0)</f>
        <v/>
      </c>
      <c r="I50" s="302" t="str">
        <f>IF(Projected_Start_Date&lt;=I$4,$B50,0)</f>
        <v/>
      </c>
      <c r="J50" s="302" t="str">
        <f>IF(Projected_Start_Date&lt;=J$4,$B50,0)</f>
        <v/>
      </c>
      <c r="K50" s="302" t="str">
        <f>IF(Projected_Start_Date&lt;=K$4,$B50,0)</f>
        <v/>
      </c>
      <c r="L50" s="302" t="str">
        <f>IF(Projected_Start_Date&lt;=L$4,$B50,0)</f>
        <v/>
      </c>
      <c r="M50" s="302" t="str">
        <f>IF(Projected_Start_Date&lt;=M$4,$B50,0)</f>
        <v/>
      </c>
      <c r="N50" s="302" t="str">
        <f>IF(Projected_Start_Date&lt;=N$4,$B50,0)</f>
        <v/>
      </c>
      <c r="O50" s="302" t="str">
        <f>IF(Projected_Start_Date&lt;=O$4,$B50,0)</f>
        <v/>
      </c>
      <c r="P50" s="302" t="str">
        <f>IF(Projected_Start_Date&lt;=P$4,$B50,0)</f>
        <v/>
      </c>
      <c r="Q50" s="399">
        <f t="shared" si="12"/>
        <v>0</v>
      </c>
      <c r="R50" s="439">
        <f t="shared" si="13"/>
        <v>0</v>
      </c>
    </row>
    <row r="51" ht="15.0" customHeight="1" outlineLevel="2">
      <c r="A51" s="12" t="str">
        <f>'Expenses Summary'!G22</f>
        <v>Web Hosting</v>
      </c>
      <c r="B51" s="445">
        <f>'Expenses Summary'!H22</f>
        <v>50</v>
      </c>
      <c r="C51" s="12"/>
      <c r="D51" s="12" t="s">
        <v>395</v>
      </c>
      <c r="E51" s="302">
        <f>IF(Projected_Start_Date&lt;=E$4,$B51,0)</f>
        <v>50</v>
      </c>
      <c r="F51" s="302">
        <f>IF(Projected_Start_Date&lt;=F$4,$B51,0)</f>
        <v>50</v>
      </c>
      <c r="G51" s="302">
        <f>IF(Projected_Start_Date&lt;=G$4,$B51,0)</f>
        <v>50</v>
      </c>
      <c r="H51" s="302">
        <f>IF(Projected_Start_Date&lt;=H$4,$B51,0)</f>
        <v>50</v>
      </c>
      <c r="I51" s="302">
        <f>IF(Projected_Start_Date&lt;=I$4,$B51,0)</f>
        <v>50</v>
      </c>
      <c r="J51" s="302">
        <f>IF(Projected_Start_Date&lt;=J$4,$B51,0)</f>
        <v>50</v>
      </c>
      <c r="K51" s="302">
        <f>IF(Projected_Start_Date&lt;=K$4,$B51,0)</f>
        <v>50</v>
      </c>
      <c r="L51" s="302">
        <f>IF(Projected_Start_Date&lt;=L$4,$B51,0)</f>
        <v>50</v>
      </c>
      <c r="M51" s="302">
        <f>IF(Projected_Start_Date&lt;=M$4,$B51,0)</f>
        <v>50</v>
      </c>
      <c r="N51" s="302">
        <f>IF(Projected_Start_Date&lt;=N$4,$B51,0)</f>
        <v>50</v>
      </c>
      <c r="O51" s="302">
        <f>IF(Projected_Start_Date&lt;=O$4,$B51,0)</f>
        <v>50</v>
      </c>
      <c r="P51" s="302">
        <f>IF(Projected_Start_Date&lt;=P$4,$B51,0)</f>
        <v>50</v>
      </c>
      <c r="Q51" s="399">
        <f t="shared" si="12"/>
        <v>600</v>
      </c>
      <c r="R51" s="439">
        <f t="shared" si="13"/>
        <v>0.01523084246</v>
      </c>
    </row>
    <row r="52" ht="15.0" customHeight="1" outlineLevel="2">
      <c r="A52" s="12" t="str">
        <f>'Expenses Summary'!G23</f>
        <v>Software</v>
      </c>
      <c r="B52" s="445" t="str">
        <f>'Expenses Summary'!H23</f>
        <v/>
      </c>
      <c r="C52" s="12"/>
      <c r="D52" s="12" t="s">
        <v>393</v>
      </c>
      <c r="E52" s="302" t="str">
        <f>IF(Projected_Start_Date&lt;=E$4,$B52,0)</f>
        <v/>
      </c>
      <c r="F52" s="302" t="str">
        <f>IF(Projected_Start_Date&lt;=F$4,$B52,0)</f>
        <v/>
      </c>
      <c r="G52" s="302" t="str">
        <f>IF(Projected_Start_Date&lt;=G$4,$B52,0)</f>
        <v/>
      </c>
      <c r="H52" s="302" t="str">
        <f>IF(Projected_Start_Date&lt;=H$4,$B52,0)</f>
        <v/>
      </c>
      <c r="I52" s="302" t="str">
        <f>IF(Projected_Start_Date&lt;=I$4,$B52,0)</f>
        <v/>
      </c>
      <c r="J52" s="302" t="str">
        <f>IF(Projected_Start_Date&lt;=J$4,$B52,0)</f>
        <v/>
      </c>
      <c r="K52" s="302" t="str">
        <f>IF(Projected_Start_Date&lt;=K$4,$B52,0)</f>
        <v/>
      </c>
      <c r="L52" s="302" t="str">
        <f>IF(Projected_Start_Date&lt;=L$4,$B52,0)</f>
        <v/>
      </c>
      <c r="M52" s="302" t="str">
        <f>IF(Projected_Start_Date&lt;=M$4,$B52,0)</f>
        <v/>
      </c>
      <c r="N52" s="302" t="str">
        <f>IF(Projected_Start_Date&lt;=N$4,$B52,0)</f>
        <v/>
      </c>
      <c r="O52" s="302" t="str">
        <f>IF(Projected_Start_Date&lt;=O$4,$B52,0)</f>
        <v/>
      </c>
      <c r="P52" s="302" t="str">
        <f>IF(Projected_Start_Date&lt;=P$4,$B52,0)</f>
        <v/>
      </c>
      <c r="Q52" s="399">
        <f t="shared" si="12"/>
        <v>0</v>
      </c>
      <c r="R52" s="439">
        <f t="shared" si="13"/>
        <v>0</v>
      </c>
    </row>
    <row r="53" ht="15.0" customHeight="1" outlineLevel="2">
      <c r="A53" s="12" t="str">
        <f>'Expenses Summary'!G24</f>
        <v>Postage</v>
      </c>
      <c r="B53" s="445">
        <f>'Expenses Summary'!H24</f>
        <v>150</v>
      </c>
      <c r="C53" s="12"/>
      <c r="D53" s="12" t="s">
        <v>113</v>
      </c>
      <c r="E53" s="302">
        <f>IF(Projected_Start_Date&lt;=E$4,$B53,0)</f>
        <v>150</v>
      </c>
      <c r="F53" s="302">
        <f>IF(Projected_Start_Date&lt;=F$4,$B53,0)</f>
        <v>150</v>
      </c>
      <c r="G53" s="302">
        <f>IF(Projected_Start_Date&lt;=G$4,$B53,0)</f>
        <v>150</v>
      </c>
      <c r="H53" s="302">
        <f>IF(Projected_Start_Date&lt;=H$4,$B53,0)</f>
        <v>150</v>
      </c>
      <c r="I53" s="302">
        <f>IF(Projected_Start_Date&lt;=I$4,$B53,0)</f>
        <v>150</v>
      </c>
      <c r="J53" s="302">
        <f>IF(Projected_Start_Date&lt;=J$4,$B53,0)</f>
        <v>150</v>
      </c>
      <c r="K53" s="302">
        <f>IF(Projected_Start_Date&lt;=K$4,$B53,0)</f>
        <v>150</v>
      </c>
      <c r="L53" s="302">
        <f>IF(Projected_Start_Date&lt;=L$4,$B53,0)</f>
        <v>150</v>
      </c>
      <c r="M53" s="302">
        <f>IF(Projected_Start_Date&lt;=M$4,$B53,0)</f>
        <v>150</v>
      </c>
      <c r="N53" s="302">
        <f>IF(Projected_Start_Date&lt;=N$4,$B53,0)</f>
        <v>150</v>
      </c>
      <c r="O53" s="302">
        <f>IF(Projected_Start_Date&lt;=O$4,$B53,0)</f>
        <v>150</v>
      </c>
      <c r="P53" s="302">
        <f>IF(Projected_Start_Date&lt;=P$4,$B53,0)</f>
        <v>150</v>
      </c>
      <c r="Q53" s="399">
        <f t="shared" si="12"/>
        <v>1800</v>
      </c>
      <c r="R53" s="439">
        <f t="shared" si="13"/>
        <v>0.04569252737</v>
      </c>
    </row>
    <row r="54" ht="15.0" customHeight="1" outlineLevel="2">
      <c r="A54" s="12" t="str">
        <f>'Expenses Summary'!G25</f>
        <v>Marketing</v>
      </c>
      <c r="B54" s="445">
        <f>'Expenses Summary'!H25</f>
        <v>250</v>
      </c>
      <c r="C54" s="12"/>
      <c r="D54" s="12" t="s">
        <v>113</v>
      </c>
      <c r="E54" s="302">
        <f>IF(Projected_Start_Date&lt;=E$4,$B54,0)</f>
        <v>250</v>
      </c>
      <c r="F54" s="302">
        <f>IF(Projected_Start_Date&lt;=F$4,$B54,0)</f>
        <v>250</v>
      </c>
      <c r="G54" s="302">
        <f>IF(Projected_Start_Date&lt;=G$4,$B54,0)</f>
        <v>250</v>
      </c>
      <c r="H54" s="302">
        <f>IF(Projected_Start_Date&lt;=H$4,$B54,0)</f>
        <v>250</v>
      </c>
      <c r="I54" s="302">
        <f>IF(Projected_Start_Date&lt;=I$4,$B54,0)</f>
        <v>250</v>
      </c>
      <c r="J54" s="302">
        <f>IF(Projected_Start_Date&lt;=J$4,$B54,0)</f>
        <v>250</v>
      </c>
      <c r="K54" s="302">
        <f>IF(Projected_Start_Date&lt;=K$4,$B54,0)</f>
        <v>250</v>
      </c>
      <c r="L54" s="302">
        <f>IF(Projected_Start_Date&lt;=L$4,$B54,0)</f>
        <v>250</v>
      </c>
      <c r="M54" s="302">
        <f>IF(Projected_Start_Date&lt;=M$4,$B54,0)</f>
        <v>250</v>
      </c>
      <c r="N54" s="302">
        <f>IF(Projected_Start_Date&lt;=N$4,$B54,0)</f>
        <v>250</v>
      </c>
      <c r="O54" s="302">
        <f>IF(Projected_Start_Date&lt;=O$4,$B54,0)</f>
        <v>250</v>
      </c>
      <c r="P54" s="302">
        <f>IF(Projected_Start_Date&lt;=P$4,$B54,0)</f>
        <v>250</v>
      </c>
      <c r="Q54" s="399">
        <f t="shared" si="12"/>
        <v>3000</v>
      </c>
      <c r="R54" s="439">
        <f t="shared" si="13"/>
        <v>0.07615421228</v>
      </c>
    </row>
    <row r="55" ht="15.0" customHeight="1" outlineLevel="2">
      <c r="A55" s="12" t="str">
        <f>'Expenses Summary'!G26</f>
        <v>Professional Fees</v>
      </c>
      <c r="B55" s="445" t="str">
        <f>'Expenses Summary'!H26</f>
        <v/>
      </c>
      <c r="C55" s="12"/>
      <c r="D55" s="12" t="s">
        <v>390</v>
      </c>
      <c r="E55" s="302" t="str">
        <f>IF(Projected_Start_Date&lt;=E$4,$B55,0)</f>
        <v/>
      </c>
      <c r="F55" s="302" t="str">
        <f>IF(Projected_Start_Date&lt;=F$4,$B55,0)</f>
        <v/>
      </c>
      <c r="G55" s="302" t="str">
        <f>IF(Projected_Start_Date&lt;=G$4,$B55,0)</f>
        <v/>
      </c>
      <c r="H55" s="302" t="str">
        <f>IF(Projected_Start_Date&lt;=H$4,$B55,0)</f>
        <v/>
      </c>
      <c r="I55" s="302" t="str">
        <f>IF(Projected_Start_Date&lt;=I$4,$B55,0)</f>
        <v/>
      </c>
      <c r="J55" s="302" t="str">
        <f>IF(Projected_Start_Date&lt;=J$4,$B55,0)</f>
        <v/>
      </c>
      <c r="K55" s="302" t="str">
        <f>IF(Projected_Start_Date&lt;=K$4,$B55,0)</f>
        <v/>
      </c>
      <c r="L55" s="302" t="str">
        <f>IF(Projected_Start_Date&lt;=L$4,$B55,0)</f>
        <v/>
      </c>
      <c r="M55" s="302" t="str">
        <f>IF(Projected_Start_Date&lt;=M$4,$B55,0)</f>
        <v/>
      </c>
      <c r="N55" s="302" t="str">
        <f>IF(Projected_Start_Date&lt;=N$4,$B55,0)</f>
        <v/>
      </c>
      <c r="O55" s="302" t="str">
        <f>IF(Projected_Start_Date&lt;=O$4,$B55,0)</f>
        <v/>
      </c>
      <c r="P55" s="302" t="str">
        <f>IF(Projected_Start_Date&lt;=P$4,$B55,0)</f>
        <v/>
      </c>
      <c r="Q55" s="399">
        <f t="shared" si="12"/>
        <v>0</v>
      </c>
      <c r="R55" s="439">
        <f t="shared" si="13"/>
        <v>0</v>
      </c>
    </row>
    <row r="56" ht="15.0" customHeight="1" outlineLevel="2">
      <c r="A56" s="12" t="str">
        <f>'Expenses Summary'!G27</f>
        <v>Contract Labor</v>
      </c>
      <c r="B56" s="445" t="str">
        <f>'Expenses Summary'!H27</f>
        <v/>
      </c>
      <c r="C56" s="12"/>
      <c r="D56" s="12" t="s">
        <v>390</v>
      </c>
      <c r="E56" s="302" t="str">
        <f>IF(Projected_Start_Date&lt;=E$4,$B56,0)</f>
        <v/>
      </c>
      <c r="F56" s="302" t="str">
        <f>IF(Projected_Start_Date&lt;=F$4,$B56,0)</f>
        <v/>
      </c>
      <c r="G56" s="302" t="str">
        <f>IF(Projected_Start_Date&lt;=G$4,$B56,0)</f>
        <v/>
      </c>
      <c r="H56" s="302" t="str">
        <f>IF(Projected_Start_Date&lt;=H$4,$B56,0)</f>
        <v/>
      </c>
      <c r="I56" s="302" t="str">
        <f>IF(Projected_Start_Date&lt;=I$4,$B56,0)</f>
        <v/>
      </c>
      <c r="J56" s="302" t="str">
        <f>IF(Projected_Start_Date&lt;=J$4,$B56,0)</f>
        <v/>
      </c>
      <c r="K56" s="302" t="str">
        <f>IF(Projected_Start_Date&lt;=K$4,$B56,0)</f>
        <v/>
      </c>
      <c r="L56" s="302" t="str">
        <f>IF(Projected_Start_Date&lt;=L$4,$B56,0)</f>
        <v/>
      </c>
      <c r="M56" s="302" t="str">
        <f>IF(Projected_Start_Date&lt;=M$4,$B56,0)</f>
        <v/>
      </c>
      <c r="N56" s="302" t="str">
        <f>IF(Projected_Start_Date&lt;=N$4,$B56,0)</f>
        <v/>
      </c>
      <c r="O56" s="302" t="str">
        <f>IF(Projected_Start_Date&lt;=O$4,$B56,0)</f>
        <v/>
      </c>
      <c r="P56" s="302" t="str">
        <f>IF(Projected_Start_Date&lt;=P$4,$B56,0)</f>
        <v/>
      </c>
      <c r="Q56" s="399">
        <f t="shared" si="12"/>
        <v>0</v>
      </c>
      <c r="R56" s="439">
        <f t="shared" si="13"/>
        <v>0</v>
      </c>
    </row>
    <row r="57" ht="15.0" customHeight="1" outlineLevel="2">
      <c r="A57" s="12" t="str">
        <f>'Expenses Summary'!G28</f>
        <v>Sales</v>
      </c>
      <c r="B57" s="445" t="str">
        <f>'Expenses Summary'!H28</f>
        <v/>
      </c>
      <c r="C57" s="12"/>
      <c r="D57" s="12" t="s">
        <v>418</v>
      </c>
      <c r="E57" s="302" t="str">
        <f>IF(Projected_Start_Date&lt;=E$4,$B57,0)</f>
        <v/>
      </c>
      <c r="F57" s="302" t="str">
        <f>IF(Projected_Start_Date&lt;=F$4,$B57,0)</f>
        <v/>
      </c>
      <c r="G57" s="302" t="str">
        <f>IF(Projected_Start_Date&lt;=G$4,$B57,0)</f>
        <v/>
      </c>
      <c r="H57" s="302" t="str">
        <f>IF(Projected_Start_Date&lt;=H$4,$B57,0)</f>
        <v/>
      </c>
      <c r="I57" s="302" t="str">
        <f>IF(Projected_Start_Date&lt;=I$4,$B57,0)</f>
        <v/>
      </c>
      <c r="J57" s="302" t="str">
        <f>IF(Projected_Start_Date&lt;=J$4,$B57,0)</f>
        <v/>
      </c>
      <c r="K57" s="302" t="str">
        <f>IF(Projected_Start_Date&lt;=K$4,$B57,0)</f>
        <v/>
      </c>
      <c r="L57" s="302" t="str">
        <f>IF(Projected_Start_Date&lt;=L$4,$B57,0)</f>
        <v/>
      </c>
      <c r="M57" s="302" t="str">
        <f>IF(Projected_Start_Date&lt;=M$4,$B57,0)</f>
        <v/>
      </c>
      <c r="N57" s="302" t="str">
        <f>IF(Projected_Start_Date&lt;=N$4,$B57,0)</f>
        <v/>
      </c>
      <c r="O57" s="302" t="str">
        <f>IF(Projected_Start_Date&lt;=O$4,$B57,0)</f>
        <v/>
      </c>
      <c r="P57" s="302" t="str">
        <f>IF(Projected_Start_Date&lt;=P$4,$B57,0)</f>
        <v/>
      </c>
      <c r="Q57" s="399">
        <f t="shared" si="12"/>
        <v>0</v>
      </c>
      <c r="R57" s="439">
        <f t="shared" si="13"/>
        <v>0</v>
      </c>
    </row>
    <row r="58" ht="15.0" customHeight="1" outlineLevel="2">
      <c r="A58" s="12" t="str">
        <f>'Expenses Summary'!G29</f>
        <v>Travel</v>
      </c>
      <c r="B58" s="445">
        <f>'Expenses Summary'!H29</f>
        <v>250</v>
      </c>
      <c r="C58" s="12"/>
      <c r="D58" s="12" t="s">
        <v>126</v>
      </c>
      <c r="E58" s="302">
        <f>IF(Projected_Start_Date&lt;=E$4,$B58,0)</f>
        <v>250</v>
      </c>
      <c r="F58" s="302">
        <f>IF(Projected_Start_Date&lt;=F$4,$B58,0)</f>
        <v>250</v>
      </c>
      <c r="G58" s="302">
        <f>IF(Projected_Start_Date&lt;=G$4,$B58,0)</f>
        <v>250</v>
      </c>
      <c r="H58" s="302">
        <f>IF(Projected_Start_Date&lt;=H$4,$B58,0)</f>
        <v>250</v>
      </c>
      <c r="I58" s="302">
        <f>IF(Projected_Start_Date&lt;=I$4,$B58,0)</f>
        <v>250</v>
      </c>
      <c r="J58" s="302">
        <f>IF(Projected_Start_Date&lt;=J$4,$B58,0)</f>
        <v>250</v>
      </c>
      <c r="K58" s="302">
        <f>IF(Projected_Start_Date&lt;=K$4,$B58,0)</f>
        <v>250</v>
      </c>
      <c r="L58" s="302">
        <f>IF(Projected_Start_Date&lt;=L$4,$B58,0)</f>
        <v>250</v>
      </c>
      <c r="M58" s="302">
        <f>IF(Projected_Start_Date&lt;=M$4,$B58,0)</f>
        <v>250</v>
      </c>
      <c r="N58" s="302">
        <f>IF(Projected_Start_Date&lt;=N$4,$B58,0)</f>
        <v>250</v>
      </c>
      <c r="O58" s="302">
        <f>IF(Projected_Start_Date&lt;=O$4,$B58,0)</f>
        <v>250</v>
      </c>
      <c r="P58" s="302">
        <f>IF(Projected_Start_Date&lt;=P$4,$B58,0)</f>
        <v>250</v>
      </c>
      <c r="Q58" s="399">
        <f t="shared" si="12"/>
        <v>3000</v>
      </c>
      <c r="R58" s="439">
        <f t="shared" si="13"/>
        <v>0.07615421228</v>
      </c>
    </row>
    <row r="59" ht="15.0" customHeight="1" outlineLevel="2">
      <c r="A59" s="12" t="str">
        <f>'Expenses Summary'!G30</f>
        <v>Supplies</v>
      </c>
      <c r="B59" s="445">
        <f>'Expenses Summary'!H30</f>
        <v>200</v>
      </c>
      <c r="C59" s="12"/>
      <c r="D59" s="12" t="s">
        <v>393</v>
      </c>
      <c r="E59" s="302">
        <f>IF(Projected_Start_Date&lt;=E$4,$B59,0)</f>
        <v>200</v>
      </c>
      <c r="F59" s="302">
        <f>IF(Projected_Start_Date&lt;=F$4,$B59,0)</f>
        <v>200</v>
      </c>
      <c r="G59" s="302">
        <f>IF(Projected_Start_Date&lt;=G$4,$B59,0)</f>
        <v>200</v>
      </c>
      <c r="H59" s="302">
        <f>IF(Projected_Start_Date&lt;=H$4,$B59,0)</f>
        <v>200</v>
      </c>
      <c r="I59" s="302">
        <f>IF(Projected_Start_Date&lt;=I$4,$B59,0)</f>
        <v>200</v>
      </c>
      <c r="J59" s="302">
        <f>IF(Projected_Start_Date&lt;=J$4,$B59,0)</f>
        <v>200</v>
      </c>
      <c r="K59" s="302">
        <f>IF(Projected_Start_Date&lt;=K$4,$B59,0)</f>
        <v>200</v>
      </c>
      <c r="L59" s="302">
        <f>IF(Projected_Start_Date&lt;=L$4,$B59,0)</f>
        <v>200</v>
      </c>
      <c r="M59" s="302">
        <f>IF(Projected_Start_Date&lt;=M$4,$B59,0)</f>
        <v>200</v>
      </c>
      <c r="N59" s="302">
        <f>IF(Projected_Start_Date&lt;=N$4,$B59,0)</f>
        <v>200</v>
      </c>
      <c r="O59" s="302">
        <f>IF(Projected_Start_Date&lt;=O$4,$B59,0)</f>
        <v>200</v>
      </c>
      <c r="P59" s="302">
        <f>IF(Projected_Start_Date&lt;=P$4,$B59,0)</f>
        <v>200</v>
      </c>
      <c r="Q59" s="399">
        <f t="shared" si="12"/>
        <v>2400</v>
      </c>
      <c r="R59" s="439">
        <f t="shared" si="13"/>
        <v>0.06092336982</v>
      </c>
    </row>
    <row r="60" ht="15.0" customHeight="1" outlineLevel="2">
      <c r="A60" s="12" t="str">
        <f>'Expenses Summary'!G31</f>
        <v>Petty Cash</v>
      </c>
      <c r="B60" s="445" t="str">
        <f>'Expenses Summary'!H31</f>
        <v/>
      </c>
      <c r="C60" s="12"/>
      <c r="D60" s="12" t="s">
        <v>393</v>
      </c>
      <c r="E60" s="302" t="str">
        <f>IF(Projected_Start_Date&lt;=E$4,$B60,0)</f>
        <v/>
      </c>
      <c r="F60" s="302" t="str">
        <f>IF(Projected_Start_Date&lt;=F$4,$B60,0)</f>
        <v/>
      </c>
      <c r="G60" s="302" t="str">
        <f>IF(Projected_Start_Date&lt;=G$4,$B60,0)</f>
        <v/>
      </c>
      <c r="H60" s="302" t="str">
        <f>IF(Projected_Start_Date&lt;=H$4,$B60,0)</f>
        <v/>
      </c>
      <c r="I60" s="302" t="str">
        <f>IF(Projected_Start_Date&lt;=I$4,$B60,0)</f>
        <v/>
      </c>
      <c r="J60" s="302" t="str">
        <f>IF(Projected_Start_Date&lt;=J$4,$B60,0)</f>
        <v/>
      </c>
      <c r="K60" s="302" t="str">
        <f>IF(Projected_Start_Date&lt;=K$4,$B60,0)</f>
        <v/>
      </c>
      <c r="L60" s="302" t="str">
        <f>IF(Projected_Start_Date&lt;=L$4,$B60,0)</f>
        <v/>
      </c>
      <c r="M60" s="302" t="str">
        <f>IF(Projected_Start_Date&lt;=M$4,$B60,0)</f>
        <v/>
      </c>
      <c r="N60" s="302" t="str">
        <f>IF(Projected_Start_Date&lt;=N$4,$B60,0)</f>
        <v/>
      </c>
      <c r="O60" s="302" t="str">
        <f>IF(Projected_Start_Date&lt;=O$4,$B60,0)</f>
        <v/>
      </c>
      <c r="P60" s="302" t="str">
        <f>IF(Projected_Start_Date&lt;=P$4,$B60,0)</f>
        <v/>
      </c>
      <c r="Q60" s="399">
        <f t="shared" si="12"/>
        <v>0</v>
      </c>
      <c r="R60" s="439">
        <f t="shared" si="13"/>
        <v>0</v>
      </c>
    </row>
    <row r="61" ht="15.0" customHeight="1" outlineLevel="2">
      <c r="A61" s="12" t="str">
        <f>'Expenses Summary'!G32</f>
        <v>Dues_Subscriptions</v>
      </c>
      <c r="B61" s="445" t="str">
        <f>'Expenses Summary'!H32</f>
        <v/>
      </c>
      <c r="C61" s="12"/>
      <c r="D61" s="12" t="s">
        <v>393</v>
      </c>
      <c r="E61" s="302" t="str">
        <f>IF(Projected_Start_Date&lt;=E$4,$B61,0)</f>
        <v/>
      </c>
      <c r="F61" s="302" t="str">
        <f>IF(Projected_Start_Date&lt;=F$4,$B61,0)</f>
        <v/>
      </c>
      <c r="G61" s="302" t="str">
        <f>IF(Projected_Start_Date&lt;=G$4,$B61,0)</f>
        <v/>
      </c>
      <c r="H61" s="302" t="str">
        <f>IF(Projected_Start_Date&lt;=H$4,$B61,0)</f>
        <v/>
      </c>
      <c r="I61" s="302" t="str">
        <f>IF(Projected_Start_Date&lt;=I$4,$B61,0)</f>
        <v/>
      </c>
      <c r="J61" s="302" t="str">
        <f>IF(Projected_Start_Date&lt;=J$4,$B61,0)</f>
        <v/>
      </c>
      <c r="K61" s="302" t="str">
        <f>IF(Projected_Start_Date&lt;=K$4,$B61,0)</f>
        <v/>
      </c>
      <c r="L61" s="302" t="str">
        <f>IF(Projected_Start_Date&lt;=L$4,$B61,0)</f>
        <v/>
      </c>
      <c r="M61" s="302" t="str">
        <f>IF(Projected_Start_Date&lt;=M$4,$B61,0)</f>
        <v/>
      </c>
      <c r="N61" s="302" t="str">
        <f>IF(Projected_Start_Date&lt;=N$4,$B61,0)</f>
        <v/>
      </c>
      <c r="O61" s="302" t="str">
        <f>IF(Projected_Start_Date&lt;=O$4,$B61,0)</f>
        <v/>
      </c>
      <c r="P61" s="302" t="str">
        <f>IF(Projected_Start_Date&lt;=P$4,$B61,0)</f>
        <v/>
      </c>
      <c r="Q61" s="399">
        <f t="shared" si="12"/>
        <v>0</v>
      </c>
      <c r="R61" s="439">
        <f t="shared" si="13"/>
        <v>0</v>
      </c>
    </row>
    <row r="62" ht="15.0" customHeight="1" outlineLevel="2">
      <c r="A62" s="12" t="str">
        <f>'Expenses Summary'!G33</f>
        <v>Networking &amp; Education Events</v>
      </c>
      <c r="B62" s="445" t="str">
        <f>'Expenses Summary'!H33</f>
        <v/>
      </c>
      <c r="C62" s="12"/>
      <c r="D62" s="12" t="s">
        <v>446</v>
      </c>
      <c r="E62" s="302" t="str">
        <f>IF(Projected_Start_Date&lt;=E$4,$B62,0)</f>
        <v/>
      </c>
      <c r="F62" s="302" t="str">
        <f>IF(Projected_Start_Date&lt;=F$4,$B62,0)</f>
        <v/>
      </c>
      <c r="G62" s="302" t="str">
        <f>IF(Projected_Start_Date&lt;=G$4,$B62,0)</f>
        <v/>
      </c>
      <c r="H62" s="302" t="str">
        <f>IF(Projected_Start_Date&lt;=H$4,$B62,0)</f>
        <v/>
      </c>
      <c r="I62" s="302" t="str">
        <f>IF(Projected_Start_Date&lt;=I$4,$B62,0)</f>
        <v/>
      </c>
      <c r="J62" s="302" t="str">
        <f>IF(Projected_Start_Date&lt;=J$4,$B62,0)</f>
        <v/>
      </c>
      <c r="K62" s="302" t="str">
        <f>IF(Projected_Start_Date&lt;=K$4,$B62,0)</f>
        <v/>
      </c>
      <c r="L62" s="302" t="str">
        <f>IF(Projected_Start_Date&lt;=L$4,$B62,0)</f>
        <v/>
      </c>
      <c r="M62" s="302" t="str">
        <f>IF(Projected_Start_Date&lt;=M$4,$B62,0)</f>
        <v/>
      </c>
      <c r="N62" s="302" t="str">
        <f>IF(Projected_Start_Date&lt;=N$4,$B62,0)</f>
        <v/>
      </c>
      <c r="O62" s="302" t="str">
        <f>IF(Projected_Start_Date&lt;=O$4,$B62,0)</f>
        <v/>
      </c>
      <c r="P62" s="302" t="str">
        <f>IF(Projected_Start_Date&lt;=P$4,$B62,0)</f>
        <v/>
      </c>
      <c r="Q62" s="399">
        <f t="shared" si="12"/>
        <v>0</v>
      </c>
      <c r="R62" s="439">
        <f t="shared" si="13"/>
        <v>0</v>
      </c>
    </row>
    <row r="63" ht="15.0" customHeight="1" outlineLevel="2">
      <c r="A63" s="12" t="str">
        <f>'Expenses Summary'!G34</f>
        <v>Miscellaneous</v>
      </c>
      <c r="B63" s="445" t="str">
        <f>'Expenses Summary'!H34</f>
        <v/>
      </c>
      <c r="C63" s="12"/>
      <c r="D63" s="12" t="s">
        <v>418</v>
      </c>
      <c r="E63" s="302" t="str">
        <f>IF(Projected_Start_Date&lt;=E$4,$B63,0)</f>
        <v/>
      </c>
      <c r="F63" s="302" t="str">
        <f>IF(Projected_Start_Date&lt;=F$4,$B63,0)</f>
        <v/>
      </c>
      <c r="G63" s="302" t="str">
        <f>IF(Projected_Start_Date&lt;=G$4,$B63,0)</f>
        <v/>
      </c>
      <c r="H63" s="302" t="str">
        <f>IF(Projected_Start_Date&lt;=H$4,$B63,0)</f>
        <v/>
      </c>
      <c r="I63" s="302" t="str">
        <f>IF(Projected_Start_Date&lt;=I$4,$B63,0)</f>
        <v/>
      </c>
      <c r="J63" s="302" t="str">
        <f>IF(Projected_Start_Date&lt;=J$4,$B63,0)</f>
        <v/>
      </c>
      <c r="K63" s="302" t="str">
        <f>IF(Projected_Start_Date&lt;=K$4,$B63,0)</f>
        <v/>
      </c>
      <c r="L63" s="302" t="str">
        <f>IF(Projected_Start_Date&lt;=L$4,$B63,0)</f>
        <v/>
      </c>
      <c r="M63" s="302" t="str">
        <f>IF(Projected_Start_Date&lt;=M$4,$B63,0)</f>
        <v/>
      </c>
      <c r="N63" s="302" t="str">
        <f>IF(Projected_Start_Date&lt;=N$4,$B63,0)</f>
        <v/>
      </c>
      <c r="O63" s="302" t="str">
        <f>IF(Projected_Start_Date&lt;=O$4,$B63,0)</f>
        <v/>
      </c>
      <c r="P63" s="302" t="str">
        <f>IF(Projected_Start_Date&lt;=P$4,$B63,0)</f>
        <v/>
      </c>
      <c r="Q63" s="399">
        <f t="shared" si="12"/>
        <v>0</v>
      </c>
      <c r="R63" s="439">
        <f t="shared" si="13"/>
        <v>0</v>
      </c>
    </row>
    <row r="64" ht="15.0" customHeight="1" outlineLevel="2">
      <c r="A64" s="12" t="str">
        <f>'Expenses Summary'!G35</f>
        <v>Sales Tax Reserve</v>
      </c>
      <c r="B64" s="7"/>
      <c r="C64" s="12"/>
      <c r="D64" s="12"/>
      <c r="E64" s="302">
        <f>SUMIF($B$6:$B$13,"Yes",E6:E13)*SalesTax_Rate</f>
        <v>0</v>
      </c>
      <c r="F64" s="302">
        <f>SUMIF($B$6:$B$13,"Yes",F6:F13)*SalesTax_Rate</f>
        <v>0</v>
      </c>
      <c r="G64" s="302">
        <f>SUMIF($B$6:$B$13,"Yes",G6:G13)*SalesTax_Rate</f>
        <v>0</v>
      </c>
      <c r="H64" s="302">
        <f>SUMIF($B$6:$B$13,"Yes",H6:H13)*SalesTax_Rate</f>
        <v>0</v>
      </c>
      <c r="I64" s="302">
        <f>SUMIF($B$6:$B$13,"Yes",I6:I13)*SalesTax_Rate</f>
        <v>0</v>
      </c>
      <c r="J64" s="302">
        <f>SUMIF($B$6:$B$13,"Yes",J6:J13)*SalesTax_Rate</f>
        <v>0</v>
      </c>
      <c r="K64" s="302">
        <f>SUMIF($B$6:$B$13,"Yes",K6:K13)*SalesTax_Rate</f>
        <v>0</v>
      </c>
      <c r="L64" s="302">
        <f>SUMIF($B$6:$B$13,"Yes",L6:L13)*SalesTax_Rate</f>
        <v>0</v>
      </c>
      <c r="M64" s="302">
        <f>SUMIF($B$6:$B$13,"Yes",M6:M13)*SalesTax_Rate</f>
        <v>0</v>
      </c>
      <c r="N64" s="302">
        <f>SUMIF($B$6:$B$13,"Yes",N6:N13)*SalesTax_Rate</f>
        <v>0</v>
      </c>
      <c r="O64" s="302">
        <f>SUMIF($B$6:$B$13,"Yes",O6:O13)*SalesTax_Rate</f>
        <v>0</v>
      </c>
      <c r="P64" s="302">
        <f>SUMIF($B$6:$B$13,"Yes",P6:P13)*SalesTax_Rate</f>
        <v>0</v>
      </c>
      <c r="Q64" s="399">
        <f t="shared" si="12"/>
        <v>0</v>
      </c>
      <c r="R64" s="439"/>
    </row>
    <row r="65" ht="15.0" customHeight="1" outlineLevel="2">
      <c r="A65" s="12" t="str">
        <f>'Expenses Summary'!G36</f>
        <v>Discounts &amp; Refunds</v>
      </c>
      <c r="B65" s="445" t="str">
        <f>'Expenses Summary'!H36</f>
        <v/>
      </c>
      <c r="C65" s="12"/>
      <c r="D65" s="12"/>
      <c r="E65" s="302" t="str">
        <f>IF(Projected_Start_Date&lt;=E$4,$B65,0)</f>
        <v/>
      </c>
      <c r="F65" s="302" t="str">
        <f>IF(Projected_Start_Date&lt;=F$4,$B65,0)</f>
        <v/>
      </c>
      <c r="G65" s="302" t="str">
        <f>IF(Projected_Start_Date&lt;=G$4,$B65,0)</f>
        <v/>
      </c>
      <c r="H65" s="302" t="str">
        <f>IF(Projected_Start_Date&lt;=H$4,$B65,0)</f>
        <v/>
      </c>
      <c r="I65" s="302" t="str">
        <f>IF(Projected_Start_Date&lt;=I$4,$B65,0)</f>
        <v/>
      </c>
      <c r="J65" s="302" t="str">
        <f>IF(Projected_Start_Date&lt;=J$4,$B65,0)</f>
        <v/>
      </c>
      <c r="K65" s="302" t="str">
        <f>IF(Projected_Start_Date&lt;=K$4,$B65,0)</f>
        <v/>
      </c>
      <c r="L65" s="302" t="str">
        <f>IF(Projected_Start_Date&lt;=L$4,$B65,0)</f>
        <v/>
      </c>
      <c r="M65" s="302" t="str">
        <f>IF(Projected_Start_Date&lt;=M$4,$B65,0)</f>
        <v/>
      </c>
      <c r="N65" s="302" t="str">
        <f>IF(Projected_Start_Date&lt;=N$4,$B65,0)</f>
        <v/>
      </c>
      <c r="O65" s="302" t="str">
        <f>IF(Projected_Start_Date&lt;=O$4,$B65,0)</f>
        <v/>
      </c>
      <c r="P65" s="302" t="str">
        <f>IF(Projected_Start_Date&lt;=P$4,$B65,0)</f>
        <v/>
      </c>
      <c r="Q65" s="399">
        <f t="shared" si="12"/>
        <v>0</v>
      </c>
      <c r="R65" s="439"/>
    </row>
    <row r="66" ht="15.0" customHeight="1" outlineLevel="2">
      <c r="A66" s="12" t="str">
        <f>'Expenses Summary'!G37</f>
        <v>Sales Commission</v>
      </c>
      <c r="B66" s="326">
        <f>'Expenses Summary'!H37</f>
        <v>0</v>
      </c>
      <c r="C66" s="12"/>
      <c r="D66" s="12" t="s">
        <v>418</v>
      </c>
      <c r="E66" s="302">
        <f>IF(Projected_Start_Date&lt;=E$4,VariableExp1*E14,0)</f>
        <v>0</v>
      </c>
      <c r="F66" s="302">
        <f>IF(Projected_Start_Date&lt;=F$4,VariableExp1*F14,0)</f>
        <v>0</v>
      </c>
      <c r="G66" s="302">
        <f>IF(Projected_Start_Date&lt;=G$4,VariableExp1*G14,0)</f>
        <v>0</v>
      </c>
      <c r="H66" s="302">
        <f>IF(Projected_Start_Date&lt;=H$4,VariableExp1*H14,0)</f>
        <v>0</v>
      </c>
      <c r="I66" s="302">
        <f>IF(Projected_Start_Date&lt;=I$4,VariableExp1*I14,0)</f>
        <v>0</v>
      </c>
      <c r="J66" s="302">
        <f>IF(Projected_Start_Date&lt;=J$4,VariableExp1*J14,0)</f>
        <v>0</v>
      </c>
      <c r="K66" s="302">
        <f>IF(Projected_Start_Date&lt;=K$4,VariableExp1*K14,0)</f>
        <v>0</v>
      </c>
      <c r="L66" s="302">
        <f>IF(Projected_Start_Date&lt;=L$4,VariableExp1*L14,0)</f>
        <v>0</v>
      </c>
      <c r="M66" s="302">
        <f>IF(Projected_Start_Date&lt;=M$4,VariableExp1*M14,0)</f>
        <v>0</v>
      </c>
      <c r="N66" s="302">
        <f>IF(Projected_Start_Date&lt;=N$4,VariableExp1*N14,0)</f>
        <v>0</v>
      </c>
      <c r="O66" s="302">
        <f>IF(Projected_Start_Date&lt;=O$4,VariableExp1*O14,0)</f>
        <v>0</v>
      </c>
      <c r="P66" s="302">
        <f>IF(Projected_Start_Date&lt;=P$4,VariableExp1*P14,0)</f>
        <v>0</v>
      </c>
      <c r="Q66" s="399">
        <f t="shared" si="12"/>
        <v>0</v>
      </c>
      <c r="R66" s="439">
        <f t="shared" ref="R66:R70" si="14">IFERROR(Q66/SUM($Q$37:$Q$71),0)</f>
        <v>0</v>
      </c>
    </row>
    <row r="67" ht="15.0" customHeight="1" outlineLevel="2">
      <c r="A67" s="12" t="str">
        <f>'Expenses Summary'!G38</f>
        <v>Merchant Fee Transactions</v>
      </c>
      <c r="B67" s="326">
        <f>'Expenses Summary'!H38</f>
        <v>0.01</v>
      </c>
      <c r="C67" s="12"/>
      <c r="D67" s="12" t="s">
        <v>418</v>
      </c>
      <c r="E67" s="302">
        <f>IF(Projected_Start_Date&lt;=E$4,VariableExp2*E14,0)</f>
        <v>17</v>
      </c>
      <c r="F67" s="302">
        <f>IF(Projected_Start_Date&lt;=F$4,VariableExp2*F14,0)</f>
        <v>25.5</v>
      </c>
      <c r="G67" s="302">
        <f>IF(Projected_Start_Date&lt;=G$4,VariableExp2*G14,0)</f>
        <v>25.5</v>
      </c>
      <c r="H67" s="302">
        <f>IF(Projected_Start_Date&lt;=H$4,VariableExp2*H14,0)</f>
        <v>25.5</v>
      </c>
      <c r="I67" s="302">
        <f>IF(Projected_Start_Date&lt;=I$4,VariableExp2*I14,0)</f>
        <v>51</v>
      </c>
      <c r="J67" s="302">
        <f>IF(Projected_Start_Date&lt;=J$4,VariableExp2*J14,0)</f>
        <v>51</v>
      </c>
      <c r="K67" s="302">
        <f>IF(Projected_Start_Date&lt;=K$4,VariableExp2*K14,0)</f>
        <v>51</v>
      </c>
      <c r="L67" s="302">
        <f>IF(Projected_Start_Date&lt;=L$4,VariableExp2*L14,0)</f>
        <v>51</v>
      </c>
      <c r="M67" s="302">
        <f>IF(Projected_Start_Date&lt;=M$4,VariableExp2*M14,0)</f>
        <v>85</v>
      </c>
      <c r="N67" s="302">
        <f>IF(Projected_Start_Date&lt;=N$4,VariableExp2*N14,0)</f>
        <v>85</v>
      </c>
      <c r="O67" s="302">
        <f>IF(Projected_Start_Date&lt;=O$4,VariableExp2*O14,0)</f>
        <v>85</v>
      </c>
      <c r="P67" s="302">
        <f>IF(Projected_Start_Date&lt;=P$4,VariableExp2*P14,0)</f>
        <v>85</v>
      </c>
      <c r="Q67" s="399">
        <f t="shared" si="12"/>
        <v>637.5</v>
      </c>
      <c r="R67" s="439">
        <f t="shared" si="14"/>
        <v>0.01618277011</v>
      </c>
    </row>
    <row r="68" ht="15.0" customHeight="1" outlineLevel="2">
      <c r="A68" s="12" t="str">
        <f>'Expenses Summary'!G39</f>
        <v>Customer Discounts/Refunds</v>
      </c>
      <c r="B68" s="326">
        <f>'Expenses Summary'!H39</f>
        <v>0.01</v>
      </c>
      <c r="C68" s="12"/>
      <c r="D68" s="12" t="s">
        <v>418</v>
      </c>
      <c r="E68" s="302">
        <f>IF(Projected_Start_Date&lt;=E$4,VariableExp3*E14,0)</f>
        <v>17</v>
      </c>
      <c r="F68" s="302">
        <f>IF(Projected_Start_Date&lt;=F$4,VariableExp3*F14,0)</f>
        <v>25.5</v>
      </c>
      <c r="G68" s="302">
        <f>IF(Projected_Start_Date&lt;=G$4,VariableExp3*G14,0)</f>
        <v>25.5</v>
      </c>
      <c r="H68" s="302">
        <f>IF(Projected_Start_Date&lt;=H$4,VariableExp3*H14,0)</f>
        <v>25.5</v>
      </c>
      <c r="I68" s="302">
        <f>IF(Projected_Start_Date&lt;=I$4,VariableExp3*I14,0)</f>
        <v>51</v>
      </c>
      <c r="J68" s="302">
        <f>IF(Projected_Start_Date&lt;=J$4,VariableExp3*J14,0)</f>
        <v>51</v>
      </c>
      <c r="K68" s="302">
        <f>IF(Projected_Start_Date&lt;=K$4,VariableExp3*K14,0)</f>
        <v>51</v>
      </c>
      <c r="L68" s="302">
        <f>IF(Projected_Start_Date&lt;=L$4,VariableExp3*L14,0)</f>
        <v>51</v>
      </c>
      <c r="M68" s="302">
        <f>IF(Projected_Start_Date&lt;=M$4,VariableExp3*M14,0)</f>
        <v>85</v>
      </c>
      <c r="N68" s="302">
        <f>IF(Projected_Start_Date&lt;=N$4,VariableExp3*N14,0)</f>
        <v>85</v>
      </c>
      <c r="O68" s="302">
        <f>IF(Projected_Start_Date&lt;=O$4,VariableExp3*O14,0)</f>
        <v>85</v>
      </c>
      <c r="P68" s="302">
        <f>IF(Projected_Start_Date&lt;=P$4,VariableExp3*P14,0)</f>
        <v>85</v>
      </c>
      <c r="Q68" s="399">
        <f t="shared" si="12"/>
        <v>637.5</v>
      </c>
      <c r="R68" s="439">
        <f t="shared" si="14"/>
        <v>0.01618277011</v>
      </c>
    </row>
    <row r="69" ht="15.0" customHeight="1" outlineLevel="2">
      <c r="A69" s="12" t="str">
        <f>'Expenses Summary'!G40</f>
        <v>Other</v>
      </c>
      <c r="B69" s="326">
        <f>'Expenses Summary'!H40</f>
        <v>0</v>
      </c>
      <c r="C69" s="12"/>
      <c r="D69" s="12" t="s">
        <v>448</v>
      </c>
      <c r="E69" s="302">
        <f>IF(Projected_Start_Date&lt;=E$4,VariableExp4*E14,0)</f>
        <v>0</v>
      </c>
      <c r="F69" s="302">
        <f>IF(Projected_Start_Date&lt;=F$4,VariableExp4*F14,0)</f>
        <v>0</v>
      </c>
      <c r="G69" s="302">
        <f>IF(Projected_Start_Date&lt;=G$4,VariableExp4*G14,0)</f>
        <v>0</v>
      </c>
      <c r="H69" s="302">
        <f>IF(Projected_Start_Date&lt;=H$4,VariableExp4*H14,0)</f>
        <v>0</v>
      </c>
      <c r="I69" s="302">
        <f>IF(Projected_Start_Date&lt;=I$4,VariableExp4*I14,0)</f>
        <v>0</v>
      </c>
      <c r="J69" s="302">
        <f>IF(Projected_Start_Date&lt;=J$4,VariableExp4*J14,0)</f>
        <v>0</v>
      </c>
      <c r="K69" s="302">
        <f>IF(Projected_Start_Date&lt;=K$4,VariableExp4*K14,0)</f>
        <v>0</v>
      </c>
      <c r="L69" s="302">
        <f>IF(Projected_Start_Date&lt;=L$4,VariableExp4*L14,0)</f>
        <v>0</v>
      </c>
      <c r="M69" s="302">
        <f>IF(Projected_Start_Date&lt;=M$4,VariableExp4*M14,0)</f>
        <v>0</v>
      </c>
      <c r="N69" s="302">
        <f>IF(Projected_Start_Date&lt;=N$4,VariableExp4*N14,0)</f>
        <v>0</v>
      </c>
      <c r="O69" s="302">
        <f>IF(Projected_Start_Date&lt;=O$4,VariableExp4*O14,0)</f>
        <v>0</v>
      </c>
      <c r="P69" s="302">
        <f>IF(Projected_Start_Date&lt;=P$4,VariableExp4*P14,0)</f>
        <v>0</v>
      </c>
      <c r="Q69" s="399">
        <f t="shared" si="12"/>
        <v>0</v>
      </c>
      <c r="R69" s="439">
        <f t="shared" si="14"/>
        <v>0</v>
      </c>
    </row>
    <row r="70" ht="15.0" customHeight="1" outlineLevel="2">
      <c r="A70" s="12" t="str">
        <f>'Expenses Summary'!G41</f>
        <v>Bad Debt</v>
      </c>
      <c r="B70" s="326">
        <f>'Expenses Summary'!H41</f>
        <v>0.005</v>
      </c>
      <c r="C70" s="12"/>
      <c r="D70" s="12" t="s">
        <v>418</v>
      </c>
      <c r="E70" s="302">
        <f>IF(Projected_Start_Date&lt;=E$4,$B$70*E14,0)</f>
        <v>8.5</v>
      </c>
      <c r="F70" s="302">
        <f>IF(Projected_Start_Date&lt;=F$4,$B$70*F14,0)</f>
        <v>12.75</v>
      </c>
      <c r="G70" s="302">
        <f>IF(Projected_Start_Date&lt;=G$4,$B$70*G14,0)</f>
        <v>12.75</v>
      </c>
      <c r="H70" s="302">
        <f>IF(Projected_Start_Date&lt;=H$4,$B$70*H14,0)</f>
        <v>12.75</v>
      </c>
      <c r="I70" s="302">
        <f>IF(Projected_Start_Date&lt;=I$4,$B$70*I14,0)</f>
        <v>25.5</v>
      </c>
      <c r="J70" s="302">
        <f>IF(Projected_Start_Date&lt;=J$4,$B$70*J14,0)</f>
        <v>25.5</v>
      </c>
      <c r="K70" s="302">
        <f>IF(Projected_Start_Date&lt;=K$4,$B$70*K14,0)</f>
        <v>25.5</v>
      </c>
      <c r="L70" s="302">
        <f>IF(Projected_Start_Date&lt;=L$4,$B$70*L14,0)</f>
        <v>25.5</v>
      </c>
      <c r="M70" s="302">
        <f>IF(Projected_Start_Date&lt;=M$4,$B$70*M14,0)</f>
        <v>42.5</v>
      </c>
      <c r="N70" s="302">
        <f>IF(Projected_Start_Date&lt;=N$4,$B$70*N14,0)</f>
        <v>42.5</v>
      </c>
      <c r="O70" s="302">
        <f>IF(Projected_Start_Date&lt;=O$4,$B$70*O14,0)</f>
        <v>42.5</v>
      </c>
      <c r="P70" s="302">
        <f>IF(Projected_Start_Date&lt;=P$4,$B$70*P14,0)</f>
        <v>42.5</v>
      </c>
      <c r="Q70" s="399">
        <f t="shared" si="12"/>
        <v>318.75</v>
      </c>
      <c r="R70" s="439">
        <f t="shared" si="14"/>
        <v>0.008091385055</v>
      </c>
    </row>
    <row r="71" ht="15.0" customHeight="1" outlineLevel="2">
      <c r="A71" s="12" t="str">
        <f>'Expenses Summary'!G42</f>
        <v>Other Operating Expenses</v>
      </c>
      <c r="B71" s="326">
        <f>'Expenses Summary'!H42</f>
        <v>1000</v>
      </c>
      <c r="C71" s="12"/>
      <c r="D71" s="12"/>
      <c r="E71" s="302">
        <f>IF(Projected_Start_Date&lt;=E$4,$B71,0)</f>
        <v>1000</v>
      </c>
      <c r="F71" s="302">
        <f>IF(Projected_Start_Date&lt;=F$4,$B71,0)</f>
        <v>1000</v>
      </c>
      <c r="G71" s="302">
        <f>IF(Projected_Start_Date&lt;=G$4,$B71,0)</f>
        <v>1000</v>
      </c>
      <c r="H71" s="302">
        <f>IF(Projected_Start_Date&lt;=H$4,$B71,0)</f>
        <v>1000</v>
      </c>
      <c r="I71" s="302">
        <f>IF(Projected_Start_Date&lt;=I$4,$B71,0)</f>
        <v>1000</v>
      </c>
      <c r="J71" s="302">
        <f>IF(Projected_Start_Date&lt;=J$4,$B71,0)</f>
        <v>1000</v>
      </c>
      <c r="K71" s="302">
        <f>IF(Projected_Start_Date&lt;=K$4,$B71,0)</f>
        <v>1000</v>
      </c>
      <c r="L71" s="302">
        <f>IF(Projected_Start_Date&lt;=L$4,$B71,0)</f>
        <v>1000</v>
      </c>
      <c r="M71" s="302">
        <f>IF(Projected_Start_Date&lt;=M$4,$B71,0)</f>
        <v>1000</v>
      </c>
      <c r="N71" s="302">
        <f>IF(Projected_Start_Date&lt;=N$4,$B71,0)</f>
        <v>1000</v>
      </c>
      <c r="O71" s="302">
        <f>IF(Projected_Start_Date&lt;=O$4,$B71,0)</f>
        <v>1000</v>
      </c>
      <c r="P71" s="302">
        <f>IF(Projected_Start_Date&lt;=P$4,$B71,0)</f>
        <v>1000</v>
      </c>
      <c r="Q71" s="399">
        <f t="shared" si="12"/>
        <v>12000</v>
      </c>
      <c r="R71" s="439"/>
    </row>
    <row r="72" ht="15.75" customHeight="1" outlineLevel="1">
      <c r="A72" s="133" t="s">
        <v>353</v>
      </c>
      <c r="B72" s="7"/>
      <c r="C72" s="12"/>
      <c r="D72" s="12"/>
      <c r="E72" s="321">
        <f t="shared" ref="E72:P72" si="15">SUM(E37:E71)</f>
        <v>3192.5</v>
      </c>
      <c r="F72" s="321">
        <f t="shared" si="15"/>
        <v>3213.75</v>
      </c>
      <c r="G72" s="321">
        <f t="shared" si="15"/>
        <v>3213.75</v>
      </c>
      <c r="H72" s="321">
        <f t="shared" si="15"/>
        <v>3213.75</v>
      </c>
      <c r="I72" s="321">
        <f t="shared" si="15"/>
        <v>3277.5</v>
      </c>
      <c r="J72" s="321">
        <f t="shared" si="15"/>
        <v>3277.5</v>
      </c>
      <c r="K72" s="321">
        <f t="shared" si="15"/>
        <v>3277.5</v>
      </c>
      <c r="L72" s="321">
        <f t="shared" si="15"/>
        <v>3277.5</v>
      </c>
      <c r="M72" s="321">
        <f t="shared" si="15"/>
        <v>3362.5</v>
      </c>
      <c r="N72" s="321">
        <f t="shared" si="15"/>
        <v>3362.5</v>
      </c>
      <c r="O72" s="321">
        <f t="shared" si="15"/>
        <v>3362.5</v>
      </c>
      <c r="P72" s="321">
        <f t="shared" si="15"/>
        <v>3362.5</v>
      </c>
      <c r="Q72" s="441">
        <f t="shared" si="12"/>
        <v>39393.75</v>
      </c>
      <c r="R72" s="442">
        <f>Q72/SUM(Q14,Q25,Q34,Q72,Q83)</f>
        <v>0.2288670069</v>
      </c>
    </row>
    <row r="73" ht="15.75" customHeight="1" outlineLevel="1">
      <c r="A73" s="12"/>
      <c r="B73" s="7"/>
      <c r="C73" s="12"/>
      <c r="D73" s="12"/>
      <c r="E73" s="12"/>
      <c r="F73" s="12"/>
      <c r="G73" s="12"/>
      <c r="H73" s="12"/>
      <c r="I73" s="12"/>
      <c r="J73" s="12"/>
      <c r="K73" s="12"/>
      <c r="L73" s="12"/>
      <c r="M73" s="12"/>
      <c r="N73" s="12"/>
      <c r="O73" s="12"/>
      <c r="P73" s="12"/>
      <c r="Q73" s="25"/>
    </row>
    <row r="74" ht="15.75" customHeight="1" outlineLevel="1">
      <c r="A74" s="25" t="s">
        <v>449</v>
      </c>
      <c r="B74" s="7"/>
      <c r="C74" s="12"/>
      <c r="D74" s="12"/>
      <c r="E74" s="466">
        <f t="shared" ref="E74:Q74" si="16">E27-E34-E72</f>
        <v>-6025.488506</v>
      </c>
      <c r="F74" s="466">
        <f t="shared" si="16"/>
        <v>-5595.416667</v>
      </c>
      <c r="G74" s="466">
        <f t="shared" si="16"/>
        <v>-5595.416667</v>
      </c>
      <c r="H74" s="466">
        <f t="shared" si="16"/>
        <v>-5595.416667</v>
      </c>
      <c r="I74" s="466">
        <f t="shared" si="16"/>
        <v>-3874.166667</v>
      </c>
      <c r="J74" s="466">
        <f t="shared" si="16"/>
        <v>-3874.166667</v>
      </c>
      <c r="K74" s="466">
        <f t="shared" si="16"/>
        <v>-3874.166667</v>
      </c>
      <c r="L74" s="466">
        <f t="shared" si="16"/>
        <v>-3874.166667</v>
      </c>
      <c r="M74" s="466">
        <f t="shared" si="16"/>
        <v>-1579.166667</v>
      </c>
      <c r="N74" s="466">
        <f t="shared" si="16"/>
        <v>-1579.166667</v>
      </c>
      <c r="O74" s="466">
        <f t="shared" si="16"/>
        <v>-1579.166667</v>
      </c>
      <c r="P74" s="466">
        <f t="shared" si="16"/>
        <v>-1579.166667</v>
      </c>
      <c r="Q74" s="441">
        <f t="shared" si="16"/>
        <v>-44625.07184</v>
      </c>
    </row>
    <row r="75" ht="15.75" customHeight="1" outlineLevel="1">
      <c r="A75" s="12"/>
      <c r="B75" s="7"/>
      <c r="C75" s="12"/>
      <c r="D75" s="12"/>
      <c r="E75" s="12"/>
      <c r="F75" s="12"/>
      <c r="G75" s="12"/>
      <c r="H75" s="12"/>
      <c r="I75" s="12"/>
      <c r="J75" s="12"/>
      <c r="K75" s="12"/>
      <c r="L75" s="12"/>
      <c r="M75" s="12"/>
      <c r="N75" s="12"/>
      <c r="O75" s="12"/>
      <c r="P75" s="12"/>
      <c r="Q75" s="25"/>
    </row>
    <row r="76" ht="15.75" customHeight="1" outlineLevel="1">
      <c r="A76" s="434" t="s">
        <v>356</v>
      </c>
      <c r="B76" s="435"/>
      <c r="C76" s="436"/>
      <c r="D76" s="436"/>
      <c r="E76" s="436"/>
      <c r="F76" s="436"/>
      <c r="G76" s="436"/>
      <c r="H76" s="436"/>
      <c r="I76" s="436"/>
      <c r="J76" s="436"/>
      <c r="K76" s="436"/>
      <c r="L76" s="436"/>
      <c r="M76" s="436"/>
      <c r="N76" s="436"/>
      <c r="O76" s="436"/>
      <c r="P76" s="436"/>
      <c r="Q76" s="434"/>
      <c r="R76" s="436"/>
    </row>
    <row r="77" ht="15.75" customHeight="1" outlineLevel="2">
      <c r="A77" s="12" t="s">
        <v>450</v>
      </c>
      <c r="B77" s="134">
        <f>START_AmortizAmt</f>
        <v>0</v>
      </c>
      <c r="C77" s="12"/>
      <c r="D77" s="12"/>
      <c r="E77" s="69">
        <f>IF(E4&lt;Amoritziation_EndDate,$B$77,0)</f>
        <v>0</v>
      </c>
      <c r="F77" s="69">
        <f>IF(F4&lt;Amoritziation_EndDate,$B$77,0)</f>
        <v>0</v>
      </c>
      <c r="G77" s="69">
        <f>IF(G4&lt;Amoritziation_EndDate,$B$77,0)</f>
        <v>0</v>
      </c>
      <c r="H77" s="69">
        <f>IF(H4&lt;Amoritziation_EndDate,$B$77,0)</f>
        <v>0</v>
      </c>
      <c r="I77" s="69">
        <f>IF(I4&lt;Amoritziation_EndDate,$B$77,0)</f>
        <v>0</v>
      </c>
      <c r="J77" s="69">
        <f>IF(J4&lt;Amoritziation_EndDate,$B$77,0)</f>
        <v>0</v>
      </c>
      <c r="K77" s="69">
        <f>IF(K4&lt;Amoritziation_EndDate,$B$77,0)</f>
        <v>0</v>
      </c>
      <c r="L77" s="69">
        <f>IF(L4&lt;Amoritziation_EndDate,$B$77,0)</f>
        <v>0</v>
      </c>
      <c r="M77" s="69">
        <f>IF(M4&lt;Amoritziation_EndDate,$B$77,0)</f>
        <v>0</v>
      </c>
      <c r="N77" s="69">
        <f>IF(N4&lt;Amoritziation_EndDate,$B$77,0)</f>
        <v>0</v>
      </c>
      <c r="O77" s="69">
        <f>IF(O4&lt;Amoritziation_EndDate,$B$77,0)</f>
        <v>0</v>
      </c>
      <c r="P77" s="69">
        <f>IF(P4&lt;Amoritziation_EndDate,$B$77,0)</f>
        <v>0</v>
      </c>
      <c r="Q77" s="468">
        <f t="shared" ref="Q77:Q80" si="17">SUM(E77:P77)</f>
        <v>0</v>
      </c>
      <c r="R77" s="12"/>
    </row>
    <row r="78" ht="15.0" customHeight="1" outlineLevel="2">
      <c r="A78" s="12" t="str">
        <f>'Expenses Summary'!G46</f>
        <v>Depreciation</v>
      </c>
      <c r="B78" s="134"/>
      <c r="C78" s="12"/>
      <c r="D78" s="12"/>
      <c r="E78" s="302">
        <f>SUMIF(Deprec_EndDates,"&gt;"&amp;E4,Deprec_MonthlyAmt)</f>
        <v>0</v>
      </c>
      <c r="F78" s="302">
        <f>SUMIF(Deprec_EndDates,"&gt;"&amp;F4,Deprec_MonthlyAmt)</f>
        <v>0</v>
      </c>
      <c r="G78" s="302">
        <f>SUMIF(Deprec_EndDates,"&gt;"&amp;G4,Deprec_MonthlyAmt)</f>
        <v>0</v>
      </c>
      <c r="H78" s="302">
        <f>SUMIF(Deprec_EndDates,"&gt;"&amp;H4,Deprec_MonthlyAmt)</f>
        <v>0</v>
      </c>
      <c r="I78" s="302">
        <f>SUMIF(Deprec_EndDates,"&gt;"&amp;I4,Deprec_MonthlyAmt)</f>
        <v>0</v>
      </c>
      <c r="J78" s="302">
        <f>SUMIF(Deprec_EndDates,"&gt;"&amp;J4,Deprec_MonthlyAmt)</f>
        <v>0</v>
      </c>
      <c r="K78" s="302">
        <f>SUMIF(Deprec_EndDates,"&gt;"&amp;K4,Deprec_MonthlyAmt)</f>
        <v>0</v>
      </c>
      <c r="L78" s="302">
        <f>SUMIF(Deprec_EndDates,"&gt;"&amp;L4,Deprec_MonthlyAmt)</f>
        <v>0</v>
      </c>
      <c r="M78" s="302">
        <f>SUMIF(Deprec_EndDates,"&gt;"&amp;M4,Deprec_MonthlyAmt)</f>
        <v>0</v>
      </c>
      <c r="N78" s="302">
        <f>SUMIF(Deprec_EndDates,"&gt;"&amp;N4,Deprec_MonthlyAmt)</f>
        <v>0</v>
      </c>
      <c r="O78" s="302">
        <f>SUMIF(Deprec_EndDates,"&gt;"&amp;O4,Deprec_MonthlyAmt)</f>
        <v>0</v>
      </c>
      <c r="P78" s="302">
        <f>SUMIF(Deprec_EndDates,"&gt;"&amp;P4,Deprec_MonthlyAmt)</f>
        <v>0</v>
      </c>
      <c r="Q78" s="399">
        <f t="shared" si="17"/>
        <v>0</v>
      </c>
      <c r="R78" s="439" t="str">
        <f t="shared" ref="R78:R79" si="18">IFERROR(Q78/SUM($Q$78:$Q$82),"")</f>
        <v/>
      </c>
    </row>
    <row r="79" ht="15.75" customHeight="1" outlineLevel="2">
      <c r="A79" s="12" t="s">
        <v>453</v>
      </c>
      <c r="B79" s="134">
        <f>'Loan Schedule'!C31</f>
        <v>0</v>
      </c>
      <c r="C79" s="165"/>
      <c r="D79" s="165"/>
      <c r="E79" s="302">
        <f>'Loan Schedule'!C31</f>
        <v>0</v>
      </c>
      <c r="F79" s="302">
        <f>'Loan Schedule'!D31</f>
        <v>0</v>
      </c>
      <c r="G79" s="302">
        <f>'Loan Schedule'!E31</f>
        <v>0</v>
      </c>
      <c r="H79" s="302">
        <f>'Loan Schedule'!F31</f>
        <v>0</v>
      </c>
      <c r="I79" s="302">
        <f>'Loan Schedule'!G31</f>
        <v>0</v>
      </c>
      <c r="J79" s="302">
        <f>'Loan Schedule'!H31</f>
        <v>0</v>
      </c>
      <c r="K79" s="302">
        <f>'Loan Schedule'!I31</f>
        <v>0</v>
      </c>
      <c r="L79" s="302">
        <f>'Loan Schedule'!J31</f>
        <v>0</v>
      </c>
      <c r="M79" s="302">
        <f>'Loan Schedule'!K31</f>
        <v>0</v>
      </c>
      <c r="N79" s="302">
        <f>'Loan Schedule'!L31</f>
        <v>0</v>
      </c>
      <c r="O79" s="302">
        <f>'Loan Schedule'!M31</f>
        <v>0</v>
      </c>
      <c r="P79" s="302">
        <f>'Loan Schedule'!N31</f>
        <v>0</v>
      </c>
      <c r="Q79" s="399">
        <f t="shared" si="17"/>
        <v>0</v>
      </c>
      <c r="R79" s="439" t="str">
        <f t="shared" si="18"/>
        <v/>
      </c>
    </row>
    <row r="80" ht="15.75" customHeight="1" outlineLevel="1">
      <c r="A80" s="133" t="s">
        <v>358</v>
      </c>
      <c r="B80" s="134"/>
      <c r="C80" s="165"/>
      <c r="D80" s="165"/>
      <c r="E80" s="321">
        <f t="shared" ref="E80:P80" si="19">SUM(E77:E79)</f>
        <v>0</v>
      </c>
      <c r="F80" s="321">
        <f t="shared" si="19"/>
        <v>0</v>
      </c>
      <c r="G80" s="321">
        <f t="shared" si="19"/>
        <v>0</v>
      </c>
      <c r="H80" s="321">
        <f t="shared" si="19"/>
        <v>0</v>
      </c>
      <c r="I80" s="321">
        <f t="shared" si="19"/>
        <v>0</v>
      </c>
      <c r="J80" s="321">
        <f t="shared" si="19"/>
        <v>0</v>
      </c>
      <c r="K80" s="321">
        <f t="shared" si="19"/>
        <v>0</v>
      </c>
      <c r="L80" s="321">
        <f t="shared" si="19"/>
        <v>0</v>
      </c>
      <c r="M80" s="321">
        <f t="shared" si="19"/>
        <v>0</v>
      </c>
      <c r="N80" s="321">
        <f t="shared" si="19"/>
        <v>0</v>
      </c>
      <c r="O80" s="321">
        <f t="shared" si="19"/>
        <v>0</v>
      </c>
      <c r="P80" s="321">
        <f t="shared" si="19"/>
        <v>0</v>
      </c>
      <c r="Q80" s="441">
        <f t="shared" si="17"/>
        <v>0</v>
      </c>
      <c r="R80" s="439"/>
    </row>
    <row r="81" ht="15.75" customHeight="1" outlineLevel="1">
      <c r="A81" s="12"/>
      <c r="B81" s="134"/>
      <c r="C81" s="165"/>
      <c r="D81" s="165"/>
      <c r="E81" s="165"/>
      <c r="F81" s="165"/>
      <c r="G81" s="165"/>
      <c r="H81" s="165"/>
      <c r="I81" s="165"/>
      <c r="J81" s="165"/>
      <c r="K81" s="165"/>
      <c r="L81" s="165"/>
      <c r="M81" s="165"/>
      <c r="N81" s="165"/>
      <c r="O81" s="165"/>
      <c r="P81" s="165"/>
      <c r="Q81" s="475"/>
      <c r="R81" s="439"/>
    </row>
    <row r="82" ht="15.75" customHeight="1" outlineLevel="1">
      <c r="A82" s="434" t="s">
        <v>463</v>
      </c>
      <c r="B82" s="435"/>
      <c r="C82" s="436"/>
      <c r="D82" s="436"/>
      <c r="E82" s="436"/>
      <c r="F82" s="436"/>
      <c r="G82" s="436"/>
      <c r="H82" s="436"/>
      <c r="I82" s="436"/>
      <c r="J82" s="436"/>
      <c r="K82" s="436"/>
      <c r="L82" s="436"/>
      <c r="M82" s="436"/>
      <c r="N82" s="436"/>
      <c r="O82" s="436"/>
      <c r="P82" s="436"/>
      <c r="Q82" s="434"/>
      <c r="R82" s="436"/>
    </row>
    <row r="83" ht="15.75" customHeight="1" outlineLevel="1">
      <c r="A83" s="133" t="s">
        <v>463</v>
      </c>
      <c r="B83" s="7"/>
      <c r="C83" s="12"/>
      <c r="D83" s="12"/>
      <c r="E83" s="321">
        <f>IF((E27-E34-E72-E80)&gt;0,IncomeTax_Rate*(E27-E34-E72-E80),0)</f>
        <v>0</v>
      </c>
      <c r="F83" s="321">
        <f>IF((F27-F34-F72-F80)&gt;0,IncomeTax_Rate*(F27-F34-F72-F80),0)</f>
        <v>0</v>
      </c>
      <c r="G83" s="321">
        <f>IF((G27-G34-G72-G80)&gt;0,IncomeTax_Rate*(G27-G34-G72-G80),0)</f>
        <v>0</v>
      </c>
      <c r="H83" s="321">
        <f>IF((H27-H34-H72-H80)&gt;0,IncomeTax_Rate*(H27-H34-H72-H80),0)</f>
        <v>0</v>
      </c>
      <c r="I83" s="321">
        <f>IF((I27-I34-I72-I80)&gt;0,IncomeTax_Rate*(I27-I34-I72-I80),0)</f>
        <v>0</v>
      </c>
      <c r="J83" s="321">
        <f>IF((J27-J34-J72-J80)&gt;0,IncomeTax_Rate*(J27-J34-J72-J80),0)</f>
        <v>0</v>
      </c>
      <c r="K83" s="321">
        <f>IF((K27-K34-K72-K80)&gt;0,IncomeTax_Rate*(K27-K34-K72-K80),0)</f>
        <v>0</v>
      </c>
      <c r="L83" s="321">
        <f>IF((L27-L34-L72-L80)&gt;0,IncomeTax_Rate*(L27-L34-L72-L80),0)</f>
        <v>0</v>
      </c>
      <c r="M83" s="321">
        <f>IF((M27-M34-M72-M80)&gt;0,IncomeTax_Rate*(M27-M34-M72-M80),0)</f>
        <v>0</v>
      </c>
      <c r="N83" s="321">
        <f>IF((N27-N34-N72-N80)&gt;0,IncomeTax_Rate*(N27-N34-N72-N80),0)</f>
        <v>0</v>
      </c>
      <c r="O83" s="321">
        <f>IF((O27-O34-O72-O80)&gt;0,IncomeTax_Rate*(O27-O34-O72-O80),0)</f>
        <v>0</v>
      </c>
      <c r="P83" s="321">
        <f>IF((P27-P34-P72-P80)&gt;0,IncomeTax_Rate*(P27-P34-P72-P80),0)</f>
        <v>0</v>
      </c>
      <c r="Q83" s="441">
        <f>SUM(E83:P83)</f>
        <v>0</v>
      </c>
      <c r="R83" s="442">
        <f>Q83/SUM(Q14,Q25,Q34,Q72,Q83)</f>
        <v>0</v>
      </c>
    </row>
    <row r="84" ht="15.75" customHeight="1" outlineLevel="1">
      <c r="A84" s="12"/>
      <c r="B84" s="7"/>
      <c r="C84" s="12"/>
      <c r="D84" s="12"/>
      <c r="E84" s="165"/>
      <c r="F84" s="165"/>
      <c r="G84" s="165"/>
      <c r="H84" s="165"/>
      <c r="I84" s="165"/>
      <c r="J84" s="165"/>
      <c r="K84" s="165"/>
      <c r="L84" s="165"/>
      <c r="M84" s="165"/>
      <c r="N84" s="165"/>
      <c r="O84" s="165"/>
      <c r="P84" s="165"/>
      <c r="Q84" s="477"/>
    </row>
    <row r="85" ht="15.75" customHeight="1" outlineLevel="1">
      <c r="A85" s="478" t="s">
        <v>469</v>
      </c>
      <c r="B85" s="7"/>
      <c r="C85" s="12"/>
      <c r="D85" s="12"/>
      <c r="E85" s="443">
        <f t="shared" ref="E85:P85" si="20">E27-SUM(E34,E72,E80,E83)</f>
        <v>-6025.488506</v>
      </c>
      <c r="F85" s="443">
        <f t="shared" si="20"/>
        <v>-5595.416667</v>
      </c>
      <c r="G85" s="443">
        <f t="shared" si="20"/>
        <v>-5595.416667</v>
      </c>
      <c r="H85" s="443">
        <f t="shared" si="20"/>
        <v>-5595.416667</v>
      </c>
      <c r="I85" s="443">
        <f t="shared" si="20"/>
        <v>-3874.166667</v>
      </c>
      <c r="J85" s="443">
        <f t="shared" si="20"/>
        <v>-3874.166667</v>
      </c>
      <c r="K85" s="443">
        <f t="shared" si="20"/>
        <v>-3874.166667</v>
      </c>
      <c r="L85" s="443">
        <f t="shared" si="20"/>
        <v>-3874.166667</v>
      </c>
      <c r="M85" s="443">
        <f t="shared" si="20"/>
        <v>-1579.166667</v>
      </c>
      <c r="N85" s="443">
        <f t="shared" si="20"/>
        <v>-1579.166667</v>
      </c>
      <c r="O85" s="443">
        <f t="shared" si="20"/>
        <v>-1579.166667</v>
      </c>
      <c r="P85" s="443">
        <f t="shared" si="20"/>
        <v>-1579.166667</v>
      </c>
      <c r="Q85" s="444">
        <f>SUM(E85:P85)</f>
        <v>-44625.07184</v>
      </c>
    </row>
    <row r="86" ht="15.75" customHeight="1">
      <c r="A86" s="12"/>
      <c r="B86" s="7"/>
      <c r="C86" s="12"/>
      <c r="D86" s="12"/>
      <c r="E86" s="165"/>
      <c r="F86" s="165"/>
      <c r="G86" s="165"/>
      <c r="H86" s="165"/>
      <c r="I86" s="165"/>
      <c r="J86" s="165"/>
      <c r="K86" s="165"/>
      <c r="L86" s="165"/>
      <c r="M86" s="165"/>
      <c r="N86" s="165"/>
      <c r="O86" s="165"/>
      <c r="P86" s="165"/>
      <c r="Q86" s="477"/>
      <c r="R86" s="479" t="str">
        <f>"Budget Total: "&amp;(DOLLAR(SUM(Q14,Q25,Q34,Q72,Q83),0))</f>
        <v>Budget Total: $172,125</v>
      </c>
    </row>
    <row r="87" ht="15.75" customHeight="1">
      <c r="A87" s="12"/>
      <c r="B87" s="7"/>
      <c r="C87" s="12"/>
      <c r="D87" s="12"/>
      <c r="E87" s="165"/>
      <c r="F87" s="165"/>
      <c r="G87" s="165"/>
      <c r="H87" s="165"/>
      <c r="I87" s="165"/>
      <c r="J87" s="165"/>
      <c r="K87" s="165"/>
      <c r="L87" s="165"/>
      <c r="M87" s="165"/>
      <c r="N87" s="165"/>
      <c r="O87" s="165"/>
      <c r="P87" s="165"/>
      <c r="Q87" s="477"/>
    </row>
    <row r="88" ht="15.75" customHeight="1">
      <c r="A88" s="12"/>
      <c r="B88" s="7"/>
      <c r="C88" s="12"/>
      <c r="D88" s="12"/>
      <c r="E88" s="12"/>
      <c r="F88" s="12"/>
      <c r="G88" s="12"/>
      <c r="H88" s="12"/>
      <c r="I88" s="12"/>
      <c r="J88" s="12"/>
      <c r="K88" s="12"/>
      <c r="L88" s="12"/>
      <c r="M88" s="12"/>
      <c r="N88" s="12"/>
      <c r="O88" s="12"/>
      <c r="P88" s="12"/>
      <c r="Q88" s="25"/>
    </row>
    <row r="89" ht="15.75" customHeight="1">
      <c r="A89" s="476" t="str">
        <f>IF(ISBLANK(Company_Name),"Income Statement | Year 2",Company_Name&amp;" | Income Statement | Year 2")</f>
        <v>OTW Paints | Income Statement | Year 2</v>
      </c>
      <c r="B89" s="7"/>
      <c r="C89" s="12"/>
      <c r="D89" s="12"/>
      <c r="E89" s="12"/>
      <c r="F89" s="12"/>
      <c r="G89" s="12"/>
      <c r="H89" s="12"/>
      <c r="I89" s="12"/>
      <c r="J89" s="12"/>
      <c r="K89" s="12"/>
      <c r="L89" s="12"/>
      <c r="M89" s="12"/>
      <c r="N89" s="12"/>
      <c r="O89" s="12"/>
      <c r="P89" s="133"/>
      <c r="Q89" s="25"/>
    </row>
    <row r="90" ht="18.75" customHeight="1" outlineLevel="1">
      <c r="A90" s="5"/>
      <c r="B90" s="7"/>
      <c r="C90" s="12"/>
      <c r="D90" s="12"/>
      <c r="E90" s="12"/>
      <c r="F90" s="12"/>
      <c r="G90" s="12"/>
      <c r="H90" s="12"/>
      <c r="I90" s="12"/>
      <c r="J90" s="12"/>
      <c r="K90" s="12"/>
      <c r="L90" s="12"/>
      <c r="M90" s="12"/>
      <c r="N90" s="12"/>
      <c r="O90" s="12"/>
      <c r="P90" s="133"/>
      <c r="Q90" s="25"/>
      <c r="R90" s="479"/>
    </row>
    <row r="91" ht="15.0" customHeight="1" outlineLevel="1">
      <c r="A91" s="12"/>
      <c r="B91" s="7" t="s">
        <v>244</v>
      </c>
      <c r="C91" s="12"/>
      <c r="D91" s="12"/>
      <c r="E91" s="178">
        <f>DATE(YEAR(Projected_Start_Date)+1,1,1)</f>
        <v>42736</v>
      </c>
      <c r="F91" s="178">
        <f t="shared" ref="F91:P91" si="21">EDATE(E91,1)</f>
        <v>42767</v>
      </c>
      <c r="G91" s="178">
        <f t="shared" si="21"/>
        <v>42795</v>
      </c>
      <c r="H91" s="178">
        <f t="shared" si="21"/>
        <v>42826</v>
      </c>
      <c r="I91" s="178">
        <f t="shared" si="21"/>
        <v>42856</v>
      </c>
      <c r="J91" s="178">
        <f t="shared" si="21"/>
        <v>42887</v>
      </c>
      <c r="K91" s="178">
        <f t="shared" si="21"/>
        <v>42917</v>
      </c>
      <c r="L91" s="178">
        <f t="shared" si="21"/>
        <v>42948</v>
      </c>
      <c r="M91" s="178">
        <f t="shared" si="21"/>
        <v>42979</v>
      </c>
      <c r="N91" s="178">
        <f t="shared" si="21"/>
        <v>43009</v>
      </c>
      <c r="O91" s="178">
        <f t="shared" si="21"/>
        <v>43040</v>
      </c>
      <c r="P91" s="178">
        <f t="shared" si="21"/>
        <v>43070</v>
      </c>
      <c r="Q91" s="55" t="s">
        <v>383</v>
      </c>
      <c r="R91" s="433" t="s">
        <v>384</v>
      </c>
    </row>
    <row r="92" ht="15.75" customHeight="1" outlineLevel="1">
      <c r="A92" s="434" t="s">
        <v>309</v>
      </c>
      <c r="B92" s="435"/>
      <c r="C92" s="436"/>
      <c r="D92" s="436"/>
      <c r="E92" s="436"/>
      <c r="F92" s="436"/>
      <c r="G92" s="436"/>
      <c r="H92" s="436"/>
      <c r="I92" s="436"/>
      <c r="J92" s="436"/>
      <c r="K92" s="436"/>
      <c r="L92" s="436"/>
      <c r="M92" s="436"/>
      <c r="N92" s="436"/>
      <c r="O92" s="436"/>
      <c r="P92" s="436"/>
      <c r="Q92" s="434"/>
      <c r="R92" s="436"/>
    </row>
    <row r="93" ht="15.75" customHeight="1" outlineLevel="1">
      <c r="A93" s="12" t="str">
        <f t="shared" ref="A93:B93" si="22">A6</f>
        <v>Paint</v>
      </c>
      <c r="B93" s="480" t="str">
        <f t="shared" si="22"/>
        <v/>
      </c>
      <c r="C93" s="12"/>
      <c r="D93" s="12"/>
      <c r="E93" s="67">
        <f>IFERROR('A. Background'!$D15*'E. Sales Units'!E19,"")</f>
        <v>12250</v>
      </c>
      <c r="F93" s="67">
        <f>IFERROR('A. Background'!$D15*'E. Sales Units'!F19,"")</f>
        <v>12250</v>
      </c>
      <c r="G93" s="67">
        <f>IFERROR('A. Background'!$D15*'E. Sales Units'!G19,"")</f>
        <v>12250</v>
      </c>
      <c r="H93" s="67">
        <f>IFERROR('A. Background'!$D15*'E. Sales Units'!H19,"")</f>
        <v>12250</v>
      </c>
      <c r="I93" s="67">
        <f>IFERROR('A. Background'!$D15*'E. Sales Units'!I19,"")</f>
        <v>12250</v>
      </c>
      <c r="J93" s="67">
        <f>IFERROR('A. Background'!$D15*'E. Sales Units'!J19,"")</f>
        <v>12250</v>
      </c>
      <c r="K93" s="67">
        <f>IFERROR('A. Background'!$D15*'E. Sales Units'!K19,"")</f>
        <v>12250</v>
      </c>
      <c r="L93" s="67">
        <f>IFERROR('A. Background'!$D15*'E. Sales Units'!L19,"")</f>
        <v>12250</v>
      </c>
      <c r="M93" s="67">
        <f>IFERROR('A. Background'!$D15*'E. Sales Units'!M19,"")</f>
        <v>12250</v>
      </c>
      <c r="N93" s="67">
        <f>IFERROR('A. Background'!$D15*'E. Sales Units'!N19,"")</f>
        <v>12250</v>
      </c>
      <c r="O93" s="67">
        <f>IFERROR('A. Background'!$D15*'E. Sales Units'!O19,"")</f>
        <v>12250</v>
      </c>
      <c r="P93" s="67">
        <f>IFERROR('A. Background'!$D15*'E. Sales Units'!P19,"")</f>
        <v>12250</v>
      </c>
      <c r="Q93" s="481">
        <f t="shared" ref="Q93:Q101" si="24">SUM(E93:P93)</f>
        <v>147000</v>
      </c>
    </row>
    <row r="94" ht="15.0" customHeight="1" outlineLevel="1">
      <c r="A94" s="12" t="str">
        <f t="shared" ref="A94:B94" si="23">A7</f>
        <v>REMOVER</v>
      </c>
      <c r="B94" s="480" t="str">
        <f t="shared" si="23"/>
        <v/>
      </c>
      <c r="C94" s="12"/>
      <c r="D94" s="12"/>
      <c r="E94" s="12">
        <f>IFERROR('A. Background'!$D16*'E. Sales Units'!E20,"")</f>
        <v>2625</v>
      </c>
      <c r="F94" s="12">
        <f>IFERROR('A. Background'!$D16*'E. Sales Units'!F20,"")</f>
        <v>2625</v>
      </c>
      <c r="G94" s="12">
        <f>IFERROR('A. Background'!$D16*'E. Sales Units'!G20,"")</f>
        <v>2625</v>
      </c>
      <c r="H94" s="12">
        <f>IFERROR('A. Background'!$D16*'E. Sales Units'!H20,"")</f>
        <v>2625</v>
      </c>
      <c r="I94" s="12">
        <f>IFERROR('A. Background'!$D16*'E. Sales Units'!I20,"")</f>
        <v>2625</v>
      </c>
      <c r="J94" s="12">
        <f>IFERROR('A. Background'!$D16*'E. Sales Units'!J20,"")</f>
        <v>2625</v>
      </c>
      <c r="K94" s="12">
        <f>IFERROR('A. Background'!$D16*'E. Sales Units'!K20,"")</f>
        <v>2625</v>
      </c>
      <c r="L94" s="12">
        <f>IFERROR('A. Background'!$D16*'E. Sales Units'!L20,"")</f>
        <v>2625</v>
      </c>
      <c r="M94" s="12">
        <f>IFERROR('A. Background'!$D16*'E. Sales Units'!M20,"")</f>
        <v>2625</v>
      </c>
      <c r="N94" s="12">
        <f>IFERROR('A. Background'!$D16*'E. Sales Units'!N20,"")</f>
        <v>2625</v>
      </c>
      <c r="O94" s="12">
        <f>IFERROR('A. Background'!$D16*'E. Sales Units'!O20,"")</f>
        <v>2625</v>
      </c>
      <c r="P94" s="12">
        <f>IFERROR('A. Background'!$D16*'E. Sales Units'!P20,"")</f>
        <v>2625</v>
      </c>
      <c r="Q94" s="25">
        <f t="shared" si="24"/>
        <v>31500</v>
      </c>
    </row>
    <row r="95" ht="15.0" customHeight="1" outlineLevel="1">
      <c r="A95" s="12" t="str">
        <f t="shared" ref="A95:B95" si="25">A8</f>
        <v/>
      </c>
      <c r="B95" s="480" t="str">
        <f t="shared" si="25"/>
        <v/>
      </c>
      <c r="C95" s="12"/>
      <c r="D95" s="12"/>
      <c r="E95" s="12">
        <f>IFERROR('A. Background'!$D17*'E. Sales Units'!E21,"")</f>
        <v>0</v>
      </c>
      <c r="F95" s="12">
        <f>IFERROR('A. Background'!$D17*'E. Sales Units'!F21,"")</f>
        <v>0</v>
      </c>
      <c r="G95" s="12">
        <f>IFERROR('A. Background'!$D17*'E. Sales Units'!G21,"")</f>
        <v>0</v>
      </c>
      <c r="H95" s="12">
        <f>IFERROR('A. Background'!$D17*'E. Sales Units'!H21,"")</f>
        <v>0</v>
      </c>
      <c r="I95" s="12">
        <f>IFERROR('A. Background'!$D17*'E. Sales Units'!I21,"")</f>
        <v>0</v>
      </c>
      <c r="J95" s="12">
        <f>IFERROR('A. Background'!$D17*'E. Sales Units'!J21,"")</f>
        <v>0</v>
      </c>
      <c r="K95" s="12">
        <f>IFERROR('A. Background'!$D17*'E. Sales Units'!K21,"")</f>
        <v>0</v>
      </c>
      <c r="L95" s="12">
        <f>IFERROR('A. Background'!$D17*'E. Sales Units'!L21,"")</f>
        <v>0</v>
      </c>
      <c r="M95" s="12">
        <f>IFERROR('A. Background'!$D17*'E. Sales Units'!M21,"")</f>
        <v>0</v>
      </c>
      <c r="N95" s="12">
        <f>IFERROR('A. Background'!$D17*'E. Sales Units'!N21,"")</f>
        <v>0</v>
      </c>
      <c r="O95" s="12">
        <f>IFERROR('A. Background'!$D17*'E. Sales Units'!O21,"")</f>
        <v>0</v>
      </c>
      <c r="P95" s="12">
        <f>IFERROR('A. Background'!$D17*'E. Sales Units'!P21,"")</f>
        <v>0</v>
      </c>
      <c r="Q95" s="25">
        <f t="shared" si="24"/>
        <v>0</v>
      </c>
    </row>
    <row r="96" ht="15.0" customHeight="1" outlineLevel="1">
      <c r="A96" s="12" t="str">
        <f t="shared" ref="A96:B96" si="26">A9</f>
        <v/>
      </c>
      <c r="B96" s="480" t="str">
        <f t="shared" si="26"/>
        <v/>
      </c>
      <c r="C96" s="12"/>
      <c r="D96" s="12"/>
      <c r="E96" s="12">
        <f>IFERROR('A. Background'!$D18*'E. Sales Units'!E22,"")</f>
        <v>0</v>
      </c>
      <c r="F96" s="12">
        <f>IFERROR('A. Background'!$D18*'E. Sales Units'!F22,"")</f>
        <v>0</v>
      </c>
      <c r="G96" s="12">
        <f>IFERROR('A. Background'!$D18*'E. Sales Units'!G22,"")</f>
        <v>0</v>
      </c>
      <c r="H96" s="12">
        <f>IFERROR('A. Background'!$D18*'E. Sales Units'!H22,"")</f>
        <v>0</v>
      </c>
      <c r="I96" s="12">
        <f>IFERROR('A. Background'!$D18*'E. Sales Units'!I22,"")</f>
        <v>0</v>
      </c>
      <c r="J96" s="12">
        <f>IFERROR('A. Background'!$D18*'E. Sales Units'!J22,"")</f>
        <v>0</v>
      </c>
      <c r="K96" s="12">
        <f>IFERROR('A. Background'!$D18*'E. Sales Units'!K22,"")</f>
        <v>0</v>
      </c>
      <c r="L96" s="12">
        <f>IFERROR('A. Background'!$D18*'E. Sales Units'!L22,"")</f>
        <v>0</v>
      </c>
      <c r="M96" s="12">
        <f>IFERROR('A. Background'!$D18*'E. Sales Units'!M22,"")</f>
        <v>0</v>
      </c>
      <c r="N96" s="12">
        <f>IFERROR('A. Background'!$D18*'E. Sales Units'!N22,"")</f>
        <v>0</v>
      </c>
      <c r="O96" s="12">
        <f>IFERROR('A. Background'!$D18*'E. Sales Units'!O22,"")</f>
        <v>0</v>
      </c>
      <c r="P96" s="12">
        <f>IFERROR('A. Background'!$D18*'E. Sales Units'!P22,"")</f>
        <v>0</v>
      </c>
      <c r="Q96" s="25">
        <f t="shared" si="24"/>
        <v>0</v>
      </c>
    </row>
    <row r="97" ht="15.0" customHeight="1" outlineLevel="1">
      <c r="A97" s="12" t="str">
        <f t="shared" ref="A97:B97" si="27">A10</f>
        <v/>
      </c>
      <c r="B97" s="480" t="str">
        <f t="shared" si="27"/>
        <v/>
      </c>
      <c r="C97" s="12"/>
      <c r="D97" s="12"/>
      <c r="E97" s="12">
        <f>IFERROR('A. Background'!$D19*'E. Sales Units'!E23,"")</f>
        <v>0</v>
      </c>
      <c r="F97" s="12">
        <f>IFERROR('A. Background'!$D19*'E. Sales Units'!F23,"")</f>
        <v>0</v>
      </c>
      <c r="G97" s="12">
        <f>IFERROR('A. Background'!$D19*'E. Sales Units'!G23,"")</f>
        <v>0</v>
      </c>
      <c r="H97" s="12">
        <f>IFERROR('A. Background'!$D19*'E. Sales Units'!H23,"")</f>
        <v>0</v>
      </c>
      <c r="I97" s="12">
        <f>IFERROR('A. Background'!$D19*'E. Sales Units'!I23,"")</f>
        <v>0</v>
      </c>
      <c r="J97" s="12">
        <f>IFERROR('A. Background'!$D19*'E. Sales Units'!J23,"")</f>
        <v>0</v>
      </c>
      <c r="K97" s="12">
        <f>IFERROR('A. Background'!$D19*'E. Sales Units'!K23,"")</f>
        <v>0</v>
      </c>
      <c r="L97" s="12">
        <f>IFERROR('A. Background'!$D19*'E. Sales Units'!L23,"")</f>
        <v>0</v>
      </c>
      <c r="M97" s="12">
        <f>IFERROR('A. Background'!$D19*'E. Sales Units'!M23,"")</f>
        <v>0</v>
      </c>
      <c r="N97" s="12">
        <f>IFERROR('A. Background'!$D19*'E. Sales Units'!N23,"")</f>
        <v>0</v>
      </c>
      <c r="O97" s="12">
        <f>IFERROR('A. Background'!$D19*'E. Sales Units'!O23,"")</f>
        <v>0</v>
      </c>
      <c r="P97" s="12">
        <f>IFERROR('A. Background'!$D19*'E. Sales Units'!P23,"")</f>
        <v>0</v>
      </c>
      <c r="Q97" s="25">
        <f t="shared" si="24"/>
        <v>0</v>
      </c>
    </row>
    <row r="98" ht="15.0" customHeight="1" outlineLevel="1">
      <c r="A98" s="12" t="str">
        <f t="shared" ref="A98:B98" si="28">A11</f>
        <v/>
      </c>
      <c r="B98" s="480" t="str">
        <f t="shared" si="28"/>
        <v/>
      </c>
      <c r="C98" s="12"/>
      <c r="D98" s="12"/>
      <c r="E98" s="12">
        <f>IFERROR('A. Background'!$D20*'E. Sales Units'!E24,"")</f>
        <v>0</v>
      </c>
      <c r="F98" s="12">
        <f>IFERROR('A. Background'!$D20*'E. Sales Units'!F24,"")</f>
        <v>0</v>
      </c>
      <c r="G98" s="12">
        <f>IFERROR('A. Background'!$D20*'E. Sales Units'!G24,"")</f>
        <v>0</v>
      </c>
      <c r="H98" s="12">
        <f>IFERROR('A. Background'!$D20*'E. Sales Units'!H24,"")</f>
        <v>0</v>
      </c>
      <c r="I98" s="12">
        <f>IFERROR('A. Background'!$D20*'E. Sales Units'!I24,"")</f>
        <v>0</v>
      </c>
      <c r="J98" s="12">
        <f>IFERROR('A. Background'!$D20*'E. Sales Units'!J24,"")</f>
        <v>0</v>
      </c>
      <c r="K98" s="12">
        <f>IFERROR('A. Background'!$D20*'E. Sales Units'!K24,"")</f>
        <v>0</v>
      </c>
      <c r="L98" s="12">
        <f>IFERROR('A. Background'!$D20*'E. Sales Units'!L24,"")</f>
        <v>0</v>
      </c>
      <c r="M98" s="12">
        <f>IFERROR('A. Background'!$D20*'E. Sales Units'!M24,"")</f>
        <v>0</v>
      </c>
      <c r="N98" s="12">
        <f>IFERROR('A. Background'!$D20*'E. Sales Units'!N24,"")</f>
        <v>0</v>
      </c>
      <c r="O98" s="12">
        <f>IFERROR('A. Background'!$D20*'E. Sales Units'!O24,"")</f>
        <v>0</v>
      </c>
      <c r="P98" s="12">
        <f>IFERROR('A. Background'!$D20*'E. Sales Units'!P24,"")</f>
        <v>0</v>
      </c>
      <c r="Q98" s="25">
        <f t="shared" si="24"/>
        <v>0</v>
      </c>
    </row>
    <row r="99" ht="15.0" customHeight="1" outlineLevel="1">
      <c r="A99" s="12" t="str">
        <f t="shared" ref="A99:B99" si="29">A12</f>
        <v/>
      </c>
      <c r="B99" s="480" t="str">
        <f t="shared" si="29"/>
        <v/>
      </c>
      <c r="C99" s="12"/>
      <c r="D99" s="12"/>
      <c r="E99" s="12">
        <f>IFERROR('A. Background'!$D21*'E. Sales Units'!E25,"")</f>
        <v>0</v>
      </c>
      <c r="F99" s="12">
        <f>IFERROR('A. Background'!$D21*'E. Sales Units'!F25,"")</f>
        <v>0</v>
      </c>
      <c r="G99" s="12">
        <f>IFERROR('A. Background'!$D21*'E. Sales Units'!G25,"")</f>
        <v>0</v>
      </c>
      <c r="H99" s="12">
        <f>IFERROR('A. Background'!$D21*'E. Sales Units'!H25,"")</f>
        <v>0</v>
      </c>
      <c r="I99" s="12">
        <f>IFERROR('A. Background'!$D21*'E. Sales Units'!I25,"")</f>
        <v>0</v>
      </c>
      <c r="J99" s="12">
        <f>IFERROR('A. Background'!$D21*'E. Sales Units'!J25,"")</f>
        <v>0</v>
      </c>
      <c r="K99" s="12">
        <f>IFERROR('A. Background'!$D21*'E. Sales Units'!K25,"")</f>
        <v>0</v>
      </c>
      <c r="L99" s="12">
        <f>IFERROR('A. Background'!$D21*'E. Sales Units'!L25,"")</f>
        <v>0</v>
      </c>
      <c r="M99" s="12">
        <f>IFERROR('A. Background'!$D21*'E. Sales Units'!M25,"")</f>
        <v>0</v>
      </c>
      <c r="N99" s="12">
        <f>IFERROR('A. Background'!$D21*'E. Sales Units'!N25,"")</f>
        <v>0</v>
      </c>
      <c r="O99" s="12">
        <f>IFERROR('A. Background'!$D21*'E. Sales Units'!O25,"")</f>
        <v>0</v>
      </c>
      <c r="P99" s="12">
        <f>IFERROR('A. Background'!$D21*'E. Sales Units'!P25,"")</f>
        <v>0</v>
      </c>
      <c r="Q99" s="25">
        <f t="shared" si="24"/>
        <v>0</v>
      </c>
    </row>
    <row r="100" ht="15.75" customHeight="1" outlineLevel="1">
      <c r="A100" s="12" t="str">
        <f t="shared" ref="A100:B100" si="30">A13</f>
        <v/>
      </c>
      <c r="B100" s="480" t="str">
        <f t="shared" si="30"/>
        <v/>
      </c>
      <c r="C100" s="12"/>
      <c r="D100" s="12"/>
      <c r="E100" s="12">
        <f>IFERROR('A. Background'!$D22*'E. Sales Units'!E26,"")</f>
        <v>0</v>
      </c>
      <c r="F100" s="12">
        <f>IFERROR('A. Background'!$D22*'E. Sales Units'!F26,"")</f>
        <v>0</v>
      </c>
      <c r="G100" s="12">
        <f>IFERROR('A. Background'!$D22*'E. Sales Units'!G26,"")</f>
        <v>0</v>
      </c>
      <c r="H100" s="12">
        <f>IFERROR('A. Background'!$D22*'E. Sales Units'!H26,"")</f>
        <v>0</v>
      </c>
      <c r="I100" s="12">
        <f>IFERROR('A. Background'!$D22*'E. Sales Units'!I26,"")</f>
        <v>0</v>
      </c>
      <c r="J100" s="12">
        <f>IFERROR('A. Background'!$D22*'E. Sales Units'!J26,"")</f>
        <v>0</v>
      </c>
      <c r="K100" s="12">
        <f>IFERROR('A. Background'!$D22*'E. Sales Units'!K26,"")</f>
        <v>0</v>
      </c>
      <c r="L100" s="12">
        <f>IFERROR('A. Background'!$D22*'E. Sales Units'!L26,"")</f>
        <v>0</v>
      </c>
      <c r="M100" s="12">
        <f>IFERROR('A. Background'!$D22*'E. Sales Units'!M26,"")</f>
        <v>0</v>
      </c>
      <c r="N100" s="12">
        <f>IFERROR('A. Background'!$D22*'E. Sales Units'!N26,"")</f>
        <v>0</v>
      </c>
      <c r="O100" s="12">
        <f>IFERROR('A. Background'!$D22*'E. Sales Units'!O26,"")</f>
        <v>0</v>
      </c>
      <c r="P100" s="12">
        <f>IFERROR('A. Background'!$D22*'E. Sales Units'!P26,"")</f>
        <v>0</v>
      </c>
      <c r="Q100" s="25">
        <f t="shared" si="24"/>
        <v>0</v>
      </c>
    </row>
    <row r="101" ht="15.75" customHeight="1" outlineLevel="1">
      <c r="A101" s="133" t="str">
        <f t="shared" ref="A101:B101" si="31">A14</f>
        <v>Total Revenue</v>
      </c>
      <c r="B101" s="480" t="str">
        <f t="shared" si="31"/>
        <v/>
      </c>
      <c r="C101" s="12"/>
      <c r="D101" s="12"/>
      <c r="E101" s="321">
        <f t="shared" ref="E101:P101" si="32">SUM(E93:E100)</f>
        <v>14875</v>
      </c>
      <c r="F101" s="321">
        <f t="shared" si="32"/>
        <v>14875</v>
      </c>
      <c r="G101" s="321">
        <f t="shared" si="32"/>
        <v>14875</v>
      </c>
      <c r="H101" s="321">
        <f t="shared" si="32"/>
        <v>14875</v>
      </c>
      <c r="I101" s="321">
        <f t="shared" si="32"/>
        <v>14875</v>
      </c>
      <c r="J101" s="321">
        <f t="shared" si="32"/>
        <v>14875</v>
      </c>
      <c r="K101" s="321">
        <f t="shared" si="32"/>
        <v>14875</v>
      </c>
      <c r="L101" s="321">
        <f t="shared" si="32"/>
        <v>14875</v>
      </c>
      <c r="M101" s="321">
        <f t="shared" si="32"/>
        <v>14875</v>
      </c>
      <c r="N101" s="321">
        <f t="shared" si="32"/>
        <v>14875</v>
      </c>
      <c r="O101" s="321">
        <f t="shared" si="32"/>
        <v>14875</v>
      </c>
      <c r="P101" s="321">
        <f t="shared" si="32"/>
        <v>14875</v>
      </c>
      <c r="Q101" s="441">
        <f t="shared" si="24"/>
        <v>178500</v>
      </c>
    </row>
    <row r="102" ht="15.0" customHeight="1" outlineLevel="1">
      <c r="A102" s="12"/>
      <c r="B102" s="7"/>
      <c r="C102" s="12"/>
      <c r="D102" s="12"/>
      <c r="E102" s="12"/>
      <c r="F102" s="12"/>
      <c r="G102" s="12"/>
      <c r="H102" s="12"/>
      <c r="I102" s="12"/>
      <c r="J102" s="12"/>
      <c r="K102" s="12"/>
      <c r="L102" s="12"/>
      <c r="M102" s="12"/>
      <c r="N102" s="12"/>
      <c r="O102" s="12"/>
      <c r="P102" s="12"/>
      <c r="Q102" s="25"/>
    </row>
    <row r="103" ht="15.75" customHeight="1" outlineLevel="1">
      <c r="A103" s="434" t="s">
        <v>386</v>
      </c>
      <c r="B103" s="435"/>
      <c r="C103" s="436"/>
      <c r="D103" s="436"/>
      <c r="E103" s="436"/>
      <c r="F103" s="436"/>
      <c r="G103" s="436"/>
      <c r="H103" s="436"/>
      <c r="I103" s="436"/>
      <c r="J103" s="436"/>
      <c r="K103" s="436"/>
      <c r="L103" s="436"/>
      <c r="M103" s="436"/>
      <c r="N103" s="436"/>
      <c r="O103" s="436"/>
      <c r="P103" s="436"/>
      <c r="Q103" s="434"/>
      <c r="R103" s="436"/>
    </row>
    <row r="104" ht="15.75" customHeight="1" outlineLevel="1">
      <c r="A104" s="12" t="str">
        <f t="shared" ref="A104:A112" si="33">A17</f>
        <v>Paint</v>
      </c>
      <c r="B104" s="7"/>
      <c r="C104" s="12"/>
      <c r="D104" s="12"/>
      <c r="E104" s="67">
        <f>IFERROR('A. Background'!$E15*'E. Sales Units'!E19,"")</f>
        <v>3937.5</v>
      </c>
      <c r="F104" s="67">
        <f>IFERROR('A. Background'!$E15*'E. Sales Units'!F19,"")</f>
        <v>3937.5</v>
      </c>
      <c r="G104" s="67">
        <f>IFERROR('A. Background'!$E15*'E. Sales Units'!G19,"")</f>
        <v>3937.5</v>
      </c>
      <c r="H104" s="67">
        <f>IFERROR('A. Background'!$E15*'E. Sales Units'!H19,"")</f>
        <v>3937.5</v>
      </c>
      <c r="I104" s="67">
        <f>IFERROR('A. Background'!$E15*'E. Sales Units'!I19,"")</f>
        <v>3937.5</v>
      </c>
      <c r="J104" s="67">
        <f>IFERROR('A. Background'!$E15*'E. Sales Units'!J19,"")</f>
        <v>3937.5</v>
      </c>
      <c r="K104" s="67">
        <f>IFERROR('A. Background'!$E15*'E. Sales Units'!K19,"")</f>
        <v>3937.5</v>
      </c>
      <c r="L104" s="67">
        <f>IFERROR('A. Background'!$E15*'E. Sales Units'!L19,"")</f>
        <v>3937.5</v>
      </c>
      <c r="M104" s="67">
        <f>IFERROR('A. Background'!$E15*'E. Sales Units'!M19,"")</f>
        <v>3937.5</v>
      </c>
      <c r="N104" s="67">
        <f>IFERROR('A. Background'!$E15*'E. Sales Units'!N19,"")</f>
        <v>3937.5</v>
      </c>
      <c r="O104" s="67">
        <f>IFERROR('A. Background'!$E15*'E. Sales Units'!O19,"")</f>
        <v>3937.5</v>
      </c>
      <c r="P104" s="67">
        <f>IFERROR('A. Background'!$E15*'E. Sales Units'!P19,"")</f>
        <v>3937.5</v>
      </c>
      <c r="Q104" s="481">
        <f t="shared" ref="Q104:Q112" si="34">SUM(E104:P104)</f>
        <v>47250</v>
      </c>
    </row>
    <row r="105" ht="15.0" customHeight="1" outlineLevel="1">
      <c r="A105" s="12" t="str">
        <f t="shared" si="33"/>
        <v>REMOVER</v>
      </c>
      <c r="B105" s="7"/>
      <c r="C105" s="12"/>
      <c r="D105" s="12"/>
      <c r="E105" s="12">
        <f>IFERROR('A. Background'!$E16*'E. Sales Units'!E20,"")</f>
        <v>525</v>
      </c>
      <c r="F105" s="12">
        <f>IFERROR('A. Background'!$E16*'E. Sales Units'!F20,"")</f>
        <v>525</v>
      </c>
      <c r="G105" s="12">
        <f>IFERROR('A. Background'!$E16*'E. Sales Units'!G20,"")</f>
        <v>525</v>
      </c>
      <c r="H105" s="12">
        <f>IFERROR('A. Background'!$E16*'E. Sales Units'!H20,"")</f>
        <v>525</v>
      </c>
      <c r="I105" s="12">
        <f>IFERROR('A. Background'!$E16*'E. Sales Units'!I20,"")</f>
        <v>525</v>
      </c>
      <c r="J105" s="12">
        <f>IFERROR('A. Background'!$E16*'E. Sales Units'!J20,"")</f>
        <v>525</v>
      </c>
      <c r="K105" s="12">
        <f>IFERROR('A. Background'!$E16*'E. Sales Units'!K20,"")</f>
        <v>525</v>
      </c>
      <c r="L105" s="12">
        <f>IFERROR('A. Background'!$E16*'E. Sales Units'!L20,"")</f>
        <v>525</v>
      </c>
      <c r="M105" s="12">
        <f>IFERROR('A. Background'!$E16*'E. Sales Units'!M20,"")</f>
        <v>525</v>
      </c>
      <c r="N105" s="12">
        <f>IFERROR('A. Background'!$E16*'E. Sales Units'!N20,"")</f>
        <v>525</v>
      </c>
      <c r="O105" s="12">
        <f>IFERROR('A. Background'!$E16*'E. Sales Units'!O20,"")</f>
        <v>525</v>
      </c>
      <c r="P105" s="12">
        <f>IFERROR('A. Background'!$E16*'E. Sales Units'!P20,"")</f>
        <v>525</v>
      </c>
      <c r="Q105" s="25">
        <f t="shared" si="34"/>
        <v>6300</v>
      </c>
    </row>
    <row r="106" ht="15.0" customHeight="1" outlineLevel="1">
      <c r="A106" s="12" t="str">
        <f t="shared" si="33"/>
        <v/>
      </c>
      <c r="B106" s="7"/>
      <c r="C106" s="12"/>
      <c r="D106" s="12"/>
      <c r="E106" s="12">
        <f>IFERROR('A. Background'!$E17*'E. Sales Units'!E21,"")</f>
        <v>0</v>
      </c>
      <c r="F106" s="12">
        <f>IFERROR('A. Background'!$E17*'E. Sales Units'!F21,"")</f>
        <v>0</v>
      </c>
      <c r="G106" s="12">
        <f>IFERROR('A. Background'!$E17*'E. Sales Units'!G21,"")</f>
        <v>0</v>
      </c>
      <c r="H106" s="12">
        <f>IFERROR('A. Background'!$E17*'E. Sales Units'!H21,"")</f>
        <v>0</v>
      </c>
      <c r="I106" s="12">
        <f>IFERROR('A. Background'!$E17*'E. Sales Units'!I21,"")</f>
        <v>0</v>
      </c>
      <c r="J106" s="12">
        <f>IFERROR('A. Background'!$E17*'E. Sales Units'!J21,"")</f>
        <v>0</v>
      </c>
      <c r="K106" s="12">
        <f>IFERROR('A. Background'!$E17*'E. Sales Units'!K21,"")</f>
        <v>0</v>
      </c>
      <c r="L106" s="12">
        <f>IFERROR('A. Background'!$E17*'E. Sales Units'!L21,"")</f>
        <v>0</v>
      </c>
      <c r="M106" s="12">
        <f>IFERROR('A. Background'!$E17*'E. Sales Units'!M21,"")</f>
        <v>0</v>
      </c>
      <c r="N106" s="12">
        <f>IFERROR('A. Background'!$E17*'E. Sales Units'!N21,"")</f>
        <v>0</v>
      </c>
      <c r="O106" s="12">
        <f>IFERROR('A. Background'!$E17*'E. Sales Units'!O21,"")</f>
        <v>0</v>
      </c>
      <c r="P106" s="12">
        <f>IFERROR('A. Background'!$E17*'E. Sales Units'!P21,"")</f>
        <v>0</v>
      </c>
      <c r="Q106" s="25">
        <f t="shared" si="34"/>
        <v>0</v>
      </c>
    </row>
    <row r="107" ht="15.0" customHeight="1" outlineLevel="1">
      <c r="A107" s="12" t="str">
        <f t="shared" si="33"/>
        <v/>
      </c>
      <c r="B107" s="7"/>
      <c r="C107" s="12"/>
      <c r="D107" s="12"/>
      <c r="E107" s="12">
        <f>IFERROR('A. Background'!$E18*'E. Sales Units'!E22,"")</f>
        <v>0</v>
      </c>
      <c r="F107" s="12">
        <f>IFERROR('A. Background'!$E18*'E. Sales Units'!F22,"")</f>
        <v>0</v>
      </c>
      <c r="G107" s="12">
        <f>IFERROR('A. Background'!$E18*'E. Sales Units'!G22,"")</f>
        <v>0</v>
      </c>
      <c r="H107" s="12">
        <f>IFERROR('A. Background'!$E18*'E. Sales Units'!H22,"")</f>
        <v>0</v>
      </c>
      <c r="I107" s="12">
        <f>IFERROR('A. Background'!$E18*'E. Sales Units'!I22,"")</f>
        <v>0</v>
      </c>
      <c r="J107" s="12">
        <f>IFERROR('A. Background'!$E18*'E. Sales Units'!J22,"")</f>
        <v>0</v>
      </c>
      <c r="K107" s="12">
        <f>IFERROR('A. Background'!$E18*'E. Sales Units'!K22,"")</f>
        <v>0</v>
      </c>
      <c r="L107" s="12">
        <f>IFERROR('A. Background'!$E18*'E. Sales Units'!L22,"")</f>
        <v>0</v>
      </c>
      <c r="M107" s="12">
        <f>IFERROR('A. Background'!$E18*'E. Sales Units'!M22,"")</f>
        <v>0</v>
      </c>
      <c r="N107" s="12">
        <f>IFERROR('A. Background'!$E18*'E. Sales Units'!N22,"")</f>
        <v>0</v>
      </c>
      <c r="O107" s="12">
        <f>IFERROR('A. Background'!$E18*'E. Sales Units'!O22,"")</f>
        <v>0</v>
      </c>
      <c r="P107" s="12">
        <f>IFERROR('A. Background'!$E18*'E. Sales Units'!P22,"")</f>
        <v>0</v>
      </c>
      <c r="Q107" s="25">
        <f t="shared" si="34"/>
        <v>0</v>
      </c>
    </row>
    <row r="108" ht="15.0" customHeight="1" outlineLevel="1">
      <c r="A108" s="12" t="str">
        <f t="shared" si="33"/>
        <v/>
      </c>
      <c r="B108" s="7"/>
      <c r="C108" s="12"/>
      <c r="D108" s="12"/>
      <c r="E108" s="12">
        <f>IFERROR('A. Background'!$E19*'E. Sales Units'!E23,"")</f>
        <v>0</v>
      </c>
      <c r="F108" s="12">
        <f>IFERROR('A. Background'!$E19*'E. Sales Units'!F23,"")</f>
        <v>0</v>
      </c>
      <c r="G108" s="12">
        <f>IFERROR('A. Background'!$E19*'E. Sales Units'!G23,"")</f>
        <v>0</v>
      </c>
      <c r="H108" s="12">
        <f>IFERROR('A. Background'!$E19*'E. Sales Units'!H23,"")</f>
        <v>0</v>
      </c>
      <c r="I108" s="12">
        <f>IFERROR('A. Background'!$E19*'E. Sales Units'!I23,"")</f>
        <v>0</v>
      </c>
      <c r="J108" s="12">
        <f>IFERROR('A. Background'!$E19*'E. Sales Units'!J23,"")</f>
        <v>0</v>
      </c>
      <c r="K108" s="12">
        <f>IFERROR('A. Background'!$E19*'E. Sales Units'!K23,"")</f>
        <v>0</v>
      </c>
      <c r="L108" s="12">
        <f>IFERROR('A. Background'!$E19*'E. Sales Units'!L23,"")</f>
        <v>0</v>
      </c>
      <c r="M108" s="12">
        <f>IFERROR('A. Background'!$E19*'E. Sales Units'!M23,"")</f>
        <v>0</v>
      </c>
      <c r="N108" s="12">
        <f>IFERROR('A. Background'!$E19*'E. Sales Units'!N23,"")</f>
        <v>0</v>
      </c>
      <c r="O108" s="12">
        <f>IFERROR('A. Background'!$E19*'E. Sales Units'!O23,"")</f>
        <v>0</v>
      </c>
      <c r="P108" s="12">
        <f>IFERROR('A. Background'!$E19*'E. Sales Units'!P23,"")</f>
        <v>0</v>
      </c>
      <c r="Q108" s="25">
        <f t="shared" si="34"/>
        <v>0</v>
      </c>
    </row>
    <row r="109" ht="15.0" customHeight="1" outlineLevel="1">
      <c r="A109" s="12" t="str">
        <f t="shared" si="33"/>
        <v/>
      </c>
      <c r="B109" s="7"/>
      <c r="C109" s="12"/>
      <c r="D109" s="12"/>
      <c r="E109" s="12">
        <f>IFERROR('A. Background'!$E20*'E. Sales Units'!E24,"")</f>
        <v>0</v>
      </c>
      <c r="F109" s="12">
        <f>IFERROR('A. Background'!$E20*'E. Sales Units'!F24,"")</f>
        <v>0</v>
      </c>
      <c r="G109" s="12">
        <f>IFERROR('A. Background'!$E20*'E. Sales Units'!G24,"")</f>
        <v>0</v>
      </c>
      <c r="H109" s="12">
        <f>IFERROR('A. Background'!$E20*'E. Sales Units'!H24,"")</f>
        <v>0</v>
      </c>
      <c r="I109" s="12">
        <f>IFERROR('A. Background'!$E20*'E. Sales Units'!I24,"")</f>
        <v>0</v>
      </c>
      <c r="J109" s="12">
        <f>IFERROR('A. Background'!$E20*'E. Sales Units'!J24,"")</f>
        <v>0</v>
      </c>
      <c r="K109" s="12">
        <f>IFERROR('A. Background'!$E20*'E. Sales Units'!K24,"")</f>
        <v>0</v>
      </c>
      <c r="L109" s="12">
        <f>IFERROR('A. Background'!$E20*'E. Sales Units'!L24,"")</f>
        <v>0</v>
      </c>
      <c r="M109" s="12">
        <f>IFERROR('A. Background'!$E20*'E. Sales Units'!M24,"")</f>
        <v>0</v>
      </c>
      <c r="N109" s="12">
        <f>IFERROR('A. Background'!$E20*'E. Sales Units'!N24,"")</f>
        <v>0</v>
      </c>
      <c r="O109" s="12">
        <f>IFERROR('A. Background'!$E20*'E. Sales Units'!O24,"")</f>
        <v>0</v>
      </c>
      <c r="P109" s="12">
        <f>IFERROR('A. Background'!$E20*'E. Sales Units'!P24,"")</f>
        <v>0</v>
      </c>
      <c r="Q109" s="25">
        <f t="shared" si="34"/>
        <v>0</v>
      </c>
    </row>
    <row r="110" ht="15.0" customHeight="1" outlineLevel="1">
      <c r="A110" s="12" t="str">
        <f t="shared" si="33"/>
        <v/>
      </c>
      <c r="B110" s="7"/>
      <c r="C110" s="12"/>
      <c r="D110" s="12"/>
      <c r="E110" s="12">
        <f>IFERROR('A. Background'!$E21*'E. Sales Units'!E25,"")</f>
        <v>0</v>
      </c>
      <c r="F110" s="12">
        <f>IFERROR('A. Background'!$E21*'E. Sales Units'!F25,"")</f>
        <v>0</v>
      </c>
      <c r="G110" s="12">
        <f>IFERROR('A. Background'!$E21*'E. Sales Units'!G25,"")</f>
        <v>0</v>
      </c>
      <c r="H110" s="12">
        <f>IFERROR('A. Background'!$E21*'E. Sales Units'!H25,"")</f>
        <v>0</v>
      </c>
      <c r="I110" s="12">
        <f>IFERROR('A. Background'!$E21*'E. Sales Units'!I25,"")</f>
        <v>0</v>
      </c>
      <c r="J110" s="12">
        <f>IFERROR('A. Background'!$E21*'E. Sales Units'!J25,"")</f>
        <v>0</v>
      </c>
      <c r="K110" s="12">
        <f>IFERROR('A. Background'!$E21*'E. Sales Units'!K25,"")</f>
        <v>0</v>
      </c>
      <c r="L110" s="12">
        <f>IFERROR('A. Background'!$E21*'E. Sales Units'!L25,"")</f>
        <v>0</v>
      </c>
      <c r="M110" s="12">
        <f>IFERROR('A. Background'!$E21*'E. Sales Units'!M25,"")</f>
        <v>0</v>
      </c>
      <c r="N110" s="12">
        <f>IFERROR('A. Background'!$E21*'E. Sales Units'!N25,"")</f>
        <v>0</v>
      </c>
      <c r="O110" s="12">
        <f>IFERROR('A. Background'!$E21*'E. Sales Units'!O25,"")</f>
        <v>0</v>
      </c>
      <c r="P110" s="12">
        <f>IFERROR('A. Background'!$E21*'E. Sales Units'!P25,"")</f>
        <v>0</v>
      </c>
      <c r="Q110" s="25">
        <f t="shared" si="34"/>
        <v>0</v>
      </c>
    </row>
    <row r="111" ht="15.75" customHeight="1" outlineLevel="1">
      <c r="A111" s="12" t="str">
        <f t="shared" si="33"/>
        <v/>
      </c>
      <c r="B111" s="7"/>
      <c r="C111" s="12"/>
      <c r="D111" s="12"/>
      <c r="E111" s="12">
        <f>IFERROR('A. Background'!$E22*'E. Sales Units'!E26,"")</f>
        <v>0</v>
      </c>
      <c r="F111" s="12">
        <f>IFERROR('A. Background'!$E22*'E. Sales Units'!F26,"")</f>
        <v>0</v>
      </c>
      <c r="G111" s="12">
        <f>IFERROR('A. Background'!$E22*'E. Sales Units'!G26,"")</f>
        <v>0</v>
      </c>
      <c r="H111" s="12">
        <f>IFERROR('A. Background'!$E22*'E. Sales Units'!H26,"")</f>
        <v>0</v>
      </c>
      <c r="I111" s="12">
        <f>IFERROR('A. Background'!$E22*'E. Sales Units'!I26,"")</f>
        <v>0</v>
      </c>
      <c r="J111" s="12">
        <f>IFERROR('A. Background'!$E22*'E. Sales Units'!J26,"")</f>
        <v>0</v>
      </c>
      <c r="K111" s="12">
        <f>IFERROR('A. Background'!$E22*'E. Sales Units'!K26,"")</f>
        <v>0</v>
      </c>
      <c r="L111" s="12">
        <f>IFERROR('A. Background'!$E22*'E. Sales Units'!L26,"")</f>
        <v>0</v>
      </c>
      <c r="M111" s="12">
        <f>IFERROR('A. Background'!$E22*'E. Sales Units'!M26,"")</f>
        <v>0</v>
      </c>
      <c r="N111" s="12">
        <f>IFERROR('A. Background'!$E22*'E. Sales Units'!N26,"")</f>
        <v>0</v>
      </c>
      <c r="O111" s="12">
        <f>IFERROR('A. Background'!$E22*'E. Sales Units'!O26,"")</f>
        <v>0</v>
      </c>
      <c r="P111" s="12">
        <f>IFERROR('A. Background'!$E22*'E. Sales Units'!P26,"")</f>
        <v>0</v>
      </c>
      <c r="Q111" s="25">
        <f t="shared" si="34"/>
        <v>0</v>
      </c>
    </row>
    <row r="112" ht="15.75" customHeight="1" outlineLevel="1">
      <c r="A112" s="133" t="str">
        <f t="shared" si="33"/>
        <v>Total COGS</v>
      </c>
      <c r="B112" s="7"/>
      <c r="C112" s="12"/>
      <c r="D112" s="12"/>
      <c r="E112" s="321">
        <f t="shared" ref="E112:P112" si="35">SUM(E104:E111)</f>
        <v>4462.5</v>
      </c>
      <c r="F112" s="321">
        <f t="shared" si="35"/>
        <v>4462.5</v>
      </c>
      <c r="G112" s="321">
        <f t="shared" si="35"/>
        <v>4462.5</v>
      </c>
      <c r="H112" s="321">
        <f t="shared" si="35"/>
        <v>4462.5</v>
      </c>
      <c r="I112" s="321">
        <f t="shared" si="35"/>
        <v>4462.5</v>
      </c>
      <c r="J112" s="321">
        <f t="shared" si="35"/>
        <v>4462.5</v>
      </c>
      <c r="K112" s="321">
        <f t="shared" si="35"/>
        <v>4462.5</v>
      </c>
      <c r="L112" s="321">
        <f t="shared" si="35"/>
        <v>4462.5</v>
      </c>
      <c r="M112" s="321">
        <f t="shared" si="35"/>
        <v>4462.5</v>
      </c>
      <c r="N112" s="321">
        <f t="shared" si="35"/>
        <v>4462.5</v>
      </c>
      <c r="O112" s="321">
        <f t="shared" si="35"/>
        <v>4462.5</v>
      </c>
      <c r="P112" s="321">
        <f t="shared" si="35"/>
        <v>4462.5</v>
      </c>
      <c r="Q112" s="441">
        <f t="shared" si="34"/>
        <v>53550</v>
      </c>
    </row>
    <row r="113" ht="15.75" customHeight="1" outlineLevel="1">
      <c r="A113" s="12"/>
      <c r="B113" s="7"/>
      <c r="C113" s="12"/>
      <c r="D113" s="12"/>
      <c r="E113" s="12"/>
      <c r="F113" s="12"/>
      <c r="G113" s="12"/>
      <c r="H113" s="12"/>
      <c r="I113" s="12"/>
      <c r="J113" s="12"/>
      <c r="K113" s="12"/>
      <c r="L113" s="12"/>
      <c r="M113" s="12"/>
      <c r="N113" s="12"/>
      <c r="O113" s="12"/>
      <c r="P113" s="12"/>
      <c r="Q113" s="25"/>
    </row>
    <row r="114" ht="16.5" customHeight="1" outlineLevel="1">
      <c r="A114" s="483" t="str">
        <f>A27</f>
        <v>Gross Profit</v>
      </c>
      <c r="B114" s="7"/>
      <c r="C114" s="12"/>
      <c r="D114" s="12"/>
      <c r="E114" s="443">
        <f t="shared" ref="E114:Q114" si="36">E101-E112</f>
        <v>10412.5</v>
      </c>
      <c r="F114" s="443">
        <f t="shared" si="36"/>
        <v>10412.5</v>
      </c>
      <c r="G114" s="443">
        <f t="shared" si="36"/>
        <v>10412.5</v>
      </c>
      <c r="H114" s="443">
        <f t="shared" si="36"/>
        <v>10412.5</v>
      </c>
      <c r="I114" s="443">
        <f t="shared" si="36"/>
        <v>10412.5</v>
      </c>
      <c r="J114" s="443">
        <f t="shared" si="36"/>
        <v>10412.5</v>
      </c>
      <c r="K114" s="443">
        <f t="shared" si="36"/>
        <v>10412.5</v>
      </c>
      <c r="L114" s="443">
        <f t="shared" si="36"/>
        <v>10412.5</v>
      </c>
      <c r="M114" s="443">
        <f t="shared" si="36"/>
        <v>10412.5</v>
      </c>
      <c r="N114" s="443">
        <f t="shared" si="36"/>
        <v>10412.5</v>
      </c>
      <c r="O114" s="443">
        <f t="shared" si="36"/>
        <v>10412.5</v>
      </c>
      <c r="P114" s="443">
        <f t="shared" si="36"/>
        <v>10412.5</v>
      </c>
      <c r="Q114" s="444">
        <f t="shared" si="36"/>
        <v>124950</v>
      </c>
    </row>
    <row r="115" ht="15.75" customHeight="1" outlineLevel="1">
      <c r="A115" s="12"/>
      <c r="B115" s="7"/>
      <c r="C115" s="12"/>
      <c r="D115" s="12"/>
      <c r="E115" s="12"/>
      <c r="F115" s="12"/>
      <c r="G115" s="12"/>
      <c r="H115" s="12"/>
      <c r="I115" s="12"/>
      <c r="J115" s="12"/>
      <c r="K115" s="12"/>
      <c r="L115" s="12"/>
      <c r="M115" s="12"/>
      <c r="N115" s="12"/>
      <c r="O115" s="12"/>
      <c r="P115" s="12"/>
      <c r="Q115" s="25"/>
    </row>
    <row r="116" ht="15.75" customHeight="1" outlineLevel="1">
      <c r="A116" s="434" t="s">
        <v>389</v>
      </c>
      <c r="B116" s="435"/>
      <c r="C116" s="436"/>
      <c r="D116" s="436"/>
      <c r="E116" s="436"/>
      <c r="F116" s="436"/>
      <c r="G116" s="436"/>
      <c r="H116" s="436"/>
      <c r="I116" s="436"/>
      <c r="J116" s="436"/>
      <c r="K116" s="436"/>
      <c r="L116" s="436"/>
      <c r="M116" s="436"/>
      <c r="N116" s="436"/>
      <c r="O116" s="436"/>
      <c r="P116" s="436"/>
      <c r="Q116" s="434"/>
      <c r="R116" s="436"/>
    </row>
    <row r="117" ht="15.75" customHeight="1" outlineLevel="1">
      <c r="A117" s="12" t="str">
        <f t="shared" ref="A117:A120" si="37">A31</f>
        <v>Salaries &amp; Wages</v>
      </c>
      <c r="B117" s="7"/>
      <c r="C117" s="12"/>
      <c r="D117" s="12"/>
      <c r="E117" s="153">
        <f>'Personnel Summary'!E39</f>
        <v>0</v>
      </c>
      <c r="F117" s="153">
        <f>'Personnel Summary'!F39</f>
        <v>0</v>
      </c>
      <c r="G117" s="153">
        <f>'Personnel Summary'!G39</f>
        <v>0</v>
      </c>
      <c r="H117" s="153">
        <f>'Personnel Summary'!H39</f>
        <v>0</v>
      </c>
      <c r="I117" s="153">
        <f>'Personnel Summary'!I39</f>
        <v>0</v>
      </c>
      <c r="J117" s="153">
        <f>'Personnel Summary'!J39</f>
        <v>0</v>
      </c>
      <c r="K117" s="153">
        <f>'Personnel Summary'!K39</f>
        <v>0</v>
      </c>
      <c r="L117" s="153">
        <f>'Personnel Summary'!L39</f>
        <v>0</v>
      </c>
      <c r="M117" s="153">
        <f>'Personnel Summary'!M39</f>
        <v>0</v>
      </c>
      <c r="N117" s="153">
        <f>'Personnel Summary'!N39</f>
        <v>0</v>
      </c>
      <c r="O117" s="153">
        <f>'Personnel Summary'!O39</f>
        <v>0</v>
      </c>
      <c r="P117" s="153">
        <f>'Personnel Summary'!P39</f>
        <v>0</v>
      </c>
      <c r="Q117" s="481">
        <f t="shared" ref="Q117:Q120" si="38">SUM(E117:P117)</f>
        <v>0</v>
      </c>
    </row>
    <row r="118" ht="15.0" customHeight="1" outlineLevel="1">
      <c r="A118" s="12" t="str">
        <f t="shared" si="37"/>
        <v>Independent Contractors</v>
      </c>
      <c r="B118" s="7"/>
      <c r="C118" s="12"/>
      <c r="D118" s="12"/>
      <c r="E118" s="302">
        <f>'Personnel Summary'!E40</f>
        <v>4291.666667</v>
      </c>
      <c r="F118" s="302">
        <f>'Personnel Summary'!F40</f>
        <v>4291.666667</v>
      </c>
      <c r="G118" s="302">
        <f>'Personnel Summary'!G40</f>
        <v>4291.666667</v>
      </c>
      <c r="H118" s="302">
        <f>'Personnel Summary'!H40</f>
        <v>4291.666667</v>
      </c>
      <c r="I118" s="302">
        <f>'Personnel Summary'!I40</f>
        <v>4291.666667</v>
      </c>
      <c r="J118" s="302">
        <f>'Personnel Summary'!J40</f>
        <v>4291.666667</v>
      </c>
      <c r="K118" s="302">
        <f>'Personnel Summary'!K40</f>
        <v>4291.666667</v>
      </c>
      <c r="L118" s="302">
        <f>'Personnel Summary'!L40</f>
        <v>4291.666667</v>
      </c>
      <c r="M118" s="302">
        <f>'Personnel Summary'!M40</f>
        <v>4291.666667</v>
      </c>
      <c r="N118" s="302">
        <f>'Personnel Summary'!N40</f>
        <v>4291.666667</v>
      </c>
      <c r="O118" s="302">
        <f>'Personnel Summary'!O40</f>
        <v>4291.666667</v>
      </c>
      <c r="P118" s="302">
        <f>'Personnel Summary'!P40</f>
        <v>4291.666667</v>
      </c>
      <c r="Q118" s="302">
        <f t="shared" si="38"/>
        <v>51500</v>
      </c>
    </row>
    <row r="119" ht="15.75" customHeight="1" outlineLevel="1">
      <c r="A119" s="12" t="str">
        <f t="shared" si="37"/>
        <v>Payroll Taxes &amp; Benefits</v>
      </c>
      <c r="B119" s="7"/>
      <c r="C119" s="12"/>
      <c r="D119" s="12"/>
      <c r="E119" s="302">
        <f>'Personnel Summary'!E41</f>
        <v>0</v>
      </c>
      <c r="F119" s="302">
        <f>'Personnel Summary'!F41</f>
        <v>0</v>
      </c>
      <c r="G119" s="302">
        <f>'Personnel Summary'!G41</f>
        <v>0</v>
      </c>
      <c r="H119" s="302">
        <f>'Personnel Summary'!H41</f>
        <v>0</v>
      </c>
      <c r="I119" s="302">
        <f>'Personnel Summary'!I41</f>
        <v>0</v>
      </c>
      <c r="J119" s="302">
        <f>'Personnel Summary'!J41</f>
        <v>0</v>
      </c>
      <c r="K119" s="302">
        <f>'Personnel Summary'!K41</f>
        <v>0</v>
      </c>
      <c r="L119" s="302">
        <f>'Personnel Summary'!L41</f>
        <v>0</v>
      </c>
      <c r="M119" s="302">
        <f>'Personnel Summary'!M41</f>
        <v>0</v>
      </c>
      <c r="N119" s="302">
        <f>'Personnel Summary'!N41</f>
        <v>0</v>
      </c>
      <c r="O119" s="302">
        <f>'Personnel Summary'!O41</f>
        <v>0</v>
      </c>
      <c r="P119" s="302">
        <f>'Personnel Summary'!P41</f>
        <v>0</v>
      </c>
      <c r="Q119" s="302">
        <f t="shared" si="38"/>
        <v>0</v>
      </c>
    </row>
    <row r="120" ht="15.75" customHeight="1" outlineLevel="1">
      <c r="A120" s="133" t="str">
        <f t="shared" si="37"/>
        <v>Total Salaries &amp; Wages</v>
      </c>
      <c r="B120" s="7"/>
      <c r="C120" s="12"/>
      <c r="D120" s="12"/>
      <c r="E120" s="321">
        <f t="shared" ref="E120:P120" si="39">SUM(E117:E119)</f>
        <v>4291.666667</v>
      </c>
      <c r="F120" s="321">
        <f t="shared" si="39"/>
        <v>4291.666667</v>
      </c>
      <c r="G120" s="321">
        <f t="shared" si="39"/>
        <v>4291.666667</v>
      </c>
      <c r="H120" s="321">
        <f t="shared" si="39"/>
        <v>4291.666667</v>
      </c>
      <c r="I120" s="321">
        <f t="shared" si="39"/>
        <v>4291.666667</v>
      </c>
      <c r="J120" s="321">
        <f t="shared" si="39"/>
        <v>4291.666667</v>
      </c>
      <c r="K120" s="321">
        <f t="shared" si="39"/>
        <v>4291.666667</v>
      </c>
      <c r="L120" s="321">
        <f t="shared" si="39"/>
        <v>4291.666667</v>
      </c>
      <c r="M120" s="321">
        <f t="shared" si="39"/>
        <v>4291.666667</v>
      </c>
      <c r="N120" s="321">
        <f t="shared" si="39"/>
        <v>4291.666667</v>
      </c>
      <c r="O120" s="321">
        <f t="shared" si="39"/>
        <v>4291.666667</v>
      </c>
      <c r="P120" s="321">
        <f t="shared" si="39"/>
        <v>4291.666667</v>
      </c>
      <c r="Q120" s="441">
        <f t="shared" si="38"/>
        <v>51500</v>
      </c>
    </row>
    <row r="121" ht="15.0" customHeight="1" outlineLevel="1">
      <c r="A121" s="12"/>
      <c r="B121" s="7"/>
      <c r="C121" s="12"/>
      <c r="D121" s="12"/>
      <c r="E121" s="12"/>
      <c r="F121" s="12"/>
      <c r="G121" s="12"/>
      <c r="H121" s="12"/>
      <c r="I121" s="12"/>
      <c r="J121" s="12"/>
      <c r="K121" s="12"/>
      <c r="L121" s="12"/>
      <c r="M121" s="12"/>
      <c r="N121" s="12"/>
      <c r="O121" s="12"/>
      <c r="P121" s="12"/>
      <c r="Q121" s="25"/>
    </row>
    <row r="122" ht="15.75" customHeight="1" outlineLevel="1">
      <c r="A122" s="434" t="s">
        <v>392</v>
      </c>
      <c r="B122" s="435"/>
      <c r="C122" s="436"/>
      <c r="D122" s="436"/>
      <c r="E122" s="436"/>
      <c r="F122" s="436"/>
      <c r="G122" s="436"/>
      <c r="H122" s="436"/>
      <c r="I122" s="436"/>
      <c r="J122" s="436"/>
      <c r="K122" s="436"/>
      <c r="L122" s="436"/>
      <c r="M122" s="436"/>
      <c r="N122" s="436"/>
      <c r="O122" s="436"/>
      <c r="P122" s="436"/>
      <c r="Q122" s="434"/>
      <c r="R122" s="436"/>
    </row>
    <row r="123" ht="15.75" customHeight="1" outlineLevel="1">
      <c r="A123" s="12" t="str">
        <f t="shared" ref="A123:A158" si="41">A37</f>
        <v>Mortgage</v>
      </c>
      <c r="B123" s="7"/>
      <c r="C123" s="12"/>
      <c r="D123" s="12"/>
      <c r="E123" s="67">
        <f>'Expenses Summary'!K8/12</f>
        <v>0</v>
      </c>
      <c r="F123" s="67">
        <f t="shared" ref="F123:P123" si="40">E123</f>
        <v>0</v>
      </c>
      <c r="G123" s="67">
        <f t="shared" si="40"/>
        <v>0</v>
      </c>
      <c r="H123" s="67">
        <f t="shared" si="40"/>
        <v>0</v>
      </c>
      <c r="I123" s="67">
        <f t="shared" si="40"/>
        <v>0</v>
      </c>
      <c r="J123" s="67">
        <f t="shared" si="40"/>
        <v>0</v>
      </c>
      <c r="K123" s="67">
        <f t="shared" si="40"/>
        <v>0</v>
      </c>
      <c r="L123" s="67">
        <f t="shared" si="40"/>
        <v>0</v>
      </c>
      <c r="M123" s="67">
        <f t="shared" si="40"/>
        <v>0</v>
      </c>
      <c r="N123" s="67">
        <f t="shared" si="40"/>
        <v>0</v>
      </c>
      <c r="O123" s="67">
        <f t="shared" si="40"/>
        <v>0</v>
      </c>
      <c r="P123" s="67">
        <f t="shared" si="40"/>
        <v>0</v>
      </c>
      <c r="Q123" s="438">
        <f t="shared" ref="Q123:Q158" si="43">SUM(E123:P123)</f>
        <v>0</v>
      </c>
    </row>
    <row r="124" ht="15.0" customHeight="1" outlineLevel="1">
      <c r="A124" s="12" t="str">
        <f t="shared" si="41"/>
        <v>Rent</v>
      </c>
      <c r="B124" s="7"/>
      <c r="C124" s="12"/>
      <c r="D124" s="12"/>
      <c r="E124" s="302">
        <f>'Expenses Summary'!K9/12</f>
        <v>0</v>
      </c>
      <c r="F124" s="302">
        <f t="shared" ref="F124:P124" si="42">E124</f>
        <v>0</v>
      </c>
      <c r="G124" s="302">
        <f t="shared" si="42"/>
        <v>0</v>
      </c>
      <c r="H124" s="302">
        <f t="shared" si="42"/>
        <v>0</v>
      </c>
      <c r="I124" s="302">
        <f t="shared" si="42"/>
        <v>0</v>
      </c>
      <c r="J124" s="302">
        <f t="shared" si="42"/>
        <v>0</v>
      </c>
      <c r="K124" s="302">
        <f t="shared" si="42"/>
        <v>0</v>
      </c>
      <c r="L124" s="302">
        <f t="shared" si="42"/>
        <v>0</v>
      </c>
      <c r="M124" s="302">
        <f t="shared" si="42"/>
        <v>0</v>
      </c>
      <c r="N124" s="302">
        <f t="shared" si="42"/>
        <v>0</v>
      </c>
      <c r="O124" s="302">
        <f t="shared" si="42"/>
        <v>0</v>
      </c>
      <c r="P124" s="302">
        <f t="shared" si="42"/>
        <v>0</v>
      </c>
      <c r="Q124" s="399">
        <f t="shared" si="43"/>
        <v>0</v>
      </c>
    </row>
    <row r="125" ht="15.0" customHeight="1" outlineLevel="1">
      <c r="A125" s="12" t="str">
        <f t="shared" si="41"/>
        <v>Renovations</v>
      </c>
      <c r="B125" s="7"/>
      <c r="C125" s="12"/>
      <c r="D125" s="12"/>
      <c r="E125" s="302">
        <f>'Expenses Summary'!K10/12</f>
        <v>0</v>
      </c>
      <c r="F125" s="302">
        <f t="shared" ref="F125:P125" si="44">E125</f>
        <v>0</v>
      </c>
      <c r="G125" s="302">
        <f t="shared" si="44"/>
        <v>0</v>
      </c>
      <c r="H125" s="302">
        <f t="shared" si="44"/>
        <v>0</v>
      </c>
      <c r="I125" s="302">
        <f t="shared" si="44"/>
        <v>0</v>
      </c>
      <c r="J125" s="302">
        <f t="shared" si="44"/>
        <v>0</v>
      </c>
      <c r="K125" s="302">
        <f t="shared" si="44"/>
        <v>0</v>
      </c>
      <c r="L125" s="302">
        <f t="shared" si="44"/>
        <v>0</v>
      </c>
      <c r="M125" s="302">
        <f t="shared" si="44"/>
        <v>0</v>
      </c>
      <c r="N125" s="302">
        <f t="shared" si="44"/>
        <v>0</v>
      </c>
      <c r="O125" s="302">
        <f t="shared" si="44"/>
        <v>0</v>
      </c>
      <c r="P125" s="302">
        <f t="shared" si="44"/>
        <v>0</v>
      </c>
      <c r="Q125" s="399">
        <f t="shared" si="43"/>
        <v>0</v>
      </c>
    </row>
    <row r="126" ht="15.0" customHeight="1" outlineLevel="1">
      <c r="A126" s="12" t="str">
        <f t="shared" si="41"/>
        <v>Equipment Leasing</v>
      </c>
      <c r="B126" s="7"/>
      <c r="C126" s="12"/>
      <c r="D126" s="12"/>
      <c r="E126" s="302">
        <f>'Expenses Summary'!K11/12</f>
        <v>0</v>
      </c>
      <c r="F126" s="302">
        <f t="shared" ref="F126:P126" si="45">E126</f>
        <v>0</v>
      </c>
      <c r="G126" s="302">
        <f t="shared" si="45"/>
        <v>0</v>
      </c>
      <c r="H126" s="302">
        <f t="shared" si="45"/>
        <v>0</v>
      </c>
      <c r="I126" s="302">
        <f t="shared" si="45"/>
        <v>0</v>
      </c>
      <c r="J126" s="302">
        <f t="shared" si="45"/>
        <v>0</v>
      </c>
      <c r="K126" s="302">
        <f t="shared" si="45"/>
        <v>0</v>
      </c>
      <c r="L126" s="302">
        <f t="shared" si="45"/>
        <v>0</v>
      </c>
      <c r="M126" s="302">
        <f t="shared" si="45"/>
        <v>0</v>
      </c>
      <c r="N126" s="302">
        <f t="shared" si="45"/>
        <v>0</v>
      </c>
      <c r="O126" s="302">
        <f t="shared" si="45"/>
        <v>0</v>
      </c>
      <c r="P126" s="302">
        <f t="shared" si="45"/>
        <v>0</v>
      </c>
      <c r="Q126" s="399">
        <f t="shared" si="43"/>
        <v>0</v>
      </c>
    </row>
    <row r="127" ht="15.0" customHeight="1" outlineLevel="1">
      <c r="A127" s="12" t="str">
        <f t="shared" si="41"/>
        <v>Fixtures Leasing</v>
      </c>
      <c r="B127" s="7"/>
      <c r="C127" s="12"/>
      <c r="D127" s="12"/>
      <c r="E127" s="302">
        <f>'Expenses Summary'!K12/12</f>
        <v>0</v>
      </c>
      <c r="F127" s="302">
        <f t="shared" ref="F127:P127" si="46">E127</f>
        <v>0</v>
      </c>
      <c r="G127" s="302">
        <f t="shared" si="46"/>
        <v>0</v>
      </c>
      <c r="H127" s="302">
        <f t="shared" si="46"/>
        <v>0</v>
      </c>
      <c r="I127" s="302">
        <f t="shared" si="46"/>
        <v>0</v>
      </c>
      <c r="J127" s="302">
        <f t="shared" si="46"/>
        <v>0</v>
      </c>
      <c r="K127" s="302">
        <f t="shared" si="46"/>
        <v>0</v>
      </c>
      <c r="L127" s="302">
        <f t="shared" si="46"/>
        <v>0</v>
      </c>
      <c r="M127" s="302">
        <f t="shared" si="46"/>
        <v>0</v>
      </c>
      <c r="N127" s="302">
        <f t="shared" si="46"/>
        <v>0</v>
      </c>
      <c r="O127" s="302">
        <f t="shared" si="46"/>
        <v>0</v>
      </c>
      <c r="P127" s="302">
        <f t="shared" si="46"/>
        <v>0</v>
      </c>
      <c r="Q127" s="399">
        <f t="shared" si="43"/>
        <v>0</v>
      </c>
    </row>
    <row r="128" ht="15.0" customHeight="1" outlineLevel="1">
      <c r="A128" s="12" t="str">
        <f t="shared" si="41"/>
        <v>Furniture Rental/Leasing</v>
      </c>
      <c r="B128" s="7"/>
      <c r="C128" s="12"/>
      <c r="D128" s="12"/>
      <c r="E128" s="302">
        <f>'Expenses Summary'!K13/12</f>
        <v>0</v>
      </c>
      <c r="F128" s="302">
        <f t="shared" ref="F128:P128" si="47">E128</f>
        <v>0</v>
      </c>
      <c r="G128" s="302">
        <f t="shared" si="47"/>
        <v>0</v>
      </c>
      <c r="H128" s="302">
        <f t="shared" si="47"/>
        <v>0</v>
      </c>
      <c r="I128" s="302">
        <f t="shared" si="47"/>
        <v>0</v>
      </c>
      <c r="J128" s="302">
        <f t="shared" si="47"/>
        <v>0</v>
      </c>
      <c r="K128" s="302">
        <f t="shared" si="47"/>
        <v>0</v>
      </c>
      <c r="L128" s="302">
        <f t="shared" si="47"/>
        <v>0</v>
      </c>
      <c r="M128" s="302">
        <f t="shared" si="47"/>
        <v>0</v>
      </c>
      <c r="N128" s="302">
        <f t="shared" si="47"/>
        <v>0</v>
      </c>
      <c r="O128" s="302">
        <f t="shared" si="47"/>
        <v>0</v>
      </c>
      <c r="P128" s="302">
        <f t="shared" si="47"/>
        <v>0</v>
      </c>
      <c r="Q128" s="399">
        <f t="shared" si="43"/>
        <v>0</v>
      </c>
    </row>
    <row r="129" ht="15.0" customHeight="1" outlineLevel="1">
      <c r="A129" s="12" t="str">
        <f t="shared" si="41"/>
        <v>Vehicles Leasing &amp; Other Expenses</v>
      </c>
      <c r="B129" s="7"/>
      <c r="C129" s="12"/>
      <c r="D129" s="12"/>
      <c r="E129" s="302">
        <f>'Expenses Summary'!K14/12</f>
        <v>0</v>
      </c>
      <c r="F129" s="302">
        <f t="shared" ref="F129:P129" si="48">E129</f>
        <v>0</v>
      </c>
      <c r="G129" s="302">
        <f t="shared" si="48"/>
        <v>0</v>
      </c>
      <c r="H129" s="302">
        <f t="shared" si="48"/>
        <v>0</v>
      </c>
      <c r="I129" s="302">
        <f t="shared" si="48"/>
        <v>0</v>
      </c>
      <c r="J129" s="302">
        <f t="shared" si="48"/>
        <v>0</v>
      </c>
      <c r="K129" s="302">
        <f t="shared" si="48"/>
        <v>0</v>
      </c>
      <c r="L129" s="302">
        <f t="shared" si="48"/>
        <v>0</v>
      </c>
      <c r="M129" s="302">
        <f t="shared" si="48"/>
        <v>0</v>
      </c>
      <c r="N129" s="302">
        <f t="shared" si="48"/>
        <v>0</v>
      </c>
      <c r="O129" s="302">
        <f t="shared" si="48"/>
        <v>0</v>
      </c>
      <c r="P129" s="302">
        <f t="shared" si="48"/>
        <v>0</v>
      </c>
      <c r="Q129" s="399">
        <f t="shared" si="43"/>
        <v>0</v>
      </c>
    </row>
    <row r="130" ht="15.0" customHeight="1" outlineLevel="1">
      <c r="A130" s="12" t="str">
        <f t="shared" si="41"/>
        <v>Mileage</v>
      </c>
      <c r="B130" s="7"/>
      <c r="C130" s="12"/>
      <c r="D130" s="12"/>
      <c r="E130" s="302">
        <f>'Expenses Summary'!K15/12</f>
        <v>0</v>
      </c>
      <c r="F130" s="302">
        <f t="shared" ref="F130:P130" si="49">E130</f>
        <v>0</v>
      </c>
      <c r="G130" s="302">
        <f t="shared" si="49"/>
        <v>0</v>
      </c>
      <c r="H130" s="302">
        <f t="shared" si="49"/>
        <v>0</v>
      </c>
      <c r="I130" s="302">
        <f t="shared" si="49"/>
        <v>0</v>
      </c>
      <c r="J130" s="302">
        <f t="shared" si="49"/>
        <v>0</v>
      </c>
      <c r="K130" s="302">
        <f t="shared" si="49"/>
        <v>0</v>
      </c>
      <c r="L130" s="302">
        <f t="shared" si="49"/>
        <v>0</v>
      </c>
      <c r="M130" s="302">
        <f t="shared" si="49"/>
        <v>0</v>
      </c>
      <c r="N130" s="302">
        <f t="shared" si="49"/>
        <v>0</v>
      </c>
      <c r="O130" s="302">
        <f t="shared" si="49"/>
        <v>0</v>
      </c>
      <c r="P130" s="302">
        <f t="shared" si="49"/>
        <v>0</v>
      </c>
      <c r="Q130" s="399">
        <f t="shared" si="43"/>
        <v>0</v>
      </c>
    </row>
    <row r="131" ht="15.0" customHeight="1" outlineLevel="1">
      <c r="A131" s="12" t="str">
        <f t="shared" si="41"/>
        <v>Utilities</v>
      </c>
      <c r="B131" s="7"/>
      <c r="C131" s="12"/>
      <c r="D131" s="12"/>
      <c r="E131" s="302">
        <f>'Expenses Summary'!K16/12</f>
        <v>0</v>
      </c>
      <c r="F131" s="302">
        <f t="shared" ref="F131:P131" si="50">E131</f>
        <v>0</v>
      </c>
      <c r="G131" s="302">
        <f t="shared" si="50"/>
        <v>0</v>
      </c>
      <c r="H131" s="302">
        <f t="shared" si="50"/>
        <v>0</v>
      </c>
      <c r="I131" s="302">
        <f t="shared" si="50"/>
        <v>0</v>
      </c>
      <c r="J131" s="302">
        <f t="shared" si="50"/>
        <v>0</v>
      </c>
      <c r="K131" s="302">
        <f t="shared" si="50"/>
        <v>0</v>
      </c>
      <c r="L131" s="302">
        <f t="shared" si="50"/>
        <v>0</v>
      </c>
      <c r="M131" s="302">
        <f t="shared" si="50"/>
        <v>0</v>
      </c>
      <c r="N131" s="302">
        <f t="shared" si="50"/>
        <v>0</v>
      </c>
      <c r="O131" s="302">
        <f t="shared" si="50"/>
        <v>0</v>
      </c>
      <c r="P131" s="302">
        <f t="shared" si="50"/>
        <v>0</v>
      </c>
      <c r="Q131" s="399">
        <f t="shared" si="43"/>
        <v>0</v>
      </c>
    </row>
    <row r="132" ht="15.0" customHeight="1" outlineLevel="1">
      <c r="A132" s="12" t="str">
        <f t="shared" si="41"/>
        <v>Telephone</v>
      </c>
      <c r="B132" s="7"/>
      <c r="C132" s="12"/>
      <c r="D132" s="12"/>
      <c r="E132" s="302">
        <f>'Expenses Summary'!K17/12</f>
        <v>262.5</v>
      </c>
      <c r="F132" s="302">
        <f t="shared" ref="F132:P132" si="51">E132</f>
        <v>262.5</v>
      </c>
      <c r="G132" s="302">
        <f t="shared" si="51"/>
        <v>262.5</v>
      </c>
      <c r="H132" s="302">
        <f t="shared" si="51"/>
        <v>262.5</v>
      </c>
      <c r="I132" s="302">
        <f t="shared" si="51"/>
        <v>262.5</v>
      </c>
      <c r="J132" s="302">
        <f t="shared" si="51"/>
        <v>262.5</v>
      </c>
      <c r="K132" s="302">
        <f t="shared" si="51"/>
        <v>262.5</v>
      </c>
      <c r="L132" s="302">
        <f t="shared" si="51"/>
        <v>262.5</v>
      </c>
      <c r="M132" s="302">
        <f t="shared" si="51"/>
        <v>262.5</v>
      </c>
      <c r="N132" s="302">
        <f t="shared" si="51"/>
        <v>262.5</v>
      </c>
      <c r="O132" s="302">
        <f t="shared" si="51"/>
        <v>262.5</v>
      </c>
      <c r="P132" s="302">
        <f t="shared" si="51"/>
        <v>262.5</v>
      </c>
      <c r="Q132" s="399">
        <f t="shared" si="43"/>
        <v>3150</v>
      </c>
    </row>
    <row r="133" ht="15.0" customHeight="1" outlineLevel="1">
      <c r="A133" s="12" t="str">
        <f t="shared" si="41"/>
        <v>Insurance</v>
      </c>
      <c r="B133" s="7"/>
      <c r="C133" s="12"/>
      <c r="D133" s="12"/>
      <c r="E133" s="302">
        <f>'Expenses Summary'!K18/12</f>
        <v>1050</v>
      </c>
      <c r="F133" s="302">
        <f t="shared" ref="F133:P133" si="52">E133</f>
        <v>1050</v>
      </c>
      <c r="G133" s="302">
        <f t="shared" si="52"/>
        <v>1050</v>
      </c>
      <c r="H133" s="302">
        <f t="shared" si="52"/>
        <v>1050</v>
      </c>
      <c r="I133" s="302">
        <f t="shared" si="52"/>
        <v>1050</v>
      </c>
      <c r="J133" s="302">
        <f t="shared" si="52"/>
        <v>1050</v>
      </c>
      <c r="K133" s="302">
        <f t="shared" si="52"/>
        <v>1050</v>
      </c>
      <c r="L133" s="302">
        <f t="shared" si="52"/>
        <v>1050</v>
      </c>
      <c r="M133" s="302">
        <f t="shared" si="52"/>
        <v>1050</v>
      </c>
      <c r="N133" s="302">
        <f t="shared" si="52"/>
        <v>1050</v>
      </c>
      <c r="O133" s="302">
        <f t="shared" si="52"/>
        <v>1050</v>
      </c>
      <c r="P133" s="302">
        <f t="shared" si="52"/>
        <v>1050</v>
      </c>
      <c r="Q133" s="399">
        <f t="shared" si="43"/>
        <v>12600</v>
      </c>
    </row>
    <row r="134" ht="15.0" customHeight="1" outlineLevel="1">
      <c r="A134" s="12" t="str">
        <f t="shared" si="41"/>
        <v>Licenses</v>
      </c>
      <c r="B134" s="7"/>
      <c r="C134" s="12"/>
      <c r="D134" s="12"/>
      <c r="E134" s="302">
        <f>'Expenses Summary'!K19/12</f>
        <v>0</v>
      </c>
      <c r="F134" s="302">
        <f t="shared" ref="F134:P134" si="53">E134</f>
        <v>0</v>
      </c>
      <c r="G134" s="302">
        <f t="shared" si="53"/>
        <v>0</v>
      </c>
      <c r="H134" s="302">
        <f t="shared" si="53"/>
        <v>0</v>
      </c>
      <c r="I134" s="302">
        <f t="shared" si="53"/>
        <v>0</v>
      </c>
      <c r="J134" s="302">
        <f t="shared" si="53"/>
        <v>0</v>
      </c>
      <c r="K134" s="302">
        <f t="shared" si="53"/>
        <v>0</v>
      </c>
      <c r="L134" s="302">
        <f t="shared" si="53"/>
        <v>0</v>
      </c>
      <c r="M134" s="302">
        <f t="shared" si="53"/>
        <v>0</v>
      </c>
      <c r="N134" s="302">
        <f t="shared" si="53"/>
        <v>0</v>
      </c>
      <c r="O134" s="302">
        <f t="shared" si="53"/>
        <v>0</v>
      </c>
      <c r="P134" s="302">
        <f t="shared" si="53"/>
        <v>0</v>
      </c>
      <c r="Q134" s="399">
        <f t="shared" si="43"/>
        <v>0</v>
      </c>
    </row>
    <row r="135" ht="15.0" customHeight="1" outlineLevel="1">
      <c r="A135" s="12" t="str">
        <f t="shared" si="41"/>
        <v>Bank or Merchant Fees</v>
      </c>
      <c r="B135" s="7"/>
      <c r="C135" s="12"/>
      <c r="D135" s="12"/>
      <c r="E135" s="302">
        <f>'Expenses Summary'!K20/12</f>
        <v>0</v>
      </c>
      <c r="F135" s="302">
        <f t="shared" ref="F135:P135" si="54">E135</f>
        <v>0</v>
      </c>
      <c r="G135" s="302">
        <f t="shared" si="54"/>
        <v>0</v>
      </c>
      <c r="H135" s="302">
        <f t="shared" si="54"/>
        <v>0</v>
      </c>
      <c r="I135" s="302">
        <f t="shared" si="54"/>
        <v>0</v>
      </c>
      <c r="J135" s="302">
        <f t="shared" si="54"/>
        <v>0</v>
      </c>
      <c r="K135" s="302">
        <f t="shared" si="54"/>
        <v>0</v>
      </c>
      <c r="L135" s="302">
        <f t="shared" si="54"/>
        <v>0</v>
      </c>
      <c r="M135" s="302">
        <f t="shared" si="54"/>
        <v>0</v>
      </c>
      <c r="N135" s="302">
        <f t="shared" si="54"/>
        <v>0</v>
      </c>
      <c r="O135" s="302">
        <f t="shared" si="54"/>
        <v>0</v>
      </c>
      <c r="P135" s="302">
        <f t="shared" si="54"/>
        <v>0</v>
      </c>
      <c r="Q135" s="399">
        <f t="shared" si="43"/>
        <v>0</v>
      </c>
    </row>
    <row r="136" ht="15.0" customHeight="1" outlineLevel="1">
      <c r="A136" s="12" t="str">
        <f t="shared" si="41"/>
        <v>Web Maintenance</v>
      </c>
      <c r="B136" s="7"/>
      <c r="C136" s="12"/>
      <c r="D136" s="12"/>
      <c r="E136" s="302">
        <f>'Expenses Summary'!K21/12</f>
        <v>0</v>
      </c>
      <c r="F136" s="302">
        <f t="shared" ref="F136:P136" si="55">E136</f>
        <v>0</v>
      </c>
      <c r="G136" s="302">
        <f t="shared" si="55"/>
        <v>0</v>
      </c>
      <c r="H136" s="302">
        <f t="shared" si="55"/>
        <v>0</v>
      </c>
      <c r="I136" s="302">
        <f t="shared" si="55"/>
        <v>0</v>
      </c>
      <c r="J136" s="302">
        <f t="shared" si="55"/>
        <v>0</v>
      </c>
      <c r="K136" s="302">
        <f t="shared" si="55"/>
        <v>0</v>
      </c>
      <c r="L136" s="302">
        <f t="shared" si="55"/>
        <v>0</v>
      </c>
      <c r="M136" s="302">
        <f t="shared" si="55"/>
        <v>0</v>
      </c>
      <c r="N136" s="302">
        <f t="shared" si="55"/>
        <v>0</v>
      </c>
      <c r="O136" s="302">
        <f t="shared" si="55"/>
        <v>0</v>
      </c>
      <c r="P136" s="302">
        <f t="shared" si="55"/>
        <v>0</v>
      </c>
      <c r="Q136" s="399">
        <f t="shared" si="43"/>
        <v>0</v>
      </c>
    </row>
    <row r="137" ht="15.0" customHeight="1" outlineLevel="1">
      <c r="A137" s="12" t="str">
        <f t="shared" si="41"/>
        <v>Web Hosting</v>
      </c>
      <c r="B137" s="7"/>
      <c r="C137" s="12"/>
      <c r="D137" s="12"/>
      <c r="E137" s="302">
        <f>'Expenses Summary'!K22/12</f>
        <v>52.5</v>
      </c>
      <c r="F137" s="302">
        <f t="shared" ref="F137:P137" si="56">E137</f>
        <v>52.5</v>
      </c>
      <c r="G137" s="302">
        <f t="shared" si="56"/>
        <v>52.5</v>
      </c>
      <c r="H137" s="302">
        <f t="shared" si="56"/>
        <v>52.5</v>
      </c>
      <c r="I137" s="302">
        <f t="shared" si="56"/>
        <v>52.5</v>
      </c>
      <c r="J137" s="302">
        <f t="shared" si="56"/>
        <v>52.5</v>
      </c>
      <c r="K137" s="302">
        <f t="shared" si="56"/>
        <v>52.5</v>
      </c>
      <c r="L137" s="302">
        <f t="shared" si="56"/>
        <v>52.5</v>
      </c>
      <c r="M137" s="302">
        <f t="shared" si="56"/>
        <v>52.5</v>
      </c>
      <c r="N137" s="302">
        <f t="shared" si="56"/>
        <v>52.5</v>
      </c>
      <c r="O137" s="302">
        <f t="shared" si="56"/>
        <v>52.5</v>
      </c>
      <c r="P137" s="302">
        <f t="shared" si="56"/>
        <v>52.5</v>
      </c>
      <c r="Q137" s="399">
        <f t="shared" si="43"/>
        <v>630</v>
      </c>
    </row>
    <row r="138" ht="15.0" customHeight="1" outlineLevel="1">
      <c r="A138" s="12" t="str">
        <f t="shared" si="41"/>
        <v>Software</v>
      </c>
      <c r="B138" s="7"/>
      <c r="C138" s="12"/>
      <c r="D138" s="12"/>
      <c r="E138" s="302">
        <f>'Expenses Summary'!K23/12</f>
        <v>0</v>
      </c>
      <c r="F138" s="302">
        <f t="shared" ref="F138:P138" si="57">E138</f>
        <v>0</v>
      </c>
      <c r="G138" s="302">
        <f t="shared" si="57"/>
        <v>0</v>
      </c>
      <c r="H138" s="302">
        <f t="shared" si="57"/>
        <v>0</v>
      </c>
      <c r="I138" s="302">
        <f t="shared" si="57"/>
        <v>0</v>
      </c>
      <c r="J138" s="302">
        <f t="shared" si="57"/>
        <v>0</v>
      </c>
      <c r="K138" s="302">
        <f t="shared" si="57"/>
        <v>0</v>
      </c>
      <c r="L138" s="302">
        <f t="shared" si="57"/>
        <v>0</v>
      </c>
      <c r="M138" s="302">
        <f t="shared" si="57"/>
        <v>0</v>
      </c>
      <c r="N138" s="302">
        <f t="shared" si="57"/>
        <v>0</v>
      </c>
      <c r="O138" s="302">
        <f t="shared" si="57"/>
        <v>0</v>
      </c>
      <c r="P138" s="302">
        <f t="shared" si="57"/>
        <v>0</v>
      </c>
      <c r="Q138" s="399">
        <f t="shared" si="43"/>
        <v>0</v>
      </c>
    </row>
    <row r="139" ht="15.0" customHeight="1" outlineLevel="1">
      <c r="A139" s="12" t="str">
        <f t="shared" si="41"/>
        <v>Postage</v>
      </c>
      <c r="B139" s="7"/>
      <c r="C139" s="12"/>
      <c r="D139" s="12"/>
      <c r="E139" s="302">
        <f>'Expenses Summary'!K24/12</f>
        <v>157.5</v>
      </c>
      <c r="F139" s="302">
        <f t="shared" ref="F139:P139" si="58">E139</f>
        <v>157.5</v>
      </c>
      <c r="G139" s="302">
        <f t="shared" si="58"/>
        <v>157.5</v>
      </c>
      <c r="H139" s="302">
        <f t="shared" si="58"/>
        <v>157.5</v>
      </c>
      <c r="I139" s="302">
        <f t="shared" si="58"/>
        <v>157.5</v>
      </c>
      <c r="J139" s="302">
        <f t="shared" si="58"/>
        <v>157.5</v>
      </c>
      <c r="K139" s="302">
        <f t="shared" si="58"/>
        <v>157.5</v>
      </c>
      <c r="L139" s="302">
        <f t="shared" si="58"/>
        <v>157.5</v>
      </c>
      <c r="M139" s="302">
        <f t="shared" si="58"/>
        <v>157.5</v>
      </c>
      <c r="N139" s="302">
        <f t="shared" si="58"/>
        <v>157.5</v>
      </c>
      <c r="O139" s="302">
        <f t="shared" si="58"/>
        <v>157.5</v>
      </c>
      <c r="P139" s="302">
        <f t="shared" si="58"/>
        <v>157.5</v>
      </c>
      <c r="Q139" s="399">
        <f t="shared" si="43"/>
        <v>1890</v>
      </c>
    </row>
    <row r="140" ht="15.0" customHeight="1" outlineLevel="1">
      <c r="A140" s="12" t="str">
        <f t="shared" si="41"/>
        <v>Marketing</v>
      </c>
      <c r="B140" s="7"/>
      <c r="C140" s="12"/>
      <c r="D140" s="12"/>
      <c r="E140" s="302">
        <f>'Expenses Summary'!K25/12</f>
        <v>262.5</v>
      </c>
      <c r="F140" s="302">
        <f t="shared" ref="F140:P140" si="59">E140</f>
        <v>262.5</v>
      </c>
      <c r="G140" s="302">
        <f t="shared" si="59"/>
        <v>262.5</v>
      </c>
      <c r="H140" s="302">
        <f t="shared" si="59"/>
        <v>262.5</v>
      </c>
      <c r="I140" s="302">
        <f t="shared" si="59"/>
        <v>262.5</v>
      </c>
      <c r="J140" s="302">
        <f t="shared" si="59"/>
        <v>262.5</v>
      </c>
      <c r="K140" s="302">
        <f t="shared" si="59"/>
        <v>262.5</v>
      </c>
      <c r="L140" s="302">
        <f t="shared" si="59"/>
        <v>262.5</v>
      </c>
      <c r="M140" s="302">
        <f t="shared" si="59"/>
        <v>262.5</v>
      </c>
      <c r="N140" s="302">
        <f t="shared" si="59"/>
        <v>262.5</v>
      </c>
      <c r="O140" s="302">
        <f t="shared" si="59"/>
        <v>262.5</v>
      </c>
      <c r="P140" s="302">
        <f t="shared" si="59"/>
        <v>262.5</v>
      </c>
      <c r="Q140" s="399">
        <f t="shared" si="43"/>
        <v>3150</v>
      </c>
    </row>
    <row r="141" ht="15.0" customHeight="1" outlineLevel="1">
      <c r="A141" s="12" t="str">
        <f t="shared" si="41"/>
        <v>Professional Fees</v>
      </c>
      <c r="B141" s="7"/>
      <c r="C141" s="12"/>
      <c r="D141" s="12"/>
      <c r="E141" s="302">
        <f>'Expenses Summary'!K26/12</f>
        <v>0</v>
      </c>
      <c r="F141" s="302">
        <f t="shared" ref="F141:P141" si="60">E141</f>
        <v>0</v>
      </c>
      <c r="G141" s="302">
        <f t="shared" si="60"/>
        <v>0</v>
      </c>
      <c r="H141" s="302">
        <f t="shared" si="60"/>
        <v>0</v>
      </c>
      <c r="I141" s="302">
        <f t="shared" si="60"/>
        <v>0</v>
      </c>
      <c r="J141" s="302">
        <f t="shared" si="60"/>
        <v>0</v>
      </c>
      <c r="K141" s="302">
        <f t="shared" si="60"/>
        <v>0</v>
      </c>
      <c r="L141" s="302">
        <f t="shared" si="60"/>
        <v>0</v>
      </c>
      <c r="M141" s="302">
        <f t="shared" si="60"/>
        <v>0</v>
      </c>
      <c r="N141" s="302">
        <f t="shared" si="60"/>
        <v>0</v>
      </c>
      <c r="O141" s="302">
        <f t="shared" si="60"/>
        <v>0</v>
      </c>
      <c r="P141" s="302">
        <f t="shared" si="60"/>
        <v>0</v>
      </c>
      <c r="Q141" s="399">
        <f t="shared" si="43"/>
        <v>0</v>
      </c>
    </row>
    <row r="142" ht="15.0" customHeight="1" outlineLevel="1">
      <c r="A142" s="12" t="str">
        <f t="shared" si="41"/>
        <v>Contract Labor</v>
      </c>
      <c r="B142" s="7"/>
      <c r="C142" s="12"/>
      <c r="D142" s="12"/>
      <c r="E142" s="302">
        <f>'Expenses Summary'!K27/12</f>
        <v>0</v>
      </c>
      <c r="F142" s="302">
        <f t="shared" ref="F142:P142" si="61">E142</f>
        <v>0</v>
      </c>
      <c r="G142" s="302">
        <f t="shared" si="61"/>
        <v>0</v>
      </c>
      <c r="H142" s="302">
        <f t="shared" si="61"/>
        <v>0</v>
      </c>
      <c r="I142" s="302">
        <f t="shared" si="61"/>
        <v>0</v>
      </c>
      <c r="J142" s="302">
        <f t="shared" si="61"/>
        <v>0</v>
      </c>
      <c r="K142" s="302">
        <f t="shared" si="61"/>
        <v>0</v>
      </c>
      <c r="L142" s="302">
        <f t="shared" si="61"/>
        <v>0</v>
      </c>
      <c r="M142" s="302">
        <f t="shared" si="61"/>
        <v>0</v>
      </c>
      <c r="N142" s="302">
        <f t="shared" si="61"/>
        <v>0</v>
      </c>
      <c r="O142" s="302">
        <f t="shared" si="61"/>
        <v>0</v>
      </c>
      <c r="P142" s="302">
        <f t="shared" si="61"/>
        <v>0</v>
      </c>
      <c r="Q142" s="399">
        <f t="shared" si="43"/>
        <v>0</v>
      </c>
    </row>
    <row r="143" ht="15.0" customHeight="1" outlineLevel="1">
      <c r="A143" s="12" t="str">
        <f t="shared" si="41"/>
        <v>Sales</v>
      </c>
      <c r="B143" s="7"/>
      <c r="C143" s="12"/>
      <c r="D143" s="12"/>
      <c r="E143" s="302">
        <f>'Expenses Summary'!K28/12</f>
        <v>0</v>
      </c>
      <c r="F143" s="302">
        <f t="shared" ref="F143:P143" si="62">E143</f>
        <v>0</v>
      </c>
      <c r="G143" s="302">
        <f t="shared" si="62"/>
        <v>0</v>
      </c>
      <c r="H143" s="302">
        <f t="shared" si="62"/>
        <v>0</v>
      </c>
      <c r="I143" s="302">
        <f t="shared" si="62"/>
        <v>0</v>
      </c>
      <c r="J143" s="302">
        <f t="shared" si="62"/>
        <v>0</v>
      </c>
      <c r="K143" s="302">
        <f t="shared" si="62"/>
        <v>0</v>
      </c>
      <c r="L143" s="302">
        <f t="shared" si="62"/>
        <v>0</v>
      </c>
      <c r="M143" s="302">
        <f t="shared" si="62"/>
        <v>0</v>
      </c>
      <c r="N143" s="302">
        <f t="shared" si="62"/>
        <v>0</v>
      </c>
      <c r="O143" s="302">
        <f t="shared" si="62"/>
        <v>0</v>
      </c>
      <c r="P143" s="302">
        <f t="shared" si="62"/>
        <v>0</v>
      </c>
      <c r="Q143" s="399">
        <f t="shared" si="43"/>
        <v>0</v>
      </c>
    </row>
    <row r="144" ht="15.0" customHeight="1" outlineLevel="1">
      <c r="A144" s="12" t="str">
        <f t="shared" si="41"/>
        <v>Travel</v>
      </c>
      <c r="B144" s="7"/>
      <c r="C144" s="12"/>
      <c r="D144" s="12"/>
      <c r="E144" s="302">
        <f>'Expenses Summary'!K29/12</f>
        <v>262.5</v>
      </c>
      <c r="F144" s="302">
        <f t="shared" ref="F144:P144" si="63">E144</f>
        <v>262.5</v>
      </c>
      <c r="G144" s="302">
        <f t="shared" si="63"/>
        <v>262.5</v>
      </c>
      <c r="H144" s="302">
        <f t="shared" si="63"/>
        <v>262.5</v>
      </c>
      <c r="I144" s="302">
        <f t="shared" si="63"/>
        <v>262.5</v>
      </c>
      <c r="J144" s="302">
        <f t="shared" si="63"/>
        <v>262.5</v>
      </c>
      <c r="K144" s="302">
        <f t="shared" si="63"/>
        <v>262.5</v>
      </c>
      <c r="L144" s="302">
        <f t="shared" si="63"/>
        <v>262.5</v>
      </c>
      <c r="M144" s="302">
        <f t="shared" si="63"/>
        <v>262.5</v>
      </c>
      <c r="N144" s="302">
        <f t="shared" si="63"/>
        <v>262.5</v>
      </c>
      <c r="O144" s="302">
        <f t="shared" si="63"/>
        <v>262.5</v>
      </c>
      <c r="P144" s="302">
        <f t="shared" si="63"/>
        <v>262.5</v>
      </c>
      <c r="Q144" s="399">
        <f t="shared" si="43"/>
        <v>3150</v>
      </c>
    </row>
    <row r="145" ht="15.0" customHeight="1" outlineLevel="1">
      <c r="A145" s="12" t="str">
        <f t="shared" si="41"/>
        <v>Supplies</v>
      </c>
      <c r="B145" s="7"/>
      <c r="C145" s="12"/>
      <c r="D145" s="12"/>
      <c r="E145" s="302">
        <f>'Expenses Summary'!K30/12</f>
        <v>210</v>
      </c>
      <c r="F145" s="302">
        <f t="shared" ref="F145:P145" si="64">E145</f>
        <v>210</v>
      </c>
      <c r="G145" s="302">
        <f t="shared" si="64"/>
        <v>210</v>
      </c>
      <c r="H145" s="302">
        <f t="shared" si="64"/>
        <v>210</v>
      </c>
      <c r="I145" s="302">
        <f t="shared" si="64"/>
        <v>210</v>
      </c>
      <c r="J145" s="302">
        <f t="shared" si="64"/>
        <v>210</v>
      </c>
      <c r="K145" s="302">
        <f t="shared" si="64"/>
        <v>210</v>
      </c>
      <c r="L145" s="302">
        <f t="shared" si="64"/>
        <v>210</v>
      </c>
      <c r="M145" s="302">
        <f t="shared" si="64"/>
        <v>210</v>
      </c>
      <c r="N145" s="302">
        <f t="shared" si="64"/>
        <v>210</v>
      </c>
      <c r="O145" s="302">
        <f t="shared" si="64"/>
        <v>210</v>
      </c>
      <c r="P145" s="302">
        <f t="shared" si="64"/>
        <v>210</v>
      </c>
      <c r="Q145" s="399">
        <f t="shared" si="43"/>
        <v>2520</v>
      </c>
    </row>
    <row r="146" ht="15.0" customHeight="1" outlineLevel="1">
      <c r="A146" s="12" t="str">
        <f t="shared" si="41"/>
        <v>Petty Cash</v>
      </c>
      <c r="B146" s="7"/>
      <c r="C146" s="12"/>
      <c r="D146" s="12"/>
      <c r="E146" s="302">
        <f>'Expenses Summary'!K31/12</f>
        <v>0</v>
      </c>
      <c r="F146" s="302">
        <f t="shared" ref="F146:P146" si="65">E146</f>
        <v>0</v>
      </c>
      <c r="G146" s="302">
        <f t="shared" si="65"/>
        <v>0</v>
      </c>
      <c r="H146" s="302">
        <f t="shared" si="65"/>
        <v>0</v>
      </c>
      <c r="I146" s="302">
        <f t="shared" si="65"/>
        <v>0</v>
      </c>
      <c r="J146" s="302">
        <f t="shared" si="65"/>
        <v>0</v>
      </c>
      <c r="K146" s="302">
        <f t="shared" si="65"/>
        <v>0</v>
      </c>
      <c r="L146" s="302">
        <f t="shared" si="65"/>
        <v>0</v>
      </c>
      <c r="M146" s="302">
        <f t="shared" si="65"/>
        <v>0</v>
      </c>
      <c r="N146" s="302">
        <f t="shared" si="65"/>
        <v>0</v>
      </c>
      <c r="O146" s="302">
        <f t="shared" si="65"/>
        <v>0</v>
      </c>
      <c r="P146" s="302">
        <f t="shared" si="65"/>
        <v>0</v>
      </c>
      <c r="Q146" s="399">
        <f t="shared" si="43"/>
        <v>0</v>
      </c>
    </row>
    <row r="147" ht="15.0" customHeight="1" outlineLevel="1">
      <c r="A147" s="12" t="str">
        <f t="shared" si="41"/>
        <v>Dues_Subscriptions</v>
      </c>
      <c r="B147" s="7"/>
      <c r="C147" s="12"/>
      <c r="D147" s="12"/>
      <c r="E147" s="302">
        <f>'Expenses Summary'!K32/12</f>
        <v>0</v>
      </c>
      <c r="F147" s="302">
        <f t="shared" ref="F147:P147" si="66">E147</f>
        <v>0</v>
      </c>
      <c r="G147" s="302">
        <f t="shared" si="66"/>
        <v>0</v>
      </c>
      <c r="H147" s="302">
        <f t="shared" si="66"/>
        <v>0</v>
      </c>
      <c r="I147" s="302">
        <f t="shared" si="66"/>
        <v>0</v>
      </c>
      <c r="J147" s="302">
        <f t="shared" si="66"/>
        <v>0</v>
      </c>
      <c r="K147" s="302">
        <f t="shared" si="66"/>
        <v>0</v>
      </c>
      <c r="L147" s="302">
        <f t="shared" si="66"/>
        <v>0</v>
      </c>
      <c r="M147" s="302">
        <f t="shared" si="66"/>
        <v>0</v>
      </c>
      <c r="N147" s="302">
        <f t="shared" si="66"/>
        <v>0</v>
      </c>
      <c r="O147" s="302">
        <f t="shared" si="66"/>
        <v>0</v>
      </c>
      <c r="P147" s="302">
        <f t="shared" si="66"/>
        <v>0</v>
      </c>
      <c r="Q147" s="399">
        <f t="shared" si="43"/>
        <v>0</v>
      </c>
    </row>
    <row r="148" ht="15.0" customHeight="1" outlineLevel="1">
      <c r="A148" s="12" t="str">
        <f t="shared" si="41"/>
        <v>Networking &amp; Education Events</v>
      </c>
      <c r="B148" s="7"/>
      <c r="C148" s="12"/>
      <c r="D148" s="12"/>
      <c r="E148" s="302">
        <f>'Expenses Summary'!K33/12</f>
        <v>0</v>
      </c>
      <c r="F148" s="302">
        <f t="shared" ref="F148:P148" si="67">E148</f>
        <v>0</v>
      </c>
      <c r="G148" s="302">
        <f t="shared" si="67"/>
        <v>0</v>
      </c>
      <c r="H148" s="302">
        <f t="shared" si="67"/>
        <v>0</v>
      </c>
      <c r="I148" s="302">
        <f t="shared" si="67"/>
        <v>0</v>
      </c>
      <c r="J148" s="302">
        <f t="shared" si="67"/>
        <v>0</v>
      </c>
      <c r="K148" s="302">
        <f t="shared" si="67"/>
        <v>0</v>
      </c>
      <c r="L148" s="302">
        <f t="shared" si="67"/>
        <v>0</v>
      </c>
      <c r="M148" s="302">
        <f t="shared" si="67"/>
        <v>0</v>
      </c>
      <c r="N148" s="302">
        <f t="shared" si="67"/>
        <v>0</v>
      </c>
      <c r="O148" s="302">
        <f t="shared" si="67"/>
        <v>0</v>
      </c>
      <c r="P148" s="302">
        <f t="shared" si="67"/>
        <v>0</v>
      </c>
      <c r="Q148" s="399">
        <f t="shared" si="43"/>
        <v>0</v>
      </c>
    </row>
    <row r="149" ht="15.0" customHeight="1" outlineLevel="1">
      <c r="A149" s="12" t="str">
        <f t="shared" si="41"/>
        <v>Miscellaneous</v>
      </c>
      <c r="B149" s="7"/>
      <c r="C149" s="12"/>
      <c r="D149" s="12"/>
      <c r="E149" s="302">
        <f>'Expenses Summary'!K34/12</f>
        <v>0</v>
      </c>
      <c r="F149" s="302">
        <f t="shared" ref="F149:P149" si="68">E149</f>
        <v>0</v>
      </c>
      <c r="G149" s="302">
        <f t="shared" si="68"/>
        <v>0</v>
      </c>
      <c r="H149" s="302">
        <f t="shared" si="68"/>
        <v>0</v>
      </c>
      <c r="I149" s="302">
        <f t="shared" si="68"/>
        <v>0</v>
      </c>
      <c r="J149" s="302">
        <f t="shared" si="68"/>
        <v>0</v>
      </c>
      <c r="K149" s="302">
        <f t="shared" si="68"/>
        <v>0</v>
      </c>
      <c r="L149" s="302">
        <f t="shared" si="68"/>
        <v>0</v>
      </c>
      <c r="M149" s="302">
        <f t="shared" si="68"/>
        <v>0</v>
      </c>
      <c r="N149" s="302">
        <f t="shared" si="68"/>
        <v>0</v>
      </c>
      <c r="O149" s="302">
        <f t="shared" si="68"/>
        <v>0</v>
      </c>
      <c r="P149" s="302">
        <f t="shared" si="68"/>
        <v>0</v>
      </c>
      <c r="Q149" s="399">
        <f t="shared" si="43"/>
        <v>0</v>
      </c>
      <c r="R149" s="302">
        <f>'Expenses Summary'!$K$36/12</f>
        <v>0</v>
      </c>
    </row>
    <row r="150" ht="15.0" customHeight="1" outlineLevel="1">
      <c r="A150" s="12" t="str">
        <f t="shared" si="41"/>
        <v>Sales Tax Reserve</v>
      </c>
      <c r="B150" s="7"/>
      <c r="C150" s="12"/>
      <c r="D150" s="12"/>
      <c r="E150" s="302">
        <f>SUMIF($B$93:$B$100,"Yes",E93:E100)*SalesTax_Rate</f>
        <v>0</v>
      </c>
      <c r="F150" s="302">
        <f>SUMIF($B$93:$B$100,"Yes",F93:F100)*SalesTax_Rate</f>
        <v>0</v>
      </c>
      <c r="G150" s="302">
        <f>SUMIF($B$93:$B$100,"Yes",G93:G100)*SalesTax_Rate</f>
        <v>0</v>
      </c>
      <c r="H150" s="302">
        <f>SUMIF($B$93:$B$100,"Yes",H93:H100)*SalesTax_Rate</f>
        <v>0</v>
      </c>
      <c r="I150" s="302">
        <f>SUMIF($B$93:$B$100,"Yes",I93:I100)*SalesTax_Rate</f>
        <v>0</v>
      </c>
      <c r="J150" s="302">
        <f>SUMIF($B$93:$B$100,"Yes",J93:J100)*SalesTax_Rate</f>
        <v>0</v>
      </c>
      <c r="K150" s="302">
        <f>SUMIF($B$93:$B$100,"Yes",K93:K100)*SalesTax_Rate</f>
        <v>0</v>
      </c>
      <c r="L150" s="302">
        <f>SUMIF($B$93:$B$100,"Yes",L93:L100)*SalesTax_Rate</f>
        <v>0</v>
      </c>
      <c r="M150" s="302">
        <f>SUMIF($B$93:$B$100,"Yes",M93:M100)*SalesTax_Rate</f>
        <v>0</v>
      </c>
      <c r="N150" s="302">
        <f>SUMIF($B$93:$B$100,"Yes",N93:N100)*SalesTax_Rate</f>
        <v>0</v>
      </c>
      <c r="O150" s="302">
        <f>SUMIF($B$93:$B$100,"Yes",O93:O100)*SalesTax_Rate</f>
        <v>0</v>
      </c>
      <c r="P150" s="302">
        <f>SUMIF($B$93:$B$100,"Yes",P93:P100)*SalesTax_Rate</f>
        <v>0</v>
      </c>
      <c r="Q150" s="399">
        <f t="shared" si="43"/>
        <v>0</v>
      </c>
    </row>
    <row r="151" ht="15.0" customHeight="1" outlineLevel="1">
      <c r="A151" s="12" t="str">
        <f t="shared" si="41"/>
        <v>Discounts &amp; Refunds</v>
      </c>
      <c r="B151" s="7"/>
      <c r="C151" s="12"/>
      <c r="D151" s="12"/>
      <c r="E151" s="302">
        <f>'Expenses Summary'!K36/12</f>
        <v>0</v>
      </c>
      <c r="F151" s="302">
        <f t="shared" ref="F151:P151" si="69">E151</f>
        <v>0</v>
      </c>
      <c r="G151" s="302">
        <f t="shared" si="69"/>
        <v>0</v>
      </c>
      <c r="H151" s="302">
        <f t="shared" si="69"/>
        <v>0</v>
      </c>
      <c r="I151" s="302">
        <f t="shared" si="69"/>
        <v>0</v>
      </c>
      <c r="J151" s="302">
        <f t="shared" si="69"/>
        <v>0</v>
      </c>
      <c r="K151" s="302">
        <f t="shared" si="69"/>
        <v>0</v>
      </c>
      <c r="L151" s="302">
        <f t="shared" si="69"/>
        <v>0</v>
      </c>
      <c r="M151" s="302">
        <f t="shared" si="69"/>
        <v>0</v>
      </c>
      <c r="N151" s="302">
        <f t="shared" si="69"/>
        <v>0</v>
      </c>
      <c r="O151" s="302">
        <f t="shared" si="69"/>
        <v>0</v>
      </c>
      <c r="P151" s="302">
        <f t="shared" si="69"/>
        <v>0</v>
      </c>
      <c r="Q151" s="399">
        <f t="shared" si="43"/>
        <v>0</v>
      </c>
    </row>
    <row r="152" ht="15.0" customHeight="1" outlineLevel="1">
      <c r="A152" s="12" t="str">
        <f t="shared" si="41"/>
        <v>Sales Commission</v>
      </c>
      <c r="B152" s="7"/>
      <c r="C152" s="12"/>
      <c r="D152" s="12"/>
      <c r="E152" s="302">
        <f>'Expenses Summary'!K37/12</f>
        <v>0</v>
      </c>
      <c r="F152" s="302">
        <f t="shared" ref="F152:P152" si="70">E152</f>
        <v>0</v>
      </c>
      <c r="G152" s="302">
        <f t="shared" si="70"/>
        <v>0</v>
      </c>
      <c r="H152" s="302">
        <f t="shared" si="70"/>
        <v>0</v>
      </c>
      <c r="I152" s="302">
        <f t="shared" si="70"/>
        <v>0</v>
      </c>
      <c r="J152" s="302">
        <f t="shared" si="70"/>
        <v>0</v>
      </c>
      <c r="K152" s="302">
        <f t="shared" si="70"/>
        <v>0</v>
      </c>
      <c r="L152" s="302">
        <f t="shared" si="70"/>
        <v>0</v>
      </c>
      <c r="M152" s="302">
        <f t="shared" si="70"/>
        <v>0</v>
      </c>
      <c r="N152" s="302">
        <f t="shared" si="70"/>
        <v>0</v>
      </c>
      <c r="O152" s="302">
        <f t="shared" si="70"/>
        <v>0</v>
      </c>
      <c r="P152" s="302">
        <f t="shared" si="70"/>
        <v>0</v>
      </c>
      <c r="Q152" s="399">
        <f t="shared" si="43"/>
        <v>0</v>
      </c>
    </row>
    <row r="153" ht="15.0" customHeight="1" outlineLevel="1">
      <c r="A153" s="12" t="str">
        <f t="shared" si="41"/>
        <v>Merchant Fee Transactions</v>
      </c>
      <c r="B153" s="7"/>
      <c r="C153" s="12"/>
      <c r="D153" s="12"/>
      <c r="E153" s="302">
        <f>'Expenses Summary'!K38/12</f>
        <v>92.96875</v>
      </c>
      <c r="F153" s="302">
        <f t="shared" ref="F153:P153" si="71">E153</f>
        <v>92.96875</v>
      </c>
      <c r="G153" s="302">
        <f t="shared" si="71"/>
        <v>92.96875</v>
      </c>
      <c r="H153" s="302">
        <f t="shared" si="71"/>
        <v>92.96875</v>
      </c>
      <c r="I153" s="302">
        <f t="shared" si="71"/>
        <v>92.96875</v>
      </c>
      <c r="J153" s="302">
        <f t="shared" si="71"/>
        <v>92.96875</v>
      </c>
      <c r="K153" s="302">
        <f t="shared" si="71"/>
        <v>92.96875</v>
      </c>
      <c r="L153" s="302">
        <f t="shared" si="71"/>
        <v>92.96875</v>
      </c>
      <c r="M153" s="302">
        <f t="shared" si="71"/>
        <v>92.96875</v>
      </c>
      <c r="N153" s="302">
        <f t="shared" si="71"/>
        <v>92.96875</v>
      </c>
      <c r="O153" s="302">
        <f t="shared" si="71"/>
        <v>92.96875</v>
      </c>
      <c r="P153" s="302">
        <f t="shared" si="71"/>
        <v>92.96875</v>
      </c>
      <c r="Q153" s="399">
        <f t="shared" si="43"/>
        <v>1115.625</v>
      </c>
    </row>
    <row r="154" ht="15.0" customHeight="1" outlineLevel="1">
      <c r="A154" s="12" t="str">
        <f t="shared" si="41"/>
        <v>Customer Discounts/Refunds</v>
      </c>
      <c r="B154" s="7"/>
      <c r="C154" s="12"/>
      <c r="D154" s="12"/>
      <c r="E154" s="302">
        <f>'Expenses Summary'!K39/12</f>
        <v>92.96875</v>
      </c>
      <c r="F154" s="302">
        <f t="shared" ref="F154:P154" si="72">E154</f>
        <v>92.96875</v>
      </c>
      <c r="G154" s="302">
        <f t="shared" si="72"/>
        <v>92.96875</v>
      </c>
      <c r="H154" s="302">
        <f t="shared" si="72"/>
        <v>92.96875</v>
      </c>
      <c r="I154" s="302">
        <f t="shared" si="72"/>
        <v>92.96875</v>
      </c>
      <c r="J154" s="302">
        <f t="shared" si="72"/>
        <v>92.96875</v>
      </c>
      <c r="K154" s="302">
        <f t="shared" si="72"/>
        <v>92.96875</v>
      </c>
      <c r="L154" s="302">
        <f t="shared" si="72"/>
        <v>92.96875</v>
      </c>
      <c r="M154" s="302">
        <f t="shared" si="72"/>
        <v>92.96875</v>
      </c>
      <c r="N154" s="302">
        <f t="shared" si="72"/>
        <v>92.96875</v>
      </c>
      <c r="O154" s="302">
        <f t="shared" si="72"/>
        <v>92.96875</v>
      </c>
      <c r="P154" s="302">
        <f t="shared" si="72"/>
        <v>92.96875</v>
      </c>
      <c r="Q154" s="399">
        <f t="shared" si="43"/>
        <v>1115.625</v>
      </c>
    </row>
    <row r="155" ht="15.0" customHeight="1" outlineLevel="1">
      <c r="A155" s="12" t="str">
        <f t="shared" si="41"/>
        <v>Other</v>
      </c>
      <c r="B155" s="7"/>
      <c r="C155" s="12"/>
      <c r="D155" s="12"/>
      <c r="E155" s="302">
        <f>'Expenses Summary'!K40/12</f>
        <v>0</v>
      </c>
      <c r="F155" s="302">
        <f t="shared" ref="F155:P155" si="73">E155</f>
        <v>0</v>
      </c>
      <c r="G155" s="302">
        <f t="shared" si="73"/>
        <v>0</v>
      </c>
      <c r="H155" s="302">
        <f t="shared" si="73"/>
        <v>0</v>
      </c>
      <c r="I155" s="302">
        <f t="shared" si="73"/>
        <v>0</v>
      </c>
      <c r="J155" s="302">
        <f t="shared" si="73"/>
        <v>0</v>
      </c>
      <c r="K155" s="302">
        <f t="shared" si="73"/>
        <v>0</v>
      </c>
      <c r="L155" s="302">
        <f t="shared" si="73"/>
        <v>0</v>
      </c>
      <c r="M155" s="302">
        <f t="shared" si="73"/>
        <v>0</v>
      </c>
      <c r="N155" s="302">
        <f t="shared" si="73"/>
        <v>0</v>
      </c>
      <c r="O155" s="302">
        <f t="shared" si="73"/>
        <v>0</v>
      </c>
      <c r="P155" s="302">
        <f t="shared" si="73"/>
        <v>0</v>
      </c>
      <c r="Q155" s="399">
        <f t="shared" si="43"/>
        <v>0</v>
      </c>
    </row>
    <row r="156" ht="15.0" customHeight="1" outlineLevel="1">
      <c r="A156" s="12" t="str">
        <f t="shared" si="41"/>
        <v>Bad Debt</v>
      </c>
      <c r="B156" s="7"/>
      <c r="C156" s="12"/>
      <c r="D156" s="12"/>
      <c r="E156" s="302">
        <f>'Expenses Summary'!$H$41*E101</f>
        <v>74.375</v>
      </c>
      <c r="F156" s="302">
        <f>'Expenses Summary'!$H$41*F101</f>
        <v>74.375</v>
      </c>
      <c r="G156" s="302">
        <f>'Expenses Summary'!$H$41*G101</f>
        <v>74.375</v>
      </c>
      <c r="H156" s="302">
        <f>'Expenses Summary'!$H$41*H101</f>
        <v>74.375</v>
      </c>
      <c r="I156" s="302">
        <f>'Expenses Summary'!$H$41*I101</f>
        <v>74.375</v>
      </c>
      <c r="J156" s="302">
        <f>'Expenses Summary'!$H$41*J101</f>
        <v>74.375</v>
      </c>
      <c r="K156" s="302">
        <f>'Expenses Summary'!$H$41*K101</f>
        <v>74.375</v>
      </c>
      <c r="L156" s="302">
        <f>'Expenses Summary'!$H$41*L101</f>
        <v>74.375</v>
      </c>
      <c r="M156" s="302">
        <f>'Expenses Summary'!$H$41*M101</f>
        <v>74.375</v>
      </c>
      <c r="N156" s="302">
        <f>'Expenses Summary'!$H$41*N101</f>
        <v>74.375</v>
      </c>
      <c r="O156" s="302">
        <f>'Expenses Summary'!$H$41*O101</f>
        <v>74.375</v>
      </c>
      <c r="P156" s="302">
        <f>'Expenses Summary'!$H$41*P101</f>
        <v>74.375</v>
      </c>
      <c r="Q156" s="399">
        <f t="shared" si="43"/>
        <v>892.5</v>
      </c>
    </row>
    <row r="157" ht="15.0" customHeight="1" outlineLevel="1">
      <c r="A157" s="12" t="str">
        <f t="shared" si="41"/>
        <v>Other Operating Expenses</v>
      </c>
      <c r="B157" s="7"/>
      <c r="C157" s="12"/>
      <c r="D157" s="12"/>
      <c r="E157" s="302">
        <f>'Expenses Summary'!K42/12</f>
        <v>1050</v>
      </c>
      <c r="F157" s="302">
        <f t="shared" ref="F157:P157" si="74">E157</f>
        <v>1050</v>
      </c>
      <c r="G157" s="302">
        <f t="shared" si="74"/>
        <v>1050</v>
      </c>
      <c r="H157" s="302">
        <f t="shared" si="74"/>
        <v>1050</v>
      </c>
      <c r="I157" s="302">
        <f t="shared" si="74"/>
        <v>1050</v>
      </c>
      <c r="J157" s="302">
        <f t="shared" si="74"/>
        <v>1050</v>
      </c>
      <c r="K157" s="302">
        <f t="shared" si="74"/>
        <v>1050</v>
      </c>
      <c r="L157" s="302">
        <f t="shared" si="74"/>
        <v>1050</v>
      </c>
      <c r="M157" s="302">
        <f t="shared" si="74"/>
        <v>1050</v>
      </c>
      <c r="N157" s="302">
        <f t="shared" si="74"/>
        <v>1050</v>
      </c>
      <c r="O157" s="302">
        <f t="shared" si="74"/>
        <v>1050</v>
      </c>
      <c r="P157" s="302">
        <f t="shared" si="74"/>
        <v>1050</v>
      </c>
      <c r="Q157" s="399">
        <f t="shared" si="43"/>
        <v>12600</v>
      </c>
    </row>
    <row r="158" ht="15.75" customHeight="1" outlineLevel="1">
      <c r="A158" s="133" t="str">
        <f t="shared" si="41"/>
        <v>Total Operating Expenses</v>
      </c>
      <c r="B158" s="7"/>
      <c r="C158" s="12"/>
      <c r="D158" s="12"/>
      <c r="E158" s="321">
        <f t="shared" ref="E158:P158" si="75">SUM(E123:E157)</f>
        <v>3567.8125</v>
      </c>
      <c r="F158" s="321">
        <f t="shared" si="75"/>
        <v>3567.8125</v>
      </c>
      <c r="G158" s="321">
        <f t="shared" si="75"/>
        <v>3567.8125</v>
      </c>
      <c r="H158" s="321">
        <f t="shared" si="75"/>
        <v>3567.8125</v>
      </c>
      <c r="I158" s="321">
        <f t="shared" si="75"/>
        <v>3567.8125</v>
      </c>
      <c r="J158" s="321">
        <f t="shared" si="75"/>
        <v>3567.8125</v>
      </c>
      <c r="K158" s="321">
        <f t="shared" si="75"/>
        <v>3567.8125</v>
      </c>
      <c r="L158" s="321">
        <f t="shared" si="75"/>
        <v>3567.8125</v>
      </c>
      <c r="M158" s="321">
        <f t="shared" si="75"/>
        <v>3567.8125</v>
      </c>
      <c r="N158" s="321">
        <f t="shared" si="75"/>
        <v>3567.8125</v>
      </c>
      <c r="O158" s="321">
        <f t="shared" si="75"/>
        <v>3567.8125</v>
      </c>
      <c r="P158" s="321">
        <f t="shared" si="75"/>
        <v>3567.8125</v>
      </c>
      <c r="Q158" s="441">
        <f t="shared" si="43"/>
        <v>42813.75</v>
      </c>
    </row>
    <row r="159" ht="15.75" customHeight="1" outlineLevel="1">
      <c r="A159" s="12"/>
      <c r="B159" s="7"/>
      <c r="C159" s="12"/>
      <c r="D159" s="12"/>
      <c r="E159" s="12"/>
      <c r="F159" s="12"/>
      <c r="G159" s="12"/>
      <c r="H159" s="12"/>
      <c r="I159" s="12"/>
      <c r="J159" s="12"/>
      <c r="K159" s="12"/>
      <c r="L159" s="12"/>
      <c r="M159" s="12"/>
      <c r="N159" s="12"/>
      <c r="O159" s="12"/>
      <c r="P159" s="12"/>
      <c r="Q159" s="25"/>
    </row>
    <row r="160" ht="15.75" customHeight="1" outlineLevel="1">
      <c r="A160" s="25" t="s">
        <v>449</v>
      </c>
      <c r="B160" s="7"/>
      <c r="C160" s="12"/>
      <c r="D160" s="12"/>
      <c r="E160" s="504">
        <f t="shared" ref="E160:Q160" si="76">E114-E120-E158</f>
        <v>2553.020833</v>
      </c>
      <c r="F160" s="504">
        <f t="shared" si="76"/>
        <v>2553.020833</v>
      </c>
      <c r="G160" s="504">
        <f t="shared" si="76"/>
        <v>2553.020833</v>
      </c>
      <c r="H160" s="504">
        <f t="shared" si="76"/>
        <v>2553.020833</v>
      </c>
      <c r="I160" s="504">
        <f t="shared" si="76"/>
        <v>2553.020833</v>
      </c>
      <c r="J160" s="504">
        <f t="shared" si="76"/>
        <v>2553.020833</v>
      </c>
      <c r="K160" s="504">
        <f t="shared" si="76"/>
        <v>2553.020833</v>
      </c>
      <c r="L160" s="504">
        <f t="shared" si="76"/>
        <v>2553.020833</v>
      </c>
      <c r="M160" s="504">
        <f t="shared" si="76"/>
        <v>2553.020833</v>
      </c>
      <c r="N160" s="504">
        <f t="shared" si="76"/>
        <v>2553.020833</v>
      </c>
      <c r="O160" s="504">
        <f t="shared" si="76"/>
        <v>2553.020833</v>
      </c>
      <c r="P160" s="504">
        <f t="shared" si="76"/>
        <v>2553.020833</v>
      </c>
      <c r="Q160" s="441">
        <f t="shared" si="76"/>
        <v>30636.25</v>
      </c>
    </row>
    <row r="161" ht="15.75" customHeight="1" outlineLevel="1">
      <c r="A161" s="25"/>
      <c r="B161" s="7"/>
      <c r="C161" s="12"/>
      <c r="D161" s="12"/>
      <c r="E161" s="12"/>
      <c r="F161" s="12"/>
      <c r="G161" s="12"/>
      <c r="H161" s="12"/>
      <c r="I161" s="12"/>
      <c r="J161" s="12"/>
      <c r="K161" s="12"/>
      <c r="L161" s="12"/>
      <c r="M161" s="12"/>
      <c r="N161" s="12"/>
      <c r="O161" s="12"/>
      <c r="P161" s="12"/>
      <c r="Q161" s="25"/>
    </row>
    <row r="162" ht="15.75" customHeight="1" outlineLevel="1">
      <c r="A162" s="434" t="s">
        <v>356</v>
      </c>
      <c r="B162" s="435"/>
      <c r="C162" s="436"/>
      <c r="D162" s="436"/>
      <c r="E162" s="436"/>
      <c r="F162" s="436"/>
      <c r="G162" s="436"/>
      <c r="H162" s="436"/>
      <c r="I162" s="436"/>
      <c r="J162" s="436"/>
      <c r="K162" s="436"/>
      <c r="L162" s="436"/>
      <c r="M162" s="436"/>
      <c r="N162" s="436"/>
      <c r="O162" s="436"/>
      <c r="P162" s="436"/>
      <c r="Q162" s="434"/>
      <c r="R162" s="436"/>
    </row>
    <row r="163" ht="15.75" customHeight="1" outlineLevel="1">
      <c r="A163" s="12" t="str">
        <f t="shared" ref="A163:B163" si="77">A77</f>
        <v>Amortization</v>
      </c>
      <c r="B163" s="134">
        <f t="shared" si="77"/>
        <v>0</v>
      </c>
      <c r="C163" s="12"/>
      <c r="D163" s="12"/>
      <c r="E163" s="67">
        <f>IF(E91&lt;Amoritziation_EndDate,$B$163,0)</f>
        <v>0</v>
      </c>
      <c r="F163" s="67">
        <f>IF(F91&lt;Amoritziation_EndDate,$B$163,0)</f>
        <v>0</v>
      </c>
      <c r="G163" s="67">
        <f>IF(G91&lt;Amoritziation_EndDate,$B$163,0)</f>
        <v>0</v>
      </c>
      <c r="H163" s="67">
        <f>IF(H91&lt;Amoritziation_EndDate,$B$163,0)</f>
        <v>0</v>
      </c>
      <c r="I163" s="67">
        <f>IF(I91&lt;Amoritziation_EndDate,$B$163,0)</f>
        <v>0</v>
      </c>
      <c r="J163" s="67">
        <f>IF(J91&lt;Amoritziation_EndDate,$B$163,0)</f>
        <v>0</v>
      </c>
      <c r="K163" s="67">
        <f>IF(K91&lt;Amoritziation_EndDate,$B$163,0)</f>
        <v>0</v>
      </c>
      <c r="L163" s="67">
        <f>IF(L91&lt;Amoritziation_EndDate,$B$163,0)</f>
        <v>0</v>
      </c>
      <c r="M163" s="67">
        <f>IF(M91&lt;Amoritziation_EndDate,$B$163,0)</f>
        <v>0</v>
      </c>
      <c r="N163" s="67">
        <f>IF(N91&lt;Amoritziation_EndDate,$B$163,0)</f>
        <v>0</v>
      </c>
      <c r="O163" s="67">
        <f>IF(O91&lt;Amoritziation_EndDate,$B$163,0)</f>
        <v>0</v>
      </c>
      <c r="P163" s="67">
        <f>IF(P91&lt;Amoritziation_EndDate,$B$163,0)</f>
        <v>0</v>
      </c>
      <c r="Q163" s="438">
        <f t="shared" ref="Q163:Q166" si="78">SUM(E163:P163)</f>
        <v>0</v>
      </c>
      <c r="R163" s="12"/>
    </row>
    <row r="164" ht="15.0" customHeight="1" outlineLevel="1">
      <c r="A164" s="12" t="str">
        <f t="shared" ref="A164:A165" si="79">A78</f>
        <v>Depreciation</v>
      </c>
      <c r="B164" s="7"/>
      <c r="C164" s="12"/>
      <c r="D164" s="12"/>
      <c r="E164" s="302">
        <f>SUMIF(Deprec_EndDates,"&gt;"&amp;E91,Deprec_MonthlyAmt)</f>
        <v>0</v>
      </c>
      <c r="F164" s="302">
        <f>SUMIF(Deprec_EndDates,"&gt;"&amp;F91,Deprec_MonthlyAmt)</f>
        <v>0</v>
      </c>
      <c r="G164" s="302">
        <f>SUMIF(Deprec_EndDates,"&gt;"&amp;G91,Deprec_MonthlyAmt)</f>
        <v>0</v>
      </c>
      <c r="H164" s="302">
        <f>SUMIF(Deprec_EndDates,"&gt;"&amp;H91,Deprec_MonthlyAmt)</f>
        <v>0</v>
      </c>
      <c r="I164" s="302">
        <f>SUMIF(Deprec_EndDates,"&gt;"&amp;I91,Deprec_MonthlyAmt)</f>
        <v>0</v>
      </c>
      <c r="J164" s="302">
        <f>SUMIF(Deprec_EndDates,"&gt;"&amp;J91,Deprec_MonthlyAmt)</f>
        <v>0</v>
      </c>
      <c r="K164" s="302">
        <f>SUMIF(Deprec_EndDates,"&gt;"&amp;K91,Deprec_MonthlyAmt)</f>
        <v>0</v>
      </c>
      <c r="L164" s="302">
        <f>SUMIF(Deprec_EndDates,"&gt;"&amp;L91,Deprec_MonthlyAmt)</f>
        <v>0</v>
      </c>
      <c r="M164" s="302">
        <f>SUMIF(Deprec_EndDates,"&gt;"&amp;M91,Deprec_MonthlyAmt)</f>
        <v>0</v>
      </c>
      <c r="N164" s="302">
        <f>SUMIF(Deprec_EndDates,"&gt;"&amp;N91,Deprec_MonthlyAmt)</f>
        <v>0</v>
      </c>
      <c r="O164" s="302">
        <f>SUMIF(Deprec_EndDates,"&gt;"&amp;O91,Deprec_MonthlyAmt)</f>
        <v>0</v>
      </c>
      <c r="P164" s="302">
        <f>SUMIF(Deprec_EndDates,"&gt;"&amp;P91,Deprec_MonthlyAmt)</f>
        <v>0</v>
      </c>
      <c r="Q164" s="399">
        <f t="shared" si="78"/>
        <v>0</v>
      </c>
    </row>
    <row r="165" ht="15.0" customHeight="1" outlineLevel="1">
      <c r="A165" s="12" t="str">
        <f t="shared" si="79"/>
        <v>Interest Payments</v>
      </c>
      <c r="B165" s="7"/>
      <c r="C165" s="12"/>
      <c r="D165" s="12"/>
      <c r="E165" s="302">
        <f>'Loan Schedule'!C54</f>
        <v>0</v>
      </c>
      <c r="F165" s="302">
        <f>'Loan Schedule'!D54</f>
        <v>0</v>
      </c>
      <c r="G165" s="302">
        <f>'Loan Schedule'!E54</f>
        <v>0</v>
      </c>
      <c r="H165" s="302">
        <f>'Loan Schedule'!F54</f>
        <v>0</v>
      </c>
      <c r="I165" s="302">
        <f>'Loan Schedule'!G54</f>
        <v>0</v>
      </c>
      <c r="J165" s="302">
        <f>'Loan Schedule'!H54</f>
        <v>0</v>
      </c>
      <c r="K165" s="302">
        <f>'Loan Schedule'!I54</f>
        <v>0</v>
      </c>
      <c r="L165" s="302">
        <f>'Loan Schedule'!J54</f>
        <v>0</v>
      </c>
      <c r="M165" s="302">
        <f>'Loan Schedule'!K54</f>
        <v>0</v>
      </c>
      <c r="N165" s="302">
        <f>'Loan Schedule'!L54</f>
        <v>0</v>
      </c>
      <c r="O165" s="302">
        <f>'Loan Schedule'!M54</f>
        <v>0</v>
      </c>
      <c r="P165" s="302">
        <f>'Loan Schedule'!N54</f>
        <v>0</v>
      </c>
      <c r="Q165" s="399">
        <f t="shared" si="78"/>
        <v>0</v>
      </c>
    </row>
    <row r="166" ht="15.75" customHeight="1" outlineLevel="1">
      <c r="A166" s="133" t="s">
        <v>358</v>
      </c>
      <c r="B166" s="7"/>
      <c r="C166" s="12"/>
      <c r="D166" s="12"/>
      <c r="E166" s="321">
        <f t="shared" ref="E166:P166" si="80">SUM(E163:E165)</f>
        <v>0</v>
      </c>
      <c r="F166" s="321">
        <f t="shared" si="80"/>
        <v>0</v>
      </c>
      <c r="G166" s="321">
        <f t="shared" si="80"/>
        <v>0</v>
      </c>
      <c r="H166" s="321">
        <f t="shared" si="80"/>
        <v>0</v>
      </c>
      <c r="I166" s="321">
        <f t="shared" si="80"/>
        <v>0</v>
      </c>
      <c r="J166" s="321">
        <f t="shared" si="80"/>
        <v>0</v>
      </c>
      <c r="K166" s="321">
        <f t="shared" si="80"/>
        <v>0</v>
      </c>
      <c r="L166" s="321">
        <f t="shared" si="80"/>
        <v>0</v>
      </c>
      <c r="M166" s="321">
        <f t="shared" si="80"/>
        <v>0</v>
      </c>
      <c r="N166" s="321">
        <f t="shared" si="80"/>
        <v>0</v>
      </c>
      <c r="O166" s="321">
        <f t="shared" si="80"/>
        <v>0</v>
      </c>
      <c r="P166" s="321">
        <f t="shared" si="80"/>
        <v>0</v>
      </c>
      <c r="Q166" s="321">
        <f t="shared" si="78"/>
        <v>0</v>
      </c>
    </row>
    <row r="167" ht="15.0" customHeight="1" outlineLevel="1">
      <c r="A167" s="378"/>
      <c r="B167" s="7"/>
      <c r="C167" s="12"/>
      <c r="D167" s="12"/>
      <c r="E167" s="302"/>
      <c r="F167" s="302"/>
      <c r="G167" s="302"/>
      <c r="H167" s="302"/>
      <c r="I167" s="302"/>
      <c r="J167" s="302"/>
      <c r="K167" s="302"/>
      <c r="L167" s="302"/>
      <c r="M167" s="302"/>
      <c r="N167" s="302"/>
      <c r="O167" s="302"/>
      <c r="P167" s="302"/>
      <c r="Q167" s="438"/>
    </row>
    <row r="168" ht="15.75" customHeight="1" outlineLevel="1">
      <c r="A168" s="434" t="s">
        <v>463</v>
      </c>
      <c r="B168" s="435"/>
      <c r="C168" s="436"/>
      <c r="D168" s="436"/>
      <c r="E168" s="436"/>
      <c r="F168" s="436"/>
      <c r="G168" s="436"/>
      <c r="H168" s="436"/>
      <c r="I168" s="436"/>
      <c r="J168" s="436"/>
      <c r="K168" s="436"/>
      <c r="L168" s="436"/>
      <c r="M168" s="436"/>
      <c r="N168" s="436"/>
      <c r="O168" s="436"/>
      <c r="P168" s="436"/>
      <c r="Q168" s="434"/>
      <c r="R168" s="436"/>
    </row>
    <row r="169" ht="16.5" customHeight="1" outlineLevel="1">
      <c r="A169" s="133" t="s">
        <v>463</v>
      </c>
      <c r="B169" s="7"/>
      <c r="C169" s="12"/>
      <c r="D169" s="12"/>
      <c r="E169" s="321">
        <f>IF((E114-E120-E158-E166)&gt;0,IncomeTax_Rate*(E114-E120-E158-E166),0)</f>
        <v>0</v>
      </c>
      <c r="F169" s="321">
        <f>IF((F114-F120-F158-F166)&gt;0,IncomeTax_Rate*(F114-F120-F158-F166),0)</f>
        <v>0</v>
      </c>
      <c r="G169" s="321">
        <f>IF((G114-G120-G158-G166)&gt;0,IncomeTax_Rate*(G114-G120-G158-G166),0)</f>
        <v>0</v>
      </c>
      <c r="H169" s="321">
        <f>IF((H114-H120-H158-H166)&gt;0,IncomeTax_Rate*(H114-H120-H158-H166),0)</f>
        <v>0</v>
      </c>
      <c r="I169" s="321">
        <f>IF((I114-I120-I158-I166)&gt;0,IncomeTax_Rate*(I114-I120-I158-I166),0)</f>
        <v>0</v>
      </c>
      <c r="J169" s="321">
        <f>IF((J114-J120-J158-J166)&gt;0,IncomeTax_Rate*(J114-J120-J158-J166),0)</f>
        <v>0</v>
      </c>
      <c r="K169" s="321">
        <f>IF((K114-K120-K158-K166)&gt;0,IncomeTax_Rate*(K114-K120-K158-K166),0)</f>
        <v>0</v>
      </c>
      <c r="L169" s="321">
        <f>IF((L114-L120-L158-L166)&gt;0,IncomeTax_Rate*(L114-L120-L158-L166),0)</f>
        <v>0</v>
      </c>
      <c r="M169" s="321">
        <f>IF((M114-M120-M158-M166)&gt;0,IncomeTax_Rate*(M114-M120-M158-M166),0)</f>
        <v>0</v>
      </c>
      <c r="N169" s="321">
        <f>IF((N114-N120-N158-N166)&gt;0,IncomeTax_Rate*(N114-N120-N158-N166),0)</f>
        <v>0</v>
      </c>
      <c r="O169" s="321">
        <f>IF((O114-O120-O158-O166)&gt;0,IncomeTax_Rate*(O114-O120-O158-O166),0)</f>
        <v>0</v>
      </c>
      <c r="P169" s="321">
        <f>IF((P114-P120-P158-P166)&gt;0,IncomeTax_Rate*(P114-P120-P158-P166),0)</f>
        <v>0</v>
      </c>
      <c r="Q169" s="441">
        <f>SUM(E169:P169)</f>
        <v>0</v>
      </c>
    </row>
    <row r="170" ht="15.75" customHeight="1" outlineLevel="1">
      <c r="A170" s="133"/>
      <c r="B170" s="7"/>
      <c r="C170" s="12"/>
      <c r="D170" s="12"/>
      <c r="E170" s="12"/>
      <c r="F170" s="12"/>
      <c r="G170" s="12"/>
      <c r="H170" s="12"/>
      <c r="I170" s="12"/>
      <c r="J170" s="12"/>
      <c r="K170" s="12"/>
      <c r="L170" s="12"/>
      <c r="M170" s="12"/>
      <c r="N170" s="12"/>
      <c r="O170" s="12"/>
      <c r="P170" s="12"/>
      <c r="Q170" s="25"/>
    </row>
    <row r="171" ht="16.5" customHeight="1" outlineLevel="1">
      <c r="A171" s="478" t="s">
        <v>469</v>
      </c>
      <c r="B171" s="7"/>
      <c r="C171" s="12"/>
      <c r="D171" s="12"/>
      <c r="E171" s="443">
        <f>E114-SUM(E120,E158,E166,E169)</f>
        <v>2553.020833</v>
      </c>
      <c r="F171" s="443">
        <f t="shared" ref="F171:Q171" si="81">F114-SUM(F120,F158,F169)</f>
        <v>2553.020833</v>
      </c>
      <c r="G171" s="443">
        <f t="shared" si="81"/>
        <v>2553.020833</v>
      </c>
      <c r="H171" s="443">
        <f t="shared" si="81"/>
        <v>2553.020833</v>
      </c>
      <c r="I171" s="443">
        <f t="shared" si="81"/>
        <v>2553.020833</v>
      </c>
      <c r="J171" s="443">
        <f t="shared" si="81"/>
        <v>2553.020833</v>
      </c>
      <c r="K171" s="443">
        <f t="shared" si="81"/>
        <v>2553.020833</v>
      </c>
      <c r="L171" s="443">
        <f t="shared" si="81"/>
        <v>2553.020833</v>
      </c>
      <c r="M171" s="443">
        <f t="shared" si="81"/>
        <v>2553.020833</v>
      </c>
      <c r="N171" s="443">
        <f t="shared" si="81"/>
        <v>2553.020833</v>
      </c>
      <c r="O171" s="443">
        <f t="shared" si="81"/>
        <v>2553.020833</v>
      </c>
      <c r="P171" s="443">
        <f t="shared" si="81"/>
        <v>2553.020833</v>
      </c>
      <c r="Q171" s="506">
        <f t="shared" si="81"/>
        <v>30636.25</v>
      </c>
    </row>
    <row r="172" ht="15.75" customHeight="1" outlineLevel="1">
      <c r="A172" s="133"/>
      <c r="B172" s="7"/>
      <c r="C172" s="12"/>
      <c r="D172" s="12"/>
      <c r="E172" s="12"/>
      <c r="F172" s="12"/>
      <c r="G172" s="12"/>
      <c r="H172" s="12"/>
      <c r="I172" s="12"/>
      <c r="J172" s="12"/>
      <c r="K172" s="12"/>
      <c r="L172" s="12"/>
      <c r="M172" s="12"/>
      <c r="N172" s="12"/>
      <c r="O172" s="12"/>
      <c r="P172" s="12"/>
      <c r="Q172" s="25"/>
    </row>
    <row r="173" ht="15.0" customHeight="1" outlineLevel="1">
      <c r="A173" s="12"/>
      <c r="B173" s="7"/>
      <c r="C173" s="12"/>
      <c r="D173" s="12"/>
      <c r="E173" s="12"/>
      <c r="F173" s="12"/>
      <c r="G173" s="12"/>
      <c r="H173" s="12"/>
      <c r="I173" s="12"/>
      <c r="J173" s="12"/>
      <c r="K173" s="12"/>
      <c r="L173" s="12"/>
      <c r="M173" s="12"/>
      <c r="N173" s="12"/>
      <c r="O173" s="12"/>
      <c r="P173" s="12"/>
      <c r="Q173" s="25"/>
    </row>
    <row r="174" ht="15.75" customHeight="1">
      <c r="A174" s="12"/>
      <c r="B174" s="7"/>
      <c r="C174" s="12"/>
      <c r="D174" s="12"/>
      <c r="E174" s="12"/>
      <c r="F174" s="12"/>
      <c r="G174" s="12"/>
      <c r="H174" s="12"/>
      <c r="I174" s="12"/>
      <c r="J174" s="12"/>
      <c r="K174" s="12"/>
      <c r="L174" s="12"/>
      <c r="M174" s="12"/>
      <c r="N174" s="12"/>
      <c r="O174" s="12"/>
      <c r="P174" s="12"/>
      <c r="Q174" s="25"/>
    </row>
    <row r="175" ht="15.75" customHeight="1">
      <c r="A175" s="448" t="str">
        <f>IF(ISBLANK(Company_Name),"Income Statement | Year 3",Company_Name&amp;" | Income Statement | Year 3")</f>
        <v>OTW Paints | Income Statement | Year 3</v>
      </c>
      <c r="B175" s="7"/>
      <c r="C175" s="12"/>
      <c r="D175" s="12"/>
      <c r="E175" s="12"/>
      <c r="F175" s="12"/>
      <c r="G175" s="12"/>
      <c r="H175" s="12"/>
      <c r="I175" s="12"/>
      <c r="J175" s="12"/>
      <c r="K175" s="12"/>
      <c r="L175" s="12"/>
      <c r="M175" s="12"/>
      <c r="N175" s="12"/>
      <c r="O175" s="12"/>
      <c r="P175" s="12"/>
      <c r="Q175" s="25"/>
    </row>
    <row r="176" ht="18.75" customHeight="1" outlineLevel="1">
      <c r="A176" s="5"/>
      <c r="B176" s="7"/>
      <c r="C176" s="12"/>
      <c r="D176" s="12"/>
      <c r="E176" s="12"/>
      <c r="F176" s="12"/>
      <c r="G176" s="12"/>
      <c r="H176" s="12"/>
      <c r="I176" s="12"/>
      <c r="J176" s="12"/>
      <c r="K176" s="12"/>
      <c r="L176" s="12"/>
      <c r="M176" s="12"/>
      <c r="N176" s="12"/>
      <c r="O176" s="12"/>
      <c r="P176" s="12"/>
      <c r="Q176" s="25"/>
    </row>
    <row r="177" ht="15.0" customHeight="1" outlineLevel="1">
      <c r="A177" s="12"/>
      <c r="B177" s="7" t="s">
        <v>244</v>
      </c>
      <c r="C177" s="12"/>
      <c r="D177" s="12"/>
      <c r="E177" s="178">
        <f>DATE(YEAR(Projected_Start_Date)+2,1,1)</f>
        <v>43101</v>
      </c>
      <c r="F177" s="178">
        <f t="shared" ref="F177:P177" si="82">EDATE(E177,1)</f>
        <v>43132</v>
      </c>
      <c r="G177" s="178">
        <f t="shared" si="82"/>
        <v>43160</v>
      </c>
      <c r="H177" s="178">
        <f t="shared" si="82"/>
        <v>43191</v>
      </c>
      <c r="I177" s="178">
        <f t="shared" si="82"/>
        <v>43221</v>
      </c>
      <c r="J177" s="178">
        <f t="shared" si="82"/>
        <v>43252</v>
      </c>
      <c r="K177" s="178">
        <f t="shared" si="82"/>
        <v>43282</v>
      </c>
      <c r="L177" s="178">
        <f t="shared" si="82"/>
        <v>43313</v>
      </c>
      <c r="M177" s="178">
        <f t="shared" si="82"/>
        <v>43344</v>
      </c>
      <c r="N177" s="178">
        <f t="shared" si="82"/>
        <v>43374</v>
      </c>
      <c r="O177" s="178">
        <f t="shared" si="82"/>
        <v>43405</v>
      </c>
      <c r="P177" s="178">
        <f t="shared" si="82"/>
        <v>43435</v>
      </c>
      <c r="Q177" s="55" t="s">
        <v>383</v>
      </c>
      <c r="R177" s="433" t="s">
        <v>384</v>
      </c>
    </row>
    <row r="178" ht="15.75" customHeight="1" outlineLevel="1">
      <c r="A178" s="434" t="s">
        <v>309</v>
      </c>
      <c r="B178" s="435"/>
      <c r="C178" s="436"/>
      <c r="D178" s="436"/>
      <c r="E178" s="436"/>
      <c r="F178" s="436"/>
      <c r="G178" s="436"/>
      <c r="H178" s="436"/>
      <c r="I178" s="436"/>
      <c r="J178" s="436"/>
      <c r="K178" s="436"/>
      <c r="L178" s="436"/>
      <c r="M178" s="436"/>
      <c r="N178" s="436"/>
      <c r="O178" s="436"/>
      <c r="P178" s="436"/>
      <c r="Q178" s="434"/>
      <c r="R178" s="436"/>
    </row>
    <row r="179" ht="15.75" customHeight="1" outlineLevel="1">
      <c r="A179" s="12" t="str">
        <f t="shared" ref="A179:B179" si="83">A6</f>
        <v>Paint</v>
      </c>
      <c r="B179" s="480" t="str">
        <f t="shared" si="83"/>
        <v/>
      </c>
      <c r="C179" s="12"/>
      <c r="D179" s="12"/>
      <c r="E179" s="67">
        <f>IFERROR('A. Background'!$D15*'E. Sales Units'!E30,"")</f>
        <v>25725</v>
      </c>
      <c r="F179" s="67">
        <f>IFERROR('A. Background'!$D$15*'E. Sales Units'!F30,"")</f>
        <v>25725</v>
      </c>
      <c r="G179" s="67">
        <f>IFERROR('A. Background'!$D$15*'E. Sales Units'!G30,"")</f>
        <v>25725</v>
      </c>
      <c r="H179" s="67">
        <f>IFERROR('A. Background'!$D$15*'E. Sales Units'!H30,"")</f>
        <v>25725</v>
      </c>
      <c r="I179" s="67">
        <f>IFERROR('A. Background'!$D$15*'E. Sales Units'!I30,"")</f>
        <v>25725</v>
      </c>
      <c r="J179" s="67">
        <f>IFERROR('A. Background'!$D$15*'E. Sales Units'!J30,"")</f>
        <v>25725</v>
      </c>
      <c r="K179" s="67">
        <f>IFERROR('A. Background'!$D$15*'E. Sales Units'!K30,"")</f>
        <v>25725</v>
      </c>
      <c r="L179" s="67">
        <f>IFERROR('A. Background'!$D$15*'E. Sales Units'!L30,"")</f>
        <v>25725</v>
      </c>
      <c r="M179" s="67">
        <f>IFERROR('A. Background'!$D$15*'E. Sales Units'!M30,"")</f>
        <v>25725</v>
      </c>
      <c r="N179" s="67">
        <f>IFERROR('A. Background'!$D$15*'E. Sales Units'!N30,"")</f>
        <v>25725</v>
      </c>
      <c r="O179" s="67">
        <f>IFERROR('A. Background'!$D$15*'E. Sales Units'!O30,"")</f>
        <v>25725</v>
      </c>
      <c r="P179" s="67">
        <f>IFERROR('A. Background'!$D$15*'E. Sales Units'!P30,"")</f>
        <v>25725</v>
      </c>
      <c r="Q179" s="481">
        <f t="shared" ref="Q179:Q186" si="85">SUM(E179:P179)</f>
        <v>308700</v>
      </c>
    </row>
    <row r="180" ht="15.0" customHeight="1" outlineLevel="1">
      <c r="A180" s="12" t="str">
        <f t="shared" ref="A180:B180" si="84">A7</f>
        <v>REMOVER</v>
      </c>
      <c r="B180" s="480" t="str">
        <f t="shared" si="84"/>
        <v/>
      </c>
      <c r="C180" s="12"/>
      <c r="D180" s="12"/>
      <c r="E180" s="302">
        <f>IFERROR('A. Background'!$D16*'E. Sales Units'!E31,"")</f>
        <v>5512.5</v>
      </c>
      <c r="F180" s="302">
        <f>IFERROR('A. Background'!$D16*'E. Sales Units'!F31,"")</f>
        <v>5512.5</v>
      </c>
      <c r="G180" s="302">
        <f>IFERROR('A. Background'!$D16*'E. Sales Units'!G31,"")</f>
        <v>5512.5</v>
      </c>
      <c r="H180" s="302">
        <f>IFERROR('A. Background'!$D16*'E. Sales Units'!H31,"")</f>
        <v>5512.5</v>
      </c>
      <c r="I180" s="302">
        <f>IFERROR('A. Background'!$D16*'E. Sales Units'!I31,"")</f>
        <v>5512.5</v>
      </c>
      <c r="J180" s="302">
        <f>IFERROR('A. Background'!$D16*'E. Sales Units'!J31,"")</f>
        <v>5512.5</v>
      </c>
      <c r="K180" s="302">
        <f>IFERROR('A. Background'!$D16*'E. Sales Units'!K31,"")</f>
        <v>5512.5</v>
      </c>
      <c r="L180" s="302">
        <f>IFERROR('A. Background'!$D16*'E. Sales Units'!L31,"")</f>
        <v>5512.5</v>
      </c>
      <c r="M180" s="302">
        <f>IFERROR('A. Background'!$D16*'E. Sales Units'!M31,"")</f>
        <v>5512.5</v>
      </c>
      <c r="N180" s="302">
        <f>IFERROR('A. Background'!$D16*'E. Sales Units'!N31,"")</f>
        <v>5512.5</v>
      </c>
      <c r="O180" s="302">
        <f>IFERROR('A. Background'!$D16*'E. Sales Units'!O31,"")</f>
        <v>5512.5</v>
      </c>
      <c r="P180" s="302">
        <f>IFERROR('A. Background'!$D16*'E. Sales Units'!P31,"")</f>
        <v>5512.5</v>
      </c>
      <c r="Q180" s="477">
        <f t="shared" si="85"/>
        <v>66150</v>
      </c>
    </row>
    <row r="181" ht="15.0" customHeight="1" outlineLevel="1">
      <c r="A181" s="12" t="str">
        <f t="shared" ref="A181:B181" si="86">A8</f>
        <v/>
      </c>
      <c r="B181" s="480" t="str">
        <f t="shared" si="86"/>
        <v/>
      </c>
      <c r="C181" s="12"/>
      <c r="D181" s="12"/>
      <c r="E181" s="302">
        <f>IFERROR('A. Background'!$D17*'E. Sales Units'!E32,"")</f>
        <v>0</v>
      </c>
      <c r="F181" s="302">
        <f>IFERROR('A. Background'!$D17*'E. Sales Units'!F32,"")</f>
        <v>0</v>
      </c>
      <c r="G181" s="302">
        <f>IFERROR('A. Background'!$D17*'E. Sales Units'!G32,"")</f>
        <v>0</v>
      </c>
      <c r="H181" s="302">
        <f>IFERROR('A. Background'!$D17*'E. Sales Units'!H32,"")</f>
        <v>0</v>
      </c>
      <c r="I181" s="302">
        <f>IFERROR('A. Background'!$D17*'E. Sales Units'!I32,"")</f>
        <v>0</v>
      </c>
      <c r="J181" s="302">
        <f>IFERROR('A. Background'!$D17*'E. Sales Units'!J32,"")</f>
        <v>0</v>
      </c>
      <c r="K181" s="302">
        <f>IFERROR('A. Background'!$D17*'E. Sales Units'!K32,"")</f>
        <v>0</v>
      </c>
      <c r="L181" s="302">
        <f>IFERROR('A. Background'!$D17*'E. Sales Units'!L32,"")</f>
        <v>0</v>
      </c>
      <c r="M181" s="302">
        <f>IFERROR('A. Background'!$D17*'E. Sales Units'!M32,"")</f>
        <v>0</v>
      </c>
      <c r="N181" s="302">
        <f>IFERROR('A. Background'!$D17*'E. Sales Units'!N32,"")</f>
        <v>0</v>
      </c>
      <c r="O181" s="302">
        <f>IFERROR('A. Background'!$D17*'E. Sales Units'!O32,"")</f>
        <v>0</v>
      </c>
      <c r="P181" s="302">
        <f>IFERROR('A. Background'!$D17*'E. Sales Units'!P32,"")</f>
        <v>0</v>
      </c>
      <c r="Q181" s="477">
        <f t="shared" si="85"/>
        <v>0</v>
      </c>
    </row>
    <row r="182" ht="15.0" customHeight="1" outlineLevel="1">
      <c r="A182" s="12" t="str">
        <f t="shared" ref="A182:B182" si="87">A9</f>
        <v/>
      </c>
      <c r="B182" s="480" t="str">
        <f t="shared" si="87"/>
        <v/>
      </c>
      <c r="C182" s="12"/>
      <c r="D182" s="12"/>
      <c r="E182" s="302">
        <f>IFERROR('A. Background'!$D18*'E. Sales Units'!E33,"")</f>
        <v>0</v>
      </c>
      <c r="F182" s="302">
        <f>IFERROR('A. Background'!$D18*'E. Sales Units'!F33,"")</f>
        <v>0</v>
      </c>
      <c r="G182" s="302">
        <f>IFERROR('A. Background'!$D18*'E. Sales Units'!G33,"")</f>
        <v>0</v>
      </c>
      <c r="H182" s="302">
        <f>IFERROR('A. Background'!$D18*'E. Sales Units'!H33,"")</f>
        <v>0</v>
      </c>
      <c r="I182" s="302">
        <f>IFERROR('A. Background'!$D18*'E. Sales Units'!I33,"")</f>
        <v>0</v>
      </c>
      <c r="J182" s="302">
        <f>IFERROR('A. Background'!$D18*'E. Sales Units'!J33,"")</f>
        <v>0</v>
      </c>
      <c r="K182" s="302">
        <f>IFERROR('A. Background'!$D18*'E. Sales Units'!K33,"")</f>
        <v>0</v>
      </c>
      <c r="L182" s="302">
        <f>IFERROR('A. Background'!$D18*'E. Sales Units'!L33,"")</f>
        <v>0</v>
      </c>
      <c r="M182" s="302">
        <f>IFERROR('A. Background'!$D18*'E. Sales Units'!M33,"")</f>
        <v>0</v>
      </c>
      <c r="N182" s="302">
        <f>IFERROR('A. Background'!$D18*'E. Sales Units'!N33,"")</f>
        <v>0</v>
      </c>
      <c r="O182" s="302">
        <f>IFERROR('A. Background'!$D18*'E. Sales Units'!O33,"")</f>
        <v>0</v>
      </c>
      <c r="P182" s="302">
        <f>IFERROR('A. Background'!$D18*'E. Sales Units'!P33,"")</f>
        <v>0</v>
      </c>
      <c r="Q182" s="477">
        <f t="shared" si="85"/>
        <v>0</v>
      </c>
    </row>
    <row r="183" ht="15.0" customHeight="1" outlineLevel="1">
      <c r="A183" s="12" t="str">
        <f t="shared" ref="A183:B183" si="88">A10</f>
        <v/>
      </c>
      <c r="B183" s="480" t="str">
        <f t="shared" si="88"/>
        <v/>
      </c>
      <c r="C183" s="12"/>
      <c r="D183" s="12"/>
      <c r="E183" s="302">
        <f>IFERROR('A. Background'!$D19*'E. Sales Units'!E34,"")</f>
        <v>0</v>
      </c>
      <c r="F183" s="302">
        <f>IFERROR('A. Background'!$D19*'E. Sales Units'!F34,"")</f>
        <v>0</v>
      </c>
      <c r="G183" s="302">
        <f>IFERROR('A. Background'!$D19*'E. Sales Units'!G34,"")</f>
        <v>0</v>
      </c>
      <c r="H183" s="302">
        <f>IFERROR('A. Background'!$D19*'E. Sales Units'!H34,"")</f>
        <v>0</v>
      </c>
      <c r="I183" s="302">
        <f>IFERROR('A. Background'!$D19*'E. Sales Units'!I34,"")</f>
        <v>0</v>
      </c>
      <c r="J183" s="302">
        <f>IFERROR('A. Background'!$D19*'E. Sales Units'!J34,"")</f>
        <v>0</v>
      </c>
      <c r="K183" s="302">
        <f>IFERROR('A. Background'!$D19*'E. Sales Units'!K34,"")</f>
        <v>0</v>
      </c>
      <c r="L183" s="302">
        <f>IFERROR('A. Background'!$D19*'E. Sales Units'!L34,"")</f>
        <v>0</v>
      </c>
      <c r="M183" s="302">
        <f>IFERROR('A. Background'!$D19*'E. Sales Units'!M34,"")</f>
        <v>0</v>
      </c>
      <c r="N183" s="302">
        <f>IFERROR('A. Background'!$D19*'E. Sales Units'!N34,"")</f>
        <v>0</v>
      </c>
      <c r="O183" s="302">
        <f>IFERROR('A. Background'!$D19*'E. Sales Units'!O34,"")</f>
        <v>0</v>
      </c>
      <c r="P183" s="302">
        <f>IFERROR('A. Background'!$D19*'E. Sales Units'!P34,"")</f>
        <v>0</v>
      </c>
      <c r="Q183" s="477">
        <f t="shared" si="85"/>
        <v>0</v>
      </c>
    </row>
    <row r="184" ht="15.0" customHeight="1" outlineLevel="1">
      <c r="A184" s="12" t="str">
        <f t="shared" ref="A184:B184" si="89">A11</f>
        <v/>
      </c>
      <c r="B184" s="480" t="str">
        <f t="shared" si="89"/>
        <v/>
      </c>
      <c r="C184" s="12"/>
      <c r="D184" s="12"/>
      <c r="E184" s="302">
        <f>IFERROR('A. Background'!$D20*'E. Sales Units'!E35,"")</f>
        <v>0</v>
      </c>
      <c r="F184" s="302">
        <f>IFERROR('A. Background'!$D20*'E. Sales Units'!F35,"")</f>
        <v>0</v>
      </c>
      <c r="G184" s="302">
        <f>IFERROR('A. Background'!$D20*'E. Sales Units'!G35,"")</f>
        <v>0</v>
      </c>
      <c r="H184" s="302">
        <f>IFERROR('A. Background'!$D20*'E. Sales Units'!H35,"")</f>
        <v>0</v>
      </c>
      <c r="I184" s="302">
        <f>IFERROR('A. Background'!$D20*'E. Sales Units'!I35,"")</f>
        <v>0</v>
      </c>
      <c r="J184" s="302">
        <f>IFERROR('A. Background'!$D20*'E. Sales Units'!J35,"")</f>
        <v>0</v>
      </c>
      <c r="K184" s="302">
        <f>IFERROR('A. Background'!$D20*'E. Sales Units'!K35,"")</f>
        <v>0</v>
      </c>
      <c r="L184" s="302">
        <f>IFERROR('A. Background'!$D20*'E. Sales Units'!L35,"")</f>
        <v>0</v>
      </c>
      <c r="M184" s="302">
        <f>IFERROR('A. Background'!$D20*'E. Sales Units'!M35,"")</f>
        <v>0</v>
      </c>
      <c r="N184" s="302">
        <f>IFERROR('A. Background'!$D20*'E. Sales Units'!N35,"")</f>
        <v>0</v>
      </c>
      <c r="O184" s="302">
        <f>IFERROR('A. Background'!$D20*'E. Sales Units'!O35,"")</f>
        <v>0</v>
      </c>
      <c r="P184" s="302">
        <f>IFERROR('A. Background'!$D20*'E. Sales Units'!P35,"")</f>
        <v>0</v>
      </c>
      <c r="Q184" s="477">
        <f t="shared" si="85"/>
        <v>0</v>
      </c>
    </row>
    <row r="185" ht="15.0" customHeight="1" outlineLevel="1">
      <c r="A185" s="12" t="str">
        <f t="shared" ref="A185:B185" si="90">A12</f>
        <v/>
      </c>
      <c r="B185" s="480" t="str">
        <f t="shared" si="90"/>
        <v/>
      </c>
      <c r="C185" s="12"/>
      <c r="D185" s="12"/>
      <c r="E185" s="302">
        <f>IFERROR('A. Background'!$D21*'E. Sales Units'!E36,"")</f>
        <v>0</v>
      </c>
      <c r="F185" s="302">
        <f>IFERROR('A. Background'!$D21*'E. Sales Units'!F36,"")</f>
        <v>0</v>
      </c>
      <c r="G185" s="302">
        <f>IFERROR('A. Background'!$D21*'E. Sales Units'!G36,"")</f>
        <v>0</v>
      </c>
      <c r="H185" s="302">
        <f>IFERROR('A. Background'!$D21*'E. Sales Units'!H36,"")</f>
        <v>0</v>
      </c>
      <c r="I185" s="302">
        <f>IFERROR('A. Background'!$D21*'E. Sales Units'!I36,"")</f>
        <v>0</v>
      </c>
      <c r="J185" s="302">
        <f>IFERROR('A. Background'!$D21*'E. Sales Units'!J36,"")</f>
        <v>0</v>
      </c>
      <c r="K185" s="302">
        <f>IFERROR('A. Background'!$D21*'E. Sales Units'!K36,"")</f>
        <v>0</v>
      </c>
      <c r="L185" s="302">
        <f>IFERROR('A. Background'!$D21*'E. Sales Units'!L36,"")</f>
        <v>0</v>
      </c>
      <c r="M185" s="302">
        <f>IFERROR('A. Background'!$D21*'E. Sales Units'!M36,"")</f>
        <v>0</v>
      </c>
      <c r="N185" s="302">
        <f>IFERROR('A. Background'!$D21*'E. Sales Units'!N36,"")</f>
        <v>0</v>
      </c>
      <c r="O185" s="302">
        <f>IFERROR('A. Background'!$D21*'E. Sales Units'!O36,"")</f>
        <v>0</v>
      </c>
      <c r="P185" s="302">
        <f>IFERROR('A. Background'!$D21*'E. Sales Units'!P36,"")</f>
        <v>0</v>
      </c>
      <c r="Q185" s="477">
        <f t="shared" si="85"/>
        <v>0</v>
      </c>
    </row>
    <row r="186" ht="15.75" customHeight="1" outlineLevel="1">
      <c r="A186" s="12" t="str">
        <f t="shared" ref="A186:B186" si="91">A13</f>
        <v/>
      </c>
      <c r="B186" s="480" t="str">
        <f t="shared" si="91"/>
        <v/>
      </c>
      <c r="C186" s="12"/>
      <c r="D186" s="12"/>
      <c r="E186" s="302">
        <f>IFERROR('A. Background'!$D22*'E. Sales Units'!E37,"")</f>
        <v>0</v>
      </c>
      <c r="F186" s="302">
        <f>IFERROR('A. Background'!$D22*'E. Sales Units'!F37,"")</f>
        <v>0</v>
      </c>
      <c r="G186" s="302">
        <f>IFERROR('A. Background'!$D22*'E. Sales Units'!G37,"")</f>
        <v>0</v>
      </c>
      <c r="H186" s="302">
        <f>IFERROR('A. Background'!$D22*'E. Sales Units'!H37,"")</f>
        <v>0</v>
      </c>
      <c r="I186" s="302">
        <f>IFERROR('A. Background'!$D22*'E. Sales Units'!I37,"")</f>
        <v>0</v>
      </c>
      <c r="J186" s="302">
        <f>IFERROR('A. Background'!$D22*'E. Sales Units'!J37,"")</f>
        <v>0</v>
      </c>
      <c r="K186" s="302">
        <f>IFERROR('A. Background'!$D22*'E. Sales Units'!K37,"")</f>
        <v>0</v>
      </c>
      <c r="L186" s="302">
        <f>IFERROR('A. Background'!$D22*'E. Sales Units'!L37,"")</f>
        <v>0</v>
      </c>
      <c r="M186" s="302">
        <f>IFERROR('A. Background'!$D22*'E. Sales Units'!M37,"")</f>
        <v>0</v>
      </c>
      <c r="N186" s="302">
        <f>IFERROR('A. Background'!$D22*'E. Sales Units'!N37,"")</f>
        <v>0</v>
      </c>
      <c r="O186" s="302">
        <f>IFERROR('A. Background'!$D22*'E. Sales Units'!O37,"")</f>
        <v>0</v>
      </c>
      <c r="P186" s="302">
        <f>IFERROR('A. Background'!$D22*'E. Sales Units'!P37,"")</f>
        <v>0</v>
      </c>
      <c r="Q186" s="477">
        <f t="shared" si="85"/>
        <v>0</v>
      </c>
    </row>
    <row r="187" ht="15.75" customHeight="1" outlineLevel="1">
      <c r="A187" s="133" t="s">
        <v>385</v>
      </c>
      <c r="B187" s="480" t="str">
        <f>B14</f>
        <v/>
      </c>
      <c r="C187" s="12"/>
      <c r="D187" s="12"/>
      <c r="E187" s="321">
        <f t="shared" ref="E187:Q187" si="92">SUM(E179:E186)</f>
        <v>31237.5</v>
      </c>
      <c r="F187" s="321">
        <f t="shared" si="92"/>
        <v>31237.5</v>
      </c>
      <c r="G187" s="321">
        <f t="shared" si="92"/>
        <v>31237.5</v>
      </c>
      <c r="H187" s="321">
        <f t="shared" si="92"/>
        <v>31237.5</v>
      </c>
      <c r="I187" s="321">
        <f t="shared" si="92"/>
        <v>31237.5</v>
      </c>
      <c r="J187" s="321">
        <f t="shared" si="92"/>
        <v>31237.5</v>
      </c>
      <c r="K187" s="321">
        <f t="shared" si="92"/>
        <v>31237.5</v>
      </c>
      <c r="L187" s="321">
        <f t="shared" si="92"/>
        <v>31237.5</v>
      </c>
      <c r="M187" s="321">
        <f t="shared" si="92"/>
        <v>31237.5</v>
      </c>
      <c r="N187" s="321">
        <f t="shared" si="92"/>
        <v>31237.5</v>
      </c>
      <c r="O187" s="321">
        <f t="shared" si="92"/>
        <v>31237.5</v>
      </c>
      <c r="P187" s="321">
        <f t="shared" si="92"/>
        <v>31237.5</v>
      </c>
      <c r="Q187" s="441">
        <f t="shared" si="92"/>
        <v>374850</v>
      </c>
    </row>
    <row r="188" ht="15.0" customHeight="1" outlineLevel="1">
      <c r="A188" s="133"/>
      <c r="B188" s="7"/>
      <c r="C188" s="12"/>
      <c r="D188" s="12"/>
      <c r="E188" s="12"/>
      <c r="F188" s="12"/>
      <c r="G188" s="12"/>
      <c r="H188" s="12"/>
      <c r="I188" s="12"/>
      <c r="J188" s="12"/>
      <c r="K188" s="12"/>
      <c r="L188" s="12"/>
      <c r="M188" s="12"/>
      <c r="N188" s="12"/>
      <c r="O188" s="12"/>
      <c r="P188" s="12"/>
      <c r="Q188" s="25"/>
    </row>
    <row r="189" ht="15.75" customHeight="1" outlineLevel="1">
      <c r="A189" s="434" t="s">
        <v>386</v>
      </c>
      <c r="B189" s="435"/>
      <c r="C189" s="436"/>
      <c r="D189" s="436"/>
      <c r="E189" s="436"/>
      <c r="F189" s="436"/>
      <c r="G189" s="436"/>
      <c r="H189" s="436"/>
      <c r="I189" s="436"/>
      <c r="J189" s="436"/>
      <c r="K189" s="436"/>
      <c r="L189" s="436"/>
      <c r="M189" s="436"/>
      <c r="N189" s="436"/>
      <c r="O189" s="436"/>
      <c r="P189" s="436"/>
      <c r="Q189" s="434"/>
      <c r="R189" s="436"/>
    </row>
    <row r="190" ht="15.75" customHeight="1" outlineLevel="1">
      <c r="A190" s="12" t="str">
        <f t="shared" ref="A190:A197" si="93">A17</f>
        <v>Paint</v>
      </c>
      <c r="B190" s="7"/>
      <c r="C190" s="12"/>
      <c r="D190" s="12"/>
      <c r="E190" s="67">
        <f>IFERROR('A. Background'!$E15*'E. Sales Units'!E30,"")</f>
        <v>8268.75</v>
      </c>
      <c r="F190" s="67">
        <f>IFERROR('A. Background'!$E15*'E. Sales Units'!F30,"")</f>
        <v>8268.75</v>
      </c>
      <c r="G190" s="67">
        <f>IFERROR('A. Background'!$E15*'E. Sales Units'!G30,"")</f>
        <v>8268.75</v>
      </c>
      <c r="H190" s="67">
        <f>IFERROR('A. Background'!$E15*'E. Sales Units'!H30,"")</f>
        <v>8268.75</v>
      </c>
      <c r="I190" s="67">
        <f>IFERROR('A. Background'!$E15*'E. Sales Units'!I30,"")</f>
        <v>8268.75</v>
      </c>
      <c r="J190" s="67">
        <f>IFERROR('A. Background'!$E15*'E. Sales Units'!J30,"")</f>
        <v>8268.75</v>
      </c>
      <c r="K190" s="67">
        <f>IFERROR('A. Background'!$E15*'E. Sales Units'!K30,"")</f>
        <v>8268.75</v>
      </c>
      <c r="L190" s="67">
        <f>IFERROR('A. Background'!$E15*'E. Sales Units'!L30,"")</f>
        <v>8268.75</v>
      </c>
      <c r="M190" s="67">
        <f>IFERROR('A. Background'!$E15*'E. Sales Units'!M30,"")</f>
        <v>8268.75</v>
      </c>
      <c r="N190" s="67">
        <f>IFERROR('A. Background'!$E15*'E. Sales Units'!N30,"")</f>
        <v>8268.75</v>
      </c>
      <c r="O190" s="67">
        <f>IFERROR('A. Background'!$E15*'E. Sales Units'!O30,"")</f>
        <v>8268.75</v>
      </c>
      <c r="P190" s="67">
        <f>IFERROR('A. Background'!$E15*'E. Sales Units'!P30,"")</f>
        <v>8268.75</v>
      </c>
      <c r="Q190" s="438">
        <f t="shared" ref="Q190:Q197" si="94">SUM(E190:P190)</f>
        <v>99225</v>
      </c>
    </row>
    <row r="191" ht="15.0" customHeight="1" outlineLevel="1">
      <c r="A191" s="12" t="str">
        <f t="shared" si="93"/>
        <v>REMOVER</v>
      </c>
      <c r="B191" s="7"/>
      <c r="C191" s="12"/>
      <c r="D191" s="12"/>
      <c r="E191" s="302">
        <f>IFERROR('A. Background'!$E16*'E. Sales Units'!E31,"")</f>
        <v>1102.5</v>
      </c>
      <c r="F191" s="302">
        <f>IFERROR('A. Background'!$E16*'E. Sales Units'!F31,"")</f>
        <v>1102.5</v>
      </c>
      <c r="G191" s="302">
        <f>IFERROR('A. Background'!$E16*'E. Sales Units'!G31,"")</f>
        <v>1102.5</v>
      </c>
      <c r="H191" s="302">
        <f>IFERROR('A. Background'!$E16*'E. Sales Units'!H31,"")</f>
        <v>1102.5</v>
      </c>
      <c r="I191" s="302">
        <f>IFERROR('A. Background'!$E16*'E. Sales Units'!I31,"")</f>
        <v>1102.5</v>
      </c>
      <c r="J191" s="302">
        <f>IFERROR('A. Background'!$E16*'E. Sales Units'!J31,"")</f>
        <v>1102.5</v>
      </c>
      <c r="K191" s="302">
        <f>IFERROR('A. Background'!$E16*'E. Sales Units'!K31,"")</f>
        <v>1102.5</v>
      </c>
      <c r="L191" s="302">
        <f>IFERROR('A. Background'!$E16*'E. Sales Units'!L31,"")</f>
        <v>1102.5</v>
      </c>
      <c r="M191" s="302">
        <f>IFERROR('A. Background'!$E16*'E. Sales Units'!M31,"")</f>
        <v>1102.5</v>
      </c>
      <c r="N191" s="302">
        <f>IFERROR('A. Background'!$E16*'E. Sales Units'!N31,"")</f>
        <v>1102.5</v>
      </c>
      <c r="O191" s="302">
        <f>IFERROR('A. Background'!$E16*'E. Sales Units'!O31,"")</f>
        <v>1102.5</v>
      </c>
      <c r="P191" s="302">
        <f>IFERROR('A. Background'!$E16*'E. Sales Units'!P31,"")</f>
        <v>1102.5</v>
      </c>
      <c r="Q191" s="399">
        <f t="shared" si="94"/>
        <v>13230</v>
      </c>
    </row>
    <row r="192" ht="15.0" customHeight="1" outlineLevel="1">
      <c r="A192" s="12" t="str">
        <f t="shared" si="93"/>
        <v/>
      </c>
      <c r="B192" s="7"/>
      <c r="C192" s="12"/>
      <c r="D192" s="12"/>
      <c r="E192" s="302">
        <f>IFERROR('A. Background'!$E17*'E. Sales Units'!E32,"")</f>
        <v>0</v>
      </c>
      <c r="F192" s="302">
        <f>IFERROR('A. Background'!$E17*'E. Sales Units'!F32,"")</f>
        <v>0</v>
      </c>
      <c r="G192" s="302">
        <f>IFERROR('A. Background'!$E17*'E. Sales Units'!G32,"")</f>
        <v>0</v>
      </c>
      <c r="H192" s="302">
        <f>IFERROR('A. Background'!$E17*'E. Sales Units'!H32,"")</f>
        <v>0</v>
      </c>
      <c r="I192" s="302">
        <f>IFERROR('A. Background'!$E17*'E. Sales Units'!I32,"")</f>
        <v>0</v>
      </c>
      <c r="J192" s="302">
        <f>IFERROR('A. Background'!$E17*'E. Sales Units'!J32,"")</f>
        <v>0</v>
      </c>
      <c r="K192" s="302">
        <f>IFERROR('A. Background'!$E17*'E. Sales Units'!K32,"")</f>
        <v>0</v>
      </c>
      <c r="L192" s="302">
        <f>IFERROR('A. Background'!$E17*'E. Sales Units'!L32,"")</f>
        <v>0</v>
      </c>
      <c r="M192" s="302">
        <f>IFERROR('A. Background'!$E17*'E. Sales Units'!M32,"")</f>
        <v>0</v>
      </c>
      <c r="N192" s="302">
        <f>IFERROR('A. Background'!$E17*'E. Sales Units'!N32,"")</f>
        <v>0</v>
      </c>
      <c r="O192" s="302">
        <f>IFERROR('A. Background'!$E17*'E. Sales Units'!O32,"")</f>
        <v>0</v>
      </c>
      <c r="P192" s="302">
        <f>IFERROR('A. Background'!$E17*'E. Sales Units'!P32,"")</f>
        <v>0</v>
      </c>
      <c r="Q192" s="399">
        <f t="shared" si="94"/>
        <v>0</v>
      </c>
    </row>
    <row r="193" ht="15.0" customHeight="1" outlineLevel="1">
      <c r="A193" s="12" t="str">
        <f t="shared" si="93"/>
        <v/>
      </c>
      <c r="B193" s="7"/>
      <c r="C193" s="12"/>
      <c r="D193" s="12"/>
      <c r="E193" s="302">
        <f>IFERROR('A. Background'!$E18*'E. Sales Units'!E33,"")</f>
        <v>0</v>
      </c>
      <c r="F193" s="302">
        <f>IFERROR('A. Background'!$E18*'E. Sales Units'!F33,"")</f>
        <v>0</v>
      </c>
      <c r="G193" s="302">
        <f>IFERROR('A. Background'!$E18*'E. Sales Units'!G33,"")</f>
        <v>0</v>
      </c>
      <c r="H193" s="302">
        <f>IFERROR('A. Background'!$E18*'E. Sales Units'!H33,"")</f>
        <v>0</v>
      </c>
      <c r="I193" s="302">
        <f>IFERROR('A. Background'!$E18*'E. Sales Units'!I33,"")</f>
        <v>0</v>
      </c>
      <c r="J193" s="302">
        <f>IFERROR('A. Background'!$E18*'E. Sales Units'!J33,"")</f>
        <v>0</v>
      </c>
      <c r="K193" s="302">
        <f>IFERROR('A. Background'!$E18*'E. Sales Units'!K33,"")</f>
        <v>0</v>
      </c>
      <c r="L193" s="302">
        <f>IFERROR('A. Background'!$E18*'E. Sales Units'!L33,"")</f>
        <v>0</v>
      </c>
      <c r="M193" s="302">
        <f>IFERROR('A. Background'!$E18*'E. Sales Units'!M33,"")</f>
        <v>0</v>
      </c>
      <c r="N193" s="302">
        <f>IFERROR('A. Background'!$E18*'E. Sales Units'!N33,"")</f>
        <v>0</v>
      </c>
      <c r="O193" s="302">
        <f>IFERROR('A. Background'!$E18*'E. Sales Units'!O33,"")</f>
        <v>0</v>
      </c>
      <c r="P193" s="302">
        <f>IFERROR('A. Background'!$E18*'E. Sales Units'!P33,"")</f>
        <v>0</v>
      </c>
      <c r="Q193" s="399">
        <f t="shared" si="94"/>
        <v>0</v>
      </c>
    </row>
    <row r="194" ht="15.0" customHeight="1" outlineLevel="1">
      <c r="A194" s="12" t="str">
        <f t="shared" si="93"/>
        <v/>
      </c>
      <c r="B194" s="7"/>
      <c r="C194" s="12"/>
      <c r="D194" s="12"/>
      <c r="E194" s="302">
        <f>IFERROR('A. Background'!$E19*'E. Sales Units'!E34,"")</f>
        <v>0</v>
      </c>
      <c r="F194" s="302">
        <f>IFERROR('A. Background'!$E19*'E. Sales Units'!F34,"")</f>
        <v>0</v>
      </c>
      <c r="G194" s="302">
        <f>IFERROR('A. Background'!$E19*'E. Sales Units'!G34,"")</f>
        <v>0</v>
      </c>
      <c r="H194" s="302">
        <f>IFERROR('A. Background'!$E19*'E. Sales Units'!H34,"")</f>
        <v>0</v>
      </c>
      <c r="I194" s="302">
        <f>IFERROR('A. Background'!$E19*'E. Sales Units'!I34,"")</f>
        <v>0</v>
      </c>
      <c r="J194" s="302">
        <f>IFERROR('A. Background'!$E19*'E. Sales Units'!J34,"")</f>
        <v>0</v>
      </c>
      <c r="K194" s="302">
        <f>IFERROR('A. Background'!$E19*'E. Sales Units'!K34,"")</f>
        <v>0</v>
      </c>
      <c r="L194" s="302">
        <f>IFERROR('A. Background'!$E19*'E. Sales Units'!L34,"")</f>
        <v>0</v>
      </c>
      <c r="M194" s="302">
        <f>IFERROR('A. Background'!$E19*'E. Sales Units'!M34,"")</f>
        <v>0</v>
      </c>
      <c r="N194" s="302">
        <f>IFERROR('A. Background'!$E19*'E. Sales Units'!N34,"")</f>
        <v>0</v>
      </c>
      <c r="O194" s="302">
        <f>IFERROR('A. Background'!$E19*'E. Sales Units'!O34,"")</f>
        <v>0</v>
      </c>
      <c r="P194" s="302">
        <f>IFERROR('A. Background'!$E19*'E. Sales Units'!P34,"")</f>
        <v>0</v>
      </c>
      <c r="Q194" s="399">
        <f t="shared" si="94"/>
        <v>0</v>
      </c>
    </row>
    <row r="195" ht="15.0" customHeight="1" outlineLevel="1">
      <c r="A195" s="12" t="str">
        <f t="shared" si="93"/>
        <v/>
      </c>
      <c r="B195" s="7"/>
      <c r="C195" s="12"/>
      <c r="D195" s="12"/>
      <c r="E195" s="302">
        <f>IFERROR('A. Background'!$E20*'E. Sales Units'!E35,"")</f>
        <v>0</v>
      </c>
      <c r="F195" s="302">
        <f>IFERROR('A. Background'!$E20*'E. Sales Units'!F35,"")</f>
        <v>0</v>
      </c>
      <c r="G195" s="302">
        <f>IFERROR('A. Background'!$E20*'E. Sales Units'!G35,"")</f>
        <v>0</v>
      </c>
      <c r="H195" s="302">
        <f>IFERROR('A. Background'!$E20*'E. Sales Units'!H35,"")</f>
        <v>0</v>
      </c>
      <c r="I195" s="302">
        <f>IFERROR('A. Background'!$E20*'E. Sales Units'!I35,"")</f>
        <v>0</v>
      </c>
      <c r="J195" s="302">
        <f>IFERROR('A. Background'!$E20*'E. Sales Units'!J35,"")</f>
        <v>0</v>
      </c>
      <c r="K195" s="302">
        <f>IFERROR('A. Background'!$E20*'E. Sales Units'!K35,"")</f>
        <v>0</v>
      </c>
      <c r="L195" s="302">
        <f>IFERROR('A. Background'!$E20*'E. Sales Units'!L35,"")</f>
        <v>0</v>
      </c>
      <c r="M195" s="302">
        <f>IFERROR('A. Background'!$E20*'E. Sales Units'!M35,"")</f>
        <v>0</v>
      </c>
      <c r="N195" s="302">
        <f>IFERROR('A. Background'!$E20*'E. Sales Units'!N35,"")</f>
        <v>0</v>
      </c>
      <c r="O195" s="302">
        <f>IFERROR('A. Background'!$E20*'E. Sales Units'!O35,"")</f>
        <v>0</v>
      </c>
      <c r="P195" s="302">
        <f>IFERROR('A. Background'!$E20*'E. Sales Units'!P35,"")</f>
        <v>0</v>
      </c>
      <c r="Q195" s="399">
        <f t="shared" si="94"/>
        <v>0</v>
      </c>
    </row>
    <row r="196" ht="15.0" customHeight="1" outlineLevel="1">
      <c r="A196" s="12" t="str">
        <f t="shared" si="93"/>
        <v/>
      </c>
      <c r="B196" s="7"/>
      <c r="C196" s="12"/>
      <c r="D196" s="12"/>
      <c r="E196" s="302">
        <f>IFERROR('A. Background'!$E21*'E. Sales Units'!E36,"")</f>
        <v>0</v>
      </c>
      <c r="F196" s="302">
        <f>IFERROR('A. Background'!$E21*'E. Sales Units'!F36,"")</f>
        <v>0</v>
      </c>
      <c r="G196" s="302">
        <f>IFERROR('A. Background'!$E21*'E. Sales Units'!G36,"")</f>
        <v>0</v>
      </c>
      <c r="H196" s="302">
        <f>IFERROR('A. Background'!$E21*'E. Sales Units'!H36,"")</f>
        <v>0</v>
      </c>
      <c r="I196" s="302">
        <f>IFERROR('A. Background'!$E21*'E. Sales Units'!I36,"")</f>
        <v>0</v>
      </c>
      <c r="J196" s="302">
        <f>IFERROR('A. Background'!$E21*'E. Sales Units'!J36,"")</f>
        <v>0</v>
      </c>
      <c r="K196" s="302">
        <f>IFERROR('A. Background'!$E21*'E. Sales Units'!K36,"")</f>
        <v>0</v>
      </c>
      <c r="L196" s="302">
        <f>IFERROR('A. Background'!$E21*'E. Sales Units'!L36,"")</f>
        <v>0</v>
      </c>
      <c r="M196" s="302">
        <f>IFERROR('A. Background'!$E21*'E. Sales Units'!M36,"")</f>
        <v>0</v>
      </c>
      <c r="N196" s="302">
        <f>IFERROR('A. Background'!$E21*'E. Sales Units'!N36,"")</f>
        <v>0</v>
      </c>
      <c r="O196" s="302">
        <f>IFERROR('A. Background'!$E21*'E. Sales Units'!O36,"")</f>
        <v>0</v>
      </c>
      <c r="P196" s="302">
        <f>IFERROR('A. Background'!$E21*'E. Sales Units'!P36,"")</f>
        <v>0</v>
      </c>
      <c r="Q196" s="399">
        <f t="shared" si="94"/>
        <v>0</v>
      </c>
    </row>
    <row r="197" ht="15.75" customHeight="1" outlineLevel="1">
      <c r="A197" s="12" t="str">
        <f t="shared" si="93"/>
        <v/>
      </c>
      <c r="B197" s="7"/>
      <c r="C197" s="12"/>
      <c r="D197" s="12"/>
      <c r="E197" s="302">
        <f>IFERROR('A. Background'!$E22*'E. Sales Units'!E37,"")</f>
        <v>0</v>
      </c>
      <c r="F197" s="302">
        <f>IFERROR('A. Background'!$E22*'E. Sales Units'!F37,"")</f>
        <v>0</v>
      </c>
      <c r="G197" s="302">
        <f>IFERROR('A. Background'!$E22*'E. Sales Units'!G37,"")</f>
        <v>0</v>
      </c>
      <c r="H197" s="302">
        <f>IFERROR('A. Background'!$E22*'E. Sales Units'!H37,"")</f>
        <v>0</v>
      </c>
      <c r="I197" s="302">
        <f>IFERROR('A. Background'!$E22*'E. Sales Units'!I37,"")</f>
        <v>0</v>
      </c>
      <c r="J197" s="302">
        <f>IFERROR('A. Background'!$E22*'E. Sales Units'!J37,"")</f>
        <v>0</v>
      </c>
      <c r="K197" s="302">
        <f>IFERROR('A. Background'!$E22*'E. Sales Units'!K37,"")</f>
        <v>0</v>
      </c>
      <c r="L197" s="302">
        <f>IFERROR('A. Background'!$E22*'E. Sales Units'!L37,"")</f>
        <v>0</v>
      </c>
      <c r="M197" s="302">
        <f>IFERROR('A. Background'!$E22*'E. Sales Units'!M37,"")</f>
        <v>0</v>
      </c>
      <c r="N197" s="302">
        <f>IFERROR('A. Background'!$E22*'E. Sales Units'!N37,"")</f>
        <v>0</v>
      </c>
      <c r="O197" s="302">
        <f>IFERROR('A. Background'!$E22*'E. Sales Units'!O37,"")</f>
        <v>0</v>
      </c>
      <c r="P197" s="302">
        <f>IFERROR('A. Background'!$E22*'E. Sales Units'!P37,"")</f>
        <v>0</v>
      </c>
      <c r="Q197" s="399">
        <f t="shared" si="94"/>
        <v>0</v>
      </c>
    </row>
    <row r="198" ht="15.75" customHeight="1" outlineLevel="1">
      <c r="A198" s="133" t="s">
        <v>387</v>
      </c>
      <c r="B198" s="7"/>
      <c r="C198" s="12"/>
      <c r="D198" s="12"/>
      <c r="E198" s="321">
        <f t="shared" ref="E198:Q198" si="95">SUM(E190:E197)</f>
        <v>9371.25</v>
      </c>
      <c r="F198" s="321">
        <f t="shared" si="95"/>
        <v>9371.25</v>
      </c>
      <c r="G198" s="321">
        <f t="shared" si="95"/>
        <v>9371.25</v>
      </c>
      <c r="H198" s="321">
        <f t="shared" si="95"/>
        <v>9371.25</v>
      </c>
      <c r="I198" s="321">
        <f t="shared" si="95"/>
        <v>9371.25</v>
      </c>
      <c r="J198" s="321">
        <f t="shared" si="95"/>
        <v>9371.25</v>
      </c>
      <c r="K198" s="321">
        <f t="shared" si="95"/>
        <v>9371.25</v>
      </c>
      <c r="L198" s="321">
        <f t="shared" si="95"/>
        <v>9371.25</v>
      </c>
      <c r="M198" s="321">
        <f t="shared" si="95"/>
        <v>9371.25</v>
      </c>
      <c r="N198" s="321">
        <f t="shared" si="95"/>
        <v>9371.25</v>
      </c>
      <c r="O198" s="321">
        <f t="shared" si="95"/>
        <v>9371.25</v>
      </c>
      <c r="P198" s="321">
        <f t="shared" si="95"/>
        <v>9371.25</v>
      </c>
      <c r="Q198" s="441">
        <f t="shared" si="95"/>
        <v>112455</v>
      </c>
    </row>
    <row r="199" ht="15.75" customHeight="1" outlineLevel="1">
      <c r="A199" s="12"/>
      <c r="B199" s="7"/>
      <c r="C199" s="12"/>
      <c r="D199" s="12"/>
      <c r="E199" s="12"/>
      <c r="F199" s="12"/>
      <c r="G199" s="12"/>
      <c r="H199" s="12"/>
      <c r="I199" s="12"/>
      <c r="J199" s="12"/>
      <c r="K199" s="12"/>
      <c r="L199" s="12"/>
      <c r="M199" s="12"/>
      <c r="N199" s="12"/>
      <c r="O199" s="12"/>
      <c r="P199" s="12"/>
      <c r="Q199" s="25"/>
    </row>
    <row r="200" ht="16.5" customHeight="1" outlineLevel="1">
      <c r="A200" s="483" t="s">
        <v>388</v>
      </c>
      <c r="B200" s="7"/>
      <c r="C200" s="12"/>
      <c r="D200" s="12"/>
      <c r="E200" s="443">
        <f t="shared" ref="E200:Q200" si="96">E187-E198</f>
        <v>21866.25</v>
      </c>
      <c r="F200" s="443">
        <f t="shared" si="96"/>
        <v>21866.25</v>
      </c>
      <c r="G200" s="443">
        <f t="shared" si="96"/>
        <v>21866.25</v>
      </c>
      <c r="H200" s="443">
        <f t="shared" si="96"/>
        <v>21866.25</v>
      </c>
      <c r="I200" s="443">
        <f t="shared" si="96"/>
        <v>21866.25</v>
      </c>
      <c r="J200" s="443">
        <f t="shared" si="96"/>
        <v>21866.25</v>
      </c>
      <c r="K200" s="443">
        <f t="shared" si="96"/>
        <v>21866.25</v>
      </c>
      <c r="L200" s="443">
        <f t="shared" si="96"/>
        <v>21866.25</v>
      </c>
      <c r="M200" s="443">
        <f t="shared" si="96"/>
        <v>21866.25</v>
      </c>
      <c r="N200" s="443">
        <f t="shared" si="96"/>
        <v>21866.25</v>
      </c>
      <c r="O200" s="443">
        <f t="shared" si="96"/>
        <v>21866.25</v>
      </c>
      <c r="P200" s="443">
        <f t="shared" si="96"/>
        <v>21866.25</v>
      </c>
      <c r="Q200" s="444">
        <f t="shared" si="96"/>
        <v>262395</v>
      </c>
    </row>
    <row r="201" ht="15.75" customHeight="1" outlineLevel="1">
      <c r="A201" s="12"/>
      <c r="B201" s="7"/>
      <c r="C201" s="12"/>
      <c r="D201" s="12"/>
      <c r="E201" s="12"/>
      <c r="F201" s="12"/>
      <c r="G201" s="12"/>
      <c r="H201" s="12"/>
      <c r="I201" s="12"/>
      <c r="J201" s="12"/>
      <c r="K201" s="12"/>
      <c r="L201" s="12"/>
      <c r="M201" s="12"/>
      <c r="N201" s="12"/>
      <c r="O201" s="12"/>
      <c r="P201" s="12"/>
      <c r="Q201" s="25"/>
    </row>
    <row r="202" ht="15.0" customHeight="1" outlineLevel="1">
      <c r="A202" s="12"/>
      <c r="B202" s="7"/>
      <c r="C202" s="12"/>
      <c r="D202" s="12"/>
      <c r="E202" s="12"/>
      <c r="F202" s="12"/>
      <c r="G202" s="12"/>
      <c r="H202" s="12"/>
      <c r="I202" s="12"/>
      <c r="J202" s="12"/>
      <c r="K202" s="12"/>
      <c r="L202" s="12"/>
      <c r="M202" s="12"/>
      <c r="N202" s="12"/>
      <c r="O202" s="12"/>
      <c r="P202" s="12"/>
      <c r="Q202" s="25"/>
    </row>
    <row r="203" ht="15.75" customHeight="1" outlineLevel="1">
      <c r="A203" s="434" t="s">
        <v>389</v>
      </c>
      <c r="B203" s="435"/>
      <c r="C203" s="436"/>
      <c r="D203" s="436"/>
      <c r="E203" s="436"/>
      <c r="F203" s="436"/>
      <c r="G203" s="436"/>
      <c r="H203" s="436"/>
      <c r="I203" s="436"/>
      <c r="J203" s="436"/>
      <c r="K203" s="436"/>
      <c r="L203" s="436"/>
      <c r="M203" s="436"/>
      <c r="N203" s="436"/>
      <c r="O203" s="436"/>
      <c r="P203" s="436"/>
      <c r="Q203" s="434"/>
      <c r="R203" s="436"/>
    </row>
    <row r="204" ht="15.75" customHeight="1" outlineLevel="1">
      <c r="A204" s="12" t="s">
        <v>363</v>
      </c>
      <c r="B204" s="7"/>
      <c r="C204" s="12"/>
      <c r="D204" s="12"/>
      <c r="E204" s="153">
        <f>'Personnel Summary'!E65</f>
        <v>0</v>
      </c>
      <c r="F204" s="153">
        <f>'Personnel Summary'!F65</f>
        <v>0</v>
      </c>
      <c r="G204" s="153">
        <f>'Personnel Summary'!G65</f>
        <v>0</v>
      </c>
      <c r="H204" s="153">
        <f>'Personnel Summary'!H65</f>
        <v>0</v>
      </c>
      <c r="I204" s="153">
        <f>'Personnel Summary'!I65</f>
        <v>0</v>
      </c>
      <c r="J204" s="153">
        <f>'Personnel Summary'!J65</f>
        <v>0</v>
      </c>
      <c r="K204" s="153">
        <f>'Personnel Summary'!K65</f>
        <v>0</v>
      </c>
      <c r="L204" s="153">
        <f>'Personnel Summary'!L65</f>
        <v>0</v>
      </c>
      <c r="M204" s="153">
        <f>'Personnel Summary'!M65</f>
        <v>0</v>
      </c>
      <c r="N204" s="153">
        <f>'Personnel Summary'!N65</f>
        <v>0</v>
      </c>
      <c r="O204" s="153">
        <f>'Personnel Summary'!O65</f>
        <v>0</v>
      </c>
      <c r="P204" s="153">
        <f>'Personnel Summary'!P65</f>
        <v>0</v>
      </c>
      <c r="Q204" s="481">
        <f t="shared" ref="Q204:Q206" si="97">SUM(E204:P204)</f>
        <v>0</v>
      </c>
    </row>
    <row r="205" ht="15.0" customHeight="1" outlineLevel="1">
      <c r="A205" s="12" t="s">
        <v>365</v>
      </c>
      <c r="B205" s="7"/>
      <c r="C205" s="12"/>
      <c r="D205" s="12"/>
      <c r="E205" s="302">
        <f>'Personnel Summary'!E66</f>
        <v>4420.416667</v>
      </c>
      <c r="F205" s="302">
        <f>'Personnel Summary'!F66</f>
        <v>4420.416667</v>
      </c>
      <c r="G205" s="302">
        <f>'Personnel Summary'!G66</f>
        <v>4420.416667</v>
      </c>
      <c r="H205" s="302">
        <f>'Personnel Summary'!H66</f>
        <v>4420.416667</v>
      </c>
      <c r="I205" s="302">
        <f>'Personnel Summary'!I66</f>
        <v>4420.416667</v>
      </c>
      <c r="J205" s="302">
        <f>'Personnel Summary'!J66</f>
        <v>4420.416667</v>
      </c>
      <c r="K205" s="302">
        <f>'Personnel Summary'!K66</f>
        <v>4420.416667</v>
      </c>
      <c r="L205" s="302">
        <f>'Personnel Summary'!L66</f>
        <v>4420.416667</v>
      </c>
      <c r="M205" s="302">
        <f>'Personnel Summary'!M66</f>
        <v>4420.416667</v>
      </c>
      <c r="N205" s="302">
        <f>'Personnel Summary'!N66</f>
        <v>4420.416667</v>
      </c>
      <c r="O205" s="302">
        <f>'Personnel Summary'!O66</f>
        <v>4420.416667</v>
      </c>
      <c r="P205" s="302">
        <f>'Personnel Summary'!P66</f>
        <v>4420.416667</v>
      </c>
      <c r="Q205" s="302">
        <f t="shared" si="97"/>
        <v>53045</v>
      </c>
    </row>
    <row r="206" ht="15.75" customHeight="1" outlineLevel="1">
      <c r="A206" s="12" t="s">
        <v>366</v>
      </c>
      <c r="B206" s="7"/>
      <c r="C206" s="12"/>
      <c r="D206" s="12"/>
      <c r="E206" s="302">
        <f>'Personnel Summary'!E67</f>
        <v>0</v>
      </c>
      <c r="F206" s="302">
        <f>'Personnel Summary'!F67</f>
        <v>0</v>
      </c>
      <c r="G206" s="302">
        <f>'Personnel Summary'!G67</f>
        <v>0</v>
      </c>
      <c r="H206" s="302">
        <f>'Personnel Summary'!H67</f>
        <v>0</v>
      </c>
      <c r="I206" s="302">
        <f>'Personnel Summary'!I67</f>
        <v>0</v>
      </c>
      <c r="J206" s="302">
        <f>'Personnel Summary'!J67</f>
        <v>0</v>
      </c>
      <c r="K206" s="302">
        <f>'Personnel Summary'!K67</f>
        <v>0</v>
      </c>
      <c r="L206" s="302">
        <f>'Personnel Summary'!L67</f>
        <v>0</v>
      </c>
      <c r="M206" s="302">
        <f>'Personnel Summary'!M67</f>
        <v>0</v>
      </c>
      <c r="N206" s="302">
        <f>'Personnel Summary'!N67</f>
        <v>0</v>
      </c>
      <c r="O206" s="302">
        <f>'Personnel Summary'!O67</f>
        <v>0</v>
      </c>
      <c r="P206" s="302">
        <f>'Personnel Summary'!P67</f>
        <v>0</v>
      </c>
      <c r="Q206" s="302">
        <f t="shared" si="97"/>
        <v>0</v>
      </c>
    </row>
    <row r="207" ht="15.75" customHeight="1" outlineLevel="1">
      <c r="A207" s="133" t="s">
        <v>391</v>
      </c>
      <c r="B207" s="7"/>
      <c r="C207" s="12"/>
      <c r="D207" s="12"/>
      <c r="E207" s="321">
        <f t="shared" ref="E207:Q207" si="98">SUM(E204:E206)</f>
        <v>4420.416667</v>
      </c>
      <c r="F207" s="321">
        <f t="shared" si="98"/>
        <v>4420.416667</v>
      </c>
      <c r="G207" s="321">
        <f t="shared" si="98"/>
        <v>4420.416667</v>
      </c>
      <c r="H207" s="321">
        <f t="shared" si="98"/>
        <v>4420.416667</v>
      </c>
      <c r="I207" s="321">
        <f t="shared" si="98"/>
        <v>4420.416667</v>
      </c>
      <c r="J207" s="321">
        <f t="shared" si="98"/>
        <v>4420.416667</v>
      </c>
      <c r="K207" s="321">
        <f t="shared" si="98"/>
        <v>4420.416667</v>
      </c>
      <c r="L207" s="321">
        <f t="shared" si="98"/>
        <v>4420.416667</v>
      </c>
      <c r="M207" s="321">
        <f t="shared" si="98"/>
        <v>4420.416667</v>
      </c>
      <c r="N207" s="321">
        <f t="shared" si="98"/>
        <v>4420.416667</v>
      </c>
      <c r="O207" s="321">
        <f t="shared" si="98"/>
        <v>4420.416667</v>
      </c>
      <c r="P207" s="321">
        <f t="shared" si="98"/>
        <v>4420.416667</v>
      </c>
      <c r="Q207" s="441">
        <f t="shared" si="98"/>
        <v>53045</v>
      </c>
    </row>
    <row r="208" ht="15.0" customHeight="1" outlineLevel="1">
      <c r="A208" s="12"/>
      <c r="B208" s="7"/>
      <c r="C208" s="12"/>
      <c r="D208" s="12"/>
      <c r="E208" s="12"/>
      <c r="F208" s="12"/>
      <c r="G208" s="12"/>
      <c r="H208" s="12"/>
      <c r="I208" s="12"/>
      <c r="J208" s="12"/>
      <c r="K208" s="12"/>
      <c r="L208" s="12"/>
      <c r="M208" s="12"/>
      <c r="N208" s="12"/>
      <c r="O208" s="12"/>
      <c r="P208" s="12"/>
      <c r="Q208" s="25"/>
    </row>
    <row r="209" ht="15.75" customHeight="1" outlineLevel="1">
      <c r="A209" s="434" t="s">
        <v>392</v>
      </c>
      <c r="B209" s="435"/>
      <c r="C209" s="436"/>
      <c r="D209" s="436"/>
      <c r="E209" s="436"/>
      <c r="F209" s="436"/>
      <c r="G209" s="436"/>
      <c r="H209" s="436"/>
      <c r="I209" s="436"/>
      <c r="J209" s="436"/>
      <c r="K209" s="436"/>
      <c r="L209" s="436"/>
      <c r="M209" s="436"/>
      <c r="N209" s="436"/>
      <c r="O209" s="436"/>
      <c r="P209" s="436"/>
      <c r="Q209" s="434"/>
      <c r="R209" s="436"/>
    </row>
    <row r="210" ht="15.75" customHeight="1" outlineLevel="1">
      <c r="A210" s="12" t="str">
        <f t="shared" ref="A210:A244" si="100">A37</f>
        <v>Mortgage</v>
      </c>
      <c r="B210" s="7"/>
      <c r="C210" s="12"/>
      <c r="D210" s="12"/>
      <c r="E210" s="67">
        <f>'Expenses Summary'!L8/12</f>
        <v>0</v>
      </c>
      <c r="F210" s="67">
        <f t="shared" ref="F210:P210" si="99">E210</f>
        <v>0</v>
      </c>
      <c r="G210" s="67">
        <f t="shared" si="99"/>
        <v>0</v>
      </c>
      <c r="H210" s="67">
        <f t="shared" si="99"/>
        <v>0</v>
      </c>
      <c r="I210" s="67">
        <f t="shared" si="99"/>
        <v>0</v>
      </c>
      <c r="J210" s="67">
        <f t="shared" si="99"/>
        <v>0</v>
      </c>
      <c r="K210" s="67">
        <f t="shared" si="99"/>
        <v>0</v>
      </c>
      <c r="L210" s="67">
        <f t="shared" si="99"/>
        <v>0</v>
      </c>
      <c r="M210" s="67">
        <f t="shared" si="99"/>
        <v>0</v>
      </c>
      <c r="N210" s="67">
        <f t="shared" si="99"/>
        <v>0</v>
      </c>
      <c r="O210" s="67">
        <f t="shared" si="99"/>
        <v>0</v>
      </c>
      <c r="P210" s="67">
        <f t="shared" si="99"/>
        <v>0</v>
      </c>
      <c r="Q210" s="438">
        <f t="shared" ref="Q210:Q244" si="102">SUM(E210:P210)</f>
        <v>0</v>
      </c>
    </row>
    <row r="211" ht="15.0" customHeight="1" outlineLevel="1">
      <c r="A211" s="12" t="str">
        <f t="shared" si="100"/>
        <v>Rent</v>
      </c>
      <c r="B211" s="7"/>
      <c r="C211" s="12"/>
      <c r="D211" s="12"/>
      <c r="E211" s="302">
        <f>'Expenses Summary'!L9/12</f>
        <v>0</v>
      </c>
      <c r="F211" s="302">
        <f t="shared" ref="F211:P211" si="101">E211</f>
        <v>0</v>
      </c>
      <c r="G211" s="302">
        <f t="shared" si="101"/>
        <v>0</v>
      </c>
      <c r="H211" s="302">
        <f t="shared" si="101"/>
        <v>0</v>
      </c>
      <c r="I211" s="302">
        <f t="shared" si="101"/>
        <v>0</v>
      </c>
      <c r="J211" s="302">
        <f t="shared" si="101"/>
        <v>0</v>
      </c>
      <c r="K211" s="302">
        <f t="shared" si="101"/>
        <v>0</v>
      </c>
      <c r="L211" s="302">
        <f t="shared" si="101"/>
        <v>0</v>
      </c>
      <c r="M211" s="302">
        <f t="shared" si="101"/>
        <v>0</v>
      </c>
      <c r="N211" s="302">
        <f t="shared" si="101"/>
        <v>0</v>
      </c>
      <c r="O211" s="302">
        <f t="shared" si="101"/>
        <v>0</v>
      </c>
      <c r="P211" s="302">
        <f t="shared" si="101"/>
        <v>0</v>
      </c>
      <c r="Q211" s="399">
        <f t="shared" si="102"/>
        <v>0</v>
      </c>
    </row>
    <row r="212" ht="15.0" customHeight="1" outlineLevel="1">
      <c r="A212" s="12" t="str">
        <f t="shared" si="100"/>
        <v>Renovations</v>
      </c>
      <c r="B212" s="7"/>
      <c r="C212" s="12"/>
      <c r="D212" s="12"/>
      <c r="E212" s="302">
        <f>'Expenses Summary'!L10/12</f>
        <v>0</v>
      </c>
      <c r="F212" s="302">
        <f t="shared" ref="F212:P212" si="103">E212</f>
        <v>0</v>
      </c>
      <c r="G212" s="302">
        <f t="shared" si="103"/>
        <v>0</v>
      </c>
      <c r="H212" s="302">
        <f t="shared" si="103"/>
        <v>0</v>
      </c>
      <c r="I212" s="302">
        <f t="shared" si="103"/>
        <v>0</v>
      </c>
      <c r="J212" s="302">
        <f t="shared" si="103"/>
        <v>0</v>
      </c>
      <c r="K212" s="302">
        <f t="shared" si="103"/>
        <v>0</v>
      </c>
      <c r="L212" s="302">
        <f t="shared" si="103"/>
        <v>0</v>
      </c>
      <c r="M212" s="302">
        <f t="shared" si="103"/>
        <v>0</v>
      </c>
      <c r="N212" s="302">
        <f t="shared" si="103"/>
        <v>0</v>
      </c>
      <c r="O212" s="302">
        <f t="shared" si="103"/>
        <v>0</v>
      </c>
      <c r="P212" s="302">
        <f t="shared" si="103"/>
        <v>0</v>
      </c>
      <c r="Q212" s="399">
        <f t="shared" si="102"/>
        <v>0</v>
      </c>
    </row>
    <row r="213" ht="15.0" customHeight="1" outlineLevel="1">
      <c r="A213" s="12" t="str">
        <f t="shared" si="100"/>
        <v>Equipment Leasing</v>
      </c>
      <c r="B213" s="7"/>
      <c r="C213" s="12"/>
      <c r="D213" s="12"/>
      <c r="E213" s="302">
        <f>'Expenses Summary'!L11/12</f>
        <v>0</v>
      </c>
      <c r="F213" s="302">
        <f t="shared" ref="F213:P213" si="104">E213</f>
        <v>0</v>
      </c>
      <c r="G213" s="302">
        <f t="shared" si="104"/>
        <v>0</v>
      </c>
      <c r="H213" s="302">
        <f t="shared" si="104"/>
        <v>0</v>
      </c>
      <c r="I213" s="302">
        <f t="shared" si="104"/>
        <v>0</v>
      </c>
      <c r="J213" s="302">
        <f t="shared" si="104"/>
        <v>0</v>
      </c>
      <c r="K213" s="302">
        <f t="shared" si="104"/>
        <v>0</v>
      </c>
      <c r="L213" s="302">
        <f t="shared" si="104"/>
        <v>0</v>
      </c>
      <c r="M213" s="302">
        <f t="shared" si="104"/>
        <v>0</v>
      </c>
      <c r="N213" s="302">
        <f t="shared" si="104"/>
        <v>0</v>
      </c>
      <c r="O213" s="302">
        <f t="shared" si="104"/>
        <v>0</v>
      </c>
      <c r="P213" s="302">
        <f t="shared" si="104"/>
        <v>0</v>
      </c>
      <c r="Q213" s="399">
        <f t="shared" si="102"/>
        <v>0</v>
      </c>
    </row>
    <row r="214" ht="15.0" customHeight="1" outlineLevel="1">
      <c r="A214" s="12" t="str">
        <f t="shared" si="100"/>
        <v>Fixtures Leasing</v>
      </c>
      <c r="B214" s="7"/>
      <c r="C214" s="12"/>
      <c r="D214" s="12"/>
      <c r="E214" s="302">
        <f>'Expenses Summary'!L12/12</f>
        <v>0</v>
      </c>
      <c r="F214" s="302">
        <f t="shared" ref="F214:P214" si="105">E214</f>
        <v>0</v>
      </c>
      <c r="G214" s="302">
        <f t="shared" si="105"/>
        <v>0</v>
      </c>
      <c r="H214" s="302">
        <f t="shared" si="105"/>
        <v>0</v>
      </c>
      <c r="I214" s="302">
        <f t="shared" si="105"/>
        <v>0</v>
      </c>
      <c r="J214" s="302">
        <f t="shared" si="105"/>
        <v>0</v>
      </c>
      <c r="K214" s="302">
        <f t="shared" si="105"/>
        <v>0</v>
      </c>
      <c r="L214" s="302">
        <f t="shared" si="105"/>
        <v>0</v>
      </c>
      <c r="M214" s="302">
        <f t="shared" si="105"/>
        <v>0</v>
      </c>
      <c r="N214" s="302">
        <f t="shared" si="105"/>
        <v>0</v>
      </c>
      <c r="O214" s="302">
        <f t="shared" si="105"/>
        <v>0</v>
      </c>
      <c r="P214" s="302">
        <f t="shared" si="105"/>
        <v>0</v>
      </c>
      <c r="Q214" s="399">
        <f t="shared" si="102"/>
        <v>0</v>
      </c>
    </row>
    <row r="215" ht="15.0" customHeight="1" outlineLevel="1">
      <c r="A215" s="12" t="str">
        <f t="shared" si="100"/>
        <v>Furniture Rental/Leasing</v>
      </c>
      <c r="B215" s="7"/>
      <c r="C215" s="12"/>
      <c r="D215" s="12"/>
      <c r="E215" s="302">
        <f>'Expenses Summary'!L13/12</f>
        <v>0</v>
      </c>
      <c r="F215" s="302">
        <f t="shared" ref="F215:P215" si="106">E215</f>
        <v>0</v>
      </c>
      <c r="G215" s="302">
        <f t="shared" si="106"/>
        <v>0</v>
      </c>
      <c r="H215" s="302">
        <f t="shared" si="106"/>
        <v>0</v>
      </c>
      <c r="I215" s="302">
        <f t="shared" si="106"/>
        <v>0</v>
      </c>
      <c r="J215" s="302">
        <f t="shared" si="106"/>
        <v>0</v>
      </c>
      <c r="K215" s="302">
        <f t="shared" si="106"/>
        <v>0</v>
      </c>
      <c r="L215" s="302">
        <f t="shared" si="106"/>
        <v>0</v>
      </c>
      <c r="M215" s="302">
        <f t="shared" si="106"/>
        <v>0</v>
      </c>
      <c r="N215" s="302">
        <f t="shared" si="106"/>
        <v>0</v>
      </c>
      <c r="O215" s="302">
        <f t="shared" si="106"/>
        <v>0</v>
      </c>
      <c r="P215" s="302">
        <f t="shared" si="106"/>
        <v>0</v>
      </c>
      <c r="Q215" s="399">
        <f t="shared" si="102"/>
        <v>0</v>
      </c>
    </row>
    <row r="216" ht="15.0" customHeight="1" outlineLevel="1">
      <c r="A216" s="12" t="str">
        <f t="shared" si="100"/>
        <v>Vehicles Leasing &amp; Other Expenses</v>
      </c>
      <c r="B216" s="7"/>
      <c r="C216" s="12"/>
      <c r="D216" s="12"/>
      <c r="E216" s="302">
        <f>'Expenses Summary'!L14/12</f>
        <v>0</v>
      </c>
      <c r="F216" s="302">
        <f t="shared" ref="F216:P216" si="107">E216</f>
        <v>0</v>
      </c>
      <c r="G216" s="302">
        <f t="shared" si="107"/>
        <v>0</v>
      </c>
      <c r="H216" s="302">
        <f t="shared" si="107"/>
        <v>0</v>
      </c>
      <c r="I216" s="302">
        <f t="shared" si="107"/>
        <v>0</v>
      </c>
      <c r="J216" s="302">
        <f t="shared" si="107"/>
        <v>0</v>
      </c>
      <c r="K216" s="302">
        <f t="shared" si="107"/>
        <v>0</v>
      </c>
      <c r="L216" s="302">
        <f t="shared" si="107"/>
        <v>0</v>
      </c>
      <c r="M216" s="302">
        <f t="shared" si="107"/>
        <v>0</v>
      </c>
      <c r="N216" s="302">
        <f t="shared" si="107"/>
        <v>0</v>
      </c>
      <c r="O216" s="302">
        <f t="shared" si="107"/>
        <v>0</v>
      </c>
      <c r="P216" s="302">
        <f t="shared" si="107"/>
        <v>0</v>
      </c>
      <c r="Q216" s="399">
        <f t="shared" si="102"/>
        <v>0</v>
      </c>
    </row>
    <row r="217" ht="15.0" customHeight="1" outlineLevel="1">
      <c r="A217" s="12" t="str">
        <f t="shared" si="100"/>
        <v>Mileage</v>
      </c>
      <c r="B217" s="7"/>
      <c r="C217" s="12"/>
      <c r="D217" s="12"/>
      <c r="E217" s="302">
        <f>'Expenses Summary'!L15/12</f>
        <v>0</v>
      </c>
      <c r="F217" s="302">
        <f t="shared" ref="F217:P217" si="108">E217</f>
        <v>0</v>
      </c>
      <c r="G217" s="302">
        <f t="shared" si="108"/>
        <v>0</v>
      </c>
      <c r="H217" s="302">
        <f t="shared" si="108"/>
        <v>0</v>
      </c>
      <c r="I217" s="302">
        <f t="shared" si="108"/>
        <v>0</v>
      </c>
      <c r="J217" s="302">
        <f t="shared" si="108"/>
        <v>0</v>
      </c>
      <c r="K217" s="302">
        <f t="shared" si="108"/>
        <v>0</v>
      </c>
      <c r="L217" s="302">
        <f t="shared" si="108"/>
        <v>0</v>
      </c>
      <c r="M217" s="302">
        <f t="shared" si="108"/>
        <v>0</v>
      </c>
      <c r="N217" s="302">
        <f t="shared" si="108"/>
        <v>0</v>
      </c>
      <c r="O217" s="302">
        <f t="shared" si="108"/>
        <v>0</v>
      </c>
      <c r="P217" s="302">
        <f t="shared" si="108"/>
        <v>0</v>
      </c>
      <c r="Q217" s="399">
        <f t="shared" si="102"/>
        <v>0</v>
      </c>
    </row>
    <row r="218" ht="15.0" customHeight="1" outlineLevel="1">
      <c r="A218" s="12" t="str">
        <f t="shared" si="100"/>
        <v>Utilities</v>
      </c>
      <c r="B218" s="7"/>
      <c r="C218" s="12"/>
      <c r="D218" s="12"/>
      <c r="E218" s="302">
        <f>'Expenses Summary'!L16/12</f>
        <v>0</v>
      </c>
      <c r="F218" s="302">
        <f t="shared" ref="F218:P218" si="109">E218</f>
        <v>0</v>
      </c>
      <c r="G218" s="302">
        <f t="shared" si="109"/>
        <v>0</v>
      </c>
      <c r="H218" s="302">
        <f t="shared" si="109"/>
        <v>0</v>
      </c>
      <c r="I218" s="302">
        <f t="shared" si="109"/>
        <v>0</v>
      </c>
      <c r="J218" s="302">
        <f t="shared" si="109"/>
        <v>0</v>
      </c>
      <c r="K218" s="302">
        <f t="shared" si="109"/>
        <v>0</v>
      </c>
      <c r="L218" s="302">
        <f t="shared" si="109"/>
        <v>0</v>
      </c>
      <c r="M218" s="302">
        <f t="shared" si="109"/>
        <v>0</v>
      </c>
      <c r="N218" s="302">
        <f t="shared" si="109"/>
        <v>0</v>
      </c>
      <c r="O218" s="302">
        <f t="shared" si="109"/>
        <v>0</v>
      </c>
      <c r="P218" s="302">
        <f t="shared" si="109"/>
        <v>0</v>
      </c>
      <c r="Q218" s="399">
        <f t="shared" si="102"/>
        <v>0</v>
      </c>
    </row>
    <row r="219" ht="15.0" customHeight="1" outlineLevel="1">
      <c r="A219" s="12" t="str">
        <f t="shared" si="100"/>
        <v>Telephone</v>
      </c>
      <c r="B219" s="7"/>
      <c r="C219" s="12"/>
      <c r="D219" s="12"/>
      <c r="E219" s="302">
        <f>'Expenses Summary'!L17/12</f>
        <v>275.625</v>
      </c>
      <c r="F219" s="302">
        <f t="shared" ref="F219:P219" si="110">E219</f>
        <v>275.625</v>
      </c>
      <c r="G219" s="302">
        <f t="shared" si="110"/>
        <v>275.625</v>
      </c>
      <c r="H219" s="302">
        <f t="shared" si="110"/>
        <v>275.625</v>
      </c>
      <c r="I219" s="302">
        <f t="shared" si="110"/>
        <v>275.625</v>
      </c>
      <c r="J219" s="302">
        <f t="shared" si="110"/>
        <v>275.625</v>
      </c>
      <c r="K219" s="302">
        <f t="shared" si="110"/>
        <v>275.625</v>
      </c>
      <c r="L219" s="302">
        <f t="shared" si="110"/>
        <v>275.625</v>
      </c>
      <c r="M219" s="302">
        <f t="shared" si="110"/>
        <v>275.625</v>
      </c>
      <c r="N219" s="302">
        <f t="shared" si="110"/>
        <v>275.625</v>
      </c>
      <c r="O219" s="302">
        <f t="shared" si="110"/>
        <v>275.625</v>
      </c>
      <c r="P219" s="302">
        <f t="shared" si="110"/>
        <v>275.625</v>
      </c>
      <c r="Q219" s="399">
        <f t="shared" si="102"/>
        <v>3307.5</v>
      </c>
    </row>
    <row r="220" ht="15.0" customHeight="1" outlineLevel="1">
      <c r="A220" s="12" t="str">
        <f t="shared" si="100"/>
        <v>Insurance</v>
      </c>
      <c r="B220" s="7"/>
      <c r="C220" s="12"/>
      <c r="D220" s="12"/>
      <c r="E220" s="302">
        <f>'Expenses Summary'!L18/12</f>
        <v>1102.5</v>
      </c>
      <c r="F220" s="302">
        <f t="shared" ref="F220:P220" si="111">E220</f>
        <v>1102.5</v>
      </c>
      <c r="G220" s="302">
        <f t="shared" si="111"/>
        <v>1102.5</v>
      </c>
      <c r="H220" s="302">
        <f t="shared" si="111"/>
        <v>1102.5</v>
      </c>
      <c r="I220" s="302">
        <f t="shared" si="111"/>
        <v>1102.5</v>
      </c>
      <c r="J220" s="302">
        <f t="shared" si="111"/>
        <v>1102.5</v>
      </c>
      <c r="K220" s="302">
        <f t="shared" si="111"/>
        <v>1102.5</v>
      </c>
      <c r="L220" s="302">
        <f t="shared" si="111"/>
        <v>1102.5</v>
      </c>
      <c r="M220" s="302">
        <f t="shared" si="111"/>
        <v>1102.5</v>
      </c>
      <c r="N220" s="302">
        <f t="shared" si="111"/>
        <v>1102.5</v>
      </c>
      <c r="O220" s="302">
        <f t="shared" si="111"/>
        <v>1102.5</v>
      </c>
      <c r="P220" s="302">
        <f t="shared" si="111"/>
        <v>1102.5</v>
      </c>
      <c r="Q220" s="399">
        <f t="shared" si="102"/>
        <v>13230</v>
      </c>
    </row>
    <row r="221" ht="15.0" customHeight="1" outlineLevel="1">
      <c r="A221" s="12" t="str">
        <f t="shared" si="100"/>
        <v>Licenses</v>
      </c>
      <c r="B221" s="7"/>
      <c r="C221" s="12"/>
      <c r="D221" s="12"/>
      <c r="E221" s="302">
        <f>'Expenses Summary'!L19/12</f>
        <v>0</v>
      </c>
      <c r="F221" s="302">
        <f t="shared" ref="F221:P221" si="112">E221</f>
        <v>0</v>
      </c>
      <c r="G221" s="302">
        <f t="shared" si="112"/>
        <v>0</v>
      </c>
      <c r="H221" s="302">
        <f t="shared" si="112"/>
        <v>0</v>
      </c>
      <c r="I221" s="302">
        <f t="shared" si="112"/>
        <v>0</v>
      </c>
      <c r="J221" s="302">
        <f t="shared" si="112"/>
        <v>0</v>
      </c>
      <c r="K221" s="302">
        <f t="shared" si="112"/>
        <v>0</v>
      </c>
      <c r="L221" s="302">
        <f t="shared" si="112"/>
        <v>0</v>
      </c>
      <c r="M221" s="302">
        <f t="shared" si="112"/>
        <v>0</v>
      </c>
      <c r="N221" s="302">
        <f t="shared" si="112"/>
        <v>0</v>
      </c>
      <c r="O221" s="302">
        <f t="shared" si="112"/>
        <v>0</v>
      </c>
      <c r="P221" s="302">
        <f t="shared" si="112"/>
        <v>0</v>
      </c>
      <c r="Q221" s="399">
        <f t="shared" si="102"/>
        <v>0</v>
      </c>
    </row>
    <row r="222" ht="15.0" customHeight="1" outlineLevel="1">
      <c r="A222" s="12" t="str">
        <f t="shared" si="100"/>
        <v>Bank or Merchant Fees</v>
      </c>
      <c r="B222" s="7"/>
      <c r="C222" s="12"/>
      <c r="D222" s="12"/>
      <c r="E222" s="302">
        <f>'Expenses Summary'!L20/12</f>
        <v>0</v>
      </c>
      <c r="F222" s="302">
        <f t="shared" ref="F222:P222" si="113">E222</f>
        <v>0</v>
      </c>
      <c r="G222" s="302">
        <f t="shared" si="113"/>
        <v>0</v>
      </c>
      <c r="H222" s="302">
        <f t="shared" si="113"/>
        <v>0</v>
      </c>
      <c r="I222" s="302">
        <f t="shared" si="113"/>
        <v>0</v>
      </c>
      <c r="J222" s="302">
        <f t="shared" si="113"/>
        <v>0</v>
      </c>
      <c r="K222" s="302">
        <f t="shared" si="113"/>
        <v>0</v>
      </c>
      <c r="L222" s="302">
        <f t="shared" si="113"/>
        <v>0</v>
      </c>
      <c r="M222" s="302">
        <f t="shared" si="113"/>
        <v>0</v>
      </c>
      <c r="N222" s="302">
        <f t="shared" si="113"/>
        <v>0</v>
      </c>
      <c r="O222" s="302">
        <f t="shared" si="113"/>
        <v>0</v>
      </c>
      <c r="P222" s="302">
        <f t="shared" si="113"/>
        <v>0</v>
      </c>
      <c r="Q222" s="399">
        <f t="shared" si="102"/>
        <v>0</v>
      </c>
    </row>
    <row r="223" ht="15.0" customHeight="1" outlineLevel="1">
      <c r="A223" s="12" t="str">
        <f t="shared" si="100"/>
        <v>Web Maintenance</v>
      </c>
      <c r="B223" s="7"/>
      <c r="C223" s="12"/>
      <c r="D223" s="12"/>
      <c r="E223" s="302">
        <f>'Expenses Summary'!L21/12</f>
        <v>0</v>
      </c>
      <c r="F223" s="302">
        <f t="shared" ref="F223:P223" si="114">E223</f>
        <v>0</v>
      </c>
      <c r="G223" s="302">
        <f t="shared" si="114"/>
        <v>0</v>
      </c>
      <c r="H223" s="302">
        <f t="shared" si="114"/>
        <v>0</v>
      </c>
      <c r="I223" s="302">
        <f t="shared" si="114"/>
        <v>0</v>
      </c>
      <c r="J223" s="302">
        <f t="shared" si="114"/>
        <v>0</v>
      </c>
      <c r="K223" s="302">
        <f t="shared" si="114"/>
        <v>0</v>
      </c>
      <c r="L223" s="302">
        <f t="shared" si="114"/>
        <v>0</v>
      </c>
      <c r="M223" s="302">
        <f t="shared" si="114"/>
        <v>0</v>
      </c>
      <c r="N223" s="302">
        <f t="shared" si="114"/>
        <v>0</v>
      </c>
      <c r="O223" s="302">
        <f t="shared" si="114"/>
        <v>0</v>
      </c>
      <c r="P223" s="302">
        <f t="shared" si="114"/>
        <v>0</v>
      </c>
      <c r="Q223" s="399">
        <f t="shared" si="102"/>
        <v>0</v>
      </c>
    </row>
    <row r="224" ht="15.0" customHeight="1" outlineLevel="1">
      <c r="A224" s="12" t="str">
        <f t="shared" si="100"/>
        <v>Web Hosting</v>
      </c>
      <c r="B224" s="7"/>
      <c r="C224" s="12"/>
      <c r="D224" s="12"/>
      <c r="E224" s="302">
        <f>'Expenses Summary'!L22/12</f>
        <v>55.125</v>
      </c>
      <c r="F224" s="302">
        <f t="shared" ref="F224:P224" si="115">E224</f>
        <v>55.125</v>
      </c>
      <c r="G224" s="302">
        <f t="shared" si="115"/>
        <v>55.125</v>
      </c>
      <c r="H224" s="302">
        <f t="shared" si="115"/>
        <v>55.125</v>
      </c>
      <c r="I224" s="302">
        <f t="shared" si="115"/>
        <v>55.125</v>
      </c>
      <c r="J224" s="302">
        <f t="shared" si="115"/>
        <v>55.125</v>
      </c>
      <c r="K224" s="302">
        <f t="shared" si="115"/>
        <v>55.125</v>
      </c>
      <c r="L224" s="302">
        <f t="shared" si="115"/>
        <v>55.125</v>
      </c>
      <c r="M224" s="302">
        <f t="shared" si="115"/>
        <v>55.125</v>
      </c>
      <c r="N224" s="302">
        <f t="shared" si="115"/>
        <v>55.125</v>
      </c>
      <c r="O224" s="302">
        <f t="shared" si="115"/>
        <v>55.125</v>
      </c>
      <c r="P224" s="302">
        <f t="shared" si="115"/>
        <v>55.125</v>
      </c>
      <c r="Q224" s="399">
        <f t="shared" si="102"/>
        <v>661.5</v>
      </c>
    </row>
    <row r="225" ht="15.0" customHeight="1" outlineLevel="1">
      <c r="A225" s="12" t="str">
        <f t="shared" si="100"/>
        <v>Software</v>
      </c>
      <c r="B225" s="7"/>
      <c r="C225" s="12"/>
      <c r="D225" s="12"/>
      <c r="E225" s="302">
        <f>'Expenses Summary'!L23/12</f>
        <v>0</v>
      </c>
      <c r="F225" s="302">
        <f t="shared" ref="F225:P225" si="116">E225</f>
        <v>0</v>
      </c>
      <c r="G225" s="302">
        <f t="shared" si="116"/>
        <v>0</v>
      </c>
      <c r="H225" s="302">
        <f t="shared" si="116"/>
        <v>0</v>
      </c>
      <c r="I225" s="302">
        <f t="shared" si="116"/>
        <v>0</v>
      </c>
      <c r="J225" s="302">
        <f t="shared" si="116"/>
        <v>0</v>
      </c>
      <c r="K225" s="302">
        <f t="shared" si="116"/>
        <v>0</v>
      </c>
      <c r="L225" s="302">
        <f t="shared" si="116"/>
        <v>0</v>
      </c>
      <c r="M225" s="302">
        <f t="shared" si="116"/>
        <v>0</v>
      </c>
      <c r="N225" s="302">
        <f t="shared" si="116"/>
        <v>0</v>
      </c>
      <c r="O225" s="302">
        <f t="shared" si="116"/>
        <v>0</v>
      </c>
      <c r="P225" s="302">
        <f t="shared" si="116"/>
        <v>0</v>
      </c>
      <c r="Q225" s="399">
        <f t="shared" si="102"/>
        <v>0</v>
      </c>
    </row>
    <row r="226" ht="15.0" customHeight="1" outlineLevel="1">
      <c r="A226" s="12" t="str">
        <f t="shared" si="100"/>
        <v>Postage</v>
      </c>
      <c r="B226" s="7"/>
      <c r="C226" s="12"/>
      <c r="D226" s="12"/>
      <c r="E226" s="302">
        <f>'Expenses Summary'!L24/12</f>
        <v>165.375</v>
      </c>
      <c r="F226" s="302">
        <f t="shared" ref="F226:P226" si="117">E226</f>
        <v>165.375</v>
      </c>
      <c r="G226" s="302">
        <f t="shared" si="117"/>
        <v>165.375</v>
      </c>
      <c r="H226" s="302">
        <f t="shared" si="117"/>
        <v>165.375</v>
      </c>
      <c r="I226" s="302">
        <f t="shared" si="117"/>
        <v>165.375</v>
      </c>
      <c r="J226" s="302">
        <f t="shared" si="117"/>
        <v>165.375</v>
      </c>
      <c r="K226" s="302">
        <f t="shared" si="117"/>
        <v>165.375</v>
      </c>
      <c r="L226" s="302">
        <f t="shared" si="117"/>
        <v>165.375</v>
      </c>
      <c r="M226" s="302">
        <f t="shared" si="117"/>
        <v>165.375</v>
      </c>
      <c r="N226" s="302">
        <f t="shared" si="117"/>
        <v>165.375</v>
      </c>
      <c r="O226" s="302">
        <f t="shared" si="117"/>
        <v>165.375</v>
      </c>
      <c r="P226" s="302">
        <f t="shared" si="117"/>
        <v>165.375</v>
      </c>
      <c r="Q226" s="399">
        <f t="shared" si="102"/>
        <v>1984.5</v>
      </c>
    </row>
    <row r="227" ht="15.0" customHeight="1" outlineLevel="1">
      <c r="A227" s="12" t="str">
        <f t="shared" si="100"/>
        <v>Marketing</v>
      </c>
      <c r="B227" s="7"/>
      <c r="C227" s="12"/>
      <c r="D227" s="12"/>
      <c r="E227" s="302">
        <f>'Expenses Summary'!L25/12</f>
        <v>275.625</v>
      </c>
      <c r="F227" s="302">
        <f t="shared" ref="F227:P227" si="118">E227</f>
        <v>275.625</v>
      </c>
      <c r="G227" s="302">
        <f t="shared" si="118"/>
        <v>275.625</v>
      </c>
      <c r="H227" s="302">
        <f t="shared" si="118"/>
        <v>275.625</v>
      </c>
      <c r="I227" s="302">
        <f t="shared" si="118"/>
        <v>275.625</v>
      </c>
      <c r="J227" s="302">
        <f t="shared" si="118"/>
        <v>275.625</v>
      </c>
      <c r="K227" s="302">
        <f t="shared" si="118"/>
        <v>275.625</v>
      </c>
      <c r="L227" s="302">
        <f t="shared" si="118"/>
        <v>275.625</v>
      </c>
      <c r="M227" s="302">
        <f t="shared" si="118"/>
        <v>275.625</v>
      </c>
      <c r="N227" s="302">
        <f t="shared" si="118"/>
        <v>275.625</v>
      </c>
      <c r="O227" s="302">
        <f t="shared" si="118"/>
        <v>275.625</v>
      </c>
      <c r="P227" s="302">
        <f t="shared" si="118"/>
        <v>275.625</v>
      </c>
      <c r="Q227" s="399">
        <f t="shared" si="102"/>
        <v>3307.5</v>
      </c>
    </row>
    <row r="228" ht="15.0" customHeight="1" outlineLevel="1">
      <c r="A228" s="12" t="str">
        <f t="shared" si="100"/>
        <v>Professional Fees</v>
      </c>
      <c r="B228" s="7"/>
      <c r="C228" s="12"/>
      <c r="D228" s="12"/>
      <c r="E228" s="302">
        <f>'Expenses Summary'!L26/12</f>
        <v>0</v>
      </c>
      <c r="F228" s="302">
        <f t="shared" ref="F228:P228" si="119">E228</f>
        <v>0</v>
      </c>
      <c r="G228" s="302">
        <f t="shared" si="119"/>
        <v>0</v>
      </c>
      <c r="H228" s="302">
        <f t="shared" si="119"/>
        <v>0</v>
      </c>
      <c r="I228" s="302">
        <f t="shared" si="119"/>
        <v>0</v>
      </c>
      <c r="J228" s="302">
        <f t="shared" si="119"/>
        <v>0</v>
      </c>
      <c r="K228" s="302">
        <f t="shared" si="119"/>
        <v>0</v>
      </c>
      <c r="L228" s="302">
        <f t="shared" si="119"/>
        <v>0</v>
      </c>
      <c r="M228" s="302">
        <f t="shared" si="119"/>
        <v>0</v>
      </c>
      <c r="N228" s="302">
        <f t="shared" si="119"/>
        <v>0</v>
      </c>
      <c r="O228" s="302">
        <f t="shared" si="119"/>
        <v>0</v>
      </c>
      <c r="P228" s="302">
        <f t="shared" si="119"/>
        <v>0</v>
      </c>
      <c r="Q228" s="399">
        <f t="shared" si="102"/>
        <v>0</v>
      </c>
    </row>
    <row r="229" ht="15.0" customHeight="1" outlineLevel="1">
      <c r="A229" s="12" t="str">
        <f t="shared" si="100"/>
        <v>Contract Labor</v>
      </c>
      <c r="B229" s="7"/>
      <c r="C229" s="12"/>
      <c r="D229" s="12"/>
      <c r="E229" s="302">
        <f>'Expenses Summary'!L27/12</f>
        <v>0</v>
      </c>
      <c r="F229" s="302">
        <f t="shared" ref="F229:P229" si="120">E229</f>
        <v>0</v>
      </c>
      <c r="G229" s="302">
        <f t="shared" si="120"/>
        <v>0</v>
      </c>
      <c r="H229" s="302">
        <f t="shared" si="120"/>
        <v>0</v>
      </c>
      <c r="I229" s="302">
        <f t="shared" si="120"/>
        <v>0</v>
      </c>
      <c r="J229" s="302">
        <f t="shared" si="120"/>
        <v>0</v>
      </c>
      <c r="K229" s="302">
        <f t="shared" si="120"/>
        <v>0</v>
      </c>
      <c r="L229" s="302">
        <f t="shared" si="120"/>
        <v>0</v>
      </c>
      <c r="M229" s="302">
        <f t="shared" si="120"/>
        <v>0</v>
      </c>
      <c r="N229" s="302">
        <f t="shared" si="120"/>
        <v>0</v>
      </c>
      <c r="O229" s="302">
        <f t="shared" si="120"/>
        <v>0</v>
      </c>
      <c r="P229" s="302">
        <f t="shared" si="120"/>
        <v>0</v>
      </c>
      <c r="Q229" s="399">
        <f t="shared" si="102"/>
        <v>0</v>
      </c>
    </row>
    <row r="230" ht="15.0" customHeight="1" outlineLevel="1">
      <c r="A230" s="12" t="str">
        <f t="shared" si="100"/>
        <v>Sales</v>
      </c>
      <c r="B230" s="7"/>
      <c r="C230" s="12"/>
      <c r="D230" s="12"/>
      <c r="E230" s="302">
        <f>'Expenses Summary'!L28/12</f>
        <v>0</v>
      </c>
      <c r="F230" s="302">
        <f t="shared" ref="F230:P230" si="121">E230</f>
        <v>0</v>
      </c>
      <c r="G230" s="302">
        <f t="shared" si="121"/>
        <v>0</v>
      </c>
      <c r="H230" s="302">
        <f t="shared" si="121"/>
        <v>0</v>
      </c>
      <c r="I230" s="302">
        <f t="shared" si="121"/>
        <v>0</v>
      </c>
      <c r="J230" s="302">
        <f t="shared" si="121"/>
        <v>0</v>
      </c>
      <c r="K230" s="302">
        <f t="shared" si="121"/>
        <v>0</v>
      </c>
      <c r="L230" s="302">
        <f t="shared" si="121"/>
        <v>0</v>
      </c>
      <c r="M230" s="302">
        <f t="shared" si="121"/>
        <v>0</v>
      </c>
      <c r="N230" s="302">
        <f t="shared" si="121"/>
        <v>0</v>
      </c>
      <c r="O230" s="302">
        <f t="shared" si="121"/>
        <v>0</v>
      </c>
      <c r="P230" s="302">
        <f t="shared" si="121"/>
        <v>0</v>
      </c>
      <c r="Q230" s="399">
        <f t="shared" si="102"/>
        <v>0</v>
      </c>
    </row>
    <row r="231" ht="15.0" customHeight="1" outlineLevel="1">
      <c r="A231" s="12" t="str">
        <f t="shared" si="100"/>
        <v>Travel</v>
      </c>
      <c r="B231" s="7"/>
      <c r="C231" s="12"/>
      <c r="D231" s="12"/>
      <c r="E231" s="302">
        <f>'Expenses Summary'!L29/12</f>
        <v>275.625</v>
      </c>
      <c r="F231" s="302">
        <f t="shared" ref="F231:P231" si="122">E231</f>
        <v>275.625</v>
      </c>
      <c r="G231" s="302">
        <f t="shared" si="122"/>
        <v>275.625</v>
      </c>
      <c r="H231" s="302">
        <f t="shared" si="122"/>
        <v>275.625</v>
      </c>
      <c r="I231" s="302">
        <f t="shared" si="122"/>
        <v>275.625</v>
      </c>
      <c r="J231" s="302">
        <f t="shared" si="122"/>
        <v>275.625</v>
      </c>
      <c r="K231" s="302">
        <f t="shared" si="122"/>
        <v>275.625</v>
      </c>
      <c r="L231" s="302">
        <f t="shared" si="122"/>
        <v>275.625</v>
      </c>
      <c r="M231" s="302">
        <f t="shared" si="122"/>
        <v>275.625</v>
      </c>
      <c r="N231" s="302">
        <f t="shared" si="122"/>
        <v>275.625</v>
      </c>
      <c r="O231" s="302">
        <f t="shared" si="122"/>
        <v>275.625</v>
      </c>
      <c r="P231" s="302">
        <f t="shared" si="122"/>
        <v>275.625</v>
      </c>
      <c r="Q231" s="399">
        <f t="shared" si="102"/>
        <v>3307.5</v>
      </c>
    </row>
    <row r="232" ht="15.0" customHeight="1" outlineLevel="1">
      <c r="A232" s="12" t="str">
        <f t="shared" si="100"/>
        <v>Supplies</v>
      </c>
      <c r="B232" s="7"/>
      <c r="C232" s="12"/>
      <c r="D232" s="12"/>
      <c r="E232" s="302">
        <f>'Expenses Summary'!L30/12</f>
        <v>220.5</v>
      </c>
      <c r="F232" s="302">
        <f t="shared" ref="F232:P232" si="123">E232</f>
        <v>220.5</v>
      </c>
      <c r="G232" s="302">
        <f t="shared" si="123"/>
        <v>220.5</v>
      </c>
      <c r="H232" s="302">
        <f t="shared" si="123"/>
        <v>220.5</v>
      </c>
      <c r="I232" s="302">
        <f t="shared" si="123"/>
        <v>220.5</v>
      </c>
      <c r="J232" s="302">
        <f t="shared" si="123"/>
        <v>220.5</v>
      </c>
      <c r="K232" s="302">
        <f t="shared" si="123"/>
        <v>220.5</v>
      </c>
      <c r="L232" s="302">
        <f t="shared" si="123"/>
        <v>220.5</v>
      </c>
      <c r="M232" s="302">
        <f t="shared" si="123"/>
        <v>220.5</v>
      </c>
      <c r="N232" s="302">
        <f t="shared" si="123"/>
        <v>220.5</v>
      </c>
      <c r="O232" s="302">
        <f t="shared" si="123"/>
        <v>220.5</v>
      </c>
      <c r="P232" s="302">
        <f t="shared" si="123"/>
        <v>220.5</v>
      </c>
      <c r="Q232" s="399">
        <f t="shared" si="102"/>
        <v>2646</v>
      </c>
    </row>
    <row r="233" ht="15.0" customHeight="1" outlineLevel="1">
      <c r="A233" s="12" t="str">
        <f t="shared" si="100"/>
        <v>Petty Cash</v>
      </c>
      <c r="B233" s="7"/>
      <c r="C233" s="12"/>
      <c r="D233" s="12"/>
      <c r="E233" s="302">
        <f>'Expenses Summary'!L31/12</f>
        <v>0</v>
      </c>
      <c r="F233" s="302">
        <f t="shared" ref="F233:P233" si="124">E233</f>
        <v>0</v>
      </c>
      <c r="G233" s="302">
        <f t="shared" si="124"/>
        <v>0</v>
      </c>
      <c r="H233" s="302">
        <f t="shared" si="124"/>
        <v>0</v>
      </c>
      <c r="I233" s="302">
        <f t="shared" si="124"/>
        <v>0</v>
      </c>
      <c r="J233" s="302">
        <f t="shared" si="124"/>
        <v>0</v>
      </c>
      <c r="K233" s="302">
        <f t="shared" si="124"/>
        <v>0</v>
      </c>
      <c r="L233" s="302">
        <f t="shared" si="124"/>
        <v>0</v>
      </c>
      <c r="M233" s="302">
        <f t="shared" si="124"/>
        <v>0</v>
      </c>
      <c r="N233" s="302">
        <f t="shared" si="124"/>
        <v>0</v>
      </c>
      <c r="O233" s="302">
        <f t="shared" si="124"/>
        <v>0</v>
      </c>
      <c r="P233" s="302">
        <f t="shared" si="124"/>
        <v>0</v>
      </c>
      <c r="Q233" s="399">
        <f t="shared" si="102"/>
        <v>0</v>
      </c>
    </row>
    <row r="234" ht="15.0" customHeight="1" outlineLevel="1">
      <c r="A234" s="12" t="str">
        <f t="shared" si="100"/>
        <v>Dues_Subscriptions</v>
      </c>
      <c r="B234" s="7"/>
      <c r="C234" s="12"/>
      <c r="D234" s="12"/>
      <c r="E234" s="302">
        <f>'Expenses Summary'!L32/12</f>
        <v>0</v>
      </c>
      <c r="F234" s="302">
        <f t="shared" ref="F234:P234" si="125">E234</f>
        <v>0</v>
      </c>
      <c r="G234" s="302">
        <f t="shared" si="125"/>
        <v>0</v>
      </c>
      <c r="H234" s="302">
        <f t="shared" si="125"/>
        <v>0</v>
      </c>
      <c r="I234" s="302">
        <f t="shared" si="125"/>
        <v>0</v>
      </c>
      <c r="J234" s="302">
        <f t="shared" si="125"/>
        <v>0</v>
      </c>
      <c r="K234" s="302">
        <f t="shared" si="125"/>
        <v>0</v>
      </c>
      <c r="L234" s="302">
        <f t="shared" si="125"/>
        <v>0</v>
      </c>
      <c r="M234" s="302">
        <f t="shared" si="125"/>
        <v>0</v>
      </c>
      <c r="N234" s="302">
        <f t="shared" si="125"/>
        <v>0</v>
      </c>
      <c r="O234" s="302">
        <f t="shared" si="125"/>
        <v>0</v>
      </c>
      <c r="P234" s="302">
        <f t="shared" si="125"/>
        <v>0</v>
      </c>
      <c r="Q234" s="399">
        <f t="shared" si="102"/>
        <v>0</v>
      </c>
    </row>
    <row r="235" ht="15.0" customHeight="1" outlineLevel="1">
      <c r="A235" s="12" t="str">
        <f t="shared" si="100"/>
        <v>Networking &amp; Education Events</v>
      </c>
      <c r="B235" s="7"/>
      <c r="C235" s="12"/>
      <c r="D235" s="12"/>
      <c r="E235" s="302">
        <f>'Expenses Summary'!L33/12</f>
        <v>0</v>
      </c>
      <c r="F235" s="302">
        <f t="shared" ref="F235:P235" si="126">E235</f>
        <v>0</v>
      </c>
      <c r="G235" s="302">
        <f t="shared" si="126"/>
        <v>0</v>
      </c>
      <c r="H235" s="302">
        <f t="shared" si="126"/>
        <v>0</v>
      </c>
      <c r="I235" s="302">
        <f t="shared" si="126"/>
        <v>0</v>
      </c>
      <c r="J235" s="302">
        <f t="shared" si="126"/>
        <v>0</v>
      </c>
      <c r="K235" s="302">
        <f t="shared" si="126"/>
        <v>0</v>
      </c>
      <c r="L235" s="302">
        <f t="shared" si="126"/>
        <v>0</v>
      </c>
      <c r="M235" s="302">
        <f t="shared" si="126"/>
        <v>0</v>
      </c>
      <c r="N235" s="302">
        <f t="shared" si="126"/>
        <v>0</v>
      </c>
      <c r="O235" s="302">
        <f t="shared" si="126"/>
        <v>0</v>
      </c>
      <c r="P235" s="302">
        <f t="shared" si="126"/>
        <v>0</v>
      </c>
      <c r="Q235" s="399">
        <f t="shared" si="102"/>
        <v>0</v>
      </c>
    </row>
    <row r="236" ht="15.0" customHeight="1" outlineLevel="1">
      <c r="A236" s="12" t="str">
        <f t="shared" si="100"/>
        <v>Miscellaneous</v>
      </c>
      <c r="B236" s="7"/>
      <c r="C236" s="12"/>
      <c r="D236" s="12"/>
      <c r="E236" s="302">
        <f>'Expenses Summary'!L34/12</f>
        <v>0</v>
      </c>
      <c r="F236" s="302">
        <f t="shared" ref="F236:P236" si="127">E236</f>
        <v>0</v>
      </c>
      <c r="G236" s="302">
        <f t="shared" si="127"/>
        <v>0</v>
      </c>
      <c r="H236" s="302">
        <f t="shared" si="127"/>
        <v>0</v>
      </c>
      <c r="I236" s="302">
        <f t="shared" si="127"/>
        <v>0</v>
      </c>
      <c r="J236" s="302">
        <f t="shared" si="127"/>
        <v>0</v>
      </c>
      <c r="K236" s="302">
        <f t="shared" si="127"/>
        <v>0</v>
      </c>
      <c r="L236" s="302">
        <f t="shared" si="127"/>
        <v>0</v>
      </c>
      <c r="M236" s="302">
        <f t="shared" si="127"/>
        <v>0</v>
      </c>
      <c r="N236" s="302">
        <f t="shared" si="127"/>
        <v>0</v>
      </c>
      <c r="O236" s="302">
        <f t="shared" si="127"/>
        <v>0</v>
      </c>
      <c r="P236" s="302">
        <f t="shared" si="127"/>
        <v>0</v>
      </c>
      <c r="Q236" s="399">
        <f t="shared" si="102"/>
        <v>0</v>
      </c>
    </row>
    <row r="237" ht="15.0" customHeight="1" outlineLevel="1">
      <c r="A237" s="12" t="str">
        <f t="shared" si="100"/>
        <v>Sales Tax Reserve</v>
      </c>
      <c r="B237" s="7"/>
      <c r="C237" s="12"/>
      <c r="D237" s="12"/>
      <c r="E237" s="302">
        <f>SUMIF($B$179:$B$186,"Yes",E179:E186)*SalesTax_Rate</f>
        <v>0</v>
      </c>
      <c r="F237" s="302">
        <f>SUMIF($B$179:$B$186,"Yes",F179:F186)*SalesTax_Rate</f>
        <v>0</v>
      </c>
      <c r="G237" s="302">
        <f>SUMIF($B$179:$B$186,"Yes",G179:G186)*SalesTax_Rate</f>
        <v>0</v>
      </c>
      <c r="H237" s="302">
        <f>SUMIF($B$179:$B$186,"Yes",H179:H186)*SalesTax_Rate</f>
        <v>0</v>
      </c>
      <c r="I237" s="302">
        <f>SUMIF($B$179:$B$186,"Yes",I179:I186)*SalesTax_Rate</f>
        <v>0</v>
      </c>
      <c r="J237" s="302">
        <f>SUMIF($B$179:$B$186,"Yes",J179:J186)*SalesTax_Rate</f>
        <v>0</v>
      </c>
      <c r="K237" s="302">
        <f>SUMIF($B$179:$B$186,"Yes",K179:K186)*SalesTax_Rate</f>
        <v>0</v>
      </c>
      <c r="L237" s="302">
        <f>SUMIF($B$179:$B$186,"Yes",L179:L186)*SalesTax_Rate</f>
        <v>0</v>
      </c>
      <c r="M237" s="302">
        <f>SUMIF($B$179:$B$186,"Yes",M179:M186)*SalesTax_Rate</f>
        <v>0</v>
      </c>
      <c r="N237" s="302">
        <f>SUMIF($B$179:$B$186,"Yes",N179:N186)*SalesTax_Rate</f>
        <v>0</v>
      </c>
      <c r="O237" s="302">
        <f>SUMIF($B$179:$B$186,"Yes",O179:O186)*SalesTax_Rate</f>
        <v>0</v>
      </c>
      <c r="P237" s="302">
        <f>SUMIF($B$179:$B$186,"Yes",P179:P186)*SalesTax_Rate</f>
        <v>0</v>
      </c>
      <c r="Q237" s="399">
        <f t="shared" si="102"/>
        <v>0</v>
      </c>
    </row>
    <row r="238" ht="15.0" customHeight="1" outlineLevel="1">
      <c r="A238" s="12" t="str">
        <f t="shared" si="100"/>
        <v>Discounts &amp; Refunds</v>
      </c>
      <c r="B238" s="7"/>
      <c r="C238" s="12"/>
      <c r="D238" s="12"/>
      <c r="E238" s="302">
        <f>'Expenses Summary'!L36/12</f>
        <v>0</v>
      </c>
      <c r="F238" s="302">
        <f t="shared" ref="F238:P238" si="128">E238</f>
        <v>0</v>
      </c>
      <c r="G238" s="302">
        <f t="shared" si="128"/>
        <v>0</v>
      </c>
      <c r="H238" s="302">
        <f t="shared" si="128"/>
        <v>0</v>
      </c>
      <c r="I238" s="302">
        <f t="shared" si="128"/>
        <v>0</v>
      </c>
      <c r="J238" s="302">
        <f t="shared" si="128"/>
        <v>0</v>
      </c>
      <c r="K238" s="302">
        <f t="shared" si="128"/>
        <v>0</v>
      </c>
      <c r="L238" s="302">
        <f t="shared" si="128"/>
        <v>0</v>
      </c>
      <c r="M238" s="302">
        <f t="shared" si="128"/>
        <v>0</v>
      </c>
      <c r="N238" s="302">
        <f t="shared" si="128"/>
        <v>0</v>
      </c>
      <c r="O238" s="302">
        <f t="shared" si="128"/>
        <v>0</v>
      </c>
      <c r="P238" s="302">
        <f t="shared" si="128"/>
        <v>0</v>
      </c>
      <c r="Q238" s="399">
        <f t="shared" si="102"/>
        <v>0</v>
      </c>
    </row>
    <row r="239" ht="15.0" customHeight="1" outlineLevel="1">
      <c r="A239" s="12" t="str">
        <f t="shared" si="100"/>
        <v>Sales Commission</v>
      </c>
      <c r="B239" s="7"/>
      <c r="C239" s="12"/>
      <c r="D239" s="12"/>
      <c r="E239" s="302">
        <f>'Expenses Summary'!L37/12</f>
        <v>0</v>
      </c>
      <c r="F239" s="302">
        <f t="shared" ref="F239:P239" si="129">E239</f>
        <v>0</v>
      </c>
      <c r="G239" s="302">
        <f t="shared" si="129"/>
        <v>0</v>
      </c>
      <c r="H239" s="302">
        <f t="shared" si="129"/>
        <v>0</v>
      </c>
      <c r="I239" s="302">
        <f t="shared" si="129"/>
        <v>0</v>
      </c>
      <c r="J239" s="302">
        <f t="shared" si="129"/>
        <v>0</v>
      </c>
      <c r="K239" s="302">
        <f t="shared" si="129"/>
        <v>0</v>
      </c>
      <c r="L239" s="302">
        <f t="shared" si="129"/>
        <v>0</v>
      </c>
      <c r="M239" s="302">
        <f t="shared" si="129"/>
        <v>0</v>
      </c>
      <c r="N239" s="302">
        <f t="shared" si="129"/>
        <v>0</v>
      </c>
      <c r="O239" s="302">
        <f t="shared" si="129"/>
        <v>0</v>
      </c>
      <c r="P239" s="302">
        <f t="shared" si="129"/>
        <v>0</v>
      </c>
      <c r="Q239" s="399">
        <f t="shared" si="102"/>
        <v>0</v>
      </c>
    </row>
    <row r="240" ht="15.0" customHeight="1" outlineLevel="1">
      <c r="A240" s="12" t="str">
        <f t="shared" si="100"/>
        <v>Merchant Fee Transactions</v>
      </c>
      <c r="B240" s="7"/>
      <c r="C240" s="12"/>
      <c r="D240" s="12"/>
      <c r="E240" s="302">
        <f>'Expenses Summary'!L38/12</f>
        <v>195.234375</v>
      </c>
      <c r="F240" s="302">
        <f t="shared" ref="F240:P240" si="130">E240</f>
        <v>195.234375</v>
      </c>
      <c r="G240" s="302">
        <f t="shared" si="130"/>
        <v>195.234375</v>
      </c>
      <c r="H240" s="302">
        <f t="shared" si="130"/>
        <v>195.234375</v>
      </c>
      <c r="I240" s="302">
        <f t="shared" si="130"/>
        <v>195.234375</v>
      </c>
      <c r="J240" s="302">
        <f t="shared" si="130"/>
        <v>195.234375</v>
      </c>
      <c r="K240" s="302">
        <f t="shared" si="130"/>
        <v>195.234375</v>
      </c>
      <c r="L240" s="302">
        <f t="shared" si="130"/>
        <v>195.234375</v>
      </c>
      <c r="M240" s="302">
        <f t="shared" si="130"/>
        <v>195.234375</v>
      </c>
      <c r="N240" s="302">
        <f t="shared" si="130"/>
        <v>195.234375</v>
      </c>
      <c r="O240" s="302">
        <f t="shared" si="130"/>
        <v>195.234375</v>
      </c>
      <c r="P240" s="302">
        <f t="shared" si="130"/>
        <v>195.234375</v>
      </c>
      <c r="Q240" s="399">
        <f t="shared" si="102"/>
        <v>2342.8125</v>
      </c>
    </row>
    <row r="241" ht="15.0" customHeight="1" outlineLevel="1">
      <c r="A241" s="12" t="str">
        <f t="shared" si="100"/>
        <v>Customer Discounts/Refunds</v>
      </c>
      <c r="B241" s="7"/>
      <c r="C241" s="12"/>
      <c r="D241" s="12"/>
      <c r="E241" s="302">
        <f>'Expenses Summary'!L39/12</f>
        <v>195.234375</v>
      </c>
      <c r="F241" s="302">
        <f t="shared" ref="F241:P241" si="131">E241</f>
        <v>195.234375</v>
      </c>
      <c r="G241" s="302">
        <f t="shared" si="131"/>
        <v>195.234375</v>
      </c>
      <c r="H241" s="302">
        <f t="shared" si="131"/>
        <v>195.234375</v>
      </c>
      <c r="I241" s="302">
        <f t="shared" si="131"/>
        <v>195.234375</v>
      </c>
      <c r="J241" s="302">
        <f t="shared" si="131"/>
        <v>195.234375</v>
      </c>
      <c r="K241" s="302">
        <f t="shared" si="131"/>
        <v>195.234375</v>
      </c>
      <c r="L241" s="302">
        <f t="shared" si="131"/>
        <v>195.234375</v>
      </c>
      <c r="M241" s="302">
        <f t="shared" si="131"/>
        <v>195.234375</v>
      </c>
      <c r="N241" s="302">
        <f t="shared" si="131"/>
        <v>195.234375</v>
      </c>
      <c r="O241" s="302">
        <f t="shared" si="131"/>
        <v>195.234375</v>
      </c>
      <c r="P241" s="302">
        <f t="shared" si="131"/>
        <v>195.234375</v>
      </c>
      <c r="Q241" s="399">
        <f t="shared" si="102"/>
        <v>2342.8125</v>
      </c>
    </row>
    <row r="242" ht="15.0" customHeight="1" outlineLevel="1">
      <c r="A242" s="12" t="str">
        <f t="shared" si="100"/>
        <v>Other</v>
      </c>
      <c r="B242" s="7"/>
      <c r="C242" s="12"/>
      <c r="D242" s="12"/>
      <c r="E242" s="302">
        <f>'Expenses Summary'!L40/12</f>
        <v>0</v>
      </c>
      <c r="F242" s="302">
        <f t="shared" ref="F242:P242" si="132">E242</f>
        <v>0</v>
      </c>
      <c r="G242" s="302">
        <f t="shared" si="132"/>
        <v>0</v>
      </c>
      <c r="H242" s="302">
        <f t="shared" si="132"/>
        <v>0</v>
      </c>
      <c r="I242" s="302">
        <f t="shared" si="132"/>
        <v>0</v>
      </c>
      <c r="J242" s="302">
        <f t="shared" si="132"/>
        <v>0</v>
      </c>
      <c r="K242" s="302">
        <f t="shared" si="132"/>
        <v>0</v>
      </c>
      <c r="L242" s="302">
        <f t="shared" si="132"/>
        <v>0</v>
      </c>
      <c r="M242" s="302">
        <f t="shared" si="132"/>
        <v>0</v>
      </c>
      <c r="N242" s="302">
        <f t="shared" si="132"/>
        <v>0</v>
      </c>
      <c r="O242" s="302">
        <f t="shared" si="132"/>
        <v>0</v>
      </c>
      <c r="P242" s="302">
        <f t="shared" si="132"/>
        <v>0</v>
      </c>
      <c r="Q242" s="399">
        <f t="shared" si="102"/>
        <v>0</v>
      </c>
    </row>
    <row r="243" ht="15.0" customHeight="1" outlineLevel="1">
      <c r="A243" s="12" t="str">
        <f t="shared" si="100"/>
        <v>Bad Debt</v>
      </c>
      <c r="B243" s="7"/>
      <c r="C243" s="12"/>
      <c r="D243" s="12"/>
      <c r="E243" s="302">
        <f>'Expenses Summary'!$H$41*'Income Statement'!E187</f>
        <v>156.1875</v>
      </c>
      <c r="F243" s="302">
        <f>'Expenses Summary'!$H$41*'Income Statement'!F187</f>
        <v>156.1875</v>
      </c>
      <c r="G243" s="302">
        <f>'Expenses Summary'!$H$41*'Income Statement'!G187</f>
        <v>156.1875</v>
      </c>
      <c r="H243" s="302">
        <f>'Expenses Summary'!$H$41*'Income Statement'!H187</f>
        <v>156.1875</v>
      </c>
      <c r="I243" s="302">
        <f>'Expenses Summary'!$H$41*'Income Statement'!I187</f>
        <v>156.1875</v>
      </c>
      <c r="J243" s="302">
        <f>'Expenses Summary'!$H$41*'Income Statement'!J187</f>
        <v>156.1875</v>
      </c>
      <c r="K243" s="302">
        <f>'Expenses Summary'!$H$41*'Income Statement'!K187</f>
        <v>156.1875</v>
      </c>
      <c r="L243" s="302">
        <f>'Expenses Summary'!$H$41*'Income Statement'!L187</f>
        <v>156.1875</v>
      </c>
      <c r="M243" s="302">
        <f>'Expenses Summary'!$H$41*'Income Statement'!M187</f>
        <v>156.1875</v>
      </c>
      <c r="N243" s="302">
        <f>'Expenses Summary'!$H$41*'Income Statement'!N187</f>
        <v>156.1875</v>
      </c>
      <c r="O243" s="302">
        <f>'Expenses Summary'!$H$41*'Income Statement'!O187</f>
        <v>156.1875</v>
      </c>
      <c r="P243" s="302">
        <f>'Expenses Summary'!$H$41*'Income Statement'!P187</f>
        <v>156.1875</v>
      </c>
      <c r="Q243" s="399">
        <f t="shared" si="102"/>
        <v>1874.25</v>
      </c>
    </row>
    <row r="244" ht="15.0" customHeight="1" outlineLevel="1">
      <c r="A244" s="12" t="str">
        <f t="shared" si="100"/>
        <v>Other Operating Expenses</v>
      </c>
      <c r="B244" s="7"/>
      <c r="C244" s="12"/>
      <c r="D244" s="12"/>
      <c r="E244" s="302">
        <f>'Expenses Summary'!L42/12</f>
        <v>1102.5</v>
      </c>
      <c r="F244" s="302">
        <f t="shared" ref="F244:P244" si="133">E244</f>
        <v>1102.5</v>
      </c>
      <c r="G244" s="302">
        <f t="shared" si="133"/>
        <v>1102.5</v>
      </c>
      <c r="H244" s="302">
        <f t="shared" si="133"/>
        <v>1102.5</v>
      </c>
      <c r="I244" s="302">
        <f t="shared" si="133"/>
        <v>1102.5</v>
      </c>
      <c r="J244" s="302">
        <f t="shared" si="133"/>
        <v>1102.5</v>
      </c>
      <c r="K244" s="302">
        <f t="shared" si="133"/>
        <v>1102.5</v>
      </c>
      <c r="L244" s="302">
        <f t="shared" si="133"/>
        <v>1102.5</v>
      </c>
      <c r="M244" s="302">
        <f t="shared" si="133"/>
        <v>1102.5</v>
      </c>
      <c r="N244" s="302">
        <f t="shared" si="133"/>
        <v>1102.5</v>
      </c>
      <c r="O244" s="302">
        <f t="shared" si="133"/>
        <v>1102.5</v>
      </c>
      <c r="P244" s="302">
        <f t="shared" si="133"/>
        <v>1102.5</v>
      </c>
      <c r="Q244" s="399">
        <f t="shared" si="102"/>
        <v>13230</v>
      </c>
    </row>
    <row r="245" ht="15.75" customHeight="1" outlineLevel="1">
      <c r="A245" s="133" t="s">
        <v>353</v>
      </c>
      <c r="B245" s="7"/>
      <c r="C245" s="12"/>
      <c r="D245" s="12"/>
      <c r="E245" s="321">
        <f t="shared" ref="E245:Q245" si="134">SUM(E210:E244)</f>
        <v>4019.53125</v>
      </c>
      <c r="F245" s="321">
        <f t="shared" si="134"/>
        <v>4019.53125</v>
      </c>
      <c r="G245" s="321">
        <f t="shared" si="134"/>
        <v>4019.53125</v>
      </c>
      <c r="H245" s="321">
        <f t="shared" si="134"/>
        <v>4019.53125</v>
      </c>
      <c r="I245" s="321">
        <f t="shared" si="134"/>
        <v>4019.53125</v>
      </c>
      <c r="J245" s="321">
        <f t="shared" si="134"/>
        <v>4019.53125</v>
      </c>
      <c r="K245" s="321">
        <f t="shared" si="134"/>
        <v>4019.53125</v>
      </c>
      <c r="L245" s="321">
        <f t="shared" si="134"/>
        <v>4019.53125</v>
      </c>
      <c r="M245" s="321">
        <f t="shared" si="134"/>
        <v>4019.53125</v>
      </c>
      <c r="N245" s="321">
        <f t="shared" si="134"/>
        <v>4019.53125</v>
      </c>
      <c r="O245" s="321">
        <f t="shared" si="134"/>
        <v>4019.53125</v>
      </c>
      <c r="P245" s="321">
        <f t="shared" si="134"/>
        <v>4019.53125</v>
      </c>
      <c r="Q245" s="471">
        <f t="shared" si="134"/>
        <v>48234.375</v>
      </c>
      <c r="R245" s="442"/>
    </row>
    <row r="246" ht="15.0" customHeight="1" outlineLevel="1">
      <c r="A246" s="12"/>
      <c r="B246" s="7"/>
      <c r="C246" s="12"/>
      <c r="D246" s="12"/>
      <c r="E246" s="12"/>
      <c r="F246" s="12"/>
      <c r="G246" s="12"/>
      <c r="H246" s="12"/>
      <c r="I246" s="12"/>
      <c r="J246" s="12"/>
      <c r="K246" s="12"/>
      <c r="L246" s="12"/>
      <c r="M246" s="12"/>
      <c r="N246" s="12"/>
      <c r="O246" s="12"/>
      <c r="P246" s="12"/>
      <c r="Q246" s="25"/>
    </row>
    <row r="247" ht="15.75" customHeight="1" outlineLevel="1">
      <c r="A247" s="25" t="s">
        <v>449</v>
      </c>
      <c r="B247" s="7"/>
      <c r="C247" s="12"/>
      <c r="D247" s="12"/>
      <c r="E247" s="466">
        <f t="shared" ref="E247:Q247" si="135">E200-E207-E245</f>
        <v>13426.30208</v>
      </c>
      <c r="F247" s="466">
        <f t="shared" si="135"/>
        <v>13426.30208</v>
      </c>
      <c r="G247" s="466">
        <f t="shared" si="135"/>
        <v>13426.30208</v>
      </c>
      <c r="H247" s="466">
        <f t="shared" si="135"/>
        <v>13426.30208</v>
      </c>
      <c r="I247" s="466">
        <f t="shared" si="135"/>
        <v>13426.30208</v>
      </c>
      <c r="J247" s="466">
        <f t="shared" si="135"/>
        <v>13426.30208</v>
      </c>
      <c r="K247" s="466">
        <f t="shared" si="135"/>
        <v>13426.30208</v>
      </c>
      <c r="L247" s="466">
        <f t="shared" si="135"/>
        <v>13426.30208</v>
      </c>
      <c r="M247" s="466">
        <f t="shared" si="135"/>
        <v>13426.30208</v>
      </c>
      <c r="N247" s="466">
        <f t="shared" si="135"/>
        <v>13426.30208</v>
      </c>
      <c r="O247" s="466">
        <f t="shared" si="135"/>
        <v>13426.30208</v>
      </c>
      <c r="P247" s="466">
        <f t="shared" si="135"/>
        <v>13426.30208</v>
      </c>
      <c r="Q247" s="523">
        <f t="shared" si="135"/>
        <v>161115.625</v>
      </c>
    </row>
    <row r="248" ht="15.0" customHeight="1" outlineLevel="1">
      <c r="A248" s="25"/>
      <c r="B248" s="7"/>
      <c r="C248" s="12"/>
      <c r="D248" s="12"/>
      <c r="E248" s="153"/>
      <c r="F248" s="12"/>
      <c r="G248" s="12"/>
      <c r="H248" s="12"/>
      <c r="I248" s="12"/>
      <c r="J248" s="12"/>
      <c r="K248" s="12"/>
      <c r="L248" s="12"/>
      <c r="M248" s="12"/>
      <c r="N248" s="12"/>
      <c r="O248" s="12"/>
      <c r="P248" s="12"/>
      <c r="Q248" s="25"/>
    </row>
    <row r="249" ht="15.75" customHeight="1" outlineLevel="1">
      <c r="A249" s="434" t="s">
        <v>356</v>
      </c>
      <c r="B249" s="435"/>
      <c r="C249" s="436"/>
      <c r="D249" s="436"/>
      <c r="E249" s="436"/>
      <c r="F249" s="436"/>
      <c r="G249" s="436"/>
      <c r="H249" s="436"/>
      <c r="I249" s="436"/>
      <c r="J249" s="436"/>
      <c r="K249" s="436"/>
      <c r="L249" s="436"/>
      <c r="M249" s="436"/>
      <c r="N249" s="436"/>
      <c r="O249" s="436"/>
      <c r="P249" s="436"/>
      <c r="Q249" s="434"/>
      <c r="R249" s="436"/>
    </row>
    <row r="250" ht="15.75" customHeight="1" outlineLevel="1">
      <c r="A250" s="12" t="str">
        <f t="shared" ref="A250:B250" si="136">A163</f>
        <v>Amortization</v>
      </c>
      <c r="B250" s="134">
        <f t="shared" si="136"/>
        <v>0</v>
      </c>
      <c r="C250" s="12"/>
      <c r="D250" s="12"/>
      <c r="E250" s="67">
        <f>IF(E177&lt;Amoritziation_EndDate,$B$250,0)</f>
        <v>0</v>
      </c>
      <c r="F250" s="67">
        <f>IF(F177&lt;Amoritziation_EndDate,$B$250,0)</f>
        <v>0</v>
      </c>
      <c r="G250" s="67">
        <f>IF(G177&lt;Amoritziation_EndDate,$B$250,0)</f>
        <v>0</v>
      </c>
      <c r="H250" s="67">
        <f>IF(H177&lt;Amoritziation_EndDate,$B$250,0)</f>
        <v>0</v>
      </c>
      <c r="I250" s="67">
        <f>IF(I177&lt;Amoritziation_EndDate,$B$250,0)</f>
        <v>0</v>
      </c>
      <c r="J250" s="67">
        <f>IF(J177&lt;Amoritziation_EndDate,$B$250,0)</f>
        <v>0</v>
      </c>
      <c r="K250" s="67">
        <f>IF(K177&lt;Amoritziation_EndDate,$B$250,0)</f>
        <v>0</v>
      </c>
      <c r="L250" s="67">
        <f>IF(L177&lt;Amoritziation_EndDate,$B$250,0)</f>
        <v>0</v>
      </c>
      <c r="M250" s="67">
        <f>IF(M177&lt;Amoritziation_EndDate,$B$250,0)</f>
        <v>0</v>
      </c>
      <c r="N250" s="67">
        <f>IF(N177&lt;Amoritziation_EndDate,$B$250,0)</f>
        <v>0</v>
      </c>
      <c r="O250" s="67">
        <f>IF(O177&lt;Amoritziation_EndDate,$B$250,0)</f>
        <v>0</v>
      </c>
      <c r="P250" s="67">
        <f>IF(P177&lt;Amoritziation_EndDate,$B$250,0)</f>
        <v>0</v>
      </c>
      <c r="Q250" s="438">
        <f t="shared" ref="Q250:Q253" si="137">SUM(E250:P250)</f>
        <v>0</v>
      </c>
      <c r="R250" s="12"/>
    </row>
    <row r="251" ht="15.0" customHeight="1" outlineLevel="1">
      <c r="A251" s="12" t="str">
        <f t="shared" ref="A251:A252" si="138">A164</f>
        <v>Depreciation</v>
      </c>
      <c r="B251" s="7"/>
      <c r="C251" s="12"/>
      <c r="D251" s="12"/>
      <c r="E251" s="302">
        <f>SUMIF(Deprec_EndDates,"&gt;"&amp;E177,Deprec_MonthlyAmt)</f>
        <v>0</v>
      </c>
      <c r="F251" s="302">
        <f>SUMIF(Deprec_EndDates,"&gt;"&amp;F177,Deprec_MonthlyAmt)</f>
        <v>0</v>
      </c>
      <c r="G251" s="302">
        <f>SUMIF(Deprec_EndDates,"&gt;"&amp;G177,Deprec_MonthlyAmt)</f>
        <v>0</v>
      </c>
      <c r="H251" s="302">
        <f>SUMIF(Deprec_EndDates,"&gt;"&amp;H177,Deprec_MonthlyAmt)</f>
        <v>0</v>
      </c>
      <c r="I251" s="302">
        <f>SUMIF(Deprec_EndDates,"&gt;"&amp;I177,Deprec_MonthlyAmt)</f>
        <v>0</v>
      </c>
      <c r="J251" s="302">
        <f>SUMIF(Deprec_EndDates,"&gt;"&amp;J177,Deprec_MonthlyAmt)</f>
        <v>0</v>
      </c>
      <c r="K251" s="302">
        <f>SUMIF(Deprec_EndDates,"&gt;"&amp;K177,Deprec_MonthlyAmt)</f>
        <v>0</v>
      </c>
      <c r="L251" s="302">
        <f>SUMIF(Deprec_EndDates,"&gt;"&amp;L177,Deprec_MonthlyAmt)</f>
        <v>0</v>
      </c>
      <c r="M251" s="302">
        <f>SUMIF(Deprec_EndDates,"&gt;"&amp;M177,Deprec_MonthlyAmt)</f>
        <v>0</v>
      </c>
      <c r="N251" s="302">
        <f>SUMIF(Deprec_EndDates,"&gt;"&amp;N177,Deprec_MonthlyAmt)</f>
        <v>0</v>
      </c>
      <c r="O251" s="302">
        <f>SUMIF(Deprec_EndDates,"&gt;"&amp;O177,Deprec_MonthlyAmt)</f>
        <v>0</v>
      </c>
      <c r="P251" s="302">
        <f>SUMIF(Deprec_EndDates,"&gt;"&amp;P177,Deprec_MonthlyAmt)</f>
        <v>0</v>
      </c>
      <c r="Q251" s="399">
        <f t="shared" si="137"/>
        <v>0</v>
      </c>
    </row>
    <row r="252" ht="15.0" customHeight="1" outlineLevel="1">
      <c r="A252" s="12" t="str">
        <f t="shared" si="138"/>
        <v>Interest Payments</v>
      </c>
      <c r="B252" s="7"/>
      <c r="C252" s="12"/>
      <c r="D252" s="12"/>
      <c r="E252" s="302">
        <f>'Loan Schedule'!C78</f>
        <v>0</v>
      </c>
      <c r="F252" s="302">
        <f>'Loan Schedule'!D78</f>
        <v>0</v>
      </c>
      <c r="G252" s="302">
        <f>'Loan Schedule'!E78</f>
        <v>0</v>
      </c>
      <c r="H252" s="302">
        <f>'Loan Schedule'!F78</f>
        <v>0</v>
      </c>
      <c r="I252" s="302">
        <f>'Loan Schedule'!G78</f>
        <v>0</v>
      </c>
      <c r="J252" s="302">
        <f>'Loan Schedule'!H78</f>
        <v>0</v>
      </c>
      <c r="K252" s="302">
        <f>'Loan Schedule'!I78</f>
        <v>0</v>
      </c>
      <c r="L252" s="302">
        <f>'Loan Schedule'!J78</f>
        <v>0</v>
      </c>
      <c r="M252" s="302">
        <f>'Loan Schedule'!K78</f>
        <v>0</v>
      </c>
      <c r="N252" s="302">
        <f>'Loan Schedule'!L78</f>
        <v>0</v>
      </c>
      <c r="O252" s="302">
        <f>'Loan Schedule'!M78</f>
        <v>0</v>
      </c>
      <c r="P252" s="302">
        <f>'Loan Schedule'!N78</f>
        <v>0</v>
      </c>
      <c r="Q252" s="399">
        <f t="shared" si="137"/>
        <v>0</v>
      </c>
    </row>
    <row r="253" ht="15.75" customHeight="1" outlineLevel="1">
      <c r="A253" s="133" t="s">
        <v>358</v>
      </c>
      <c r="B253" s="7"/>
      <c r="C253" s="12"/>
      <c r="D253" s="12"/>
      <c r="E253" s="321">
        <f t="shared" ref="E253:P253" si="139">SUM(E250:E252)</f>
        <v>0</v>
      </c>
      <c r="F253" s="321">
        <f t="shared" si="139"/>
        <v>0</v>
      </c>
      <c r="G253" s="321">
        <f t="shared" si="139"/>
        <v>0</v>
      </c>
      <c r="H253" s="321">
        <f t="shared" si="139"/>
        <v>0</v>
      </c>
      <c r="I253" s="321">
        <f t="shared" si="139"/>
        <v>0</v>
      </c>
      <c r="J253" s="321">
        <f t="shared" si="139"/>
        <v>0</v>
      </c>
      <c r="K253" s="321">
        <f t="shared" si="139"/>
        <v>0</v>
      </c>
      <c r="L253" s="321">
        <f t="shared" si="139"/>
        <v>0</v>
      </c>
      <c r="M253" s="321">
        <f t="shared" si="139"/>
        <v>0</v>
      </c>
      <c r="N253" s="321">
        <f t="shared" si="139"/>
        <v>0</v>
      </c>
      <c r="O253" s="321">
        <f t="shared" si="139"/>
        <v>0</v>
      </c>
      <c r="P253" s="321">
        <f t="shared" si="139"/>
        <v>0</v>
      </c>
      <c r="Q253" s="523">
        <f t="shared" si="137"/>
        <v>0</v>
      </c>
    </row>
    <row r="254" ht="15.0" customHeight="1" outlineLevel="1">
      <c r="A254" s="12"/>
      <c r="B254" s="7"/>
      <c r="C254" s="12"/>
      <c r="D254" s="12"/>
      <c r="E254" s="302"/>
      <c r="F254" s="302"/>
      <c r="G254" s="302"/>
      <c r="H254" s="302"/>
      <c r="I254" s="302"/>
      <c r="J254" s="302"/>
      <c r="K254" s="302"/>
      <c r="L254" s="302"/>
      <c r="M254" s="302"/>
      <c r="N254" s="302"/>
      <c r="O254" s="302"/>
      <c r="P254" s="302"/>
      <c r="Q254" s="399"/>
    </row>
    <row r="255" ht="15.75" customHeight="1" outlineLevel="1">
      <c r="A255" s="434" t="s">
        <v>463</v>
      </c>
      <c r="B255" s="434"/>
      <c r="C255" s="434"/>
      <c r="D255" s="434"/>
      <c r="E255" s="434"/>
      <c r="F255" s="434"/>
      <c r="G255" s="434"/>
      <c r="H255" s="434"/>
      <c r="I255" s="434"/>
      <c r="J255" s="434"/>
      <c r="K255" s="434"/>
      <c r="L255" s="434"/>
      <c r="M255" s="434"/>
      <c r="N255" s="434"/>
      <c r="O255" s="434"/>
      <c r="P255" s="434"/>
      <c r="Q255" s="434"/>
    </row>
    <row r="256" ht="16.5" customHeight="1" outlineLevel="1">
      <c r="A256" s="133" t="s">
        <v>463</v>
      </c>
      <c r="B256" s="7"/>
      <c r="C256" s="12"/>
      <c r="D256" s="12"/>
      <c r="E256" s="321">
        <f>IF((E200-E207-E245-E253)&gt;0,IncomeTax_Rate*(E200-E207-E245-E253),0)</f>
        <v>0</v>
      </c>
      <c r="F256" s="321">
        <f>IF((F200-F207-F245-F253)&gt;0,IncomeTax_Rate*(F200-F207-F245-F253),0)</f>
        <v>0</v>
      </c>
      <c r="G256" s="321">
        <f>IF((G200-G207-G245-G253)&gt;0,IncomeTax_Rate*(G200-G207-G245-G253),0)</f>
        <v>0</v>
      </c>
      <c r="H256" s="321">
        <f>IF((H200-H207-H245-H253)&gt;0,IncomeTax_Rate*(H200-H207-H245-H253),0)</f>
        <v>0</v>
      </c>
      <c r="I256" s="321">
        <f>IF((I200-I207-I245-I253)&gt;0,IncomeTax_Rate*(I200-I207-I245-I253),0)</f>
        <v>0</v>
      </c>
      <c r="J256" s="321">
        <f>IF((J200-J207-J245-J253)&gt;0,IncomeTax_Rate*(J200-J207-J245-J253),0)</f>
        <v>0</v>
      </c>
      <c r="K256" s="321">
        <f>IF((K200-K207-K245-K253)&gt;0,IncomeTax_Rate*(K200-K207-K245-K253),0)</f>
        <v>0</v>
      </c>
      <c r="L256" s="321">
        <f>IF((L200-L207-L245-L253)&gt;0,IncomeTax_Rate*(L200-L207-L245-L253),0)</f>
        <v>0</v>
      </c>
      <c r="M256" s="321">
        <f>IF((M200-M207-M245-M253)&gt;0,IncomeTax_Rate*(M200-M207-M245-M253),0)</f>
        <v>0</v>
      </c>
      <c r="N256" s="321">
        <f>IF((N200-N207-N245-N253)&gt;0,IncomeTax_Rate*(N200-N207-N245-N253),0)</f>
        <v>0</v>
      </c>
      <c r="O256" s="321">
        <f>IF((O200-O207-O245-O253)&gt;0,IncomeTax_Rate*(O200-O207-O245-O253),0)</f>
        <v>0</v>
      </c>
      <c r="P256" s="321">
        <f>IF((P200-P207-P245-P253)&gt;0,IncomeTax_Rate*(P200-P207-P245-P253),0)</f>
        <v>0</v>
      </c>
      <c r="Q256" s="441">
        <f>SUM(E256:P256)</f>
        <v>0</v>
      </c>
    </row>
    <row r="257" ht="15.75" customHeight="1" outlineLevel="1">
      <c r="A257" s="12"/>
      <c r="B257" s="7"/>
      <c r="C257" s="12"/>
      <c r="D257" s="12"/>
      <c r="E257" s="12"/>
      <c r="F257" s="12"/>
      <c r="G257" s="12"/>
      <c r="H257" s="12"/>
      <c r="I257" s="12"/>
      <c r="J257" s="12"/>
      <c r="K257" s="12"/>
      <c r="L257" s="12"/>
      <c r="M257" s="12"/>
      <c r="N257" s="12"/>
      <c r="O257" s="12"/>
      <c r="P257" s="12"/>
      <c r="Q257" s="25"/>
    </row>
    <row r="258" ht="16.5" customHeight="1" outlineLevel="1">
      <c r="A258" s="456" t="s">
        <v>469</v>
      </c>
      <c r="B258" s="7"/>
      <c r="C258" s="12"/>
      <c r="D258" s="12"/>
      <c r="E258" s="443">
        <f t="shared" ref="E258:P258" si="140">E200-SUM(E207,E245,E253,E256)</f>
        <v>13426.30208</v>
      </c>
      <c r="F258" s="443">
        <f t="shared" si="140"/>
        <v>13426.30208</v>
      </c>
      <c r="G258" s="443">
        <f t="shared" si="140"/>
        <v>13426.30208</v>
      </c>
      <c r="H258" s="443">
        <f t="shared" si="140"/>
        <v>13426.30208</v>
      </c>
      <c r="I258" s="443">
        <f t="shared" si="140"/>
        <v>13426.30208</v>
      </c>
      <c r="J258" s="443">
        <f t="shared" si="140"/>
        <v>13426.30208</v>
      </c>
      <c r="K258" s="443">
        <f t="shared" si="140"/>
        <v>13426.30208</v>
      </c>
      <c r="L258" s="443">
        <f t="shared" si="140"/>
        <v>13426.30208</v>
      </c>
      <c r="M258" s="443">
        <f t="shared" si="140"/>
        <v>13426.30208</v>
      </c>
      <c r="N258" s="443">
        <f t="shared" si="140"/>
        <v>13426.30208</v>
      </c>
      <c r="O258" s="443">
        <f t="shared" si="140"/>
        <v>13426.30208</v>
      </c>
      <c r="P258" s="443">
        <f t="shared" si="140"/>
        <v>13426.30208</v>
      </c>
      <c r="Q258" s="506">
        <f t="shared" ref="Q258:R258" si="141">Q200-SUM(Q207,Q245,Q256)</f>
        <v>161115.625</v>
      </c>
      <c r="R258" s="506">
        <f t="shared" si="141"/>
        <v>0</v>
      </c>
    </row>
    <row r="259" ht="15.75" customHeight="1" outlineLevel="1">
      <c r="A259" s="12"/>
      <c r="B259" s="7"/>
      <c r="C259" s="12"/>
      <c r="D259" s="12"/>
      <c r="E259" s="12"/>
      <c r="F259" s="12"/>
      <c r="G259" s="12"/>
      <c r="H259" s="12"/>
      <c r="I259" s="12"/>
      <c r="J259" s="12"/>
      <c r="K259" s="12"/>
      <c r="L259" s="12"/>
      <c r="M259" s="12"/>
      <c r="N259" s="12"/>
      <c r="O259" s="12"/>
      <c r="P259" s="12"/>
      <c r="Q259" s="25"/>
    </row>
    <row r="260" ht="15.0" customHeight="1" outlineLevel="1">
      <c r="A260" s="12"/>
      <c r="B260" s="7"/>
      <c r="C260" s="12"/>
      <c r="D260" s="12"/>
      <c r="E260" s="12"/>
      <c r="F260" s="12"/>
      <c r="G260" s="12"/>
      <c r="H260" s="12"/>
      <c r="I260" s="12"/>
      <c r="J260" s="12"/>
      <c r="K260" s="12"/>
      <c r="L260" s="12"/>
      <c r="M260" s="12"/>
      <c r="N260" s="12"/>
      <c r="O260" s="12"/>
      <c r="P260" s="12"/>
      <c r="Q260" s="25"/>
    </row>
    <row r="261" ht="15.75" customHeight="1">
      <c r="A261" s="12"/>
      <c r="B261" s="7"/>
      <c r="C261" s="12"/>
      <c r="D261" s="12"/>
      <c r="E261" s="12"/>
      <c r="F261" s="12"/>
      <c r="G261" s="12"/>
      <c r="H261" s="12"/>
      <c r="I261" s="12"/>
      <c r="J261" s="12"/>
      <c r="K261" s="12"/>
      <c r="L261" s="12"/>
      <c r="M261" s="12"/>
      <c r="N261" s="12"/>
      <c r="O261" s="12"/>
      <c r="P261" s="12"/>
      <c r="Q261" s="25"/>
    </row>
    <row r="262" ht="15.75" customHeight="1">
      <c r="A262" s="12"/>
      <c r="B262" s="7"/>
      <c r="C262" s="12"/>
      <c r="D262" s="12"/>
      <c r="E262" s="12"/>
      <c r="F262" s="12"/>
      <c r="G262" s="12"/>
      <c r="H262" s="12"/>
      <c r="I262" s="12"/>
      <c r="J262" s="12"/>
      <c r="K262" s="12"/>
      <c r="L262" s="12"/>
      <c r="M262" s="12"/>
      <c r="N262" s="12"/>
      <c r="O262" s="12"/>
      <c r="P262" s="12"/>
      <c r="Q262" s="25"/>
    </row>
    <row r="263" ht="15.75" customHeight="1">
      <c r="A263" s="12"/>
      <c r="B263" s="7"/>
      <c r="C263" s="12"/>
      <c r="D263" s="12"/>
      <c r="E263" s="12"/>
      <c r="F263" s="12"/>
      <c r="G263" s="12"/>
      <c r="H263" s="12"/>
      <c r="I263" s="12"/>
      <c r="J263" s="12"/>
      <c r="K263" s="12"/>
      <c r="L263" s="12"/>
      <c r="M263" s="12"/>
      <c r="N263" s="12"/>
      <c r="O263" s="12"/>
      <c r="P263" s="12"/>
      <c r="Q263" s="25"/>
    </row>
    <row r="264" ht="15.75" customHeight="1">
      <c r="A264" s="12"/>
      <c r="B264" s="7"/>
      <c r="C264" s="12"/>
      <c r="D264" s="12"/>
      <c r="E264" s="12"/>
      <c r="F264" s="12"/>
      <c r="G264" s="12"/>
      <c r="H264" s="12"/>
      <c r="I264" s="12"/>
      <c r="J264" s="12"/>
      <c r="K264" s="12"/>
      <c r="L264" s="12"/>
      <c r="M264" s="12"/>
      <c r="N264" s="12"/>
      <c r="O264" s="12"/>
      <c r="P264" s="12"/>
      <c r="Q264" s="25"/>
    </row>
    <row r="265" ht="15.75" customHeight="1">
      <c r="A265" s="12"/>
      <c r="B265" s="7"/>
      <c r="C265" s="12"/>
      <c r="D265" s="12"/>
      <c r="E265" s="12"/>
      <c r="F265" s="12"/>
      <c r="G265" s="12"/>
      <c r="H265" s="12"/>
      <c r="I265" s="12"/>
      <c r="J265" s="12"/>
      <c r="K265" s="12"/>
      <c r="L265" s="12"/>
      <c r="M265" s="12"/>
      <c r="N265" s="12"/>
      <c r="O265" s="12"/>
      <c r="P265" s="12"/>
      <c r="Q265" s="25"/>
    </row>
    <row r="266" ht="15.75" customHeight="1">
      <c r="A266" s="464" t="str">
        <f>Company_Name&amp;"| Income Statement Assumptions"</f>
        <v>OTW Paints| Income Statement Assumptions</v>
      </c>
      <c r="B266" s="464"/>
      <c r="C266" s="464"/>
      <c r="D266" s="464"/>
      <c r="E266" s="464"/>
      <c r="F266" s="126"/>
      <c r="G266" s="126"/>
      <c r="H266" s="12"/>
      <c r="I266" s="12"/>
      <c r="J266" s="12"/>
      <c r="K266" s="12"/>
      <c r="L266" s="12"/>
      <c r="M266" s="12"/>
      <c r="N266" s="12"/>
      <c r="O266" s="12"/>
      <c r="P266" s="12"/>
      <c r="Q266" s="25"/>
    </row>
    <row r="267" ht="15.75" customHeight="1">
      <c r="A267" s="15" t="s">
        <v>515</v>
      </c>
      <c r="B267" s="12"/>
      <c r="C267" s="12"/>
      <c r="D267" s="230"/>
      <c r="E267" s="12"/>
      <c r="F267" s="12"/>
      <c r="G267" s="12"/>
      <c r="H267" s="12"/>
      <c r="I267" s="12"/>
      <c r="J267" s="12"/>
      <c r="K267" s="12"/>
      <c r="L267" s="12"/>
      <c r="M267" s="12"/>
      <c r="N267" s="12"/>
      <c r="O267" s="12"/>
      <c r="P267" s="12"/>
      <c r="Q267" s="25"/>
    </row>
    <row r="268" ht="15.75" customHeight="1">
      <c r="A268" s="12"/>
      <c r="B268" s="12"/>
      <c r="C268" s="12"/>
      <c r="D268" s="12"/>
      <c r="E268" s="12"/>
      <c r="F268" s="12"/>
      <c r="G268" s="12"/>
      <c r="H268" s="12"/>
      <c r="I268" s="12"/>
      <c r="J268" s="12"/>
      <c r="K268" s="12"/>
      <c r="L268" s="12"/>
      <c r="M268" s="12"/>
      <c r="N268" s="12"/>
      <c r="O268" s="12"/>
      <c r="P268" s="12"/>
      <c r="Q268" s="25"/>
    </row>
    <row r="269" ht="21.75" customHeight="1">
      <c r="A269" s="527" t="s">
        <v>437</v>
      </c>
      <c r="B269" s="528"/>
      <c r="C269" s="528"/>
      <c r="D269" s="528"/>
      <c r="E269" s="528"/>
      <c r="F269" s="528"/>
      <c r="G269" s="528"/>
      <c r="H269" s="528"/>
      <c r="I269" s="528"/>
      <c r="J269" s="528"/>
      <c r="K269" s="528"/>
      <c r="L269" s="528"/>
      <c r="M269" s="528"/>
      <c r="N269" s="528"/>
      <c r="O269" s="528"/>
      <c r="P269" s="12"/>
      <c r="Q269" s="25"/>
    </row>
    <row r="270" ht="21.75" customHeight="1">
      <c r="A270" s="527" t="s">
        <v>438</v>
      </c>
      <c r="B270" s="528"/>
      <c r="C270" s="528"/>
      <c r="D270" s="528"/>
      <c r="E270" s="528"/>
      <c r="F270" s="528"/>
      <c r="G270" s="528"/>
      <c r="H270" s="528"/>
      <c r="I270" s="528"/>
      <c r="J270" s="528"/>
      <c r="K270" s="528"/>
      <c r="L270" s="528"/>
      <c r="M270" s="528"/>
      <c r="N270" s="528"/>
      <c r="O270" s="528"/>
      <c r="P270" s="12"/>
      <c r="Q270" s="25"/>
    </row>
    <row r="271" ht="21.75" customHeight="1">
      <c r="A271" s="527" t="s">
        <v>439</v>
      </c>
      <c r="B271" s="528"/>
      <c r="C271" s="528"/>
      <c r="D271" s="528"/>
      <c r="E271" s="528"/>
      <c r="F271" s="528"/>
      <c r="G271" s="528"/>
      <c r="H271" s="528"/>
      <c r="I271" s="528"/>
      <c r="J271" s="528"/>
      <c r="K271" s="528"/>
      <c r="L271" s="528"/>
      <c r="M271" s="528"/>
      <c r="N271" s="528"/>
      <c r="O271" s="528"/>
      <c r="P271" s="12"/>
      <c r="Q271" s="25"/>
    </row>
    <row r="272" ht="21.75" customHeight="1">
      <c r="A272" s="527" t="s">
        <v>440</v>
      </c>
      <c r="B272" s="528"/>
      <c r="C272" s="528"/>
      <c r="D272" s="528"/>
      <c r="E272" s="528"/>
      <c r="F272" s="528"/>
      <c r="G272" s="528"/>
      <c r="H272" s="528"/>
      <c r="I272" s="528"/>
      <c r="J272" s="528"/>
      <c r="K272" s="528"/>
      <c r="L272" s="528"/>
      <c r="M272" s="528"/>
      <c r="N272" s="528"/>
      <c r="O272" s="528"/>
      <c r="P272" s="12"/>
      <c r="Q272" s="25"/>
    </row>
    <row r="273" ht="21.75" customHeight="1">
      <c r="A273" s="527" t="s">
        <v>441</v>
      </c>
      <c r="B273" s="528"/>
      <c r="C273" s="528"/>
      <c r="D273" s="528"/>
      <c r="E273" s="528"/>
      <c r="F273" s="528"/>
      <c r="G273" s="528"/>
      <c r="H273" s="528"/>
      <c r="I273" s="528"/>
      <c r="J273" s="528"/>
      <c r="K273" s="528"/>
      <c r="L273" s="528"/>
      <c r="M273" s="528"/>
      <c r="N273" s="528"/>
      <c r="O273" s="528"/>
      <c r="P273" s="12"/>
      <c r="Q273" s="25"/>
    </row>
    <row r="274" ht="21.75" customHeight="1">
      <c r="A274" s="527" t="s">
        <v>442</v>
      </c>
      <c r="B274" s="528"/>
      <c r="C274" s="528"/>
      <c r="D274" s="528"/>
      <c r="E274" s="528"/>
      <c r="F274" s="528"/>
      <c r="G274" s="528"/>
      <c r="H274" s="529"/>
      <c r="I274" s="529"/>
      <c r="J274" s="529"/>
      <c r="K274" s="529"/>
      <c r="L274" s="529"/>
      <c r="M274" s="529"/>
      <c r="N274" s="529"/>
      <c r="O274" s="529"/>
      <c r="P274" s="12"/>
      <c r="Q274" s="25"/>
    </row>
    <row r="275" ht="21.75" customHeight="1">
      <c r="A275" s="527" t="s">
        <v>443</v>
      </c>
      <c r="B275" s="528"/>
      <c r="C275" s="528"/>
      <c r="D275" s="528"/>
      <c r="E275" s="528"/>
      <c r="F275" s="528"/>
      <c r="G275" s="528"/>
      <c r="H275" s="529"/>
      <c r="I275" s="529"/>
      <c r="J275" s="529"/>
      <c r="K275" s="529"/>
      <c r="L275" s="529"/>
      <c r="M275" s="529"/>
      <c r="N275" s="529"/>
      <c r="O275" s="529"/>
      <c r="P275" s="12"/>
      <c r="Q275" s="25"/>
    </row>
    <row r="276" ht="21.75" customHeight="1">
      <c r="A276" s="527" t="s">
        <v>444</v>
      </c>
      <c r="B276" s="528"/>
      <c r="C276" s="528"/>
      <c r="D276" s="528"/>
      <c r="E276" s="528"/>
      <c r="F276" s="528"/>
      <c r="G276" s="528"/>
      <c r="H276" s="529"/>
      <c r="I276" s="529"/>
      <c r="J276" s="529"/>
      <c r="K276" s="529"/>
      <c r="L276" s="529"/>
      <c r="M276" s="529"/>
      <c r="N276" s="529"/>
      <c r="O276" s="529"/>
      <c r="P276" s="12"/>
      <c r="Q276" s="25"/>
    </row>
    <row r="277" ht="21.75" customHeight="1">
      <c r="A277" s="527" t="s">
        <v>445</v>
      </c>
      <c r="B277" s="528"/>
      <c r="C277" s="528"/>
      <c r="D277" s="528"/>
      <c r="E277" s="528"/>
      <c r="F277" s="528"/>
      <c r="G277" s="528"/>
      <c r="H277" s="529"/>
      <c r="I277" s="529"/>
      <c r="J277" s="529"/>
      <c r="K277" s="529"/>
      <c r="L277" s="529"/>
      <c r="M277" s="529"/>
      <c r="N277" s="529"/>
      <c r="O277" s="529"/>
      <c r="P277" s="12"/>
      <c r="Q277" s="25"/>
    </row>
    <row r="278" ht="21.75" customHeight="1">
      <c r="A278" s="527" t="s">
        <v>447</v>
      </c>
      <c r="B278" s="528"/>
      <c r="C278" s="528"/>
      <c r="D278" s="528"/>
      <c r="E278" s="528"/>
      <c r="F278" s="528"/>
      <c r="G278" s="528"/>
      <c r="H278" s="529"/>
      <c r="I278" s="529"/>
      <c r="J278" s="529"/>
      <c r="K278" s="529"/>
      <c r="L278" s="529"/>
      <c r="M278" s="529"/>
      <c r="N278" s="529"/>
      <c r="O278" s="529"/>
      <c r="P278" s="12"/>
      <c r="Q278" s="25"/>
    </row>
    <row r="279" ht="15.75" customHeight="1">
      <c r="B279" s="7"/>
      <c r="Q279" s="25"/>
    </row>
    <row r="280" ht="15.75" customHeight="1">
      <c r="B280" s="7"/>
      <c r="Q280" s="25"/>
    </row>
    <row r="281" ht="15.75" customHeight="1">
      <c r="B281" s="7"/>
      <c r="Q281" s="25"/>
    </row>
    <row r="282" ht="15.75" customHeight="1">
      <c r="B282" s="7"/>
      <c r="Q282" s="25"/>
    </row>
    <row r="283" ht="15.75" customHeight="1">
      <c r="B283" s="7"/>
      <c r="Q283" s="25"/>
    </row>
    <row r="284" ht="15.75" customHeight="1">
      <c r="B284" s="7"/>
      <c r="Q284" s="25"/>
    </row>
    <row r="285" ht="15.75" customHeight="1">
      <c r="B285" s="7"/>
      <c r="Q285" s="25"/>
    </row>
    <row r="286" ht="15.75" customHeight="1">
      <c r="B286" s="7"/>
      <c r="Q286" s="25"/>
    </row>
    <row r="287" ht="15.75" customHeight="1">
      <c r="B287" s="7"/>
      <c r="Q287" s="25"/>
    </row>
    <row r="288" ht="15.75" customHeight="1">
      <c r="B288" s="7"/>
      <c r="Q288" s="25"/>
    </row>
    <row r="289" ht="15.75" customHeight="1">
      <c r="B289" s="7"/>
      <c r="Q289" s="25"/>
    </row>
    <row r="290" ht="15.75" customHeight="1">
      <c r="B290" s="7"/>
      <c r="Q290" s="25"/>
    </row>
    <row r="291" ht="15.75" customHeight="1">
      <c r="B291" s="7"/>
      <c r="Q291" s="25"/>
    </row>
    <row r="292" ht="15.75" customHeight="1">
      <c r="B292" s="7"/>
      <c r="Q292" s="25"/>
    </row>
    <row r="293" ht="15.75" customHeight="1">
      <c r="B293" s="7"/>
      <c r="Q293" s="25"/>
    </row>
    <row r="294" ht="15.75" customHeight="1">
      <c r="B294" s="7"/>
      <c r="Q294" s="25"/>
    </row>
    <row r="295" ht="15.75" customHeight="1">
      <c r="B295" s="7"/>
      <c r="Q295" s="25"/>
    </row>
    <row r="296" ht="15.75" customHeight="1">
      <c r="B296" s="7"/>
      <c r="Q296" s="25"/>
    </row>
    <row r="297" ht="15.75" customHeight="1">
      <c r="B297" s="7"/>
      <c r="Q297" s="25"/>
    </row>
    <row r="298" ht="15.75" customHeight="1">
      <c r="B298" s="7"/>
      <c r="Q298" s="25"/>
    </row>
    <row r="299" ht="15.75" customHeight="1">
      <c r="B299" s="7"/>
      <c r="Q299" s="25"/>
    </row>
    <row r="300" ht="15.75" customHeight="1">
      <c r="B300" s="7"/>
      <c r="Q300" s="25"/>
    </row>
    <row r="301" ht="15.75" customHeight="1">
      <c r="B301" s="7"/>
      <c r="Q301" s="25"/>
    </row>
    <row r="302" ht="15.75" customHeight="1">
      <c r="B302" s="7"/>
      <c r="Q302" s="25"/>
    </row>
    <row r="303" ht="15.75" customHeight="1">
      <c r="B303" s="7"/>
      <c r="Q303" s="25"/>
    </row>
    <row r="304" ht="15.75" customHeight="1">
      <c r="B304" s="7"/>
      <c r="Q304" s="25"/>
    </row>
    <row r="305" ht="15.75" customHeight="1">
      <c r="B305" s="7"/>
      <c r="Q305" s="25"/>
    </row>
    <row r="306" ht="15.75" customHeight="1">
      <c r="B306" s="7"/>
      <c r="Q306" s="25"/>
    </row>
    <row r="307" ht="15.75" customHeight="1">
      <c r="B307" s="7"/>
      <c r="Q307" s="25"/>
    </row>
    <row r="308" ht="15.75" customHeight="1">
      <c r="B308" s="7"/>
      <c r="Q308" s="25"/>
    </row>
    <row r="309" ht="15.75" customHeight="1">
      <c r="B309" s="7"/>
      <c r="Q309" s="25"/>
    </row>
    <row r="310" ht="15.75" customHeight="1">
      <c r="B310" s="7"/>
      <c r="Q310" s="25"/>
    </row>
    <row r="311" ht="15.75" customHeight="1">
      <c r="B311" s="7"/>
      <c r="Q311" s="25"/>
    </row>
    <row r="312" ht="15.75" customHeight="1">
      <c r="B312" s="7"/>
      <c r="Q312" s="25"/>
    </row>
    <row r="313" ht="15.75" customHeight="1">
      <c r="B313" s="7"/>
      <c r="Q313" s="25"/>
    </row>
    <row r="314" ht="15.75" customHeight="1">
      <c r="B314" s="7"/>
      <c r="Q314" s="25"/>
    </row>
    <row r="315" ht="15.75" customHeight="1">
      <c r="B315" s="7"/>
      <c r="Q315" s="25"/>
    </row>
    <row r="316" ht="15.75" customHeight="1">
      <c r="B316" s="7"/>
      <c r="Q316" s="25"/>
    </row>
    <row r="317" ht="15.75" customHeight="1">
      <c r="B317" s="7"/>
      <c r="Q317" s="25"/>
    </row>
    <row r="318" ht="15.75" customHeight="1">
      <c r="B318" s="7"/>
      <c r="Q318" s="25"/>
    </row>
    <row r="319" ht="15.75" customHeight="1">
      <c r="B319" s="7"/>
      <c r="Q319" s="25"/>
    </row>
    <row r="320" ht="15.75" customHeight="1">
      <c r="B320" s="7"/>
      <c r="Q320" s="25"/>
    </row>
    <row r="321" ht="15.75" customHeight="1">
      <c r="B321" s="7"/>
      <c r="Q321" s="25"/>
    </row>
    <row r="322" ht="15.75" customHeight="1">
      <c r="B322" s="7"/>
      <c r="Q322" s="25"/>
    </row>
    <row r="323" ht="15.75" customHeight="1">
      <c r="B323" s="7"/>
      <c r="Q323" s="25"/>
    </row>
    <row r="324" ht="15.75" customHeight="1">
      <c r="B324" s="7"/>
      <c r="Q324" s="25"/>
    </row>
    <row r="325" ht="15.75" customHeight="1">
      <c r="B325" s="7"/>
      <c r="Q325" s="25"/>
    </row>
    <row r="326" ht="15.75" customHeight="1">
      <c r="B326" s="7"/>
      <c r="Q326" s="25"/>
    </row>
    <row r="327" ht="15.75" customHeight="1">
      <c r="B327" s="7"/>
      <c r="Q327" s="25"/>
    </row>
    <row r="328" ht="15.75" customHeight="1">
      <c r="B328" s="7"/>
      <c r="Q328" s="25"/>
    </row>
    <row r="329" ht="15.75" customHeight="1">
      <c r="B329" s="7"/>
      <c r="Q329" s="25"/>
    </row>
    <row r="330" ht="15.75" customHeight="1">
      <c r="B330" s="7"/>
      <c r="Q330" s="25"/>
    </row>
    <row r="331" ht="15.75" customHeight="1">
      <c r="B331" s="7"/>
      <c r="Q331" s="25"/>
    </row>
    <row r="332" ht="15.75" customHeight="1">
      <c r="B332" s="7"/>
      <c r="Q332" s="25"/>
    </row>
    <row r="333" ht="15.75" customHeight="1">
      <c r="B333" s="7"/>
      <c r="Q333" s="25"/>
    </row>
    <row r="334" ht="15.75" customHeight="1">
      <c r="B334" s="7"/>
      <c r="Q334" s="25"/>
    </row>
    <row r="335" ht="15.75" customHeight="1">
      <c r="B335" s="7"/>
      <c r="Q335" s="25"/>
    </row>
    <row r="336" ht="15.75" customHeight="1">
      <c r="B336" s="7"/>
      <c r="Q336" s="25"/>
    </row>
    <row r="337" ht="15.75" customHeight="1">
      <c r="B337" s="7"/>
      <c r="Q337" s="25"/>
    </row>
    <row r="338" ht="15.75" customHeight="1">
      <c r="B338" s="7"/>
      <c r="Q338" s="25"/>
    </row>
    <row r="339" ht="15.75" customHeight="1">
      <c r="B339" s="7"/>
      <c r="Q339" s="25"/>
    </row>
    <row r="340" ht="15.75" customHeight="1">
      <c r="B340" s="7"/>
      <c r="Q340" s="25"/>
    </row>
    <row r="341" ht="15.75" customHeight="1">
      <c r="B341" s="7"/>
      <c r="Q341" s="25"/>
    </row>
    <row r="342" ht="15.75" customHeight="1">
      <c r="B342" s="7"/>
      <c r="Q342" s="25"/>
    </row>
    <row r="343" ht="15.75" customHeight="1">
      <c r="B343" s="7"/>
      <c r="Q343" s="25"/>
    </row>
    <row r="344" ht="15.75" customHeight="1">
      <c r="B344" s="7"/>
      <c r="Q344" s="25"/>
    </row>
    <row r="345" ht="15.75" customHeight="1">
      <c r="B345" s="7"/>
      <c r="Q345" s="25"/>
    </row>
    <row r="346" ht="15.75" customHeight="1">
      <c r="B346" s="7"/>
      <c r="Q346" s="25"/>
    </row>
    <row r="347" ht="15.75" customHeight="1">
      <c r="B347" s="7"/>
      <c r="Q347" s="25"/>
    </row>
    <row r="348" ht="15.75" customHeight="1">
      <c r="B348" s="7"/>
      <c r="Q348" s="25"/>
    </row>
    <row r="349" ht="15.75" customHeight="1">
      <c r="B349" s="7"/>
      <c r="Q349" s="25"/>
    </row>
    <row r="350" ht="15.75" customHeight="1">
      <c r="B350" s="7"/>
      <c r="Q350" s="25"/>
    </row>
    <row r="351" ht="15.75" customHeight="1">
      <c r="B351" s="7"/>
      <c r="Q351" s="25"/>
    </row>
    <row r="352" ht="15.75" customHeight="1">
      <c r="B352" s="7"/>
      <c r="Q352" s="25"/>
    </row>
    <row r="353" ht="15.75" customHeight="1">
      <c r="B353" s="7"/>
      <c r="Q353" s="25"/>
    </row>
    <row r="354" ht="15.75" customHeight="1">
      <c r="B354" s="7"/>
      <c r="Q354" s="25"/>
    </row>
    <row r="355" ht="15.75" customHeight="1">
      <c r="B355" s="7"/>
      <c r="Q355" s="25"/>
    </row>
    <row r="356" ht="15.75" customHeight="1">
      <c r="B356" s="7"/>
      <c r="Q356" s="25"/>
    </row>
    <row r="357" ht="15.75" customHeight="1">
      <c r="B357" s="7"/>
      <c r="Q357" s="25"/>
    </row>
    <row r="358" ht="15.75" customHeight="1">
      <c r="B358" s="7"/>
      <c r="Q358" s="25"/>
    </row>
    <row r="359" ht="15.75" customHeight="1">
      <c r="B359" s="7"/>
      <c r="Q359" s="25"/>
    </row>
    <row r="360" ht="15.75" customHeight="1">
      <c r="B360" s="7"/>
      <c r="Q360" s="25"/>
    </row>
    <row r="361" ht="15.75" customHeight="1">
      <c r="B361" s="7"/>
      <c r="Q361" s="25"/>
    </row>
    <row r="362" ht="15.75" customHeight="1">
      <c r="B362" s="7"/>
      <c r="Q362" s="25"/>
    </row>
    <row r="363" ht="15.75" customHeight="1">
      <c r="B363" s="7"/>
      <c r="Q363" s="25"/>
    </row>
    <row r="364" ht="15.75" customHeight="1">
      <c r="B364" s="7"/>
      <c r="Q364" s="25"/>
    </row>
    <row r="365" ht="15.75" customHeight="1">
      <c r="B365" s="7"/>
      <c r="Q365" s="25"/>
    </row>
    <row r="366" ht="15.75" customHeight="1">
      <c r="B366" s="7"/>
      <c r="Q366" s="25"/>
    </row>
    <row r="367" ht="15.75" customHeight="1">
      <c r="B367" s="7"/>
      <c r="Q367" s="25"/>
    </row>
    <row r="368" ht="15.75" customHeight="1">
      <c r="B368" s="7"/>
      <c r="Q368" s="25"/>
    </row>
    <row r="369" ht="15.75" customHeight="1">
      <c r="B369" s="7"/>
      <c r="Q369" s="25"/>
    </row>
    <row r="370" ht="15.75" customHeight="1">
      <c r="B370" s="7"/>
      <c r="Q370" s="25"/>
    </row>
    <row r="371" ht="15.75" customHeight="1">
      <c r="B371" s="7"/>
      <c r="Q371" s="25"/>
    </row>
    <row r="372" ht="15.75" customHeight="1">
      <c r="B372" s="7"/>
      <c r="Q372" s="25"/>
    </row>
    <row r="373" ht="15.75" customHeight="1">
      <c r="B373" s="7"/>
      <c r="Q373" s="25"/>
    </row>
    <row r="374" ht="15.75" customHeight="1">
      <c r="B374" s="7"/>
      <c r="Q374" s="25"/>
    </row>
    <row r="375" ht="15.75" customHeight="1">
      <c r="B375" s="7"/>
      <c r="Q375" s="25"/>
    </row>
    <row r="376" ht="15.75" customHeight="1">
      <c r="B376" s="7"/>
      <c r="Q376" s="25"/>
    </row>
    <row r="377" ht="15.75" customHeight="1">
      <c r="B377" s="7"/>
      <c r="Q377" s="25"/>
    </row>
    <row r="378" ht="15.75" customHeight="1">
      <c r="B378" s="7"/>
      <c r="Q378" s="25"/>
    </row>
    <row r="379" ht="15.75" customHeight="1">
      <c r="B379" s="7"/>
      <c r="Q379" s="25"/>
    </row>
    <row r="380" ht="15.75" customHeight="1">
      <c r="B380" s="7"/>
      <c r="Q380" s="25"/>
    </row>
    <row r="381" ht="15.75" customHeight="1">
      <c r="B381" s="7"/>
      <c r="Q381" s="25"/>
    </row>
    <row r="382" ht="15.75" customHeight="1">
      <c r="B382" s="7"/>
      <c r="Q382" s="25"/>
    </row>
    <row r="383" ht="15.75" customHeight="1">
      <c r="B383" s="7"/>
      <c r="Q383" s="25"/>
    </row>
    <row r="384" ht="15.75" customHeight="1">
      <c r="B384" s="7"/>
      <c r="Q384" s="25"/>
    </row>
    <row r="385" ht="15.75" customHeight="1">
      <c r="B385" s="7"/>
      <c r="Q385" s="25"/>
    </row>
    <row r="386" ht="15.75" customHeight="1">
      <c r="B386" s="7"/>
      <c r="Q386" s="25"/>
    </row>
    <row r="387" ht="15.75" customHeight="1">
      <c r="B387" s="7"/>
      <c r="Q387" s="25"/>
    </row>
    <row r="388" ht="15.75" customHeight="1">
      <c r="B388" s="7"/>
      <c r="Q388" s="25"/>
    </row>
    <row r="389" ht="15.75" customHeight="1">
      <c r="B389" s="7"/>
      <c r="Q389" s="25"/>
    </row>
    <row r="390" ht="15.75" customHeight="1">
      <c r="B390" s="7"/>
      <c r="Q390" s="25"/>
    </row>
    <row r="391" ht="15.75" customHeight="1">
      <c r="B391" s="7"/>
      <c r="Q391" s="25"/>
    </row>
    <row r="392" ht="15.75" customHeight="1">
      <c r="B392" s="7"/>
      <c r="Q392" s="25"/>
    </row>
    <row r="393" ht="15.75" customHeight="1">
      <c r="B393" s="7"/>
      <c r="Q393" s="25"/>
    </row>
    <row r="394" ht="15.75" customHeight="1">
      <c r="B394" s="7"/>
      <c r="Q394" s="25"/>
    </row>
    <row r="395" ht="15.75" customHeight="1">
      <c r="B395" s="7"/>
      <c r="Q395" s="25"/>
    </row>
    <row r="396" ht="15.75" customHeight="1">
      <c r="B396" s="7"/>
      <c r="Q396" s="25"/>
    </row>
    <row r="397" ht="15.75" customHeight="1">
      <c r="B397" s="7"/>
      <c r="Q397" s="25"/>
    </row>
    <row r="398" ht="15.75" customHeight="1">
      <c r="B398" s="7"/>
      <c r="Q398" s="25"/>
    </row>
    <row r="399" ht="15.75" customHeight="1">
      <c r="B399" s="7"/>
      <c r="Q399" s="25"/>
    </row>
    <row r="400" ht="15.75" customHeight="1">
      <c r="B400" s="7"/>
      <c r="Q400" s="25"/>
    </row>
    <row r="401" ht="15.75" customHeight="1">
      <c r="B401" s="7"/>
      <c r="Q401" s="25"/>
    </row>
    <row r="402" ht="15.75" customHeight="1">
      <c r="B402" s="7"/>
      <c r="Q402" s="25"/>
    </row>
    <row r="403" ht="15.75" customHeight="1">
      <c r="B403" s="7"/>
      <c r="Q403" s="25"/>
    </row>
    <row r="404" ht="15.75" customHeight="1">
      <c r="B404" s="7"/>
      <c r="Q404" s="25"/>
    </row>
    <row r="405" ht="15.75" customHeight="1">
      <c r="B405" s="7"/>
      <c r="Q405" s="25"/>
    </row>
    <row r="406" ht="15.75" customHeight="1">
      <c r="B406" s="7"/>
      <c r="Q406" s="25"/>
    </row>
    <row r="407" ht="15.75" customHeight="1">
      <c r="B407" s="7"/>
      <c r="Q407" s="25"/>
    </row>
    <row r="408" ht="15.75" customHeight="1">
      <c r="B408" s="7"/>
      <c r="Q408" s="25"/>
    </row>
    <row r="409" ht="15.75" customHeight="1">
      <c r="B409" s="7"/>
      <c r="Q409" s="25"/>
    </row>
    <row r="410" ht="15.75" customHeight="1">
      <c r="B410" s="7"/>
      <c r="Q410" s="25"/>
    </row>
    <row r="411" ht="15.75" customHeight="1">
      <c r="B411" s="7"/>
      <c r="Q411" s="25"/>
    </row>
    <row r="412" ht="15.75" customHeight="1">
      <c r="B412" s="7"/>
      <c r="Q412" s="25"/>
    </row>
    <row r="413" ht="15.75" customHeight="1">
      <c r="B413" s="7"/>
      <c r="Q413" s="25"/>
    </row>
    <row r="414" ht="15.75" customHeight="1">
      <c r="B414" s="7"/>
      <c r="Q414" s="25"/>
    </row>
    <row r="415" ht="15.75" customHeight="1">
      <c r="B415" s="7"/>
      <c r="Q415" s="25"/>
    </row>
    <row r="416" ht="15.75" customHeight="1">
      <c r="B416" s="7"/>
      <c r="Q416" s="25"/>
    </row>
    <row r="417" ht="15.75" customHeight="1">
      <c r="B417" s="7"/>
      <c r="Q417" s="25"/>
    </row>
    <row r="418" ht="15.75" customHeight="1">
      <c r="B418" s="7"/>
      <c r="Q418" s="25"/>
    </row>
    <row r="419" ht="15.75" customHeight="1">
      <c r="B419" s="7"/>
      <c r="Q419" s="25"/>
    </row>
    <row r="420" ht="15.75" customHeight="1">
      <c r="B420" s="7"/>
      <c r="Q420" s="25"/>
    </row>
    <row r="421" ht="15.75" customHeight="1">
      <c r="B421" s="7"/>
      <c r="Q421" s="25"/>
    </row>
    <row r="422" ht="15.75" customHeight="1">
      <c r="B422" s="7"/>
      <c r="Q422" s="25"/>
    </row>
    <row r="423" ht="15.75" customHeight="1">
      <c r="B423" s="7"/>
      <c r="Q423" s="25"/>
    </row>
    <row r="424" ht="15.75" customHeight="1">
      <c r="B424" s="7"/>
      <c r="Q424" s="25"/>
    </row>
    <row r="425" ht="15.75" customHeight="1">
      <c r="B425" s="7"/>
      <c r="Q425" s="25"/>
    </row>
    <row r="426" ht="15.75" customHeight="1">
      <c r="B426" s="7"/>
      <c r="Q426" s="25"/>
    </row>
    <row r="427" ht="15.75" customHeight="1">
      <c r="B427" s="7"/>
      <c r="Q427" s="25"/>
    </row>
    <row r="428" ht="15.75" customHeight="1">
      <c r="B428" s="7"/>
      <c r="Q428" s="25"/>
    </row>
    <row r="429" ht="15.75" customHeight="1">
      <c r="B429" s="7"/>
      <c r="Q429" s="25"/>
    </row>
    <row r="430" ht="15.75" customHeight="1">
      <c r="B430" s="7"/>
      <c r="Q430" s="25"/>
    </row>
    <row r="431" ht="15.75" customHeight="1">
      <c r="B431" s="7"/>
      <c r="Q431" s="25"/>
    </row>
    <row r="432" ht="15.75" customHeight="1">
      <c r="B432" s="7"/>
      <c r="Q432" s="25"/>
    </row>
    <row r="433" ht="15.75" customHeight="1">
      <c r="B433" s="7"/>
      <c r="Q433" s="25"/>
    </row>
    <row r="434" ht="15.75" customHeight="1">
      <c r="B434" s="7"/>
      <c r="Q434" s="25"/>
    </row>
    <row r="435" ht="15.75" customHeight="1">
      <c r="B435" s="7"/>
      <c r="Q435" s="25"/>
    </row>
    <row r="436" ht="15.75" customHeight="1">
      <c r="B436" s="7"/>
      <c r="Q436" s="25"/>
    </row>
    <row r="437" ht="15.75" customHeight="1">
      <c r="B437" s="7"/>
      <c r="Q437" s="25"/>
    </row>
    <row r="438" ht="15.75" customHeight="1">
      <c r="B438" s="7"/>
      <c r="Q438" s="25"/>
    </row>
    <row r="439" ht="15.75" customHeight="1">
      <c r="B439" s="7"/>
      <c r="Q439" s="25"/>
    </row>
    <row r="440" ht="15.75" customHeight="1">
      <c r="B440" s="7"/>
      <c r="Q440" s="25"/>
    </row>
    <row r="441" ht="15.75" customHeight="1">
      <c r="B441" s="7"/>
      <c r="Q441" s="25"/>
    </row>
    <row r="442" ht="15.75" customHeight="1">
      <c r="B442" s="7"/>
      <c r="Q442" s="25"/>
    </row>
    <row r="443" ht="15.75" customHeight="1">
      <c r="B443" s="7"/>
      <c r="Q443" s="25"/>
    </row>
    <row r="444" ht="15.75" customHeight="1">
      <c r="B444" s="7"/>
      <c r="Q444" s="25"/>
    </row>
    <row r="445" ht="15.75" customHeight="1">
      <c r="B445" s="7"/>
      <c r="Q445" s="25"/>
    </row>
    <row r="446" ht="15.75" customHeight="1">
      <c r="B446" s="7"/>
      <c r="Q446" s="25"/>
    </row>
    <row r="447" ht="15.75" customHeight="1">
      <c r="B447" s="7"/>
      <c r="Q447" s="25"/>
    </row>
    <row r="448" ht="15.75" customHeight="1">
      <c r="B448" s="7"/>
      <c r="Q448" s="25"/>
    </row>
    <row r="449" ht="15.75" customHeight="1">
      <c r="B449" s="7"/>
      <c r="Q449" s="25"/>
    </row>
    <row r="450" ht="15.75" customHeight="1">
      <c r="B450" s="7"/>
      <c r="Q450" s="25"/>
    </row>
    <row r="451" ht="15.75" customHeight="1">
      <c r="B451" s="7"/>
      <c r="Q451" s="25"/>
    </row>
    <row r="452" ht="15.75" customHeight="1">
      <c r="B452" s="7"/>
      <c r="Q452" s="25"/>
    </row>
    <row r="453" ht="15.75" customHeight="1">
      <c r="B453" s="7"/>
      <c r="Q453" s="25"/>
    </row>
    <row r="454" ht="15.75" customHeight="1">
      <c r="B454" s="7"/>
      <c r="Q454" s="25"/>
    </row>
    <row r="455" ht="15.75" customHeight="1">
      <c r="B455" s="7"/>
      <c r="Q455" s="25"/>
    </row>
    <row r="456" ht="15.75" customHeight="1">
      <c r="B456" s="7"/>
      <c r="Q456" s="25"/>
    </row>
    <row r="457" ht="15.75" customHeight="1">
      <c r="B457" s="7"/>
      <c r="Q457" s="25"/>
    </row>
    <row r="458" ht="15.75" customHeight="1">
      <c r="B458" s="7"/>
      <c r="Q458" s="25"/>
    </row>
    <row r="459" ht="15.75" customHeight="1">
      <c r="B459" s="7"/>
      <c r="Q459" s="25"/>
    </row>
    <row r="460" ht="15.75" customHeight="1">
      <c r="B460" s="7"/>
      <c r="Q460" s="25"/>
    </row>
    <row r="461" ht="15.75" customHeight="1">
      <c r="B461" s="7"/>
      <c r="Q461" s="25"/>
    </row>
    <row r="462" ht="15.75" customHeight="1">
      <c r="B462" s="7"/>
      <c r="Q462" s="25"/>
    </row>
    <row r="463" ht="15.75" customHeight="1">
      <c r="B463" s="7"/>
      <c r="Q463" s="25"/>
    </row>
    <row r="464" ht="15.75" customHeight="1">
      <c r="B464" s="7"/>
      <c r="Q464" s="25"/>
    </row>
    <row r="465" ht="15.75" customHeight="1">
      <c r="B465" s="7"/>
      <c r="Q465" s="25"/>
    </row>
    <row r="466" ht="15.75" customHeight="1">
      <c r="B466" s="7"/>
      <c r="Q466" s="25"/>
    </row>
    <row r="467" ht="15.75" customHeight="1">
      <c r="B467" s="7"/>
      <c r="Q467" s="25"/>
    </row>
    <row r="468" ht="15.75" customHeight="1">
      <c r="B468" s="7"/>
      <c r="Q468" s="25"/>
    </row>
    <row r="469" ht="15.75" customHeight="1">
      <c r="B469" s="7"/>
      <c r="Q469" s="25"/>
    </row>
    <row r="470" ht="15.75" customHeight="1">
      <c r="B470" s="7"/>
      <c r="Q470" s="25"/>
    </row>
    <row r="471" ht="15.75" customHeight="1">
      <c r="B471" s="7"/>
      <c r="Q471" s="25"/>
    </row>
    <row r="472" ht="15.75" customHeight="1">
      <c r="B472" s="7"/>
      <c r="Q472" s="25"/>
    </row>
    <row r="473" ht="15.75" customHeight="1">
      <c r="B473" s="7"/>
      <c r="Q473" s="25"/>
    </row>
    <row r="474" ht="15.75" customHeight="1">
      <c r="B474" s="7"/>
      <c r="Q474" s="25"/>
    </row>
    <row r="475" ht="15.75" customHeight="1">
      <c r="B475" s="7"/>
      <c r="Q475" s="25"/>
    </row>
    <row r="476" ht="15.75" customHeight="1">
      <c r="B476" s="7"/>
      <c r="Q476" s="25"/>
    </row>
    <row r="477" ht="15.75" customHeight="1">
      <c r="B477" s="7"/>
      <c r="Q477" s="25"/>
    </row>
    <row r="478" ht="15.75" customHeight="1">
      <c r="B478" s="7"/>
      <c r="Q478" s="25"/>
    </row>
    <row r="479" ht="15.75" customHeight="1">
      <c r="B479" s="7"/>
      <c r="Q479" s="25"/>
    </row>
    <row r="480" ht="15.75" customHeight="1">
      <c r="B480" s="7"/>
      <c r="Q480" s="25"/>
    </row>
    <row r="481" ht="15.75" customHeight="1">
      <c r="B481" s="7"/>
      <c r="Q481" s="25"/>
    </row>
    <row r="482" ht="15.75" customHeight="1">
      <c r="B482" s="7"/>
      <c r="Q482" s="25"/>
    </row>
    <row r="483" ht="15.75" customHeight="1">
      <c r="B483" s="7"/>
      <c r="Q483" s="25"/>
    </row>
    <row r="484" ht="15.75" customHeight="1">
      <c r="B484" s="7"/>
      <c r="Q484" s="25"/>
    </row>
    <row r="485" ht="15.75" customHeight="1">
      <c r="B485" s="7"/>
      <c r="Q485" s="25"/>
    </row>
    <row r="486" ht="15.75" customHeight="1">
      <c r="B486" s="7"/>
      <c r="Q486" s="25"/>
    </row>
    <row r="487" ht="15.75" customHeight="1">
      <c r="B487" s="7"/>
      <c r="Q487" s="25"/>
    </row>
    <row r="488" ht="15.75" customHeight="1">
      <c r="B488" s="7"/>
      <c r="Q488" s="25"/>
    </row>
    <row r="489" ht="15.75" customHeight="1">
      <c r="B489" s="7"/>
      <c r="Q489" s="25"/>
    </row>
    <row r="490" ht="15.75" customHeight="1">
      <c r="B490" s="7"/>
      <c r="Q490" s="25"/>
    </row>
    <row r="491" ht="15.75" customHeight="1">
      <c r="B491" s="7"/>
      <c r="Q491" s="25"/>
    </row>
    <row r="492" ht="15.75" customHeight="1">
      <c r="B492" s="7"/>
      <c r="Q492" s="25"/>
    </row>
    <row r="493" ht="15.75" customHeight="1">
      <c r="B493" s="7"/>
      <c r="Q493" s="25"/>
    </row>
    <row r="494" ht="15.75" customHeight="1">
      <c r="B494" s="7"/>
      <c r="Q494" s="25"/>
    </row>
    <row r="495" ht="15.75" customHeight="1">
      <c r="B495" s="7"/>
      <c r="Q495" s="25"/>
    </row>
    <row r="496" ht="15.75" customHeight="1">
      <c r="B496" s="7"/>
      <c r="Q496" s="25"/>
    </row>
    <row r="497" ht="15.75" customHeight="1">
      <c r="B497" s="7"/>
      <c r="Q497" s="25"/>
    </row>
    <row r="498" ht="15.75" customHeight="1">
      <c r="B498" s="7"/>
      <c r="Q498" s="25"/>
    </row>
    <row r="499" ht="15.75" customHeight="1">
      <c r="B499" s="7"/>
      <c r="Q499" s="25"/>
    </row>
    <row r="500" ht="15.75" customHeight="1">
      <c r="B500" s="7"/>
      <c r="Q500" s="25"/>
    </row>
    <row r="501" ht="15.75" customHeight="1">
      <c r="B501" s="7"/>
      <c r="Q501" s="25"/>
    </row>
    <row r="502" ht="15.75" customHeight="1">
      <c r="B502" s="7"/>
      <c r="Q502" s="25"/>
    </row>
    <row r="503" ht="15.75" customHeight="1">
      <c r="B503" s="7"/>
      <c r="Q503" s="25"/>
    </row>
    <row r="504" ht="15.75" customHeight="1">
      <c r="B504" s="7"/>
      <c r="Q504" s="25"/>
    </row>
    <row r="505" ht="15.75" customHeight="1">
      <c r="B505" s="7"/>
      <c r="Q505" s="25"/>
    </row>
    <row r="506" ht="15.75" customHeight="1">
      <c r="B506" s="7"/>
      <c r="Q506" s="25"/>
    </row>
    <row r="507" ht="15.75" customHeight="1">
      <c r="B507" s="7"/>
      <c r="Q507" s="25"/>
    </row>
    <row r="508" ht="15.75" customHeight="1">
      <c r="B508" s="7"/>
      <c r="Q508" s="25"/>
    </row>
    <row r="509" ht="15.75" customHeight="1">
      <c r="B509" s="7"/>
      <c r="Q509" s="25"/>
    </row>
    <row r="510" ht="15.75" customHeight="1">
      <c r="B510" s="7"/>
      <c r="Q510" s="25"/>
    </row>
    <row r="511" ht="15.75" customHeight="1">
      <c r="B511" s="7"/>
      <c r="Q511" s="25"/>
    </row>
    <row r="512" ht="15.75" customHeight="1">
      <c r="B512" s="7"/>
      <c r="Q512" s="25"/>
    </row>
    <row r="513" ht="15.75" customHeight="1">
      <c r="B513" s="7"/>
      <c r="Q513" s="25"/>
    </row>
    <row r="514" ht="15.75" customHeight="1">
      <c r="B514" s="7"/>
      <c r="Q514" s="25"/>
    </row>
    <row r="515" ht="15.75" customHeight="1">
      <c r="B515" s="7"/>
      <c r="Q515" s="25"/>
    </row>
    <row r="516" ht="15.75" customHeight="1">
      <c r="B516" s="7"/>
      <c r="Q516" s="25"/>
    </row>
    <row r="517" ht="15.75" customHeight="1">
      <c r="B517" s="7"/>
      <c r="Q517" s="25"/>
    </row>
    <row r="518" ht="15.75" customHeight="1">
      <c r="B518" s="7"/>
      <c r="Q518" s="25"/>
    </row>
    <row r="519" ht="15.75" customHeight="1">
      <c r="B519" s="7"/>
      <c r="Q519" s="25"/>
    </row>
    <row r="520" ht="15.75" customHeight="1">
      <c r="B520" s="7"/>
      <c r="Q520" s="25"/>
    </row>
    <row r="521" ht="15.75" customHeight="1">
      <c r="B521" s="7"/>
      <c r="Q521" s="25"/>
    </row>
    <row r="522" ht="15.75" customHeight="1">
      <c r="B522" s="7"/>
      <c r="Q522" s="25"/>
    </row>
    <row r="523" ht="15.75" customHeight="1">
      <c r="B523" s="7"/>
      <c r="Q523" s="25"/>
    </row>
    <row r="524" ht="15.75" customHeight="1">
      <c r="B524" s="7"/>
      <c r="Q524" s="25"/>
    </row>
    <row r="525" ht="15.75" customHeight="1">
      <c r="B525" s="7"/>
      <c r="Q525" s="25"/>
    </row>
    <row r="526" ht="15.75" customHeight="1">
      <c r="B526" s="7"/>
      <c r="Q526" s="25"/>
    </row>
    <row r="527" ht="15.75" customHeight="1">
      <c r="B527" s="7"/>
      <c r="Q527" s="25"/>
    </row>
    <row r="528" ht="15.75" customHeight="1">
      <c r="B528" s="7"/>
      <c r="Q528" s="25"/>
    </row>
    <row r="529" ht="15.75" customHeight="1">
      <c r="B529" s="7"/>
      <c r="Q529" s="25"/>
    </row>
    <row r="530" ht="15.75" customHeight="1">
      <c r="B530" s="7"/>
      <c r="Q530" s="25"/>
    </row>
    <row r="531" ht="15.75" customHeight="1">
      <c r="B531" s="7"/>
      <c r="Q531" s="25"/>
    </row>
    <row r="532" ht="15.75" customHeight="1">
      <c r="B532" s="7"/>
      <c r="Q532" s="25"/>
    </row>
    <row r="533" ht="15.75" customHeight="1">
      <c r="B533" s="7"/>
      <c r="Q533" s="25"/>
    </row>
    <row r="534" ht="15.75" customHeight="1">
      <c r="B534" s="7"/>
      <c r="Q534" s="25"/>
    </row>
    <row r="535" ht="15.75" customHeight="1">
      <c r="B535" s="7"/>
      <c r="Q535" s="25"/>
    </row>
    <row r="536" ht="15.75" customHeight="1">
      <c r="B536" s="7"/>
      <c r="Q536" s="25"/>
    </row>
    <row r="537" ht="15.75" customHeight="1">
      <c r="B537" s="7"/>
      <c r="Q537" s="25"/>
    </row>
    <row r="538" ht="15.75" customHeight="1">
      <c r="B538" s="7"/>
      <c r="Q538" s="25"/>
    </row>
    <row r="539" ht="15.75" customHeight="1">
      <c r="B539" s="7"/>
      <c r="Q539" s="25"/>
    </row>
    <row r="540" ht="15.75" customHeight="1">
      <c r="B540" s="7"/>
      <c r="Q540" s="25"/>
    </row>
    <row r="541" ht="15.75" customHeight="1">
      <c r="B541" s="7"/>
      <c r="Q541" s="25"/>
    </row>
    <row r="542" ht="15.75" customHeight="1">
      <c r="B542" s="7"/>
      <c r="Q542" s="25"/>
    </row>
    <row r="543" ht="15.75" customHeight="1">
      <c r="B543" s="7"/>
      <c r="Q543" s="25"/>
    </row>
    <row r="544" ht="15.75" customHeight="1">
      <c r="B544" s="7"/>
      <c r="Q544" s="25"/>
    </row>
    <row r="545" ht="15.75" customHeight="1">
      <c r="B545" s="7"/>
      <c r="Q545" s="25"/>
    </row>
    <row r="546" ht="15.75" customHeight="1">
      <c r="B546" s="7"/>
      <c r="Q546" s="25"/>
    </row>
    <row r="547" ht="15.75" customHeight="1">
      <c r="B547" s="7"/>
      <c r="Q547" s="25"/>
    </row>
    <row r="548" ht="15.75" customHeight="1">
      <c r="B548" s="7"/>
      <c r="Q548" s="25"/>
    </row>
    <row r="549" ht="15.75" customHeight="1">
      <c r="B549" s="7"/>
      <c r="Q549" s="25"/>
    </row>
    <row r="550" ht="15.75" customHeight="1">
      <c r="B550" s="7"/>
      <c r="Q550" s="25"/>
    </row>
    <row r="551" ht="15.75" customHeight="1">
      <c r="B551" s="7"/>
      <c r="Q551" s="25"/>
    </row>
    <row r="552" ht="15.75" customHeight="1">
      <c r="B552" s="7"/>
      <c r="Q552" s="25"/>
    </row>
    <row r="553" ht="15.75" customHeight="1">
      <c r="B553" s="7"/>
      <c r="Q553" s="25"/>
    </row>
    <row r="554" ht="15.75" customHeight="1">
      <c r="B554" s="7"/>
      <c r="Q554" s="25"/>
    </row>
    <row r="555" ht="15.75" customHeight="1">
      <c r="B555" s="7"/>
      <c r="Q555" s="25"/>
    </row>
    <row r="556" ht="15.75" customHeight="1">
      <c r="B556" s="7"/>
      <c r="Q556" s="25"/>
    </row>
    <row r="557" ht="15.75" customHeight="1">
      <c r="B557" s="7"/>
      <c r="Q557" s="25"/>
    </row>
    <row r="558" ht="15.75" customHeight="1">
      <c r="B558" s="7"/>
      <c r="Q558" s="25"/>
    </row>
    <row r="559" ht="15.75" customHeight="1">
      <c r="B559" s="7"/>
      <c r="Q559" s="25"/>
    </row>
    <row r="560" ht="15.75" customHeight="1">
      <c r="B560" s="7"/>
      <c r="Q560" s="25"/>
    </row>
    <row r="561" ht="15.75" customHeight="1">
      <c r="B561" s="7"/>
      <c r="Q561" s="25"/>
    </row>
    <row r="562" ht="15.75" customHeight="1">
      <c r="B562" s="7"/>
      <c r="Q562" s="25"/>
    </row>
    <row r="563" ht="15.75" customHeight="1">
      <c r="B563" s="7"/>
      <c r="Q563" s="25"/>
    </row>
    <row r="564" ht="15.75" customHeight="1">
      <c r="B564" s="7"/>
      <c r="Q564" s="25"/>
    </row>
    <row r="565" ht="15.75" customHeight="1">
      <c r="B565" s="7"/>
      <c r="Q565" s="25"/>
    </row>
    <row r="566" ht="15.75" customHeight="1">
      <c r="B566" s="7"/>
      <c r="Q566" s="25"/>
    </row>
    <row r="567" ht="15.75" customHeight="1">
      <c r="B567" s="7"/>
      <c r="Q567" s="25"/>
    </row>
    <row r="568" ht="15.75" customHeight="1">
      <c r="B568" s="7"/>
      <c r="Q568" s="25"/>
    </row>
    <row r="569" ht="15.75" customHeight="1">
      <c r="B569" s="7"/>
      <c r="Q569" s="25"/>
    </row>
    <row r="570" ht="15.75" customHeight="1">
      <c r="B570" s="7"/>
      <c r="Q570" s="25"/>
    </row>
    <row r="571" ht="15.75" customHeight="1">
      <c r="B571" s="7"/>
      <c r="Q571" s="25"/>
    </row>
    <row r="572" ht="15.75" customHeight="1">
      <c r="B572" s="7"/>
      <c r="Q572" s="25"/>
    </row>
    <row r="573" ht="15.75" customHeight="1">
      <c r="B573" s="7"/>
      <c r="Q573" s="25"/>
    </row>
    <row r="574" ht="15.75" customHeight="1">
      <c r="B574" s="7"/>
      <c r="Q574" s="25"/>
    </row>
    <row r="575" ht="15.75" customHeight="1">
      <c r="B575" s="7"/>
      <c r="Q575" s="25"/>
    </row>
    <row r="576" ht="15.75" customHeight="1">
      <c r="B576" s="7"/>
      <c r="Q576" s="25"/>
    </row>
    <row r="577" ht="15.75" customHeight="1">
      <c r="B577" s="7"/>
      <c r="Q577" s="25"/>
    </row>
    <row r="578" ht="15.75" customHeight="1">
      <c r="B578" s="7"/>
      <c r="Q578" s="25"/>
    </row>
    <row r="579" ht="15.75" customHeight="1">
      <c r="B579" s="7"/>
      <c r="Q579" s="25"/>
    </row>
    <row r="580" ht="15.75" customHeight="1">
      <c r="B580" s="7"/>
      <c r="Q580" s="25"/>
    </row>
    <row r="581" ht="15.75" customHeight="1">
      <c r="B581" s="7"/>
      <c r="Q581" s="25"/>
    </row>
    <row r="582" ht="15.75" customHeight="1">
      <c r="B582" s="7"/>
      <c r="Q582" s="25"/>
    </row>
    <row r="583" ht="15.75" customHeight="1">
      <c r="B583" s="7"/>
      <c r="Q583" s="25"/>
    </row>
    <row r="584" ht="15.75" customHeight="1">
      <c r="B584" s="7"/>
      <c r="Q584" s="25"/>
    </row>
    <row r="585" ht="15.75" customHeight="1">
      <c r="B585" s="7"/>
      <c r="Q585" s="25"/>
    </row>
    <row r="586" ht="15.75" customHeight="1">
      <c r="B586" s="7"/>
      <c r="Q586" s="25"/>
    </row>
    <row r="587" ht="15.75" customHeight="1">
      <c r="B587" s="7"/>
      <c r="Q587" s="25"/>
    </row>
    <row r="588" ht="15.75" customHeight="1">
      <c r="B588" s="7"/>
      <c r="Q588" s="25"/>
    </row>
    <row r="589" ht="15.75" customHeight="1">
      <c r="B589" s="7"/>
      <c r="Q589" s="25"/>
    </row>
    <row r="590" ht="15.75" customHeight="1">
      <c r="B590" s="7"/>
      <c r="Q590" s="25"/>
    </row>
    <row r="591" ht="15.75" customHeight="1">
      <c r="B591" s="7"/>
      <c r="Q591" s="25"/>
    </row>
    <row r="592" ht="15.75" customHeight="1">
      <c r="B592" s="7"/>
      <c r="Q592" s="25"/>
    </row>
    <row r="593" ht="15.75" customHeight="1">
      <c r="B593" s="7"/>
      <c r="Q593" s="25"/>
    </row>
    <row r="594" ht="15.75" customHeight="1">
      <c r="B594" s="7"/>
      <c r="Q594" s="25"/>
    </row>
    <row r="595" ht="15.75" customHeight="1">
      <c r="B595" s="7"/>
      <c r="Q595" s="25"/>
    </row>
    <row r="596" ht="15.75" customHeight="1">
      <c r="B596" s="7"/>
      <c r="Q596" s="25"/>
    </row>
    <row r="597" ht="15.75" customHeight="1">
      <c r="B597" s="7"/>
      <c r="Q597" s="25"/>
    </row>
    <row r="598" ht="15.75" customHeight="1">
      <c r="B598" s="7"/>
      <c r="Q598" s="25"/>
    </row>
    <row r="599" ht="15.75" customHeight="1">
      <c r="B599" s="7"/>
      <c r="Q599" s="25"/>
    </row>
    <row r="600" ht="15.75" customHeight="1">
      <c r="B600" s="7"/>
      <c r="Q600" s="25"/>
    </row>
    <row r="601" ht="15.75" customHeight="1">
      <c r="B601" s="7"/>
      <c r="Q601" s="25"/>
    </row>
    <row r="602" ht="15.75" customHeight="1">
      <c r="B602" s="7"/>
      <c r="Q602" s="25"/>
    </row>
    <row r="603" ht="15.75" customHeight="1">
      <c r="B603" s="7"/>
      <c r="Q603" s="25"/>
    </row>
    <row r="604" ht="15.75" customHeight="1">
      <c r="B604" s="7"/>
      <c r="Q604" s="25"/>
    </row>
    <row r="605" ht="15.75" customHeight="1">
      <c r="B605" s="7"/>
      <c r="Q605" s="25"/>
    </row>
    <row r="606" ht="15.75" customHeight="1">
      <c r="B606" s="7"/>
      <c r="Q606" s="25"/>
    </row>
    <row r="607" ht="15.75" customHeight="1">
      <c r="B607" s="7"/>
      <c r="Q607" s="25"/>
    </row>
    <row r="608" ht="15.75" customHeight="1">
      <c r="B608" s="7"/>
      <c r="Q608" s="25"/>
    </row>
    <row r="609" ht="15.75" customHeight="1">
      <c r="B609" s="7"/>
      <c r="Q609" s="25"/>
    </row>
    <row r="610" ht="15.75" customHeight="1">
      <c r="B610" s="7"/>
      <c r="Q610" s="25"/>
    </row>
    <row r="611" ht="15.75" customHeight="1">
      <c r="B611" s="7"/>
      <c r="Q611" s="25"/>
    </row>
    <row r="612" ht="15.75" customHeight="1">
      <c r="B612" s="7"/>
      <c r="Q612" s="25"/>
    </row>
    <row r="613" ht="15.75" customHeight="1">
      <c r="B613" s="7"/>
      <c r="Q613" s="25"/>
    </row>
    <row r="614" ht="15.75" customHeight="1">
      <c r="B614" s="7"/>
      <c r="Q614" s="25"/>
    </row>
    <row r="615" ht="15.75" customHeight="1">
      <c r="B615" s="7"/>
      <c r="Q615" s="25"/>
    </row>
    <row r="616" ht="15.75" customHeight="1">
      <c r="B616" s="7"/>
      <c r="Q616" s="25"/>
    </row>
    <row r="617" ht="15.75" customHeight="1">
      <c r="B617" s="7"/>
      <c r="Q617" s="25"/>
    </row>
    <row r="618" ht="15.75" customHeight="1">
      <c r="B618" s="7"/>
      <c r="Q618" s="25"/>
    </row>
    <row r="619" ht="15.75" customHeight="1">
      <c r="B619" s="7"/>
      <c r="Q619" s="25"/>
    </row>
    <row r="620" ht="15.75" customHeight="1">
      <c r="B620" s="7"/>
      <c r="Q620" s="25"/>
    </row>
    <row r="621" ht="15.75" customHeight="1">
      <c r="B621" s="7"/>
      <c r="Q621" s="25"/>
    </row>
    <row r="622" ht="15.75" customHeight="1">
      <c r="B622" s="7"/>
      <c r="Q622" s="25"/>
    </row>
    <row r="623" ht="15.75" customHeight="1">
      <c r="B623" s="7"/>
      <c r="Q623" s="25"/>
    </row>
    <row r="624" ht="15.75" customHeight="1">
      <c r="B624" s="7"/>
      <c r="Q624" s="25"/>
    </row>
    <row r="625" ht="15.75" customHeight="1">
      <c r="B625" s="7"/>
      <c r="Q625" s="25"/>
    </row>
    <row r="626" ht="15.75" customHeight="1">
      <c r="B626" s="7"/>
      <c r="Q626" s="25"/>
    </row>
    <row r="627" ht="15.75" customHeight="1">
      <c r="B627" s="7"/>
      <c r="Q627" s="25"/>
    </row>
    <row r="628" ht="15.75" customHeight="1">
      <c r="B628" s="7"/>
      <c r="Q628" s="25"/>
    </row>
    <row r="629" ht="15.75" customHeight="1">
      <c r="B629" s="7"/>
      <c r="Q629" s="25"/>
    </row>
    <row r="630" ht="15.75" customHeight="1">
      <c r="B630" s="7"/>
      <c r="Q630" s="25"/>
    </row>
    <row r="631" ht="15.75" customHeight="1">
      <c r="B631" s="7"/>
      <c r="Q631" s="25"/>
    </row>
    <row r="632" ht="15.75" customHeight="1">
      <c r="B632" s="7"/>
      <c r="Q632" s="25"/>
    </row>
    <row r="633" ht="15.75" customHeight="1">
      <c r="B633" s="7"/>
      <c r="Q633" s="25"/>
    </row>
    <row r="634" ht="15.75" customHeight="1">
      <c r="B634" s="7"/>
      <c r="Q634" s="25"/>
    </row>
    <row r="635" ht="15.75" customHeight="1">
      <c r="B635" s="7"/>
      <c r="Q635" s="25"/>
    </row>
    <row r="636" ht="15.75" customHeight="1">
      <c r="B636" s="7"/>
      <c r="Q636" s="25"/>
    </row>
    <row r="637" ht="15.75" customHeight="1">
      <c r="B637" s="7"/>
      <c r="Q637" s="25"/>
    </row>
    <row r="638" ht="15.75" customHeight="1">
      <c r="B638" s="7"/>
      <c r="Q638" s="25"/>
    </row>
    <row r="639" ht="15.75" customHeight="1">
      <c r="B639" s="7"/>
      <c r="Q639" s="25"/>
    </row>
    <row r="640" ht="15.75" customHeight="1">
      <c r="B640" s="7"/>
      <c r="Q640" s="25"/>
    </row>
    <row r="641" ht="15.75" customHeight="1">
      <c r="B641" s="7"/>
      <c r="Q641" s="25"/>
    </row>
    <row r="642" ht="15.75" customHeight="1">
      <c r="B642" s="7"/>
      <c r="Q642" s="25"/>
    </row>
    <row r="643" ht="15.75" customHeight="1">
      <c r="B643" s="7"/>
      <c r="Q643" s="25"/>
    </row>
    <row r="644" ht="15.75" customHeight="1">
      <c r="B644" s="7"/>
      <c r="Q644" s="25"/>
    </row>
    <row r="645" ht="15.75" customHeight="1">
      <c r="B645" s="7"/>
      <c r="Q645" s="25"/>
    </row>
    <row r="646" ht="15.75" customHeight="1">
      <c r="B646" s="7"/>
      <c r="Q646" s="25"/>
    </row>
    <row r="647" ht="15.75" customHeight="1">
      <c r="B647" s="7"/>
      <c r="Q647" s="25"/>
    </row>
    <row r="648" ht="15.75" customHeight="1">
      <c r="B648" s="7"/>
      <c r="Q648" s="25"/>
    </row>
    <row r="649" ht="15.75" customHeight="1">
      <c r="B649" s="7"/>
      <c r="Q649" s="25"/>
    </row>
    <row r="650" ht="15.75" customHeight="1">
      <c r="B650" s="7"/>
      <c r="Q650" s="25"/>
    </row>
    <row r="651" ht="15.75" customHeight="1">
      <c r="B651" s="7"/>
      <c r="Q651" s="25"/>
    </row>
    <row r="652" ht="15.75" customHeight="1">
      <c r="B652" s="7"/>
      <c r="Q652" s="25"/>
    </row>
    <row r="653" ht="15.75" customHeight="1">
      <c r="B653" s="7"/>
      <c r="Q653" s="25"/>
    </row>
    <row r="654" ht="15.75" customHeight="1">
      <c r="B654" s="7"/>
      <c r="Q654" s="25"/>
    </row>
    <row r="655" ht="15.75" customHeight="1">
      <c r="B655" s="7"/>
      <c r="Q655" s="25"/>
    </row>
    <row r="656" ht="15.75" customHeight="1">
      <c r="B656" s="7"/>
      <c r="Q656" s="25"/>
    </row>
    <row r="657" ht="15.75" customHeight="1">
      <c r="B657" s="7"/>
      <c r="Q657" s="25"/>
    </row>
    <row r="658" ht="15.75" customHeight="1">
      <c r="B658" s="7"/>
      <c r="Q658" s="25"/>
    </row>
    <row r="659" ht="15.75" customHeight="1">
      <c r="B659" s="7"/>
      <c r="Q659" s="25"/>
    </row>
    <row r="660" ht="15.75" customHeight="1">
      <c r="B660" s="7"/>
      <c r="Q660" s="25"/>
    </row>
    <row r="661" ht="15.75" customHeight="1">
      <c r="B661" s="7"/>
      <c r="Q661" s="25"/>
    </row>
    <row r="662" ht="15.75" customHeight="1">
      <c r="B662" s="7"/>
      <c r="Q662" s="25"/>
    </row>
    <row r="663" ht="15.75" customHeight="1">
      <c r="B663" s="7"/>
      <c r="Q663" s="25"/>
    </row>
    <row r="664" ht="15.75" customHeight="1">
      <c r="B664" s="7"/>
      <c r="Q664" s="25"/>
    </row>
    <row r="665" ht="15.75" customHeight="1">
      <c r="B665" s="7"/>
      <c r="Q665" s="25"/>
    </row>
    <row r="666" ht="15.75" customHeight="1">
      <c r="B666" s="7"/>
      <c r="Q666" s="25"/>
    </row>
    <row r="667" ht="15.75" customHeight="1">
      <c r="B667" s="7"/>
      <c r="Q667" s="25"/>
    </row>
    <row r="668" ht="15.75" customHeight="1">
      <c r="B668" s="7"/>
      <c r="Q668" s="25"/>
    </row>
    <row r="669" ht="15.75" customHeight="1">
      <c r="B669" s="7"/>
      <c r="Q669" s="25"/>
    </row>
    <row r="670" ht="15.75" customHeight="1">
      <c r="B670" s="7"/>
      <c r="Q670" s="25"/>
    </row>
    <row r="671" ht="15.75" customHeight="1">
      <c r="B671" s="7"/>
      <c r="Q671" s="25"/>
    </row>
    <row r="672" ht="15.75" customHeight="1">
      <c r="B672" s="7"/>
      <c r="Q672" s="25"/>
    </row>
    <row r="673" ht="15.75" customHeight="1">
      <c r="B673" s="7"/>
      <c r="Q673" s="25"/>
    </row>
    <row r="674" ht="15.75" customHeight="1">
      <c r="B674" s="7"/>
      <c r="Q674" s="25"/>
    </row>
    <row r="675" ht="15.75" customHeight="1">
      <c r="B675" s="7"/>
      <c r="Q675" s="25"/>
    </row>
    <row r="676" ht="15.75" customHeight="1">
      <c r="B676" s="7"/>
      <c r="Q676" s="25"/>
    </row>
    <row r="677" ht="15.75" customHeight="1">
      <c r="B677" s="7"/>
      <c r="Q677" s="25"/>
    </row>
    <row r="678" ht="15.75" customHeight="1">
      <c r="B678" s="7"/>
      <c r="Q678" s="25"/>
    </row>
    <row r="679" ht="15.75" customHeight="1">
      <c r="B679" s="7"/>
      <c r="Q679" s="25"/>
    </row>
    <row r="680" ht="15.75" customHeight="1">
      <c r="B680" s="7"/>
      <c r="Q680" s="25"/>
    </row>
    <row r="681" ht="15.75" customHeight="1">
      <c r="B681" s="7"/>
      <c r="Q681" s="25"/>
    </row>
    <row r="682" ht="15.75" customHeight="1">
      <c r="B682" s="7"/>
      <c r="Q682" s="25"/>
    </row>
    <row r="683" ht="15.75" customHeight="1">
      <c r="B683" s="7"/>
      <c r="Q683" s="25"/>
    </row>
    <row r="684" ht="15.75" customHeight="1">
      <c r="B684" s="7"/>
      <c r="Q684" s="25"/>
    </row>
    <row r="685" ht="15.75" customHeight="1">
      <c r="B685" s="7"/>
      <c r="Q685" s="25"/>
    </row>
    <row r="686" ht="15.75" customHeight="1">
      <c r="B686" s="7"/>
      <c r="Q686" s="25"/>
    </row>
    <row r="687" ht="15.75" customHeight="1">
      <c r="B687" s="7"/>
      <c r="Q687" s="25"/>
    </row>
    <row r="688" ht="15.75" customHeight="1">
      <c r="B688" s="7"/>
      <c r="Q688" s="25"/>
    </row>
    <row r="689" ht="15.75" customHeight="1">
      <c r="B689" s="7"/>
      <c r="Q689" s="25"/>
    </row>
    <row r="690" ht="15.75" customHeight="1">
      <c r="B690" s="7"/>
      <c r="Q690" s="25"/>
    </row>
    <row r="691" ht="15.75" customHeight="1">
      <c r="B691" s="7"/>
      <c r="Q691" s="25"/>
    </row>
    <row r="692" ht="15.75" customHeight="1">
      <c r="B692" s="7"/>
      <c r="Q692" s="25"/>
    </row>
    <row r="693" ht="15.75" customHeight="1">
      <c r="B693" s="7"/>
      <c r="Q693" s="25"/>
    </row>
    <row r="694" ht="15.75" customHeight="1">
      <c r="B694" s="7"/>
      <c r="Q694" s="25"/>
    </row>
    <row r="695" ht="15.75" customHeight="1">
      <c r="B695" s="7"/>
      <c r="Q695" s="25"/>
    </row>
    <row r="696" ht="15.75" customHeight="1">
      <c r="B696" s="7"/>
      <c r="Q696" s="25"/>
    </row>
    <row r="697" ht="15.75" customHeight="1">
      <c r="B697" s="7"/>
      <c r="Q697" s="25"/>
    </row>
    <row r="698" ht="15.75" customHeight="1">
      <c r="B698" s="7"/>
      <c r="Q698" s="25"/>
    </row>
    <row r="699" ht="15.75" customHeight="1">
      <c r="B699" s="7"/>
      <c r="Q699" s="25"/>
    </row>
    <row r="700" ht="15.75" customHeight="1">
      <c r="B700" s="7"/>
      <c r="Q700" s="25"/>
    </row>
    <row r="701" ht="15.75" customHeight="1">
      <c r="B701" s="7"/>
      <c r="Q701" s="25"/>
    </row>
    <row r="702" ht="15.75" customHeight="1">
      <c r="B702" s="7"/>
      <c r="Q702" s="25"/>
    </row>
    <row r="703" ht="15.75" customHeight="1">
      <c r="B703" s="7"/>
      <c r="Q703" s="25"/>
    </row>
    <row r="704" ht="15.75" customHeight="1">
      <c r="B704" s="7"/>
      <c r="Q704" s="25"/>
    </row>
    <row r="705" ht="15.75" customHeight="1">
      <c r="B705" s="7"/>
      <c r="Q705" s="25"/>
    </row>
    <row r="706" ht="15.75" customHeight="1">
      <c r="B706" s="7"/>
      <c r="Q706" s="25"/>
    </row>
    <row r="707" ht="15.75" customHeight="1">
      <c r="B707" s="7"/>
      <c r="Q707" s="25"/>
    </row>
    <row r="708" ht="15.75" customHeight="1">
      <c r="B708" s="7"/>
      <c r="Q708" s="25"/>
    </row>
    <row r="709" ht="15.75" customHeight="1">
      <c r="B709" s="7"/>
      <c r="Q709" s="25"/>
    </row>
    <row r="710" ht="15.75" customHeight="1">
      <c r="B710" s="7"/>
      <c r="Q710" s="25"/>
    </row>
    <row r="711" ht="15.75" customHeight="1">
      <c r="B711" s="7"/>
      <c r="Q711" s="25"/>
    </row>
    <row r="712" ht="15.75" customHeight="1">
      <c r="B712" s="7"/>
      <c r="Q712" s="25"/>
    </row>
    <row r="713" ht="15.75" customHeight="1">
      <c r="B713" s="7"/>
      <c r="Q713" s="25"/>
    </row>
    <row r="714" ht="15.75" customHeight="1">
      <c r="B714" s="7"/>
      <c r="Q714" s="25"/>
    </row>
    <row r="715" ht="15.75" customHeight="1">
      <c r="B715" s="7"/>
      <c r="Q715" s="25"/>
    </row>
    <row r="716" ht="15.75" customHeight="1">
      <c r="B716" s="7"/>
      <c r="Q716" s="25"/>
    </row>
    <row r="717" ht="15.75" customHeight="1">
      <c r="B717" s="7"/>
      <c r="Q717" s="25"/>
    </row>
    <row r="718" ht="15.75" customHeight="1">
      <c r="B718" s="7"/>
      <c r="Q718" s="25"/>
    </row>
    <row r="719" ht="15.75" customHeight="1">
      <c r="B719" s="7"/>
      <c r="Q719" s="25"/>
    </row>
    <row r="720" ht="15.75" customHeight="1">
      <c r="B720" s="7"/>
      <c r="Q720" s="25"/>
    </row>
    <row r="721" ht="15.75" customHeight="1">
      <c r="B721" s="7"/>
      <c r="Q721" s="25"/>
    </row>
    <row r="722" ht="15.75" customHeight="1">
      <c r="B722" s="7"/>
      <c r="Q722" s="25"/>
    </row>
    <row r="723" ht="15.75" customHeight="1">
      <c r="B723" s="7"/>
      <c r="Q723" s="25"/>
    </row>
    <row r="724" ht="15.75" customHeight="1">
      <c r="B724" s="7"/>
      <c r="Q724" s="25"/>
    </row>
    <row r="725" ht="15.75" customHeight="1">
      <c r="B725" s="7"/>
      <c r="Q725" s="25"/>
    </row>
    <row r="726" ht="15.75" customHeight="1">
      <c r="B726" s="7"/>
      <c r="Q726" s="25"/>
    </row>
    <row r="727" ht="15.75" customHeight="1">
      <c r="B727" s="7"/>
      <c r="Q727" s="25"/>
    </row>
    <row r="728" ht="15.75" customHeight="1">
      <c r="B728" s="7"/>
      <c r="Q728" s="25"/>
    </row>
    <row r="729" ht="15.75" customHeight="1">
      <c r="B729" s="7"/>
      <c r="Q729" s="25"/>
    </row>
    <row r="730" ht="15.75" customHeight="1">
      <c r="B730" s="7"/>
      <c r="Q730" s="25"/>
    </row>
    <row r="731" ht="15.75" customHeight="1">
      <c r="B731" s="7"/>
      <c r="Q731" s="25"/>
    </row>
    <row r="732" ht="15.75" customHeight="1">
      <c r="B732" s="7"/>
      <c r="Q732" s="25"/>
    </row>
    <row r="733" ht="15.75" customHeight="1">
      <c r="B733" s="7"/>
      <c r="Q733" s="25"/>
    </row>
    <row r="734" ht="15.75" customHeight="1">
      <c r="B734" s="7"/>
      <c r="Q734" s="25"/>
    </row>
    <row r="735" ht="15.75" customHeight="1">
      <c r="B735" s="7"/>
      <c r="Q735" s="25"/>
    </row>
    <row r="736" ht="15.75" customHeight="1">
      <c r="B736" s="7"/>
      <c r="Q736" s="25"/>
    </row>
    <row r="737" ht="15.75" customHeight="1">
      <c r="B737" s="7"/>
      <c r="Q737" s="25"/>
    </row>
    <row r="738" ht="15.75" customHeight="1">
      <c r="B738" s="7"/>
      <c r="Q738" s="25"/>
    </row>
    <row r="739" ht="15.75" customHeight="1">
      <c r="B739" s="7"/>
      <c r="Q739" s="25"/>
    </row>
    <row r="740" ht="15.75" customHeight="1">
      <c r="B740" s="7"/>
      <c r="Q740" s="25"/>
    </row>
    <row r="741" ht="15.75" customHeight="1">
      <c r="B741" s="7"/>
      <c r="Q741" s="25"/>
    </row>
    <row r="742" ht="15.75" customHeight="1">
      <c r="B742" s="7"/>
      <c r="Q742" s="25"/>
    </row>
    <row r="743" ht="15.75" customHeight="1">
      <c r="B743" s="7"/>
      <c r="Q743" s="25"/>
    </row>
    <row r="744" ht="15.75" customHeight="1">
      <c r="B744" s="7"/>
      <c r="Q744" s="25"/>
    </row>
    <row r="745" ht="15.75" customHeight="1">
      <c r="B745" s="7"/>
      <c r="Q745" s="25"/>
    </row>
    <row r="746" ht="15.75" customHeight="1">
      <c r="B746" s="7"/>
      <c r="Q746" s="25"/>
    </row>
    <row r="747" ht="15.75" customHeight="1">
      <c r="B747" s="7"/>
      <c r="Q747" s="25"/>
    </row>
    <row r="748" ht="15.75" customHeight="1">
      <c r="B748" s="7"/>
      <c r="Q748" s="25"/>
    </row>
    <row r="749" ht="15.75" customHeight="1">
      <c r="B749" s="7"/>
      <c r="Q749" s="25"/>
    </row>
    <row r="750" ht="15.75" customHeight="1">
      <c r="B750" s="7"/>
      <c r="Q750" s="25"/>
    </row>
    <row r="751" ht="15.75" customHeight="1">
      <c r="B751" s="7"/>
      <c r="Q751" s="25"/>
    </row>
    <row r="752" ht="15.75" customHeight="1">
      <c r="B752" s="7"/>
      <c r="Q752" s="25"/>
    </row>
    <row r="753" ht="15.75" customHeight="1">
      <c r="B753" s="7"/>
      <c r="Q753" s="25"/>
    </row>
    <row r="754" ht="15.75" customHeight="1">
      <c r="B754" s="7"/>
      <c r="Q754" s="25"/>
    </row>
    <row r="755" ht="15.75" customHeight="1">
      <c r="B755" s="7"/>
      <c r="Q755" s="25"/>
    </row>
    <row r="756" ht="15.75" customHeight="1">
      <c r="B756" s="7"/>
      <c r="Q756" s="25"/>
    </row>
    <row r="757" ht="15.75" customHeight="1">
      <c r="B757" s="7"/>
      <c r="Q757" s="25"/>
    </row>
    <row r="758" ht="15.75" customHeight="1">
      <c r="B758" s="7"/>
      <c r="Q758" s="25"/>
    </row>
    <row r="759" ht="15.75" customHeight="1">
      <c r="B759" s="7"/>
      <c r="Q759" s="25"/>
    </row>
    <row r="760" ht="15.75" customHeight="1">
      <c r="B760" s="7"/>
      <c r="Q760" s="25"/>
    </row>
    <row r="761" ht="15.75" customHeight="1">
      <c r="B761" s="7"/>
      <c r="Q761" s="25"/>
    </row>
    <row r="762" ht="15.75" customHeight="1">
      <c r="B762" s="7"/>
      <c r="Q762" s="25"/>
    </row>
    <row r="763" ht="15.75" customHeight="1">
      <c r="B763" s="7"/>
      <c r="Q763" s="25"/>
    </row>
    <row r="764" ht="15.75" customHeight="1">
      <c r="B764" s="7"/>
      <c r="Q764" s="25"/>
    </row>
    <row r="765" ht="15.75" customHeight="1">
      <c r="B765" s="7"/>
      <c r="Q765" s="25"/>
    </row>
    <row r="766" ht="15.75" customHeight="1">
      <c r="B766" s="7"/>
      <c r="Q766" s="25"/>
    </row>
    <row r="767" ht="15.75" customHeight="1">
      <c r="B767" s="7"/>
      <c r="Q767" s="25"/>
    </row>
    <row r="768" ht="15.75" customHeight="1">
      <c r="B768" s="7"/>
      <c r="Q768" s="25"/>
    </row>
    <row r="769" ht="15.75" customHeight="1">
      <c r="B769" s="7"/>
      <c r="Q769" s="25"/>
    </row>
    <row r="770" ht="15.75" customHeight="1">
      <c r="B770" s="7"/>
      <c r="Q770" s="25"/>
    </row>
    <row r="771" ht="15.75" customHeight="1">
      <c r="B771" s="7"/>
      <c r="Q771" s="25"/>
    </row>
    <row r="772" ht="15.75" customHeight="1">
      <c r="B772" s="7"/>
      <c r="Q772" s="25"/>
    </row>
    <row r="773" ht="15.75" customHeight="1">
      <c r="B773" s="7"/>
      <c r="Q773" s="25"/>
    </row>
    <row r="774" ht="15.75" customHeight="1">
      <c r="B774" s="7"/>
      <c r="Q774" s="25"/>
    </row>
    <row r="775" ht="15.75" customHeight="1">
      <c r="B775" s="7"/>
      <c r="Q775" s="25"/>
    </row>
    <row r="776" ht="15.75" customHeight="1">
      <c r="B776" s="7"/>
      <c r="Q776" s="25"/>
    </row>
    <row r="777" ht="15.75" customHeight="1">
      <c r="B777" s="7"/>
      <c r="Q777" s="25"/>
    </row>
    <row r="778" ht="15.75" customHeight="1">
      <c r="B778" s="7"/>
      <c r="Q778" s="25"/>
    </row>
    <row r="779" ht="15.75" customHeight="1">
      <c r="B779" s="7"/>
      <c r="Q779" s="25"/>
    </row>
    <row r="780" ht="15.75" customHeight="1">
      <c r="B780" s="7"/>
      <c r="Q780" s="25"/>
    </row>
    <row r="781" ht="15.75" customHeight="1">
      <c r="B781" s="7"/>
      <c r="Q781" s="25"/>
    </row>
    <row r="782" ht="15.75" customHeight="1">
      <c r="B782" s="7"/>
      <c r="Q782" s="25"/>
    </row>
    <row r="783" ht="15.75" customHeight="1">
      <c r="B783" s="7"/>
      <c r="Q783" s="25"/>
    </row>
    <row r="784" ht="15.75" customHeight="1">
      <c r="B784" s="7"/>
      <c r="Q784" s="25"/>
    </row>
    <row r="785" ht="15.75" customHeight="1">
      <c r="B785" s="7"/>
      <c r="Q785" s="25"/>
    </row>
    <row r="786" ht="15.75" customHeight="1">
      <c r="B786" s="7"/>
      <c r="Q786" s="25"/>
    </row>
    <row r="787" ht="15.75" customHeight="1">
      <c r="B787" s="7"/>
      <c r="Q787" s="25"/>
    </row>
    <row r="788" ht="15.75" customHeight="1">
      <c r="B788" s="7"/>
      <c r="Q788" s="25"/>
    </row>
    <row r="789" ht="15.75" customHeight="1">
      <c r="B789" s="7"/>
      <c r="Q789" s="25"/>
    </row>
    <row r="790" ht="15.75" customHeight="1">
      <c r="B790" s="7"/>
      <c r="Q790" s="25"/>
    </row>
    <row r="791" ht="15.75" customHeight="1">
      <c r="B791" s="7"/>
      <c r="Q791" s="25"/>
    </row>
    <row r="792" ht="15.75" customHeight="1">
      <c r="B792" s="7"/>
      <c r="Q792" s="25"/>
    </row>
    <row r="793" ht="15.75" customHeight="1">
      <c r="B793" s="7"/>
      <c r="Q793" s="25"/>
    </row>
    <row r="794" ht="15.75" customHeight="1">
      <c r="B794" s="7"/>
      <c r="Q794" s="25"/>
    </row>
    <row r="795" ht="15.75" customHeight="1">
      <c r="B795" s="7"/>
      <c r="Q795" s="25"/>
    </row>
    <row r="796" ht="15.75" customHeight="1">
      <c r="B796" s="7"/>
      <c r="Q796" s="25"/>
    </row>
    <row r="797" ht="15.75" customHeight="1">
      <c r="B797" s="7"/>
      <c r="Q797" s="25"/>
    </row>
    <row r="798" ht="15.75" customHeight="1">
      <c r="B798" s="7"/>
      <c r="Q798" s="25"/>
    </row>
    <row r="799" ht="15.75" customHeight="1">
      <c r="B799" s="7"/>
      <c r="Q799" s="25"/>
    </row>
    <row r="800" ht="15.75" customHeight="1">
      <c r="B800" s="7"/>
      <c r="Q800" s="25"/>
    </row>
    <row r="801" ht="15.75" customHeight="1">
      <c r="B801" s="7"/>
      <c r="Q801" s="25"/>
    </row>
    <row r="802" ht="15.75" customHeight="1">
      <c r="B802" s="7"/>
      <c r="Q802" s="25"/>
    </row>
    <row r="803" ht="15.75" customHeight="1">
      <c r="B803" s="7"/>
      <c r="Q803" s="25"/>
    </row>
    <row r="804" ht="15.75" customHeight="1">
      <c r="B804" s="7"/>
      <c r="Q804" s="25"/>
    </row>
    <row r="805" ht="15.75" customHeight="1">
      <c r="B805" s="7"/>
      <c r="Q805" s="25"/>
    </row>
    <row r="806" ht="15.75" customHeight="1">
      <c r="B806" s="7"/>
      <c r="Q806" s="25"/>
    </row>
    <row r="807" ht="15.75" customHeight="1">
      <c r="B807" s="7"/>
      <c r="Q807" s="25"/>
    </row>
    <row r="808" ht="15.75" customHeight="1">
      <c r="B808" s="7"/>
      <c r="Q808" s="25"/>
    </row>
    <row r="809" ht="15.75" customHeight="1">
      <c r="B809" s="7"/>
      <c r="Q809" s="25"/>
    </row>
    <row r="810" ht="15.75" customHeight="1">
      <c r="B810" s="7"/>
      <c r="Q810" s="25"/>
    </row>
    <row r="811" ht="15.75" customHeight="1">
      <c r="B811" s="7"/>
      <c r="Q811" s="25"/>
    </row>
    <row r="812" ht="15.75" customHeight="1">
      <c r="B812" s="7"/>
      <c r="Q812" s="25"/>
    </row>
    <row r="813" ht="15.75" customHeight="1">
      <c r="B813" s="7"/>
      <c r="Q813" s="25"/>
    </row>
    <row r="814" ht="15.75" customHeight="1">
      <c r="B814" s="7"/>
      <c r="Q814" s="25"/>
    </row>
    <row r="815" ht="15.75" customHeight="1">
      <c r="B815" s="7"/>
      <c r="Q815" s="25"/>
    </row>
    <row r="816" ht="15.75" customHeight="1">
      <c r="B816" s="7"/>
      <c r="Q816" s="25"/>
    </row>
    <row r="817" ht="15.75" customHeight="1">
      <c r="B817" s="7"/>
      <c r="Q817" s="25"/>
    </row>
    <row r="818" ht="15.75" customHeight="1">
      <c r="B818" s="7"/>
      <c r="Q818" s="25"/>
    </row>
    <row r="819" ht="15.75" customHeight="1">
      <c r="B819" s="7"/>
      <c r="Q819" s="25"/>
    </row>
    <row r="820" ht="15.75" customHeight="1">
      <c r="B820" s="7"/>
      <c r="Q820" s="25"/>
    </row>
    <row r="821" ht="15.75" customHeight="1">
      <c r="B821" s="7"/>
      <c r="Q821" s="25"/>
    </row>
    <row r="822" ht="15.75" customHeight="1">
      <c r="B822" s="7"/>
      <c r="Q822" s="25"/>
    </row>
    <row r="823" ht="15.75" customHeight="1">
      <c r="B823" s="7"/>
      <c r="Q823" s="25"/>
    </row>
    <row r="824" ht="15.75" customHeight="1">
      <c r="B824" s="7"/>
      <c r="Q824" s="25"/>
    </row>
    <row r="825" ht="15.75" customHeight="1">
      <c r="B825" s="7"/>
      <c r="Q825" s="25"/>
    </row>
    <row r="826" ht="15.75" customHeight="1">
      <c r="B826" s="7"/>
      <c r="Q826" s="25"/>
    </row>
    <row r="827" ht="15.75" customHeight="1">
      <c r="B827" s="7"/>
      <c r="Q827" s="25"/>
    </row>
    <row r="828" ht="15.75" customHeight="1">
      <c r="B828" s="7"/>
      <c r="Q828" s="25"/>
    </row>
    <row r="829" ht="15.75" customHeight="1">
      <c r="B829" s="7"/>
      <c r="Q829" s="25"/>
    </row>
    <row r="830" ht="15.75" customHeight="1">
      <c r="B830" s="7"/>
      <c r="Q830" s="25"/>
    </row>
    <row r="831" ht="15.75" customHeight="1">
      <c r="B831" s="7"/>
      <c r="Q831" s="25"/>
    </row>
    <row r="832" ht="15.75" customHeight="1">
      <c r="B832" s="7"/>
      <c r="Q832" s="25"/>
    </row>
    <row r="833" ht="15.75" customHeight="1">
      <c r="B833" s="7"/>
      <c r="Q833" s="25"/>
    </row>
    <row r="834" ht="15.75" customHeight="1">
      <c r="B834" s="7"/>
      <c r="Q834" s="25"/>
    </row>
    <row r="835" ht="15.75" customHeight="1">
      <c r="B835" s="7"/>
      <c r="Q835" s="25"/>
    </row>
    <row r="836" ht="15.75" customHeight="1">
      <c r="B836" s="7"/>
      <c r="Q836" s="25"/>
    </row>
    <row r="837" ht="15.75" customHeight="1">
      <c r="B837" s="7"/>
      <c r="Q837" s="25"/>
    </row>
    <row r="838" ht="15.75" customHeight="1">
      <c r="B838" s="7"/>
      <c r="Q838" s="25"/>
    </row>
    <row r="839" ht="15.75" customHeight="1">
      <c r="B839" s="7"/>
      <c r="Q839" s="25"/>
    </row>
    <row r="840" ht="15.75" customHeight="1">
      <c r="B840" s="7"/>
      <c r="Q840" s="25"/>
    </row>
    <row r="841" ht="15.75" customHeight="1">
      <c r="B841" s="7"/>
      <c r="Q841" s="25"/>
    </row>
    <row r="842" ht="15.75" customHeight="1">
      <c r="B842" s="7"/>
      <c r="Q842" s="25"/>
    </row>
    <row r="843" ht="15.75" customHeight="1">
      <c r="B843" s="7"/>
      <c r="Q843" s="25"/>
    </row>
    <row r="844" ht="15.75" customHeight="1">
      <c r="B844" s="7"/>
      <c r="Q844" s="25"/>
    </row>
    <row r="845" ht="15.75" customHeight="1">
      <c r="B845" s="7"/>
      <c r="Q845" s="25"/>
    </row>
    <row r="846" ht="15.75" customHeight="1">
      <c r="B846" s="7"/>
      <c r="Q846" s="25"/>
    </row>
    <row r="847" ht="15.75" customHeight="1">
      <c r="B847" s="7"/>
      <c r="Q847" s="25"/>
    </row>
    <row r="848" ht="15.75" customHeight="1">
      <c r="B848" s="7"/>
      <c r="Q848" s="25"/>
    </row>
    <row r="849" ht="15.75" customHeight="1">
      <c r="B849" s="7"/>
      <c r="Q849" s="25"/>
    </row>
    <row r="850" ht="15.75" customHeight="1">
      <c r="B850" s="7"/>
      <c r="Q850" s="25"/>
    </row>
    <row r="851" ht="15.75" customHeight="1">
      <c r="B851" s="7"/>
      <c r="Q851" s="25"/>
    </row>
    <row r="852" ht="15.75" customHeight="1">
      <c r="B852" s="7"/>
      <c r="Q852" s="25"/>
    </row>
    <row r="853" ht="15.75" customHeight="1">
      <c r="B853" s="7"/>
      <c r="Q853" s="25"/>
    </row>
    <row r="854" ht="15.75" customHeight="1">
      <c r="B854" s="7"/>
      <c r="Q854" s="25"/>
    </row>
    <row r="855" ht="15.75" customHeight="1">
      <c r="B855" s="7"/>
      <c r="Q855" s="25"/>
    </row>
    <row r="856" ht="15.75" customHeight="1">
      <c r="B856" s="7"/>
      <c r="Q856" s="25"/>
    </row>
    <row r="857" ht="15.75" customHeight="1">
      <c r="B857" s="7"/>
      <c r="Q857" s="25"/>
    </row>
    <row r="858" ht="15.75" customHeight="1">
      <c r="B858" s="7"/>
      <c r="Q858" s="25"/>
    </row>
    <row r="859" ht="15.75" customHeight="1">
      <c r="B859" s="7"/>
      <c r="Q859" s="25"/>
    </row>
    <row r="860" ht="15.75" customHeight="1">
      <c r="B860" s="7"/>
      <c r="Q860" s="25"/>
    </row>
    <row r="861" ht="15.75" customHeight="1">
      <c r="B861" s="7"/>
      <c r="Q861" s="25"/>
    </row>
    <row r="862" ht="15.75" customHeight="1">
      <c r="B862" s="7"/>
      <c r="Q862" s="25"/>
    </row>
    <row r="863" ht="15.75" customHeight="1">
      <c r="B863" s="7"/>
      <c r="Q863" s="25"/>
    </row>
    <row r="864" ht="15.75" customHeight="1">
      <c r="B864" s="7"/>
      <c r="Q864" s="25"/>
    </row>
    <row r="865" ht="15.75" customHeight="1">
      <c r="B865" s="7"/>
      <c r="Q865" s="25"/>
    </row>
    <row r="866" ht="15.75" customHeight="1">
      <c r="B866" s="7"/>
      <c r="Q866" s="25"/>
    </row>
    <row r="867" ht="15.75" customHeight="1">
      <c r="B867" s="7"/>
      <c r="Q867" s="25"/>
    </row>
    <row r="868" ht="15.75" customHeight="1">
      <c r="B868" s="7"/>
      <c r="Q868" s="25"/>
    </row>
    <row r="869" ht="15.75" customHeight="1">
      <c r="B869" s="7"/>
      <c r="Q869" s="25"/>
    </row>
    <row r="870" ht="15.75" customHeight="1">
      <c r="B870" s="7"/>
      <c r="Q870" s="25"/>
    </row>
    <row r="871" ht="15.75" customHeight="1">
      <c r="B871" s="7"/>
      <c r="Q871" s="25"/>
    </row>
    <row r="872" ht="15.75" customHeight="1">
      <c r="B872" s="7"/>
      <c r="Q872" s="25"/>
    </row>
    <row r="873" ht="15.75" customHeight="1">
      <c r="B873" s="7"/>
      <c r="Q873" s="25"/>
    </row>
    <row r="874" ht="15.75" customHeight="1">
      <c r="B874" s="7"/>
      <c r="Q874" s="25"/>
    </row>
    <row r="875" ht="15.75" customHeight="1">
      <c r="B875" s="7"/>
      <c r="Q875" s="25"/>
    </row>
    <row r="876" ht="15.75" customHeight="1">
      <c r="B876" s="7"/>
      <c r="Q876" s="25"/>
    </row>
    <row r="877" ht="15.75" customHeight="1">
      <c r="B877" s="7"/>
      <c r="Q877" s="25"/>
    </row>
    <row r="878" ht="15.75" customHeight="1">
      <c r="B878" s="7"/>
      <c r="Q878" s="25"/>
    </row>
    <row r="879" ht="15.75" customHeight="1">
      <c r="B879" s="7"/>
      <c r="Q879" s="25"/>
    </row>
    <row r="880" ht="15.75" customHeight="1">
      <c r="B880" s="7"/>
      <c r="Q880" s="25"/>
    </row>
    <row r="881" ht="15.75" customHeight="1">
      <c r="B881" s="7"/>
      <c r="Q881" s="25"/>
    </row>
    <row r="882" ht="15.75" customHeight="1">
      <c r="B882" s="7"/>
      <c r="Q882" s="25"/>
    </row>
    <row r="883" ht="15.75" customHeight="1">
      <c r="B883" s="7"/>
      <c r="Q883" s="25"/>
    </row>
    <row r="884" ht="15.75" customHeight="1">
      <c r="B884" s="7"/>
      <c r="Q884" s="25"/>
    </row>
    <row r="885" ht="15.75" customHeight="1">
      <c r="B885" s="7"/>
      <c r="Q885" s="25"/>
    </row>
    <row r="886" ht="15.75" customHeight="1">
      <c r="B886" s="7"/>
      <c r="Q886" s="25"/>
    </row>
    <row r="887" ht="15.75" customHeight="1">
      <c r="B887" s="7"/>
      <c r="Q887" s="25"/>
    </row>
    <row r="888" ht="15.75" customHeight="1">
      <c r="B888" s="7"/>
      <c r="Q888" s="25"/>
    </row>
    <row r="889" ht="15.75" customHeight="1">
      <c r="B889" s="7"/>
      <c r="Q889" s="25"/>
    </row>
    <row r="890" ht="15.75" customHeight="1">
      <c r="B890" s="7"/>
      <c r="Q890" s="25"/>
    </row>
    <row r="891" ht="15.75" customHeight="1">
      <c r="B891" s="7"/>
      <c r="Q891" s="25"/>
    </row>
    <row r="892" ht="15.75" customHeight="1">
      <c r="B892" s="7"/>
      <c r="Q892" s="25"/>
    </row>
    <row r="893" ht="15.75" customHeight="1">
      <c r="B893" s="7"/>
      <c r="Q893" s="25"/>
    </row>
    <row r="894" ht="15.75" customHeight="1">
      <c r="B894" s="7"/>
      <c r="Q894" s="25"/>
    </row>
    <row r="895" ht="15.75" customHeight="1">
      <c r="B895" s="7"/>
      <c r="Q895" s="25"/>
    </row>
    <row r="896" ht="15.75" customHeight="1">
      <c r="B896" s="7"/>
      <c r="Q896" s="25"/>
    </row>
    <row r="897" ht="15.75" customHeight="1">
      <c r="B897" s="7"/>
      <c r="Q897" s="25"/>
    </row>
    <row r="898" ht="15.75" customHeight="1">
      <c r="B898" s="7"/>
      <c r="Q898" s="25"/>
    </row>
    <row r="899" ht="15.75" customHeight="1">
      <c r="B899" s="7"/>
      <c r="Q899" s="25"/>
    </row>
    <row r="900" ht="15.75" customHeight="1">
      <c r="B900" s="7"/>
      <c r="Q900" s="25"/>
    </row>
    <row r="901" ht="15.75" customHeight="1">
      <c r="B901" s="7"/>
      <c r="Q901" s="25"/>
    </row>
    <row r="902" ht="15.75" customHeight="1">
      <c r="B902" s="7"/>
      <c r="Q902" s="25"/>
    </row>
    <row r="903" ht="15.75" customHeight="1">
      <c r="B903" s="7"/>
      <c r="Q903" s="25"/>
    </row>
    <row r="904" ht="15.75" customHeight="1">
      <c r="B904" s="7"/>
      <c r="Q904" s="25"/>
    </row>
    <row r="905" ht="15.75" customHeight="1">
      <c r="B905" s="7"/>
      <c r="Q905" s="25"/>
    </row>
    <row r="906" ht="15.75" customHeight="1">
      <c r="B906" s="7"/>
      <c r="Q906" s="25"/>
    </row>
    <row r="907" ht="15.75" customHeight="1">
      <c r="B907" s="7"/>
      <c r="Q907" s="25"/>
    </row>
    <row r="908" ht="15.75" customHeight="1">
      <c r="B908" s="7"/>
      <c r="Q908" s="25"/>
    </row>
    <row r="909" ht="15.75" customHeight="1">
      <c r="B909" s="7"/>
      <c r="Q909" s="25"/>
    </row>
    <row r="910" ht="15.75" customHeight="1">
      <c r="B910" s="7"/>
      <c r="Q910" s="25"/>
    </row>
    <row r="911" ht="15.75" customHeight="1">
      <c r="B911" s="7"/>
      <c r="Q911" s="25"/>
    </row>
    <row r="912" ht="15.75" customHeight="1">
      <c r="B912" s="7"/>
      <c r="Q912" s="25"/>
    </row>
    <row r="913" ht="15.75" customHeight="1">
      <c r="B913" s="7"/>
      <c r="Q913" s="25"/>
    </row>
    <row r="914" ht="15.75" customHeight="1">
      <c r="B914" s="7"/>
      <c r="Q914" s="25"/>
    </row>
    <row r="915" ht="15.75" customHeight="1">
      <c r="B915" s="7"/>
      <c r="Q915" s="25"/>
    </row>
    <row r="916" ht="15.75" customHeight="1">
      <c r="B916" s="7"/>
      <c r="Q916" s="25"/>
    </row>
    <row r="917" ht="15.75" customHeight="1">
      <c r="B917" s="7"/>
      <c r="Q917" s="25"/>
    </row>
    <row r="918" ht="15.75" customHeight="1">
      <c r="B918" s="7"/>
      <c r="Q918" s="25"/>
    </row>
    <row r="919" ht="15.75" customHeight="1">
      <c r="B919" s="7"/>
      <c r="Q919" s="25"/>
    </row>
    <row r="920" ht="15.75" customHeight="1">
      <c r="B920" s="7"/>
      <c r="Q920" s="25"/>
    </row>
    <row r="921" ht="15.75" customHeight="1">
      <c r="B921" s="7"/>
      <c r="Q921" s="25"/>
    </row>
    <row r="922" ht="15.75" customHeight="1">
      <c r="B922" s="7"/>
      <c r="Q922" s="25"/>
    </row>
    <row r="923" ht="15.75" customHeight="1">
      <c r="B923" s="7"/>
      <c r="Q923" s="25"/>
    </row>
    <row r="924" ht="15.75" customHeight="1">
      <c r="B924" s="7"/>
      <c r="Q924" s="25"/>
    </row>
    <row r="925" ht="15.75" customHeight="1">
      <c r="B925" s="7"/>
      <c r="Q925" s="25"/>
    </row>
    <row r="926" ht="15.75" customHeight="1">
      <c r="B926" s="7"/>
      <c r="Q926" s="25"/>
    </row>
    <row r="927" ht="15.75" customHeight="1">
      <c r="B927" s="7"/>
      <c r="Q927" s="25"/>
    </row>
    <row r="928" ht="15.75" customHeight="1">
      <c r="B928" s="7"/>
      <c r="Q928" s="25"/>
    </row>
    <row r="929" ht="15.75" customHeight="1">
      <c r="B929" s="7"/>
      <c r="Q929" s="25"/>
    </row>
    <row r="930" ht="15.75" customHeight="1">
      <c r="B930" s="7"/>
      <c r="Q930" s="25"/>
    </row>
    <row r="931" ht="15.75" customHeight="1">
      <c r="B931" s="7"/>
      <c r="Q931" s="25"/>
    </row>
    <row r="932" ht="15.75" customHeight="1">
      <c r="B932" s="7"/>
      <c r="Q932" s="25"/>
    </row>
    <row r="933" ht="15.75" customHeight="1">
      <c r="B933" s="7"/>
      <c r="Q933" s="25"/>
    </row>
    <row r="934" ht="15.75" customHeight="1">
      <c r="B934" s="7"/>
      <c r="Q934" s="25"/>
    </row>
    <row r="935" ht="15.75" customHeight="1">
      <c r="B935" s="7"/>
      <c r="Q935" s="25"/>
    </row>
    <row r="936" ht="15.75" customHeight="1">
      <c r="B936" s="7"/>
      <c r="Q936" s="25"/>
    </row>
    <row r="937" ht="15.75" customHeight="1">
      <c r="B937" s="7"/>
      <c r="Q937" s="25"/>
    </row>
    <row r="938" ht="15.75" customHeight="1">
      <c r="B938" s="7"/>
      <c r="Q938" s="25"/>
    </row>
    <row r="939" ht="15.75" customHeight="1">
      <c r="B939" s="7"/>
      <c r="Q939" s="25"/>
    </row>
    <row r="940" ht="15.75" customHeight="1">
      <c r="B940" s="7"/>
      <c r="Q940" s="25"/>
    </row>
    <row r="941" ht="15.75" customHeight="1">
      <c r="B941" s="7"/>
      <c r="Q941" s="25"/>
    </row>
    <row r="942" ht="15.75" customHeight="1">
      <c r="B942" s="7"/>
      <c r="Q942" s="25"/>
    </row>
    <row r="943" ht="15.75" customHeight="1">
      <c r="B943" s="7"/>
      <c r="Q943" s="25"/>
    </row>
    <row r="944" ht="15.75" customHeight="1">
      <c r="B944" s="7"/>
      <c r="Q944" s="25"/>
    </row>
    <row r="945" ht="15.75" customHeight="1">
      <c r="B945" s="7"/>
      <c r="Q945" s="25"/>
    </row>
    <row r="946" ht="15.75" customHeight="1">
      <c r="B946" s="7"/>
      <c r="Q946" s="25"/>
    </row>
    <row r="947" ht="15.75" customHeight="1">
      <c r="B947" s="7"/>
      <c r="Q947" s="25"/>
    </row>
    <row r="948" ht="15.75" customHeight="1">
      <c r="B948" s="7"/>
      <c r="Q948" s="25"/>
    </row>
    <row r="949" ht="15.75" customHeight="1">
      <c r="B949" s="7"/>
      <c r="Q949" s="25"/>
    </row>
    <row r="950" ht="15.75" customHeight="1">
      <c r="B950" s="7"/>
      <c r="Q950" s="25"/>
    </row>
    <row r="951" ht="15.75" customHeight="1">
      <c r="B951" s="7"/>
      <c r="Q951" s="25"/>
    </row>
    <row r="952" ht="15.75" customHeight="1">
      <c r="B952" s="7"/>
      <c r="Q952" s="25"/>
    </row>
    <row r="953" ht="15.75" customHeight="1">
      <c r="B953" s="7"/>
      <c r="Q953" s="25"/>
    </row>
    <row r="954" ht="15.75" customHeight="1">
      <c r="B954" s="7"/>
      <c r="Q954" s="25"/>
    </row>
    <row r="955" ht="15.75" customHeight="1">
      <c r="B955" s="7"/>
      <c r="Q955" s="25"/>
    </row>
    <row r="956" ht="15.75" customHeight="1">
      <c r="B956" s="7"/>
      <c r="Q956" s="25"/>
    </row>
    <row r="957" ht="15.75" customHeight="1">
      <c r="B957" s="7"/>
      <c r="Q957" s="25"/>
    </row>
    <row r="958" ht="15.75" customHeight="1">
      <c r="B958" s="7"/>
      <c r="Q958" s="25"/>
    </row>
    <row r="959" ht="15.75" customHeight="1">
      <c r="B959" s="7"/>
      <c r="Q959" s="25"/>
    </row>
    <row r="960" ht="15.75" customHeight="1">
      <c r="B960" s="7"/>
      <c r="Q960" s="25"/>
    </row>
    <row r="961" ht="15.75" customHeight="1">
      <c r="B961" s="7"/>
      <c r="Q961" s="25"/>
    </row>
    <row r="962" ht="15.75" customHeight="1">
      <c r="B962" s="7"/>
      <c r="Q962" s="25"/>
    </row>
    <row r="963" ht="15.75" customHeight="1">
      <c r="B963" s="7"/>
      <c r="Q963" s="25"/>
    </row>
    <row r="964" ht="15.75" customHeight="1">
      <c r="B964" s="7"/>
      <c r="Q964" s="25"/>
    </row>
    <row r="965" ht="15.75" customHeight="1">
      <c r="B965" s="7"/>
      <c r="Q965" s="25"/>
    </row>
    <row r="966" ht="15.75" customHeight="1">
      <c r="B966" s="7"/>
      <c r="Q966" s="25"/>
    </row>
    <row r="967" ht="15.75" customHeight="1">
      <c r="B967" s="7"/>
      <c r="Q967" s="25"/>
    </row>
    <row r="968" ht="15.75" customHeight="1">
      <c r="B968" s="7"/>
      <c r="Q968" s="25"/>
    </row>
    <row r="969" ht="15.75" customHeight="1">
      <c r="B969" s="7"/>
      <c r="Q969" s="25"/>
    </row>
    <row r="970" ht="15.75" customHeight="1">
      <c r="B970" s="7"/>
      <c r="Q970" s="25"/>
    </row>
    <row r="971" ht="15.75" customHeight="1">
      <c r="B971" s="7"/>
      <c r="Q971" s="25"/>
    </row>
    <row r="972" ht="15.75" customHeight="1">
      <c r="B972" s="7"/>
      <c r="Q972" s="25"/>
    </row>
    <row r="973" ht="15.75" customHeight="1">
      <c r="B973" s="7"/>
      <c r="Q973" s="25"/>
    </row>
    <row r="974" ht="15.75" customHeight="1">
      <c r="B974" s="7"/>
      <c r="Q974" s="25"/>
    </row>
    <row r="975" ht="15.75" customHeight="1">
      <c r="B975" s="7"/>
      <c r="Q975" s="25"/>
    </row>
    <row r="976" ht="15.75" customHeight="1">
      <c r="B976" s="7"/>
      <c r="Q976" s="25"/>
    </row>
    <row r="977" ht="15.75" customHeight="1">
      <c r="B977" s="7"/>
      <c r="Q977" s="25"/>
    </row>
    <row r="978" ht="15.75" customHeight="1">
      <c r="B978" s="7"/>
      <c r="Q978" s="25"/>
    </row>
    <row r="979" ht="15.75" customHeight="1">
      <c r="B979" s="7"/>
      <c r="Q979" s="25"/>
    </row>
    <row r="980" ht="15.75" customHeight="1">
      <c r="B980" s="7"/>
      <c r="Q980" s="25"/>
    </row>
    <row r="981" ht="15.75" customHeight="1">
      <c r="B981" s="7"/>
      <c r="Q981" s="25"/>
    </row>
    <row r="982" ht="15.75" customHeight="1">
      <c r="B982" s="7"/>
      <c r="Q982" s="25"/>
    </row>
    <row r="983" ht="15.75" customHeight="1">
      <c r="B983" s="7"/>
      <c r="Q983" s="25"/>
    </row>
    <row r="984" ht="15.75" customHeight="1">
      <c r="B984" s="7"/>
      <c r="Q984" s="25"/>
    </row>
    <row r="985" ht="15.75" customHeight="1">
      <c r="B985" s="7"/>
      <c r="Q985" s="25"/>
    </row>
    <row r="986" ht="15.75" customHeight="1">
      <c r="B986" s="7"/>
      <c r="Q986" s="25"/>
    </row>
    <row r="987" ht="15.75" customHeight="1">
      <c r="B987" s="7"/>
      <c r="Q987" s="25"/>
    </row>
    <row r="988" ht="15.75" customHeight="1">
      <c r="B988" s="7"/>
      <c r="Q988" s="25"/>
    </row>
    <row r="989" ht="15.75" customHeight="1">
      <c r="B989" s="7"/>
      <c r="Q989" s="25"/>
    </row>
    <row r="990" ht="15.75" customHeight="1">
      <c r="B990" s="7"/>
      <c r="Q990" s="25"/>
    </row>
    <row r="991" ht="15.75" customHeight="1">
      <c r="B991" s="7"/>
      <c r="Q991" s="25"/>
    </row>
    <row r="992" ht="15.75" customHeight="1">
      <c r="B992" s="7"/>
      <c r="Q992" s="25"/>
    </row>
    <row r="993" ht="15.75" customHeight="1">
      <c r="B993" s="7"/>
      <c r="Q993" s="25"/>
    </row>
    <row r="994" ht="15.75" customHeight="1">
      <c r="B994" s="7"/>
      <c r="Q994" s="25"/>
    </row>
    <row r="995" ht="15.75" customHeight="1">
      <c r="B995" s="7"/>
      <c r="Q995" s="25"/>
    </row>
    <row r="996" ht="15.75" customHeight="1">
      <c r="B996" s="7"/>
      <c r="Q996" s="25"/>
    </row>
    <row r="997" ht="15.75" customHeight="1">
      <c r="B997" s="7"/>
      <c r="Q997" s="25"/>
    </row>
    <row r="998" ht="15.75" customHeight="1">
      <c r="B998" s="7"/>
      <c r="Q998" s="25"/>
    </row>
    <row r="999" ht="15.75" customHeight="1">
      <c r="B999" s="7"/>
      <c r="Q999" s="25"/>
    </row>
    <row r="1000" ht="15.75" customHeight="1">
      <c r="B1000" s="7"/>
      <c r="Q1000" s="25"/>
    </row>
  </sheetData>
  <dataValidations>
    <dataValidation type="list" allowBlank="1" showErrorMessage="1" sqref="D31:D33 D37:D71">
      <formula1>zList_BudgetItems</formula1>
    </dataValidation>
  </dataValidations>
  <printOptions/>
  <pageMargins bottom="0.48" footer="0.0" header="0.0" left="0.19" right="0.23" top="0.41"/>
  <pageSetup orientation="landscape"/>
  <headerFooter>
    <oddHeader>&amp;RC00000Income Statements</oddHead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2.75"/>
    <col customWidth="1" min="2" max="2" width="10.25"/>
    <col customWidth="1" min="3" max="3" width="3.38"/>
    <col customWidth="1" min="4" max="4" width="23.5"/>
    <col customWidth="1" min="5" max="5" width="13.88"/>
    <col customWidth="1" min="6" max="6" width="2.75"/>
    <col customWidth="1" min="7" max="7" width="2.5"/>
    <col customWidth="1" min="8" max="8" width="24.88"/>
    <col customWidth="1" hidden="1" min="9" max="9" width="23.63"/>
    <col customWidth="1" min="10" max="10" width="13.25"/>
    <col customWidth="1" hidden="1" min="11" max="11" width="12.63"/>
    <col customWidth="1" min="12" max="12" width="23.88"/>
    <col customWidth="1" min="13" max="13" width="12.63"/>
    <col customWidth="1" min="14" max="14" width="1.5"/>
    <col customWidth="1" min="15" max="15" width="2.5"/>
    <col customWidth="1" min="16" max="16" width="24.88"/>
    <col customWidth="1" hidden="1" min="17" max="17" width="23.63"/>
    <col customWidth="1" min="18" max="18" width="13.25"/>
    <col customWidth="1" hidden="1" min="19" max="19" width="12.63"/>
    <col customWidth="1" min="20" max="20" width="19.13"/>
    <col customWidth="1" min="21" max="21" width="16.75"/>
    <col customWidth="1" min="22" max="22" width="2.13"/>
    <col customWidth="1" min="23" max="23" width="2.5"/>
    <col customWidth="1" min="24" max="24" width="24.88"/>
    <col customWidth="1" hidden="1" min="25" max="25" width="23.63"/>
    <col customWidth="1" min="26" max="26" width="13.25"/>
    <col customWidth="1" hidden="1" min="27" max="27" width="12.63"/>
    <col customWidth="1" min="28" max="28" width="23.63"/>
    <col customWidth="1" min="29" max="29" width="13.25"/>
  </cols>
  <sheetData>
    <row r="1" ht="27.75" customHeight="1">
      <c r="A1" s="1" t="s">
        <v>0</v>
      </c>
      <c r="B1" s="1"/>
      <c r="C1" s="1"/>
      <c r="D1" s="1"/>
      <c r="E1" s="1"/>
      <c r="F1" s="1"/>
      <c r="G1" s="12"/>
      <c r="H1" s="12"/>
      <c r="I1" s="12"/>
      <c r="J1" s="359"/>
      <c r="K1" s="12"/>
      <c r="L1" s="12"/>
      <c r="M1" s="12"/>
      <c r="N1" s="12"/>
      <c r="O1" s="12"/>
      <c r="P1" s="12"/>
      <c r="Q1" s="12"/>
      <c r="R1" s="359"/>
      <c r="S1" s="12"/>
      <c r="T1" s="12"/>
      <c r="U1" s="12"/>
      <c r="V1" s="12"/>
      <c r="W1" s="12"/>
      <c r="X1" s="12"/>
      <c r="Y1" s="12"/>
      <c r="Z1" s="359"/>
      <c r="AA1" s="12"/>
      <c r="AB1" s="12"/>
      <c r="AC1" s="12"/>
    </row>
    <row r="2">
      <c r="A2" s="5" t="str">
        <f>IF(ISBLANK(Company_Name),"Balance Sheet Base Year",Company_Name&amp;" | Balance Sheet - Base Year")</f>
        <v>OTW Paints | Balance Sheet - Base Year</v>
      </c>
      <c r="B2" s="12"/>
      <c r="C2" s="12"/>
      <c r="D2" s="12"/>
      <c r="E2" s="12"/>
      <c r="F2" s="12"/>
      <c r="G2" s="12"/>
      <c r="H2" s="5" t="str">
        <f>IF(ISBLANK(Company_Name),"Balance Sheet-Year 1",Company_Name&amp;" | Balance Sheet-Year 1")</f>
        <v>OTW Paints | Balance Sheet-Year 1</v>
      </c>
      <c r="I2" s="25"/>
      <c r="J2" s="359"/>
      <c r="K2" s="12"/>
      <c r="L2" s="12"/>
      <c r="M2" s="12"/>
      <c r="N2" s="12"/>
      <c r="O2" s="12"/>
      <c r="P2" s="5" t="str">
        <f>IF(ISBLANK(Company_Name),"Balance Sheet Year 2",Company_Name&amp;" | Balance Sheet Year-2")</f>
        <v>OTW Paints | Balance Sheet Year-2</v>
      </c>
      <c r="Q2" s="25"/>
      <c r="R2" s="359"/>
      <c r="S2" s="12"/>
      <c r="T2" s="12"/>
      <c r="U2" s="12"/>
      <c r="V2" s="12"/>
      <c r="W2" s="12"/>
      <c r="X2" s="5" t="str">
        <f>IF(ISBLANK(Company_Name),"Balance Sheet Year 3",Company_Name&amp;" | Balance Sheet-Year 3")</f>
        <v>OTW Paints | Balance Sheet-Year 3</v>
      </c>
      <c r="Y2" s="25"/>
      <c r="Z2" s="359"/>
      <c r="AA2" s="12"/>
      <c r="AB2" s="12"/>
      <c r="AC2" s="12"/>
    </row>
    <row r="3">
      <c r="A3" s="167"/>
      <c r="B3" s="446"/>
      <c r="C3" s="446"/>
      <c r="D3" s="446"/>
      <c r="E3" s="446"/>
      <c r="F3" s="446"/>
      <c r="G3" s="447"/>
      <c r="H3" s="446"/>
      <c r="I3" s="167"/>
      <c r="J3" s="446"/>
      <c r="K3" s="11"/>
      <c r="L3" s="11"/>
      <c r="M3" s="11"/>
      <c r="N3" s="11"/>
      <c r="O3" s="447"/>
      <c r="P3" s="446"/>
      <c r="Q3" s="167"/>
      <c r="R3" s="446"/>
      <c r="S3" s="11"/>
      <c r="T3" s="11"/>
      <c r="U3" s="11"/>
      <c r="V3" s="12"/>
      <c r="W3" s="447"/>
      <c r="X3" s="446"/>
      <c r="Y3" s="167"/>
      <c r="Z3" s="446"/>
      <c r="AA3" s="11"/>
      <c r="AB3" s="11"/>
      <c r="AC3" s="11"/>
    </row>
    <row r="4">
      <c r="A4" s="448" t="s">
        <v>394</v>
      </c>
      <c r="B4" s="12"/>
      <c r="C4" s="12"/>
      <c r="D4" s="12"/>
      <c r="E4" s="449" t="str">
        <f>"Period Start: "&amp;TEXT(Projected_Start_Date,"mm/dd/yy")</f>
        <v>Period Start: 01/01/16</v>
      </c>
      <c r="F4" s="12"/>
      <c r="G4" s="450"/>
      <c r="H4" s="451" t="s">
        <v>315</v>
      </c>
      <c r="I4" s="12"/>
      <c r="J4" s="359"/>
      <c r="K4" s="12"/>
      <c r="L4" s="12"/>
      <c r="M4" s="449" t="str">
        <f>"Period End: "&amp;TEXT((DATE(YEAR(Projected_Start_Date),12,31)),"mm/dd/yy")</f>
        <v>Period End: 12/31/16</v>
      </c>
      <c r="N4" s="12"/>
      <c r="O4" s="450"/>
      <c r="P4" s="451" t="s">
        <v>107</v>
      </c>
      <c r="Q4" s="12"/>
      <c r="R4" s="359"/>
      <c r="S4" s="12"/>
      <c r="T4" s="12"/>
      <c r="U4" s="449" t="str">
        <f>"Period End: "&amp;TEXT((DATE(YEAR(Projected_Start_Date)+1,12,31)),"mm/dd/yy")</f>
        <v>Period End: 12/31/17</v>
      </c>
      <c r="V4" s="12"/>
      <c r="W4" s="450"/>
      <c r="X4" s="451" t="s">
        <v>109</v>
      </c>
      <c r="Y4" s="12"/>
      <c r="Z4" s="359"/>
      <c r="AA4" s="12"/>
      <c r="AB4" s="12"/>
      <c r="AC4" s="449" t="str">
        <f>"Period End: "&amp;TEXT((DATE(YEAR(Projected_Start_Date)+2,12,31)),"mm/dd/yy")</f>
        <v>Period End: 12/31/18</v>
      </c>
    </row>
    <row r="5">
      <c r="A5" s="12"/>
      <c r="B5" s="12"/>
      <c r="C5" s="12"/>
      <c r="D5" s="12"/>
      <c r="E5" s="12"/>
      <c r="F5" s="12"/>
      <c r="G5" s="450"/>
      <c r="H5" s="12"/>
      <c r="I5" s="12"/>
      <c r="J5" s="359"/>
      <c r="K5" s="12"/>
      <c r="L5" s="12"/>
      <c r="M5" s="12"/>
      <c r="N5" s="12"/>
      <c r="O5" s="450"/>
      <c r="P5" s="12"/>
      <c r="Q5" s="12"/>
      <c r="R5" s="359"/>
      <c r="S5" s="12"/>
      <c r="T5" s="12"/>
      <c r="U5" s="12"/>
      <c r="V5" s="12"/>
      <c r="W5" s="450"/>
      <c r="X5" s="12"/>
      <c r="Y5" s="12"/>
      <c r="Z5" s="359"/>
      <c r="AA5" s="12"/>
      <c r="AB5" s="12"/>
      <c r="AC5" s="12"/>
    </row>
    <row r="6">
      <c r="A6" s="25" t="str">
        <f t="shared" ref="A6:A9" si="1">H6</f>
        <v>Assets</v>
      </c>
      <c r="B6" s="12"/>
      <c r="C6" s="12"/>
      <c r="D6" s="25" t="s">
        <v>396</v>
      </c>
      <c r="E6" s="12"/>
      <c r="F6" s="12"/>
      <c r="G6" s="450"/>
      <c r="H6" s="25" t="s">
        <v>397</v>
      </c>
      <c r="I6" s="25"/>
      <c r="J6" s="452"/>
      <c r="K6" s="12"/>
      <c r="L6" s="25" t="s">
        <v>398</v>
      </c>
      <c r="M6" s="359"/>
      <c r="N6" s="12"/>
      <c r="O6" s="450"/>
      <c r="P6" s="25" t="s">
        <v>397</v>
      </c>
      <c r="Q6" s="25"/>
      <c r="R6" s="359"/>
      <c r="S6" s="12"/>
      <c r="T6" s="25" t="s">
        <v>398</v>
      </c>
      <c r="U6" s="359"/>
      <c r="V6" s="12"/>
      <c r="W6" s="450"/>
      <c r="X6" s="25" t="s">
        <v>397</v>
      </c>
      <c r="Y6" s="25"/>
      <c r="Z6" s="452"/>
      <c r="AA6" s="12"/>
      <c r="AB6" s="25" t="s">
        <v>398</v>
      </c>
      <c r="AC6" s="359"/>
    </row>
    <row r="7">
      <c r="A7" s="453" t="str">
        <f t="shared" si="1"/>
        <v>Current Assets</v>
      </c>
      <c r="B7" s="359"/>
      <c r="C7" s="359"/>
      <c r="D7" s="453" t="s">
        <v>399</v>
      </c>
      <c r="E7" s="359"/>
      <c r="F7" s="12"/>
      <c r="G7" s="450"/>
      <c r="H7" s="453" t="s">
        <v>400</v>
      </c>
      <c r="I7" s="453"/>
      <c r="J7" s="12"/>
      <c r="K7" s="12"/>
      <c r="L7" s="453" t="s">
        <v>399</v>
      </c>
      <c r="M7" s="359"/>
      <c r="N7" s="12"/>
      <c r="O7" s="450"/>
      <c r="P7" s="453" t="s">
        <v>400</v>
      </c>
      <c r="Q7" s="453"/>
      <c r="R7" s="12"/>
      <c r="S7" s="12"/>
      <c r="T7" s="453" t="s">
        <v>399</v>
      </c>
      <c r="U7" s="359"/>
      <c r="V7" s="12"/>
      <c r="W7" s="450"/>
      <c r="X7" s="453" t="s">
        <v>400</v>
      </c>
      <c r="Y7" s="453"/>
      <c r="Z7" s="12"/>
      <c r="AA7" s="12"/>
      <c r="AB7" s="453" t="s">
        <v>399</v>
      </c>
      <c r="AC7" s="359"/>
    </row>
    <row r="8">
      <c r="A8" s="237" t="str">
        <f t="shared" si="1"/>
        <v>Cash</v>
      </c>
      <c r="B8" s="359" t="str">
        <f>START_OwnersInvestment+START_OtherInvestment+START_OutsideInvestors+(Business_Loans+CreditCard_CashAdvance+Other_Debt+Vehicle_Loans)-START_Inventory-Vehicles-(RentDeposits+UtilityDeposits+InsuranceDeposits+Web_Hosting_PrePayment)-START_PreOperatingCosts</f>
        <v>#NAME?</v>
      </c>
      <c r="C8" s="359"/>
      <c r="D8" s="237" t="str">
        <f t="shared" ref="D8:D10" si="2">L8</f>
        <v>Accounts Payable</v>
      </c>
      <c r="E8" s="359">
        <f>Current_AcctsPay</f>
        <v>0</v>
      </c>
      <c r="F8" s="12"/>
      <c r="G8" s="450"/>
      <c r="H8" s="237" t="s">
        <v>401</v>
      </c>
      <c r="I8" s="237"/>
      <c r="J8" s="359" t="str">
        <f>YR1_CashFlow_EndBalance</f>
        <v>#NAME?</v>
      </c>
      <c r="K8" s="454" t="s">
        <v>402</v>
      </c>
      <c r="L8" s="237" t="s">
        <v>403</v>
      </c>
      <c r="M8" s="359">
        <f>Base_AcctsPay+(YR1_COGS-YR1_CashFlow_COGS_Outflow)</f>
        <v>0</v>
      </c>
      <c r="N8" s="138"/>
      <c r="O8" s="450"/>
      <c r="P8" s="237" t="s">
        <v>401</v>
      </c>
      <c r="Q8" s="237" t="s">
        <v>404</v>
      </c>
      <c r="R8" s="359" t="str">
        <f>YR2_CashFlow_EndBalance</f>
        <v>#NAME?</v>
      </c>
      <c r="S8" s="454"/>
      <c r="T8" s="237" t="s">
        <v>403</v>
      </c>
      <c r="U8" s="359">
        <f>M8+YR2_COGS-YR2_CashFlow_COGS_Outflow</f>
        <v>0</v>
      </c>
      <c r="V8" s="12"/>
      <c r="W8" s="450"/>
      <c r="X8" s="237" t="s">
        <v>401</v>
      </c>
      <c r="Y8" s="237"/>
      <c r="Z8" s="359" t="str">
        <f>YR3_CashFlow_EndBalance</f>
        <v>#NAME?</v>
      </c>
      <c r="AA8" s="454"/>
      <c r="AB8" s="237" t="s">
        <v>403</v>
      </c>
      <c r="AC8" s="359">
        <f>U8+YR3_COGS-YR3_CashFlow_COGS_Outflow</f>
        <v>0</v>
      </c>
    </row>
    <row r="9">
      <c r="A9" s="237" t="str">
        <f t="shared" si="1"/>
        <v>Account Receivables</v>
      </c>
      <c r="B9" s="359">
        <f>Current_AcctsRec</f>
        <v>0</v>
      </c>
      <c r="C9" s="359"/>
      <c r="D9" s="237" t="str">
        <f t="shared" si="2"/>
        <v>Taxes Payable</v>
      </c>
      <c r="E9" s="359">
        <f>Current_TaxesPay</f>
        <v>0</v>
      </c>
      <c r="F9" s="12"/>
      <c r="G9" s="450"/>
      <c r="H9" s="237" t="s">
        <v>405</v>
      </c>
      <c r="I9" s="237"/>
      <c r="J9" s="359">
        <f>Base_AcctsRec+(YR1_Revenue-SUM('Cash Flow'!P10:P11))</f>
        <v>0</v>
      </c>
      <c r="K9" s="454" t="s">
        <v>406</v>
      </c>
      <c r="L9" s="237" t="s">
        <v>407</v>
      </c>
      <c r="M9" s="359">
        <f>Base_TaxesPay+(('Income Statement'!Q64+'Income Statement'!Q83)-'Cash Flow'!P24)</f>
        <v>0</v>
      </c>
      <c r="N9" s="138"/>
      <c r="O9" s="450"/>
      <c r="P9" s="237" t="s">
        <v>405</v>
      </c>
      <c r="Q9" s="237" t="s">
        <v>408</v>
      </c>
      <c r="R9" s="359">
        <f>J9+(YR2_Revenue-SUM('Cash Flow'!P45:P46))</f>
        <v>0</v>
      </c>
      <c r="S9" s="454"/>
      <c r="T9" s="237" t="s">
        <v>407</v>
      </c>
      <c r="U9" s="359">
        <f>M9+('Income Statement'!Q150+'Income Statement'!Q169)-'Cash Flow'!P59</f>
        <v>0</v>
      </c>
      <c r="V9" s="12"/>
      <c r="W9" s="450"/>
      <c r="X9" s="237" t="s">
        <v>405</v>
      </c>
      <c r="Y9" s="237"/>
      <c r="Z9" s="359">
        <f>R9+(YR3_Revenue-SUM('Cash Flow'!P80:P81))</f>
        <v>0</v>
      </c>
      <c r="AA9" s="454"/>
      <c r="AB9" s="237" t="s">
        <v>407</v>
      </c>
      <c r="AC9" s="359">
        <f>U9+('Income Statement'!Q237+'Income Statement'!Q256)-'Cash Flow'!P94</f>
        <v>0</v>
      </c>
    </row>
    <row r="10">
      <c r="A10" s="237" t="s">
        <v>410</v>
      </c>
      <c r="B10" s="359">
        <v>0.0</v>
      </c>
      <c r="C10" s="359"/>
      <c r="D10" s="237" t="str">
        <f t="shared" si="2"/>
        <v>Loans Payable</v>
      </c>
      <c r="E10" s="359">
        <f>Business_Loans+Vehicle_Loans</f>
        <v>0</v>
      </c>
      <c r="F10" s="12"/>
      <c r="G10" s="450"/>
      <c r="H10" s="237" t="s">
        <v>410</v>
      </c>
      <c r="I10" s="237"/>
      <c r="J10" s="359">
        <f>IF(J9&gt;YR1_BadDebt,-(YR1_BadDebt),0)</f>
        <v>0</v>
      </c>
      <c r="K10" s="454"/>
      <c r="L10" s="237" t="s">
        <v>411</v>
      </c>
      <c r="M10" s="359">
        <f>SUM('Loan Schedule'!K8,'Loan Schedule'!K10)</f>
        <v>0</v>
      </c>
      <c r="N10" s="138"/>
      <c r="O10" s="450"/>
      <c r="P10" s="237" t="s">
        <v>410</v>
      </c>
      <c r="Q10" s="237"/>
      <c r="R10" s="359">
        <f>IF(R9&gt;YR2_BadDebt,-(YR2_BadDebt),0)</f>
        <v>0</v>
      </c>
      <c r="S10" s="454"/>
      <c r="T10" s="237" t="s">
        <v>411</v>
      </c>
      <c r="U10" s="359">
        <f>SUM('Loan Schedule'!L8,'Loan Schedule'!L10)</f>
        <v>0</v>
      </c>
      <c r="V10" s="12"/>
      <c r="W10" s="450"/>
      <c r="X10" s="237" t="s">
        <v>410</v>
      </c>
      <c r="Y10" s="237"/>
      <c r="Z10" s="359">
        <f>IF(Z9&gt;YR3_BadDebt,-(YR3_BadDebt),0)</f>
        <v>0</v>
      </c>
      <c r="AA10" s="454"/>
      <c r="AB10" s="237" t="s">
        <v>411</v>
      </c>
      <c r="AC10" s="359">
        <f>SUM('Loan Schedule'!M8,'Loan Schedule'!M10)</f>
        <v>0</v>
      </c>
    </row>
    <row r="11">
      <c r="A11" s="237" t="str">
        <f t="shared" ref="A11:A14" si="3">H11</f>
        <v>Inventories</v>
      </c>
      <c r="B11" s="359">
        <f>START_Inventory</f>
        <v>5000</v>
      </c>
      <c r="C11" s="359"/>
      <c r="D11" s="237" t="s">
        <v>412</v>
      </c>
      <c r="E11" s="359">
        <f>SUM('Loan Schedule'!X13:AB13)</f>
        <v>0</v>
      </c>
      <c r="F11" s="12"/>
      <c r="G11" s="450"/>
      <c r="H11" s="237" t="s">
        <v>413</v>
      </c>
      <c r="I11" s="237"/>
      <c r="J11" s="359">
        <f>'Balance Sheet'!Base_Inventories+YR1_CashFlow_InvPurchases</f>
        <v>5000</v>
      </c>
      <c r="K11" s="454" t="s">
        <v>414</v>
      </c>
      <c r="L11" s="237" t="s">
        <v>412</v>
      </c>
      <c r="M11" s="359">
        <f>Base_Interest</f>
        <v>0</v>
      </c>
      <c r="N11" s="138"/>
      <c r="O11" s="450"/>
      <c r="P11" s="237" t="s">
        <v>413</v>
      </c>
      <c r="Q11" s="237" t="s">
        <v>415</v>
      </c>
      <c r="R11" s="359">
        <f>'Balance Sheet'!YR1_Inventories+YR2_CashFlow_InvPurchases</f>
        <v>5000</v>
      </c>
      <c r="S11" s="454"/>
      <c r="T11" s="237" t="s">
        <v>412</v>
      </c>
      <c r="U11" s="359">
        <f>Base_Interest-'Cash Flow'!P61</f>
        <v>0</v>
      </c>
      <c r="V11" s="12"/>
      <c r="W11" s="450"/>
      <c r="X11" s="237" t="s">
        <v>413</v>
      </c>
      <c r="Y11" s="237"/>
      <c r="Z11" s="359">
        <f>R11+YR3_CashFlow_InvPurchases</f>
        <v>5000</v>
      </c>
      <c r="AA11" s="454"/>
      <c r="AB11" s="237" t="s">
        <v>412</v>
      </c>
      <c r="AC11" s="359">
        <f>U11-'Cash Flow'!P96</f>
        <v>0</v>
      </c>
    </row>
    <row r="12">
      <c r="A12" s="237" t="str">
        <f t="shared" si="3"/>
        <v>Short-Term Investments</v>
      </c>
      <c r="B12" s="359">
        <f>Current_ShortTermInv</f>
        <v>0</v>
      </c>
      <c r="C12" s="359"/>
      <c r="D12" s="237" t="str">
        <f>L12</f>
        <v>Other Debt</v>
      </c>
      <c r="E12" s="359">
        <f>CreditCard_CashAdvance+Other_Debt</f>
        <v>0</v>
      </c>
      <c r="F12" s="12"/>
      <c r="G12" s="450"/>
      <c r="H12" s="237" t="s">
        <v>416</v>
      </c>
      <c r="I12" s="237"/>
      <c r="J12" s="359">
        <f>Base_ShortTerm+YR1_CashFlow_ShortTerm</f>
        <v>0</v>
      </c>
      <c r="K12" s="454" t="s">
        <v>417</v>
      </c>
      <c r="L12" s="237" t="s">
        <v>302</v>
      </c>
      <c r="M12" s="359">
        <f>SUM('Loan Schedule'!K11:K12)</f>
        <v>0</v>
      </c>
      <c r="N12" s="138"/>
      <c r="O12" s="450"/>
      <c r="P12" s="237" t="s">
        <v>416</v>
      </c>
      <c r="Q12" s="237"/>
      <c r="R12" s="359">
        <f>J12+'Cash Flow'!P56</f>
        <v>0</v>
      </c>
      <c r="S12" s="454"/>
      <c r="T12" s="237" t="s">
        <v>302</v>
      </c>
      <c r="U12" s="359">
        <f>SUM('Loan Schedule'!L11:L12)</f>
        <v>0</v>
      </c>
      <c r="V12" s="12"/>
      <c r="W12" s="450"/>
      <c r="X12" s="237" t="s">
        <v>416</v>
      </c>
      <c r="Y12" s="237"/>
      <c r="Z12" s="359">
        <f>R12+'Cash Flow'!P91</f>
        <v>0</v>
      </c>
      <c r="AA12" s="454"/>
      <c r="AB12" s="237" t="s">
        <v>302</v>
      </c>
      <c r="AC12" s="359">
        <f>SUM('Loan Schedule'!M11:M12)</f>
        <v>0</v>
      </c>
    </row>
    <row r="13">
      <c r="A13" s="237" t="str">
        <f t="shared" si="3"/>
        <v>Pre-Paid Expenses</v>
      </c>
      <c r="B13" s="359">
        <f>RentDeposits+InsuranceDeposits+UtilityDeposits+Web_Hosting_PrePayment</f>
        <v>10</v>
      </c>
      <c r="C13" s="359"/>
      <c r="D13" s="12"/>
      <c r="E13" s="12"/>
      <c r="F13" s="12"/>
      <c r="G13" s="450"/>
      <c r="H13" s="237" t="s">
        <v>419</v>
      </c>
      <c r="I13" s="237"/>
      <c r="J13" s="359">
        <f>'Balance Sheet'!Base_PrePayments</f>
        <v>10</v>
      </c>
      <c r="K13" s="454" t="s">
        <v>420</v>
      </c>
      <c r="L13" s="12"/>
      <c r="M13" s="12"/>
      <c r="N13" s="138"/>
      <c r="O13" s="450"/>
      <c r="P13" s="237" t="s">
        <v>419</v>
      </c>
      <c r="Q13" s="237"/>
      <c r="R13" s="359">
        <f>'Balance Sheet'!YR1_PrePayments</f>
        <v>10</v>
      </c>
      <c r="S13" s="454"/>
      <c r="T13" s="12"/>
      <c r="U13" s="12"/>
      <c r="V13" s="12"/>
      <c r="W13" s="450"/>
      <c r="X13" s="237" t="s">
        <v>419</v>
      </c>
      <c r="Y13" s="237"/>
      <c r="Z13" s="359">
        <f>R13</f>
        <v>10</v>
      </c>
      <c r="AA13" s="454"/>
      <c r="AB13" s="12"/>
      <c r="AC13" s="12"/>
    </row>
    <row r="14">
      <c r="A14" s="378" t="str">
        <f t="shared" si="3"/>
        <v>Current Assets</v>
      </c>
      <c r="B14" s="321" t="str">
        <f>SUM(B8:B13)</f>
        <v>#NAME?</v>
      </c>
      <c r="C14" s="359"/>
      <c r="D14" s="378" t="s">
        <v>399</v>
      </c>
      <c r="E14" s="321">
        <f>SUM(E8:E13)</f>
        <v>0</v>
      </c>
      <c r="F14" s="12"/>
      <c r="G14" s="450"/>
      <c r="H14" s="378" t="s">
        <v>400</v>
      </c>
      <c r="I14" s="133"/>
      <c r="J14" s="321" t="str">
        <f>SUM(J8:J13)</f>
        <v>#NAME?</v>
      </c>
      <c r="K14" s="12"/>
      <c r="L14" s="378" t="s">
        <v>399</v>
      </c>
      <c r="M14" s="321">
        <f>SUM(M8:M12)</f>
        <v>0</v>
      </c>
      <c r="N14" s="138"/>
      <c r="O14" s="450"/>
      <c r="P14" s="378" t="s">
        <v>400</v>
      </c>
      <c r="Q14" s="133"/>
      <c r="R14" s="321" t="str">
        <f>SUM(R8:R13)</f>
        <v>#NAME?</v>
      </c>
      <c r="S14" s="12"/>
      <c r="T14" s="378" t="s">
        <v>399</v>
      </c>
      <c r="U14" s="455">
        <f>SUM(U8:U12)</f>
        <v>0</v>
      </c>
      <c r="V14" s="12"/>
      <c r="W14" s="450"/>
      <c r="X14" s="378" t="s">
        <v>400</v>
      </c>
      <c r="Y14" s="133"/>
      <c r="Z14" s="321" t="str">
        <f>SUM(Z8:Z13)</f>
        <v>#NAME?</v>
      </c>
      <c r="AA14" s="12"/>
      <c r="AB14" s="378" t="s">
        <v>399</v>
      </c>
      <c r="AC14" s="455">
        <f>SUM(AC8:AC12)</f>
        <v>0</v>
      </c>
    </row>
    <row r="15">
      <c r="A15" s="12"/>
      <c r="B15" s="12"/>
      <c r="C15" s="359"/>
      <c r="D15" s="378"/>
      <c r="E15" s="359"/>
      <c r="F15" s="12"/>
      <c r="G15" s="450"/>
      <c r="H15" s="378"/>
      <c r="I15" s="133"/>
      <c r="J15" s="359"/>
      <c r="K15" s="12"/>
      <c r="L15" s="378"/>
      <c r="M15" s="12"/>
      <c r="N15" s="138"/>
      <c r="O15" s="450"/>
      <c r="P15" s="378"/>
      <c r="Q15" s="133"/>
      <c r="R15" s="359"/>
      <c r="S15" s="12"/>
      <c r="T15" s="378"/>
      <c r="U15" s="12"/>
      <c r="V15" s="12"/>
      <c r="W15" s="450"/>
      <c r="X15" s="378"/>
      <c r="Y15" s="133"/>
      <c r="Z15" s="359"/>
      <c r="AA15" s="12"/>
      <c r="AB15" s="378"/>
      <c r="AC15" s="12"/>
    </row>
    <row r="16">
      <c r="A16" s="453" t="str">
        <f t="shared" ref="A16:A25" si="4">H16</f>
        <v>Fixed Assets</v>
      </c>
      <c r="B16" s="359"/>
      <c r="C16" s="359"/>
      <c r="D16" s="453" t="s">
        <v>421</v>
      </c>
      <c r="E16" s="359"/>
      <c r="F16" s="12"/>
      <c r="G16" s="450"/>
      <c r="H16" s="453" t="s">
        <v>422</v>
      </c>
      <c r="I16" s="453"/>
      <c r="J16" s="359"/>
      <c r="K16" s="12"/>
      <c r="L16" s="453" t="s">
        <v>421</v>
      </c>
      <c r="M16" s="359"/>
      <c r="N16" s="138"/>
      <c r="O16" s="450"/>
      <c r="P16" s="453" t="s">
        <v>422</v>
      </c>
      <c r="Q16" s="453"/>
      <c r="R16" s="359"/>
      <c r="S16" s="12"/>
      <c r="T16" s="453" t="s">
        <v>421</v>
      </c>
      <c r="U16" s="359"/>
      <c r="V16" s="12"/>
      <c r="W16" s="450"/>
      <c r="X16" s="453" t="s">
        <v>422</v>
      </c>
      <c r="Y16" s="453"/>
      <c r="Z16" s="359"/>
      <c r="AA16" s="12"/>
      <c r="AB16" s="453" t="s">
        <v>421</v>
      </c>
      <c r="AC16" s="359"/>
    </row>
    <row r="17">
      <c r="A17" s="237" t="str">
        <f t="shared" si="4"/>
        <v>Land</v>
      </c>
      <c r="B17" s="359" t="str">
        <f>Land</f>
        <v/>
      </c>
      <c r="C17" s="359"/>
      <c r="D17" s="237" t="s">
        <v>423</v>
      </c>
      <c r="E17" s="359" t="str">
        <f>Commercial_Mortgages</f>
        <v/>
      </c>
      <c r="F17" s="12"/>
      <c r="G17" s="450"/>
      <c r="H17" s="237" t="str">
        <f>'Expenses Summary'!A8</f>
        <v>Land</v>
      </c>
      <c r="I17" s="237"/>
      <c r="J17" s="359" t="str">
        <f t="shared" ref="J17:J26" si="5">B17</f>
        <v/>
      </c>
      <c r="K17" s="12"/>
      <c r="L17" s="237" t="s">
        <v>423</v>
      </c>
      <c r="M17" s="359">
        <f>'Loan Schedule'!R9</f>
        <v>0</v>
      </c>
      <c r="N17" s="138"/>
      <c r="O17" s="450"/>
      <c r="P17" s="237" t="str">
        <f>'Expenses Summary'!A8</f>
        <v>Land</v>
      </c>
      <c r="Q17" s="237"/>
      <c r="R17" s="359" t="str">
        <f t="shared" ref="R17:R26" si="6">J17</f>
        <v/>
      </c>
      <c r="S17" s="12"/>
      <c r="T17" s="237" t="s">
        <v>423</v>
      </c>
      <c r="U17" s="359">
        <f>'Loan Schedule'!S9</f>
        <v>0</v>
      </c>
      <c r="V17" s="12"/>
      <c r="W17" s="450"/>
      <c r="X17" s="237" t="str">
        <f>'Expenses Summary'!A8</f>
        <v>Land</v>
      </c>
      <c r="Y17" s="237"/>
      <c r="Z17" s="359" t="str">
        <f t="shared" ref="Z17:Z26" si="7">R17</f>
        <v/>
      </c>
      <c r="AA17" s="12"/>
      <c r="AB17" s="237" t="s">
        <v>423</v>
      </c>
      <c r="AC17" s="359">
        <f>'Loan Schedule'!T9</f>
        <v>0</v>
      </c>
    </row>
    <row r="18">
      <c r="A18" s="237" t="str">
        <f t="shared" si="4"/>
        <v>Building</v>
      </c>
      <c r="B18" s="359" t="str">
        <f>Building</f>
        <v/>
      </c>
      <c r="C18" s="359"/>
      <c r="D18" s="378" t="s">
        <v>421</v>
      </c>
      <c r="E18" s="359">
        <f>SUM(E17)</f>
        <v>0</v>
      </c>
      <c r="F18" s="12"/>
      <c r="G18" s="450"/>
      <c r="H18" s="237" t="str">
        <f>'Expenses Summary'!A9</f>
        <v>Building</v>
      </c>
      <c r="I18" s="237"/>
      <c r="J18" s="359" t="str">
        <f t="shared" si="5"/>
        <v/>
      </c>
      <c r="K18" s="12"/>
      <c r="L18" s="378" t="s">
        <v>421</v>
      </c>
      <c r="M18" s="455">
        <f>SUM(M17)</f>
        <v>0</v>
      </c>
      <c r="N18" s="138"/>
      <c r="O18" s="450"/>
      <c r="P18" s="237" t="str">
        <f>'Expenses Summary'!A9</f>
        <v>Building</v>
      </c>
      <c r="Q18" s="237"/>
      <c r="R18" s="359" t="str">
        <f t="shared" si="6"/>
        <v/>
      </c>
      <c r="S18" s="12"/>
      <c r="T18" s="378" t="s">
        <v>421</v>
      </c>
      <c r="U18" s="455">
        <f>SUM(U17)</f>
        <v>0</v>
      </c>
      <c r="V18" s="12"/>
      <c r="W18" s="450"/>
      <c r="X18" s="237" t="str">
        <f>'Expenses Summary'!A9</f>
        <v>Building</v>
      </c>
      <c r="Y18" s="237"/>
      <c r="Z18" s="359" t="str">
        <f t="shared" si="7"/>
        <v/>
      </c>
      <c r="AA18" s="12"/>
      <c r="AB18" s="378" t="s">
        <v>421</v>
      </c>
      <c r="AC18" s="455">
        <f>SUM(AC17)</f>
        <v>0</v>
      </c>
    </row>
    <row r="19">
      <c r="A19" s="237" t="str">
        <f t="shared" si="4"/>
        <v>Renovations</v>
      </c>
      <c r="B19" s="359" t="str">
        <f>Renovations</f>
        <v/>
      </c>
      <c r="C19" s="359"/>
      <c r="D19" s="456" t="s">
        <v>424</v>
      </c>
      <c r="E19" s="321">
        <f>'Balance Sheet'!Base_CurrentLiabilities+E18</f>
        <v>0</v>
      </c>
      <c r="F19" s="12"/>
      <c r="G19" s="450"/>
      <c r="H19" s="237" t="str">
        <f>'Expenses Summary'!A10</f>
        <v>Renovations</v>
      </c>
      <c r="I19" s="237"/>
      <c r="J19" s="359" t="str">
        <f t="shared" si="5"/>
        <v/>
      </c>
      <c r="K19" s="12"/>
      <c r="L19" s="456" t="s">
        <v>424</v>
      </c>
      <c r="M19" s="455">
        <f>'Balance Sheet'!YR1_CurrentLiabilities+'Balance Sheet'!YR1_LongTermLiabilities</f>
        <v>0</v>
      </c>
      <c r="N19" s="138"/>
      <c r="O19" s="450"/>
      <c r="P19" s="237" t="str">
        <f>'Expenses Summary'!A10</f>
        <v>Renovations</v>
      </c>
      <c r="Q19" s="237"/>
      <c r="R19" s="359" t="str">
        <f t="shared" si="6"/>
        <v/>
      </c>
      <c r="S19" s="12"/>
      <c r="T19" s="456" t="s">
        <v>424</v>
      </c>
      <c r="U19" s="455">
        <f>U14+U18</f>
        <v>0</v>
      </c>
      <c r="V19" s="12"/>
      <c r="W19" s="450"/>
      <c r="X19" s="237" t="str">
        <f>'Expenses Summary'!A10</f>
        <v>Renovations</v>
      </c>
      <c r="Y19" s="237"/>
      <c r="Z19" s="359" t="str">
        <f t="shared" si="7"/>
        <v/>
      </c>
      <c r="AA19" s="12"/>
      <c r="AB19" s="456" t="s">
        <v>424</v>
      </c>
      <c r="AC19" s="455">
        <f>AC14+AC18</f>
        <v>0</v>
      </c>
    </row>
    <row r="20">
      <c r="A20" s="237" t="str">
        <f t="shared" si="4"/>
        <v>Equipment</v>
      </c>
      <c r="B20" s="359">
        <f>Equipment</f>
        <v>3000</v>
      </c>
      <c r="C20" s="359"/>
      <c r="D20" s="12"/>
      <c r="E20" s="12"/>
      <c r="F20" s="12"/>
      <c r="G20" s="450"/>
      <c r="H20" s="237" t="str">
        <f>'Expenses Summary'!A11</f>
        <v>Equipment</v>
      </c>
      <c r="I20" s="237"/>
      <c r="J20" s="359">
        <f t="shared" si="5"/>
        <v>3000</v>
      </c>
      <c r="K20" s="12"/>
      <c r="L20" s="359"/>
      <c r="M20" s="12"/>
      <c r="N20" s="138"/>
      <c r="O20" s="450"/>
      <c r="P20" s="237" t="str">
        <f>'Expenses Summary'!A11</f>
        <v>Equipment</v>
      </c>
      <c r="Q20" s="237"/>
      <c r="R20" s="359">
        <f t="shared" si="6"/>
        <v>3000</v>
      </c>
      <c r="S20" s="12"/>
      <c r="T20" s="359"/>
      <c r="U20" s="12"/>
      <c r="V20" s="12"/>
      <c r="W20" s="450"/>
      <c r="X20" s="237" t="str">
        <f>'Expenses Summary'!A11</f>
        <v>Equipment</v>
      </c>
      <c r="Y20" s="237"/>
      <c r="Z20" s="359">
        <f t="shared" si="7"/>
        <v>3000</v>
      </c>
      <c r="AA20" s="12"/>
      <c r="AB20" s="359"/>
      <c r="AC20" s="12"/>
    </row>
    <row r="21" ht="15.75" customHeight="1">
      <c r="A21" s="237" t="str">
        <f t="shared" si="4"/>
        <v>Fixtures</v>
      </c>
      <c r="B21" s="359" t="str">
        <f>Fixtures</f>
        <v/>
      </c>
      <c r="C21" s="359"/>
      <c r="D21" s="378"/>
      <c r="E21" s="359"/>
      <c r="F21" s="12"/>
      <c r="G21" s="450"/>
      <c r="H21" s="237" t="str">
        <f>'Expenses Summary'!A12</f>
        <v>Fixtures</v>
      </c>
      <c r="I21" s="237"/>
      <c r="J21" s="359" t="str">
        <f t="shared" si="5"/>
        <v/>
      </c>
      <c r="K21" s="12"/>
      <c r="L21" s="378"/>
      <c r="M21" s="12"/>
      <c r="N21" s="138"/>
      <c r="O21" s="450"/>
      <c r="P21" s="237" t="str">
        <f>'Expenses Summary'!A12</f>
        <v>Fixtures</v>
      </c>
      <c r="Q21" s="237"/>
      <c r="R21" s="359" t="str">
        <f t="shared" si="6"/>
        <v/>
      </c>
      <c r="S21" s="12"/>
      <c r="T21" s="378"/>
      <c r="U21" s="12"/>
      <c r="V21" s="12"/>
      <c r="W21" s="450"/>
      <c r="X21" s="237" t="str">
        <f>'Expenses Summary'!A12</f>
        <v>Fixtures</v>
      </c>
      <c r="Y21" s="237"/>
      <c r="Z21" s="359" t="str">
        <f t="shared" si="7"/>
        <v/>
      </c>
      <c r="AA21" s="12"/>
      <c r="AB21" s="378"/>
      <c r="AC21" s="12"/>
    </row>
    <row r="22" ht="15.75" customHeight="1">
      <c r="A22" s="237" t="str">
        <f t="shared" si="4"/>
        <v>Signage</v>
      </c>
      <c r="B22" s="359" t="str">
        <f>Signage</f>
        <v/>
      </c>
      <c r="C22" s="359"/>
      <c r="D22" s="453" t="s">
        <v>425</v>
      </c>
      <c r="E22" s="359"/>
      <c r="F22" s="12"/>
      <c r="G22" s="450"/>
      <c r="H22" s="237" t="str">
        <f>'Expenses Summary'!A13</f>
        <v>Signage</v>
      </c>
      <c r="I22" s="237"/>
      <c r="J22" s="359" t="str">
        <f t="shared" si="5"/>
        <v/>
      </c>
      <c r="K22" s="12"/>
      <c r="L22" s="453" t="s">
        <v>425</v>
      </c>
      <c r="M22" s="359"/>
      <c r="N22" s="138"/>
      <c r="O22" s="450"/>
      <c r="P22" s="237" t="str">
        <f>'Expenses Summary'!A13</f>
        <v>Signage</v>
      </c>
      <c r="Q22" s="237"/>
      <c r="R22" s="359" t="str">
        <f t="shared" si="6"/>
        <v/>
      </c>
      <c r="S22" s="12"/>
      <c r="T22" s="453" t="s">
        <v>425</v>
      </c>
      <c r="U22" s="359"/>
      <c r="V22" s="12"/>
      <c r="W22" s="450"/>
      <c r="X22" s="237" t="str">
        <f>'Expenses Summary'!A13</f>
        <v>Signage</v>
      </c>
      <c r="Y22" s="237"/>
      <c r="Z22" s="359" t="str">
        <f t="shared" si="7"/>
        <v/>
      </c>
      <c r="AA22" s="12"/>
      <c r="AB22" s="453" t="s">
        <v>425</v>
      </c>
      <c r="AC22" s="359"/>
    </row>
    <row r="23" ht="15.75" customHeight="1">
      <c r="A23" s="237" t="str">
        <f t="shared" si="4"/>
        <v>Furniture</v>
      </c>
      <c r="B23" s="359" t="str">
        <f>Furniture</f>
        <v/>
      </c>
      <c r="C23" s="359"/>
      <c r="D23" s="237" t="str">
        <f t="shared" ref="D23:D25" si="8">L23</f>
        <v>Capital Contribution</v>
      </c>
      <c r="E23" s="359">
        <f>START_OwnersInvestment+START_OtherInvestment+START_OutsideInvestors</f>
        <v>50000</v>
      </c>
      <c r="F23" s="12"/>
      <c r="G23" s="450"/>
      <c r="H23" s="237" t="str">
        <f>'Expenses Summary'!A14</f>
        <v>Furniture</v>
      </c>
      <c r="I23" s="237"/>
      <c r="J23" s="359" t="str">
        <f t="shared" si="5"/>
        <v/>
      </c>
      <c r="K23" s="12"/>
      <c r="L23" s="237" t="s">
        <v>426</v>
      </c>
      <c r="M23" s="359">
        <f>E23+YR1_CashFlow_NewEquity+YR1_CashFlow_LoansRecd-YR1_CashFlow_AssetPurch</f>
        <v>50000</v>
      </c>
      <c r="N23" s="138"/>
      <c r="O23" s="450"/>
      <c r="P23" s="237" t="str">
        <f>'Expenses Summary'!A14</f>
        <v>Furniture</v>
      </c>
      <c r="Q23" s="237"/>
      <c r="R23" s="359" t="str">
        <f t="shared" si="6"/>
        <v/>
      </c>
      <c r="S23" s="12"/>
      <c r="T23" s="237" t="s">
        <v>426</v>
      </c>
      <c r="U23" s="359">
        <f>M23+YR2_CashFlow_NewEquity+YR2_CashFlow_LoansRecd-YR2_CashFlow_AssetPurch</f>
        <v>50000</v>
      </c>
      <c r="V23" s="12"/>
      <c r="W23" s="450"/>
      <c r="X23" s="237" t="str">
        <f>'Expenses Summary'!A14</f>
        <v>Furniture</v>
      </c>
      <c r="Y23" s="237"/>
      <c r="Z23" s="359" t="str">
        <f t="shared" si="7"/>
        <v/>
      </c>
      <c r="AA23" s="12"/>
      <c r="AB23" s="237" t="s">
        <v>426</v>
      </c>
      <c r="AC23" s="359">
        <f>U23+YR3_CashFlow_NewEquity+YR3_CashFlow_LoansRecd-YR3_CashFlow_AssetPurch</f>
        <v>50000</v>
      </c>
    </row>
    <row r="24" ht="15.75" customHeight="1">
      <c r="A24" s="237" t="str">
        <f t="shared" si="4"/>
        <v>Vehicles</v>
      </c>
      <c r="B24" s="359" t="str">
        <f>Vehicles</f>
        <v/>
      </c>
      <c r="C24" s="359"/>
      <c r="D24" s="237" t="str">
        <f t="shared" si="8"/>
        <v>Acc. Retained Earnings</v>
      </c>
      <c r="E24" s="359">
        <f>(Land+Building+Renovations+Equipment+Fixtures+Signage+Furniture+Other_Fixed_Startup)+(Current_AcctsRec+Current_ShortTermInv)-(Current_AcctsPay+Current_TaxesPay+Commercial_Mortgages)-SUM('Loan Schedule'!X13:AB13)</f>
        <v>3000</v>
      </c>
      <c r="F24" s="12"/>
      <c r="G24" s="450"/>
      <c r="H24" s="237" t="str">
        <f>'Expenses Summary'!A15</f>
        <v>Vehicles</v>
      </c>
      <c r="I24" s="237"/>
      <c r="J24" s="359" t="str">
        <f t="shared" si="5"/>
        <v/>
      </c>
      <c r="K24" s="12"/>
      <c r="L24" s="237" t="s">
        <v>427</v>
      </c>
      <c r="M24" s="359">
        <f>E24+YR1_NetIncome</f>
        <v>-41625.07184</v>
      </c>
      <c r="N24" s="138"/>
      <c r="O24" s="450"/>
      <c r="P24" s="237" t="str">
        <f>'Expenses Summary'!A15</f>
        <v>Vehicles</v>
      </c>
      <c r="Q24" s="237"/>
      <c r="R24" s="359" t="str">
        <f t="shared" si="6"/>
        <v/>
      </c>
      <c r="S24" s="12"/>
      <c r="T24" s="237" t="s">
        <v>427</v>
      </c>
      <c r="U24" s="359">
        <f>M24+YR2_NetIncome</f>
        <v>-10988.82184</v>
      </c>
      <c r="V24" s="12"/>
      <c r="W24" s="450"/>
      <c r="X24" s="237" t="str">
        <f>'Expenses Summary'!A15</f>
        <v>Vehicles</v>
      </c>
      <c r="Y24" s="237"/>
      <c r="Z24" s="359" t="str">
        <f t="shared" si="7"/>
        <v/>
      </c>
      <c r="AA24" s="12"/>
      <c r="AB24" s="237" t="s">
        <v>427</v>
      </c>
      <c r="AC24" s="359">
        <f>U24+YR3_NetIncome</f>
        <v>150126.8032</v>
      </c>
    </row>
    <row r="25" ht="15.75" customHeight="1">
      <c r="A25" s="237" t="str">
        <f t="shared" si="4"/>
        <v>Other Fixed Assets</v>
      </c>
      <c r="B25" s="359" t="str">
        <f>Other_Fixed_Startup</f>
        <v/>
      </c>
      <c r="C25" s="359"/>
      <c r="D25" s="237" t="str">
        <f t="shared" si="8"/>
        <v>Capital Distribution</v>
      </c>
      <c r="E25" s="359"/>
      <c r="F25" s="12"/>
      <c r="G25" s="450"/>
      <c r="H25" s="237" t="s">
        <v>334</v>
      </c>
      <c r="I25" s="237"/>
      <c r="J25" s="359" t="str">
        <f t="shared" si="5"/>
        <v/>
      </c>
      <c r="K25" s="12"/>
      <c r="L25" s="237" t="s">
        <v>428</v>
      </c>
      <c r="M25" s="359">
        <f>-YR1_CashFlow_CapDistrib</f>
        <v>0</v>
      </c>
      <c r="N25" s="12"/>
      <c r="O25" s="450"/>
      <c r="P25" s="237" t="s">
        <v>334</v>
      </c>
      <c r="Q25" s="237"/>
      <c r="R25" s="359" t="str">
        <f t="shared" si="6"/>
        <v/>
      </c>
      <c r="S25" s="12"/>
      <c r="T25" s="237" t="s">
        <v>428</v>
      </c>
      <c r="U25" s="359">
        <f>-YR2_CashFlow_CapDistrib+M25</f>
        <v>0</v>
      </c>
      <c r="V25" s="12"/>
      <c r="W25" s="450"/>
      <c r="X25" s="237" t="s">
        <v>334</v>
      </c>
      <c r="Y25" s="237"/>
      <c r="Z25" s="359" t="str">
        <f t="shared" si="7"/>
        <v/>
      </c>
      <c r="AA25" s="12"/>
      <c r="AB25" s="237" t="s">
        <v>428</v>
      </c>
      <c r="AC25" s="359">
        <f>-YR3_CashFlow_CapDistrib+U25</f>
        <v>0</v>
      </c>
    </row>
    <row r="26" ht="15.75" customHeight="1">
      <c r="A26" s="237" t="s">
        <v>429</v>
      </c>
      <c r="B26" s="359" t="str">
        <f>START_PreOperatingCosts</f>
        <v>#NAME?</v>
      </c>
      <c r="C26" s="359"/>
      <c r="D26" s="237"/>
      <c r="E26" s="359"/>
      <c r="F26" s="12"/>
      <c r="G26" s="450"/>
      <c r="H26" s="237" t="s">
        <v>429</v>
      </c>
      <c r="I26" s="237"/>
      <c r="J26" s="359" t="str">
        <f t="shared" si="5"/>
        <v>#NAME?</v>
      </c>
      <c r="K26" s="12"/>
      <c r="L26" s="237"/>
      <c r="M26" s="359"/>
      <c r="N26" s="12"/>
      <c r="O26" s="450"/>
      <c r="P26" s="237" t="s">
        <v>429</v>
      </c>
      <c r="Q26" s="237"/>
      <c r="R26" s="359" t="str">
        <f t="shared" si="6"/>
        <v>#NAME?</v>
      </c>
      <c r="S26" s="12"/>
      <c r="T26" s="237"/>
      <c r="U26" s="359"/>
      <c r="V26" s="12"/>
      <c r="W26" s="450"/>
      <c r="X26" s="237" t="s">
        <v>429</v>
      </c>
      <c r="Y26" s="237"/>
      <c r="Z26" s="359" t="str">
        <f t="shared" si="7"/>
        <v>#NAME?</v>
      </c>
      <c r="AA26" s="12"/>
      <c r="AB26" s="237"/>
      <c r="AC26" s="359"/>
    </row>
    <row r="27" ht="15.75" customHeight="1">
      <c r="A27" s="453" t="s">
        <v>430</v>
      </c>
      <c r="B27" s="359"/>
      <c r="C27" s="359"/>
      <c r="D27" s="237"/>
      <c r="E27" s="359"/>
      <c r="F27" s="12"/>
      <c r="G27" s="450"/>
      <c r="H27" s="453" t="s">
        <v>430</v>
      </c>
      <c r="I27" s="237"/>
      <c r="J27" s="359">
        <f>-'Income Statement'!Q77</f>
        <v>0</v>
      </c>
      <c r="K27" s="12"/>
      <c r="L27" s="237"/>
      <c r="M27" s="359"/>
      <c r="N27" s="12"/>
      <c r="O27" s="450"/>
      <c r="P27" s="453" t="s">
        <v>430</v>
      </c>
      <c r="Q27" s="237"/>
      <c r="R27" s="359">
        <f>-'Income Statement'!Q163</f>
        <v>0</v>
      </c>
      <c r="S27" s="12"/>
      <c r="T27" s="237"/>
      <c r="U27" s="359"/>
      <c r="V27" s="12"/>
      <c r="W27" s="450"/>
      <c r="X27" s="453" t="s">
        <v>430</v>
      </c>
      <c r="Y27" s="237"/>
      <c r="Z27" s="359">
        <f>-'Income Statement'!Q250</f>
        <v>0</v>
      </c>
      <c r="AA27" s="12"/>
      <c r="AB27" s="237"/>
      <c r="AC27" s="359"/>
    </row>
    <row r="28" ht="15.75" customHeight="1">
      <c r="A28" s="453" t="str">
        <f t="shared" ref="A28:A29" si="9">H28</f>
        <v>Less Acc. Depreciation</v>
      </c>
      <c r="B28" s="359"/>
      <c r="C28" s="359"/>
      <c r="D28" s="237"/>
      <c r="E28" s="359"/>
      <c r="F28" s="12"/>
      <c r="G28" s="450"/>
      <c r="H28" s="453" t="s">
        <v>431</v>
      </c>
      <c r="I28" s="237"/>
      <c r="J28" s="359">
        <f>-'Income Statement'!Q78</f>
        <v>0</v>
      </c>
      <c r="K28" s="12"/>
      <c r="L28" s="237"/>
      <c r="M28" s="359"/>
      <c r="N28" s="12"/>
      <c r="O28" s="450"/>
      <c r="P28" s="453" t="s">
        <v>431</v>
      </c>
      <c r="Q28" s="237"/>
      <c r="R28" s="359">
        <f>-'Income Statement'!Q164</f>
        <v>0</v>
      </c>
      <c r="S28" s="12"/>
      <c r="T28" s="237"/>
      <c r="U28" s="359"/>
      <c r="V28" s="12"/>
      <c r="W28" s="450"/>
      <c r="X28" s="453" t="s">
        <v>431</v>
      </c>
      <c r="Y28" s="237"/>
      <c r="Z28" s="359">
        <f>-'Income Statement'!Q251</f>
        <v>0</v>
      </c>
      <c r="AA28" s="12"/>
      <c r="AB28" s="237"/>
      <c r="AC28" s="359"/>
    </row>
    <row r="29" ht="15.75" customHeight="1">
      <c r="A29" s="378" t="str">
        <f t="shared" si="9"/>
        <v>Fixed Assets</v>
      </c>
      <c r="B29" s="321" t="str">
        <f>SUM(B17:B28)</f>
        <v>#NAME?</v>
      </c>
      <c r="C29" s="359"/>
      <c r="D29" s="456" t="s">
        <v>432</v>
      </c>
      <c r="E29" s="321">
        <f>SUM(E23:E25)</f>
        <v>53000</v>
      </c>
      <c r="F29" s="12"/>
      <c r="G29" s="450"/>
      <c r="H29" s="378" t="s">
        <v>422</v>
      </c>
      <c r="I29" s="133"/>
      <c r="J29" s="321" t="str">
        <f>SUM(J17:J28)</f>
        <v>#NAME?</v>
      </c>
      <c r="K29" s="12"/>
      <c r="L29" s="456" t="s">
        <v>432</v>
      </c>
      <c r="M29" s="321">
        <f>SUM(M23:M25)</f>
        <v>8374.928161</v>
      </c>
      <c r="N29" s="12"/>
      <c r="O29" s="450"/>
      <c r="P29" s="378" t="s">
        <v>422</v>
      </c>
      <c r="Q29" s="133"/>
      <c r="R29" s="321" t="str">
        <f>SUM(R17:R28)</f>
        <v>#NAME?</v>
      </c>
      <c r="S29" s="12"/>
      <c r="T29" s="456" t="s">
        <v>432</v>
      </c>
      <c r="U29" s="321">
        <f>SUM(U23:U25)</f>
        <v>39011.17816</v>
      </c>
      <c r="V29" s="12"/>
      <c r="W29" s="450"/>
      <c r="X29" s="378" t="s">
        <v>422</v>
      </c>
      <c r="Y29" s="133"/>
      <c r="Z29" s="321" t="str">
        <f>SUM(Z17:Z28)</f>
        <v>#NAME?</v>
      </c>
      <c r="AA29" s="12"/>
      <c r="AB29" s="456" t="s">
        <v>432</v>
      </c>
      <c r="AC29" s="321">
        <f>SUM(AC23:AC25)</f>
        <v>200126.8032</v>
      </c>
    </row>
    <row r="30" ht="15.75" customHeight="1">
      <c r="A30" s="12"/>
      <c r="B30" s="12"/>
      <c r="C30" s="12"/>
      <c r="D30" s="12"/>
      <c r="E30" s="12"/>
      <c r="F30" s="12"/>
      <c r="G30" s="450"/>
      <c r="H30" s="133"/>
      <c r="I30" s="133"/>
      <c r="J30" s="359"/>
      <c r="K30" s="12"/>
      <c r="L30" s="12"/>
      <c r="M30" s="12"/>
      <c r="N30" s="12"/>
      <c r="O30" s="450"/>
      <c r="P30" s="133"/>
      <c r="Q30" s="133"/>
      <c r="R30" s="359"/>
      <c r="S30" s="12"/>
      <c r="T30" s="12"/>
      <c r="U30" s="12"/>
      <c r="V30" s="12"/>
      <c r="W30" s="450"/>
      <c r="X30" s="133"/>
      <c r="Y30" s="133"/>
      <c r="Z30" s="359"/>
      <c r="AA30" s="12"/>
      <c r="AB30" s="12"/>
      <c r="AC30" s="12"/>
    </row>
    <row r="31" ht="15.75" customHeight="1">
      <c r="A31" s="457" t="str">
        <f>H31</f>
        <v>Total Assets</v>
      </c>
      <c r="B31" s="441" t="str">
        <f>'Balance Sheet'!Base_CurrentAssets+B29</f>
        <v>#NAME?</v>
      </c>
      <c r="C31" s="12"/>
      <c r="D31" s="458" t="s">
        <v>433</v>
      </c>
      <c r="E31" s="441">
        <f>E19+E29</f>
        <v>53000</v>
      </c>
      <c r="F31" s="12"/>
      <c r="G31" s="450"/>
      <c r="H31" s="378" t="s">
        <v>434</v>
      </c>
      <c r="I31" s="25"/>
      <c r="J31" s="459" t="str">
        <f>SUM(J14,J29)</f>
        <v>#NAME?</v>
      </c>
      <c r="K31" s="12"/>
      <c r="L31" s="460" t="s">
        <v>433</v>
      </c>
      <c r="M31" s="459">
        <f>'Balance Sheet'!YR1_TotalLiabilities+'Balance Sheet'!YR1_Equity</f>
        <v>8374.928161</v>
      </c>
      <c r="N31" s="12"/>
      <c r="O31" s="450"/>
      <c r="P31" s="378" t="s">
        <v>434</v>
      </c>
      <c r="Q31" s="25"/>
      <c r="R31" s="459" t="str">
        <f>SUM(R14,R29)</f>
        <v>#NAME?</v>
      </c>
      <c r="S31" s="12"/>
      <c r="T31" s="460" t="s">
        <v>433</v>
      </c>
      <c r="U31" s="459">
        <f>U19+U29</f>
        <v>39011.17816</v>
      </c>
      <c r="V31" s="12"/>
      <c r="W31" s="450"/>
      <c r="X31" s="378" t="s">
        <v>434</v>
      </c>
      <c r="Y31" s="25"/>
      <c r="Z31" s="459" t="str">
        <f>SUM(Z14,Z29)</f>
        <v>#NAME?</v>
      </c>
      <c r="AA31" s="12"/>
      <c r="AB31" s="460" t="s">
        <v>433</v>
      </c>
      <c r="AC31" s="459">
        <f>AC19+AC29</f>
        <v>200126.8032</v>
      </c>
    </row>
    <row r="32" ht="15.75" customHeight="1">
      <c r="A32" s="461" t="str">
        <f>IF(B31=E31,"","Adjust your numbers since it does not balance…not our fault")</f>
        <v>#NAME?</v>
      </c>
      <c r="B32" s="12"/>
      <c r="C32" s="12"/>
      <c r="D32" s="378"/>
      <c r="E32" s="359"/>
      <c r="F32" s="359"/>
      <c r="G32" s="450"/>
      <c r="H32" s="378"/>
      <c r="I32" s="25"/>
      <c r="J32" s="12"/>
      <c r="K32" s="12"/>
      <c r="L32" s="12"/>
      <c r="M32" s="12"/>
      <c r="N32" s="12"/>
      <c r="O32" s="450"/>
      <c r="P32" s="378"/>
      <c r="Q32" s="25"/>
      <c r="R32" s="12"/>
      <c r="S32" s="12"/>
      <c r="T32" s="12"/>
      <c r="U32" s="12"/>
      <c r="V32" s="12"/>
      <c r="W32" s="450"/>
      <c r="X32" s="378"/>
      <c r="Y32" s="25"/>
      <c r="Z32" s="12"/>
      <c r="AA32" s="12"/>
      <c r="AB32" s="12"/>
      <c r="AC32" s="12"/>
    </row>
    <row r="33" ht="15.75" customHeight="1">
      <c r="A33" s="450"/>
      <c r="B33" s="450"/>
      <c r="C33" s="450"/>
      <c r="D33" s="450"/>
      <c r="E33" s="450"/>
      <c r="F33" s="450"/>
      <c r="G33" s="450"/>
      <c r="H33" s="462"/>
      <c r="I33" s="462"/>
      <c r="J33" s="463"/>
      <c r="K33" s="462"/>
      <c r="L33" s="462"/>
      <c r="M33" s="462"/>
      <c r="N33" s="462"/>
      <c r="O33" s="450"/>
      <c r="P33" s="450"/>
      <c r="Q33" s="450"/>
      <c r="R33" s="450"/>
      <c r="S33" s="450"/>
      <c r="T33" s="450"/>
      <c r="U33" s="450"/>
      <c r="V33" s="12"/>
      <c r="W33" s="450"/>
      <c r="X33" s="462"/>
      <c r="Y33" s="462"/>
      <c r="Z33" s="463"/>
      <c r="AA33" s="462"/>
      <c r="AB33" s="462"/>
      <c r="AC33" s="462"/>
    </row>
    <row r="34" ht="15.75" customHeight="1">
      <c r="A34" s="12"/>
      <c r="B34" s="12"/>
      <c r="C34" s="12"/>
      <c r="D34" s="12"/>
      <c r="E34" s="12"/>
      <c r="F34" s="12"/>
      <c r="G34" s="12"/>
      <c r="H34" s="12"/>
      <c r="I34" s="12"/>
      <c r="J34" s="359"/>
      <c r="K34" s="12"/>
      <c r="L34" s="12"/>
      <c r="M34" s="12"/>
      <c r="N34" s="12"/>
      <c r="O34" s="12"/>
      <c r="P34" s="12"/>
      <c r="Q34" s="12"/>
      <c r="R34" s="359"/>
      <c r="S34" s="12"/>
      <c r="T34" s="12"/>
      <c r="U34" s="12"/>
      <c r="V34" s="12"/>
      <c r="W34" s="12"/>
      <c r="X34" s="12"/>
      <c r="Y34" s="12"/>
      <c r="Z34" s="359"/>
      <c r="AA34" s="12"/>
      <c r="AB34" s="12"/>
      <c r="AC34" s="12"/>
    </row>
    <row r="35" ht="15.75" customHeight="1">
      <c r="A35" s="464" t="s">
        <v>435</v>
      </c>
      <c r="B35" s="464"/>
      <c r="C35" s="464"/>
      <c r="D35" s="464"/>
      <c r="E35" s="464"/>
      <c r="F35" s="464"/>
      <c r="G35" s="12"/>
      <c r="H35" s="464" t="s">
        <v>435</v>
      </c>
      <c r="I35" s="12"/>
      <c r="J35" s="359"/>
      <c r="K35" s="12"/>
      <c r="L35" s="12"/>
      <c r="M35" s="12"/>
      <c r="N35" s="12"/>
      <c r="P35" s="464" t="s">
        <v>435</v>
      </c>
      <c r="Q35" s="12"/>
      <c r="R35" s="359"/>
      <c r="S35" s="12"/>
      <c r="X35" s="464" t="s">
        <v>435</v>
      </c>
      <c r="AC35" s="12"/>
    </row>
    <row r="36" ht="15.75" customHeight="1">
      <c r="A36" s="15" t="s">
        <v>436</v>
      </c>
      <c r="B36" s="12"/>
      <c r="C36" s="12"/>
      <c r="D36" s="230"/>
      <c r="E36" s="12"/>
      <c r="F36" s="12"/>
      <c r="G36" s="12"/>
      <c r="H36" s="12"/>
      <c r="I36" s="12"/>
      <c r="J36" s="359"/>
      <c r="K36" s="12"/>
      <c r="L36" s="12"/>
      <c r="M36" s="12"/>
      <c r="N36" s="12"/>
      <c r="O36" s="12"/>
      <c r="P36" s="12"/>
      <c r="Q36" s="12"/>
      <c r="R36" s="359"/>
      <c r="S36" s="12"/>
      <c r="AC36" s="12"/>
    </row>
    <row r="37" ht="15.75" customHeight="1">
      <c r="A37" s="12"/>
      <c r="B37" s="12"/>
      <c r="C37" s="12"/>
      <c r="D37" s="12"/>
      <c r="E37" s="12"/>
      <c r="F37" s="12"/>
      <c r="G37" s="12"/>
      <c r="H37" s="12"/>
      <c r="I37" s="12"/>
      <c r="J37" s="359"/>
      <c r="K37" s="12"/>
      <c r="M37" s="12"/>
      <c r="N37" s="12"/>
      <c r="O37" s="12"/>
      <c r="P37" s="12"/>
      <c r="Q37" s="12"/>
      <c r="R37" s="359"/>
      <c r="S37" s="12"/>
      <c r="AC37" s="12"/>
    </row>
    <row r="38" ht="15.75" customHeight="1">
      <c r="A38" s="465" t="s">
        <v>437</v>
      </c>
      <c r="B38" s="363"/>
      <c r="C38" s="363"/>
      <c r="D38" s="363"/>
      <c r="E38" s="363"/>
      <c r="F38" s="103"/>
      <c r="G38" s="237"/>
      <c r="H38" s="465" t="s">
        <v>437</v>
      </c>
      <c r="I38" s="363"/>
      <c r="J38" s="363"/>
      <c r="K38" s="363"/>
      <c r="L38" s="363"/>
      <c r="M38" s="103"/>
      <c r="N38" s="12"/>
      <c r="O38" s="12"/>
      <c r="P38" s="465" t="s">
        <v>437</v>
      </c>
      <c r="Q38" s="363"/>
      <c r="R38" s="363"/>
      <c r="S38" s="363"/>
      <c r="T38" s="363"/>
      <c r="U38" s="103"/>
      <c r="V38" s="12"/>
      <c r="W38" s="12"/>
      <c r="X38" s="465" t="s">
        <v>437</v>
      </c>
      <c r="Y38" s="363"/>
      <c r="Z38" s="363"/>
      <c r="AA38" s="363"/>
      <c r="AB38" s="363"/>
      <c r="AC38" s="103"/>
    </row>
    <row r="39" ht="15.75" customHeight="1">
      <c r="A39" s="465" t="s">
        <v>438</v>
      </c>
      <c r="B39" s="363"/>
      <c r="C39" s="363"/>
      <c r="D39" s="363"/>
      <c r="E39" s="363"/>
      <c r="F39" s="103"/>
      <c r="G39" s="237"/>
      <c r="H39" s="465" t="s">
        <v>438</v>
      </c>
      <c r="I39" s="363"/>
      <c r="J39" s="363"/>
      <c r="K39" s="363"/>
      <c r="L39" s="363"/>
      <c r="M39" s="103"/>
      <c r="N39" s="12"/>
      <c r="O39" s="12"/>
      <c r="P39" s="465" t="s">
        <v>438</v>
      </c>
      <c r="Q39" s="363"/>
      <c r="R39" s="363"/>
      <c r="S39" s="363"/>
      <c r="T39" s="363"/>
      <c r="U39" s="103"/>
      <c r="V39" s="12"/>
      <c r="W39" s="12"/>
      <c r="X39" s="465" t="s">
        <v>438</v>
      </c>
      <c r="Y39" s="363"/>
      <c r="Z39" s="363"/>
      <c r="AA39" s="363"/>
      <c r="AB39" s="363"/>
      <c r="AC39" s="103"/>
    </row>
    <row r="40" ht="15.75" customHeight="1">
      <c r="A40" s="465" t="s">
        <v>439</v>
      </c>
      <c r="B40" s="363"/>
      <c r="C40" s="363"/>
      <c r="D40" s="363"/>
      <c r="E40" s="363"/>
      <c r="F40" s="103"/>
      <c r="G40" s="237"/>
      <c r="H40" s="465" t="s">
        <v>439</v>
      </c>
      <c r="I40" s="363"/>
      <c r="J40" s="363"/>
      <c r="K40" s="363"/>
      <c r="L40" s="363"/>
      <c r="M40" s="103"/>
      <c r="N40" s="12"/>
      <c r="O40" s="12"/>
      <c r="P40" s="465" t="s">
        <v>439</v>
      </c>
      <c r="Q40" s="363"/>
      <c r="R40" s="363"/>
      <c r="S40" s="363"/>
      <c r="T40" s="363"/>
      <c r="U40" s="103"/>
      <c r="V40" s="12"/>
      <c r="W40" s="12"/>
      <c r="X40" s="465" t="s">
        <v>439</v>
      </c>
      <c r="Y40" s="363"/>
      <c r="Z40" s="363"/>
      <c r="AA40" s="363"/>
      <c r="AB40" s="363"/>
      <c r="AC40" s="103"/>
    </row>
    <row r="41" ht="15.75" customHeight="1">
      <c r="A41" s="465" t="s">
        <v>440</v>
      </c>
      <c r="B41" s="363"/>
      <c r="C41" s="363"/>
      <c r="D41" s="363"/>
      <c r="E41" s="363"/>
      <c r="F41" s="103"/>
      <c r="G41" s="237"/>
      <c r="H41" s="465" t="s">
        <v>440</v>
      </c>
      <c r="I41" s="363"/>
      <c r="J41" s="363"/>
      <c r="K41" s="363"/>
      <c r="L41" s="363"/>
      <c r="M41" s="103"/>
      <c r="N41" s="12"/>
      <c r="O41" s="12"/>
      <c r="P41" s="465" t="s">
        <v>440</v>
      </c>
      <c r="Q41" s="363"/>
      <c r="R41" s="363"/>
      <c r="S41" s="363"/>
      <c r="T41" s="363"/>
      <c r="U41" s="103"/>
      <c r="V41" s="12"/>
      <c r="W41" s="12"/>
      <c r="X41" s="465" t="s">
        <v>440</v>
      </c>
      <c r="Y41" s="363"/>
      <c r="Z41" s="363"/>
      <c r="AA41" s="363"/>
      <c r="AB41" s="363"/>
      <c r="AC41" s="103"/>
    </row>
    <row r="42" ht="15.75" customHeight="1">
      <c r="A42" s="465" t="s">
        <v>441</v>
      </c>
      <c r="B42" s="363"/>
      <c r="C42" s="363"/>
      <c r="D42" s="363"/>
      <c r="E42" s="363"/>
      <c r="F42" s="103"/>
      <c r="G42" s="237"/>
      <c r="H42" s="465" t="s">
        <v>441</v>
      </c>
      <c r="I42" s="363"/>
      <c r="J42" s="363"/>
      <c r="K42" s="363"/>
      <c r="L42" s="363"/>
      <c r="M42" s="103"/>
      <c r="N42" s="12"/>
      <c r="O42" s="12"/>
      <c r="P42" s="465" t="s">
        <v>441</v>
      </c>
      <c r="Q42" s="363"/>
      <c r="R42" s="363"/>
      <c r="S42" s="363"/>
      <c r="T42" s="363"/>
      <c r="U42" s="103"/>
      <c r="V42" s="12"/>
      <c r="W42" s="12"/>
      <c r="X42" s="465" t="s">
        <v>441</v>
      </c>
      <c r="Y42" s="363"/>
      <c r="Z42" s="363"/>
      <c r="AA42" s="363"/>
      <c r="AB42" s="363"/>
      <c r="AC42" s="103"/>
    </row>
    <row r="43" ht="15.75" customHeight="1">
      <c r="A43" s="465" t="s">
        <v>442</v>
      </c>
      <c r="B43" s="363"/>
      <c r="C43" s="363"/>
      <c r="D43" s="363"/>
      <c r="E43" s="363"/>
      <c r="F43" s="103"/>
      <c r="G43" s="237"/>
      <c r="H43" s="465" t="s">
        <v>442</v>
      </c>
      <c r="I43" s="363"/>
      <c r="J43" s="363"/>
      <c r="K43" s="363"/>
      <c r="L43" s="363"/>
      <c r="M43" s="103"/>
      <c r="N43" s="12"/>
      <c r="O43" s="12"/>
      <c r="P43" s="465" t="s">
        <v>442</v>
      </c>
      <c r="Q43" s="363"/>
      <c r="R43" s="363"/>
      <c r="S43" s="363"/>
      <c r="T43" s="363"/>
      <c r="U43" s="103"/>
      <c r="V43" s="12"/>
      <c r="W43" s="12"/>
      <c r="X43" s="465" t="s">
        <v>442</v>
      </c>
      <c r="Y43" s="363"/>
      <c r="Z43" s="363"/>
      <c r="AA43" s="363"/>
      <c r="AB43" s="363"/>
      <c r="AC43" s="103"/>
    </row>
    <row r="44" ht="15.75" customHeight="1">
      <c r="A44" s="465" t="s">
        <v>443</v>
      </c>
      <c r="B44" s="363"/>
      <c r="C44" s="363"/>
      <c r="D44" s="363"/>
      <c r="E44" s="363"/>
      <c r="F44" s="103"/>
      <c r="G44" s="237"/>
      <c r="H44" s="465" t="s">
        <v>443</v>
      </c>
      <c r="I44" s="363"/>
      <c r="J44" s="363"/>
      <c r="K44" s="363"/>
      <c r="L44" s="363"/>
      <c r="M44" s="103"/>
      <c r="N44" s="12"/>
      <c r="O44" s="12"/>
      <c r="P44" s="465" t="s">
        <v>443</v>
      </c>
      <c r="Q44" s="363"/>
      <c r="R44" s="363"/>
      <c r="S44" s="363"/>
      <c r="T44" s="363"/>
      <c r="U44" s="103"/>
      <c r="V44" s="12"/>
      <c r="W44" s="12"/>
      <c r="X44" s="465" t="s">
        <v>443</v>
      </c>
      <c r="Y44" s="363"/>
      <c r="Z44" s="363"/>
      <c r="AA44" s="363"/>
      <c r="AB44" s="363"/>
      <c r="AC44" s="103"/>
    </row>
    <row r="45" ht="15.75" customHeight="1">
      <c r="A45" s="465" t="s">
        <v>444</v>
      </c>
      <c r="B45" s="363"/>
      <c r="C45" s="363"/>
      <c r="D45" s="363"/>
      <c r="E45" s="363"/>
      <c r="F45" s="103"/>
      <c r="G45" s="237"/>
      <c r="H45" s="465" t="s">
        <v>444</v>
      </c>
      <c r="I45" s="363"/>
      <c r="J45" s="363"/>
      <c r="K45" s="363"/>
      <c r="L45" s="363"/>
      <c r="M45" s="103"/>
      <c r="N45" s="12"/>
      <c r="O45" s="12"/>
      <c r="P45" s="465" t="s">
        <v>444</v>
      </c>
      <c r="Q45" s="363"/>
      <c r="R45" s="363"/>
      <c r="S45" s="363"/>
      <c r="T45" s="363"/>
      <c r="U45" s="103"/>
      <c r="V45" s="12"/>
      <c r="W45" s="12"/>
      <c r="X45" s="465" t="s">
        <v>444</v>
      </c>
      <c r="Y45" s="363"/>
      <c r="Z45" s="363"/>
      <c r="AA45" s="363"/>
      <c r="AB45" s="363"/>
      <c r="AC45" s="103"/>
    </row>
    <row r="46" ht="15.75" customHeight="1">
      <c r="A46" s="465" t="s">
        <v>445</v>
      </c>
      <c r="B46" s="363"/>
      <c r="C46" s="363"/>
      <c r="D46" s="363"/>
      <c r="E46" s="363"/>
      <c r="F46" s="103"/>
      <c r="G46" s="237"/>
      <c r="H46" s="465" t="s">
        <v>445</v>
      </c>
      <c r="I46" s="363"/>
      <c r="J46" s="363"/>
      <c r="K46" s="363"/>
      <c r="L46" s="363"/>
      <c r="M46" s="103"/>
      <c r="N46" s="12"/>
      <c r="O46" s="12"/>
      <c r="P46" s="465" t="s">
        <v>445</v>
      </c>
      <c r="Q46" s="363"/>
      <c r="R46" s="363"/>
      <c r="S46" s="363"/>
      <c r="T46" s="363"/>
      <c r="U46" s="103"/>
      <c r="V46" s="12"/>
      <c r="W46" s="12"/>
      <c r="X46" s="465" t="s">
        <v>445</v>
      </c>
      <c r="Y46" s="363"/>
      <c r="Z46" s="363"/>
      <c r="AA46" s="363"/>
      <c r="AB46" s="363"/>
      <c r="AC46" s="103"/>
    </row>
    <row r="47" ht="15.75" customHeight="1">
      <c r="A47" s="465" t="s">
        <v>447</v>
      </c>
      <c r="B47" s="363"/>
      <c r="C47" s="363"/>
      <c r="D47" s="363"/>
      <c r="E47" s="363"/>
      <c r="F47" s="103"/>
      <c r="G47" s="237"/>
      <c r="H47" s="465" t="s">
        <v>447</v>
      </c>
      <c r="I47" s="363"/>
      <c r="J47" s="363"/>
      <c r="K47" s="363"/>
      <c r="L47" s="363"/>
      <c r="M47" s="103"/>
      <c r="N47" s="12"/>
      <c r="O47" s="12"/>
      <c r="P47" s="465" t="s">
        <v>447</v>
      </c>
      <c r="Q47" s="363"/>
      <c r="R47" s="363"/>
      <c r="S47" s="363"/>
      <c r="T47" s="363"/>
      <c r="U47" s="103"/>
      <c r="V47" s="12"/>
      <c r="W47" s="12"/>
      <c r="X47" s="465" t="s">
        <v>447</v>
      </c>
      <c r="Y47" s="363"/>
      <c r="Z47" s="363"/>
      <c r="AA47" s="363"/>
      <c r="AB47" s="363"/>
      <c r="AC47" s="103"/>
    </row>
    <row r="48" ht="15.75" customHeight="1">
      <c r="A48" s="12"/>
      <c r="B48" s="12"/>
      <c r="C48" s="12"/>
      <c r="D48" s="12"/>
      <c r="E48" s="12"/>
      <c r="F48" s="12"/>
      <c r="G48" s="12"/>
      <c r="H48" s="12"/>
      <c r="I48" s="12"/>
      <c r="J48" s="359"/>
      <c r="K48" s="12"/>
      <c r="L48" s="12"/>
      <c r="M48" s="12"/>
      <c r="N48" s="12"/>
      <c r="O48" s="12"/>
      <c r="P48" s="12"/>
      <c r="Q48" s="12"/>
      <c r="R48" s="359"/>
      <c r="S48" s="12"/>
      <c r="T48" s="12"/>
      <c r="U48" s="12"/>
      <c r="V48" s="12"/>
      <c r="W48" s="12"/>
      <c r="X48" s="12"/>
      <c r="Y48" s="12"/>
      <c r="Z48" s="359"/>
      <c r="AA48" s="12"/>
      <c r="AB48" s="12"/>
      <c r="AC48" s="12"/>
    </row>
    <row r="49" ht="15.75" customHeight="1">
      <c r="A49" s="12"/>
      <c r="B49" s="12"/>
      <c r="C49" s="12"/>
      <c r="D49" s="12"/>
      <c r="E49" s="12"/>
      <c r="F49" s="12"/>
      <c r="G49" s="12"/>
      <c r="H49" s="12"/>
      <c r="I49" s="12"/>
      <c r="J49" s="359"/>
      <c r="K49" s="12"/>
      <c r="L49" s="12"/>
      <c r="M49" s="12"/>
      <c r="N49" s="12"/>
      <c r="O49" s="12"/>
      <c r="P49" s="12"/>
      <c r="Q49" s="12"/>
      <c r="R49" s="359"/>
      <c r="S49" s="12"/>
      <c r="T49" s="12"/>
      <c r="U49" s="12"/>
      <c r="V49" s="12"/>
      <c r="W49" s="12"/>
      <c r="X49" s="12"/>
      <c r="Y49" s="12"/>
      <c r="Z49" s="359"/>
      <c r="AA49" s="12"/>
      <c r="AB49" s="12"/>
      <c r="AC49" s="12"/>
    </row>
    <row r="50" ht="15.75" customHeight="1">
      <c r="A50" s="12"/>
      <c r="B50" s="12"/>
      <c r="C50" s="12"/>
      <c r="D50" s="12"/>
      <c r="E50" s="12"/>
      <c r="F50" s="12"/>
      <c r="G50" s="12"/>
      <c r="H50" s="12"/>
      <c r="I50" s="12"/>
      <c r="J50" s="359"/>
      <c r="K50" s="12"/>
      <c r="L50" s="12"/>
      <c r="M50" s="12"/>
      <c r="N50" s="12"/>
      <c r="O50" s="12"/>
      <c r="P50" s="12"/>
      <c r="Q50" s="12"/>
      <c r="R50" s="359"/>
      <c r="S50" s="12"/>
      <c r="T50" s="12"/>
      <c r="U50" s="12"/>
      <c r="V50" s="12"/>
      <c r="W50" s="12"/>
      <c r="X50" s="12"/>
      <c r="Y50" s="12"/>
      <c r="Z50" s="359"/>
      <c r="AA50" s="12"/>
      <c r="AB50" s="12"/>
      <c r="AC50" s="12"/>
    </row>
    <row r="51" ht="15.75" customHeight="1">
      <c r="A51" s="12"/>
      <c r="B51" s="12"/>
      <c r="C51" s="12"/>
      <c r="D51" s="12"/>
      <c r="E51" s="12"/>
      <c r="F51" s="12"/>
      <c r="G51" s="12"/>
      <c r="H51" s="12"/>
      <c r="I51" s="12"/>
      <c r="J51" s="359"/>
      <c r="K51" s="12"/>
      <c r="L51" s="12"/>
      <c r="M51" s="12"/>
      <c r="N51" s="12"/>
      <c r="O51" s="12"/>
      <c r="P51" s="12"/>
      <c r="Q51" s="12"/>
      <c r="R51" s="359"/>
      <c r="S51" s="12"/>
      <c r="T51" s="12"/>
      <c r="U51" s="12"/>
      <c r="V51" s="12"/>
      <c r="W51" s="12"/>
      <c r="X51" s="12"/>
      <c r="Y51" s="12"/>
      <c r="Z51" s="359"/>
      <c r="AA51" s="12"/>
      <c r="AB51" s="12"/>
      <c r="AC51" s="12"/>
    </row>
    <row r="52" ht="15.75" customHeight="1">
      <c r="A52" s="12"/>
      <c r="B52" s="12"/>
      <c r="C52" s="12"/>
      <c r="D52" s="12"/>
      <c r="E52" s="12"/>
      <c r="F52" s="12"/>
      <c r="G52" s="12"/>
      <c r="H52" s="12"/>
      <c r="I52" s="12"/>
      <c r="J52" s="359"/>
      <c r="K52" s="12"/>
      <c r="L52" s="12"/>
      <c r="M52" s="12"/>
      <c r="N52" s="12"/>
      <c r="O52" s="12"/>
      <c r="P52" s="12"/>
      <c r="Q52" s="12"/>
      <c r="R52" s="359"/>
      <c r="S52" s="12"/>
      <c r="T52" s="12"/>
      <c r="U52" s="12"/>
      <c r="V52" s="12"/>
      <c r="W52" s="12"/>
      <c r="X52" s="12"/>
      <c r="Y52" s="12"/>
      <c r="Z52" s="359"/>
      <c r="AA52" s="12"/>
      <c r="AB52" s="12"/>
      <c r="AC52" s="12"/>
    </row>
    <row r="53" ht="15.75" customHeight="1">
      <c r="A53" s="12"/>
      <c r="B53" s="12"/>
      <c r="C53" s="12"/>
      <c r="D53" s="12"/>
      <c r="E53" s="12"/>
      <c r="F53" s="12"/>
      <c r="G53" s="12"/>
      <c r="H53" s="12"/>
      <c r="I53" s="12"/>
      <c r="J53" s="359"/>
      <c r="K53" s="12"/>
      <c r="L53" s="12"/>
      <c r="M53" s="12"/>
      <c r="N53" s="12"/>
      <c r="O53" s="12"/>
      <c r="P53" s="12"/>
      <c r="Q53" s="12"/>
      <c r="R53" s="359"/>
      <c r="S53" s="12"/>
      <c r="T53" s="12"/>
      <c r="U53" s="12"/>
      <c r="V53" s="12"/>
      <c r="W53" s="12"/>
      <c r="X53" s="12"/>
      <c r="Y53" s="12"/>
      <c r="Z53" s="359"/>
      <c r="AA53" s="12"/>
      <c r="AB53" s="12"/>
      <c r="AC53" s="12"/>
    </row>
    <row r="54" ht="15.75" customHeight="1">
      <c r="A54" s="12"/>
      <c r="B54" s="12"/>
      <c r="C54" s="12"/>
      <c r="D54" s="12"/>
      <c r="E54" s="12"/>
      <c r="F54" s="12"/>
      <c r="G54" s="12"/>
      <c r="H54" s="12"/>
      <c r="I54" s="12"/>
      <c r="J54" s="359"/>
      <c r="K54" s="12"/>
      <c r="L54" s="12"/>
      <c r="M54" s="12"/>
      <c r="N54" s="12"/>
      <c r="O54" s="12"/>
      <c r="P54" s="12"/>
      <c r="Q54" s="12"/>
      <c r="R54" s="359"/>
      <c r="S54" s="12"/>
      <c r="T54" s="12"/>
      <c r="U54" s="12"/>
      <c r="V54" s="12"/>
      <c r="W54" s="12"/>
      <c r="X54" s="12"/>
      <c r="Y54" s="12"/>
      <c r="Z54" s="359"/>
      <c r="AA54" s="12"/>
      <c r="AB54" s="12"/>
      <c r="AC54" s="12"/>
    </row>
    <row r="55" ht="15.75" customHeight="1">
      <c r="A55" s="12"/>
      <c r="B55" s="12"/>
      <c r="C55" s="12"/>
      <c r="D55" s="12"/>
      <c r="E55" s="12"/>
      <c r="F55" s="12"/>
      <c r="G55" s="12"/>
      <c r="H55" s="12"/>
      <c r="I55" s="12"/>
      <c r="J55" s="359"/>
      <c r="K55" s="12"/>
      <c r="L55" s="12"/>
      <c r="M55" s="12"/>
      <c r="N55" s="12"/>
      <c r="O55" s="12"/>
      <c r="P55" s="12"/>
      <c r="Q55" s="12"/>
      <c r="R55" s="359"/>
      <c r="S55" s="12"/>
      <c r="T55" s="12"/>
      <c r="U55" s="12"/>
      <c r="V55" s="12"/>
      <c r="W55" s="12"/>
      <c r="X55" s="12"/>
      <c r="Y55" s="12"/>
      <c r="Z55" s="359"/>
      <c r="AA55" s="12"/>
      <c r="AB55" s="12"/>
      <c r="AC55" s="12"/>
    </row>
    <row r="56" ht="15.75" customHeight="1">
      <c r="A56" s="12"/>
      <c r="B56" s="12"/>
      <c r="C56" s="12"/>
      <c r="D56" s="12"/>
      <c r="E56" s="12"/>
      <c r="F56" s="12"/>
      <c r="G56" s="12"/>
      <c r="H56" s="12"/>
      <c r="I56" s="12"/>
      <c r="J56" s="359"/>
      <c r="K56" s="12"/>
      <c r="L56" s="12"/>
      <c r="M56" s="12"/>
      <c r="N56" s="12"/>
      <c r="O56" s="12"/>
      <c r="P56" s="12"/>
      <c r="Q56" s="12"/>
      <c r="R56" s="359"/>
      <c r="S56" s="12"/>
      <c r="T56" s="12"/>
      <c r="U56" s="12"/>
      <c r="V56" s="12"/>
      <c r="W56" s="12"/>
      <c r="X56" s="12"/>
      <c r="Y56" s="12"/>
      <c r="Z56" s="359"/>
      <c r="AA56" s="12"/>
      <c r="AB56" s="12"/>
      <c r="AC56" s="12"/>
    </row>
    <row r="57" ht="15.75" customHeight="1">
      <c r="A57" s="12"/>
      <c r="B57" s="12"/>
      <c r="C57" s="12"/>
      <c r="D57" s="12"/>
      <c r="E57" s="12"/>
      <c r="F57" s="12"/>
      <c r="G57" s="12"/>
      <c r="H57" s="12"/>
      <c r="I57" s="12"/>
      <c r="J57" s="359"/>
      <c r="K57" s="12"/>
      <c r="L57" s="12"/>
      <c r="M57" s="12"/>
      <c r="N57" s="12"/>
      <c r="O57" s="12"/>
      <c r="P57" s="12"/>
      <c r="Q57" s="12"/>
      <c r="R57" s="359"/>
      <c r="S57" s="12"/>
      <c r="T57" s="12"/>
      <c r="U57" s="12"/>
      <c r="V57" s="12"/>
      <c r="W57" s="12"/>
      <c r="X57" s="12"/>
      <c r="Y57" s="12"/>
      <c r="Z57" s="359"/>
      <c r="AA57" s="12"/>
      <c r="AB57" s="12"/>
      <c r="AC57" s="12"/>
    </row>
    <row r="58" ht="15.75" customHeight="1">
      <c r="A58" s="12"/>
      <c r="B58" s="12"/>
      <c r="C58" s="12"/>
      <c r="D58" s="12"/>
      <c r="E58" s="12"/>
      <c r="F58" s="12"/>
      <c r="G58" s="12"/>
      <c r="H58" s="12"/>
      <c r="I58" s="12"/>
      <c r="J58" s="359"/>
      <c r="K58" s="12"/>
      <c r="L58" s="12"/>
      <c r="M58" s="12"/>
      <c r="N58" s="12"/>
      <c r="O58" s="12"/>
      <c r="P58" s="12"/>
      <c r="Q58" s="12"/>
      <c r="R58" s="359"/>
      <c r="S58" s="12"/>
      <c r="T58" s="12"/>
      <c r="U58" s="12"/>
      <c r="V58" s="12"/>
      <c r="W58" s="12"/>
      <c r="X58" s="12"/>
      <c r="Y58" s="12"/>
      <c r="Z58" s="359"/>
      <c r="AA58" s="12"/>
      <c r="AB58" s="12"/>
      <c r="AC58" s="12"/>
    </row>
    <row r="59" ht="15.75" customHeight="1">
      <c r="A59" s="12"/>
      <c r="B59" s="12"/>
      <c r="C59" s="12"/>
      <c r="D59" s="12"/>
      <c r="E59" s="12"/>
      <c r="F59" s="12"/>
      <c r="G59" s="12"/>
      <c r="H59" s="12"/>
      <c r="I59" s="12"/>
      <c r="J59" s="359"/>
      <c r="K59" s="12"/>
      <c r="L59" s="12"/>
      <c r="M59" s="12"/>
      <c r="N59" s="12"/>
      <c r="O59" s="12"/>
      <c r="P59" s="12"/>
      <c r="Q59" s="12"/>
      <c r="R59" s="359"/>
      <c r="S59" s="12"/>
      <c r="T59" s="12"/>
      <c r="U59" s="12"/>
      <c r="V59" s="12"/>
      <c r="W59" s="12"/>
      <c r="X59" s="12"/>
      <c r="Y59" s="12"/>
      <c r="Z59" s="359"/>
      <c r="AA59" s="12"/>
      <c r="AB59" s="12"/>
      <c r="AC59" s="12"/>
    </row>
    <row r="60" ht="15.75" customHeight="1">
      <c r="A60" s="12"/>
      <c r="B60" s="12"/>
      <c r="C60" s="12"/>
      <c r="D60" s="12"/>
      <c r="E60" s="12"/>
      <c r="F60" s="12"/>
      <c r="G60" s="12"/>
      <c r="H60" s="12"/>
      <c r="I60" s="12"/>
      <c r="J60" s="359"/>
      <c r="K60" s="12"/>
      <c r="L60" s="12"/>
      <c r="M60" s="12"/>
      <c r="N60" s="12"/>
      <c r="O60" s="12"/>
      <c r="P60" s="12"/>
      <c r="Q60" s="12"/>
      <c r="R60" s="359"/>
      <c r="S60" s="12"/>
      <c r="T60" s="12"/>
      <c r="U60" s="12"/>
      <c r="V60" s="12"/>
      <c r="W60" s="12"/>
      <c r="X60" s="12"/>
      <c r="Y60" s="12"/>
      <c r="Z60" s="359"/>
      <c r="AA60" s="12"/>
      <c r="AB60" s="12"/>
      <c r="AC60" s="12"/>
    </row>
    <row r="61" ht="15.75" customHeight="1">
      <c r="A61" s="12"/>
      <c r="B61" s="12"/>
      <c r="C61" s="12"/>
      <c r="D61" s="12"/>
      <c r="E61" s="12"/>
      <c r="F61" s="12"/>
      <c r="G61" s="12"/>
      <c r="H61" s="12"/>
      <c r="I61" s="12"/>
      <c r="J61" s="359"/>
      <c r="K61" s="12"/>
      <c r="L61" s="12"/>
      <c r="M61" s="12"/>
      <c r="N61" s="12"/>
      <c r="O61" s="12"/>
      <c r="P61" s="12"/>
      <c r="Q61" s="12"/>
      <c r="R61" s="359"/>
      <c r="S61" s="12"/>
      <c r="T61" s="12"/>
      <c r="U61" s="12"/>
      <c r="V61" s="12"/>
      <c r="W61" s="12"/>
      <c r="X61" s="12"/>
      <c r="Y61" s="12"/>
      <c r="Z61" s="359"/>
      <c r="AA61" s="12"/>
      <c r="AB61" s="12"/>
      <c r="AC61" s="12"/>
    </row>
    <row r="62" ht="15.75" customHeight="1">
      <c r="A62" s="12"/>
      <c r="B62" s="12"/>
      <c r="C62" s="12"/>
      <c r="D62" s="12"/>
      <c r="E62" s="12"/>
      <c r="F62" s="12"/>
      <c r="G62" s="12"/>
      <c r="H62" s="12"/>
      <c r="I62" s="12"/>
      <c r="J62" s="359"/>
      <c r="K62" s="12"/>
      <c r="L62" s="12"/>
      <c r="M62" s="12"/>
      <c r="N62" s="12"/>
      <c r="O62" s="12"/>
      <c r="P62" s="12"/>
      <c r="Q62" s="12"/>
      <c r="R62" s="359"/>
      <c r="S62" s="12"/>
      <c r="T62" s="12"/>
      <c r="U62" s="12"/>
      <c r="V62" s="12"/>
      <c r="W62" s="12"/>
      <c r="X62" s="12"/>
      <c r="Y62" s="12"/>
      <c r="Z62" s="359"/>
      <c r="AA62" s="12"/>
      <c r="AB62" s="12"/>
      <c r="AC62" s="12"/>
    </row>
    <row r="63" ht="15.75" customHeight="1">
      <c r="A63" s="12"/>
      <c r="B63" s="12"/>
      <c r="C63" s="12"/>
      <c r="D63" s="12"/>
      <c r="E63" s="12"/>
      <c r="F63" s="12"/>
      <c r="G63" s="12"/>
      <c r="H63" s="12"/>
      <c r="I63" s="12"/>
      <c r="J63" s="359"/>
      <c r="K63" s="12"/>
      <c r="L63" s="12"/>
      <c r="M63" s="12"/>
      <c r="N63" s="12"/>
      <c r="O63" s="12"/>
      <c r="P63" s="12"/>
      <c r="Q63" s="12"/>
      <c r="R63" s="359"/>
      <c r="S63" s="12"/>
      <c r="T63" s="12"/>
      <c r="U63" s="12"/>
      <c r="V63" s="12"/>
      <c r="W63" s="12"/>
      <c r="X63" s="12"/>
      <c r="Y63" s="12"/>
      <c r="Z63" s="359"/>
      <c r="AA63" s="12"/>
      <c r="AB63" s="12"/>
      <c r="AC63" s="12"/>
    </row>
    <row r="64" ht="15.75" customHeight="1">
      <c r="A64" s="12"/>
      <c r="B64" s="12"/>
      <c r="C64" s="12"/>
      <c r="D64" s="12"/>
      <c r="E64" s="12"/>
      <c r="F64" s="12"/>
      <c r="G64" s="12"/>
      <c r="H64" s="12"/>
      <c r="I64" s="12"/>
      <c r="J64" s="359"/>
      <c r="K64" s="12"/>
      <c r="L64" s="12"/>
      <c r="M64" s="12"/>
      <c r="N64" s="12"/>
      <c r="O64" s="12"/>
      <c r="P64" s="12"/>
      <c r="Q64" s="12"/>
      <c r="R64" s="359"/>
      <c r="S64" s="12"/>
      <c r="T64" s="12"/>
      <c r="U64" s="12"/>
      <c r="V64" s="12"/>
      <c r="W64" s="12"/>
      <c r="X64" s="12"/>
      <c r="Y64" s="12"/>
      <c r="Z64" s="359"/>
      <c r="AA64" s="12"/>
      <c r="AB64" s="12"/>
      <c r="AC64" s="12"/>
    </row>
    <row r="65" ht="15.75" customHeight="1">
      <c r="A65" s="12"/>
      <c r="B65" s="12"/>
      <c r="C65" s="12"/>
      <c r="D65" s="12"/>
      <c r="E65" s="12"/>
      <c r="F65" s="12"/>
      <c r="G65" s="12"/>
      <c r="H65" s="12"/>
      <c r="I65" s="12"/>
      <c r="J65" s="359"/>
      <c r="K65" s="12"/>
      <c r="L65" s="12"/>
      <c r="M65" s="12"/>
      <c r="N65" s="12"/>
      <c r="O65" s="12"/>
      <c r="P65" s="12"/>
      <c r="Q65" s="12"/>
      <c r="R65" s="359"/>
      <c r="S65" s="12"/>
      <c r="T65" s="12"/>
      <c r="U65" s="12"/>
      <c r="V65" s="12"/>
      <c r="W65" s="12"/>
      <c r="X65" s="12"/>
      <c r="Y65" s="12"/>
      <c r="Z65" s="359"/>
      <c r="AA65" s="12"/>
      <c r="AB65" s="12"/>
      <c r="AC65" s="12"/>
    </row>
    <row r="66" ht="15.75" customHeight="1">
      <c r="A66" s="12"/>
      <c r="B66" s="12"/>
      <c r="C66" s="12"/>
      <c r="D66" s="12"/>
      <c r="E66" s="12"/>
      <c r="F66" s="12"/>
      <c r="G66" s="12"/>
      <c r="H66" s="12"/>
      <c r="I66" s="12"/>
      <c r="J66" s="359"/>
      <c r="K66" s="12"/>
      <c r="L66" s="12"/>
      <c r="M66" s="12"/>
      <c r="N66" s="12"/>
      <c r="O66" s="12"/>
      <c r="P66" s="12"/>
      <c r="Q66" s="12"/>
      <c r="R66" s="359"/>
      <c r="S66" s="12"/>
      <c r="T66" s="12"/>
      <c r="U66" s="12"/>
      <c r="V66" s="12"/>
      <c r="W66" s="12"/>
      <c r="X66" s="12"/>
      <c r="Y66" s="12"/>
      <c r="Z66" s="359"/>
      <c r="AA66" s="12"/>
      <c r="AB66" s="12"/>
      <c r="AC66" s="12"/>
    </row>
    <row r="67" ht="15.75" customHeight="1">
      <c r="A67" s="12"/>
      <c r="B67" s="12"/>
      <c r="C67" s="12"/>
      <c r="D67" s="12"/>
      <c r="E67" s="12"/>
      <c r="F67" s="12"/>
      <c r="G67" s="12"/>
      <c r="H67" s="12"/>
      <c r="I67" s="12"/>
      <c r="J67" s="359"/>
      <c r="K67" s="12"/>
      <c r="L67" s="12"/>
      <c r="M67" s="12"/>
      <c r="N67" s="12"/>
      <c r="O67" s="12"/>
      <c r="P67" s="12"/>
      <c r="Q67" s="12"/>
      <c r="R67" s="359"/>
      <c r="S67" s="12"/>
      <c r="T67" s="12"/>
      <c r="U67" s="12"/>
      <c r="V67" s="12"/>
      <c r="W67" s="12"/>
      <c r="X67" s="12"/>
      <c r="Y67" s="12"/>
      <c r="Z67" s="359"/>
      <c r="AA67" s="12"/>
      <c r="AB67" s="12"/>
      <c r="AC67" s="12"/>
    </row>
    <row r="68" ht="15.75" customHeight="1">
      <c r="A68" s="12"/>
      <c r="B68" s="12"/>
      <c r="C68" s="12"/>
      <c r="D68" s="12"/>
      <c r="E68" s="12"/>
      <c r="F68" s="12"/>
      <c r="G68" s="12"/>
      <c r="H68" s="12"/>
      <c r="I68" s="12"/>
      <c r="J68" s="359"/>
      <c r="K68" s="12"/>
      <c r="L68" s="12"/>
      <c r="M68" s="12"/>
      <c r="N68" s="12"/>
      <c r="O68" s="12"/>
      <c r="P68" s="12"/>
      <c r="Q68" s="12"/>
      <c r="R68" s="359"/>
      <c r="S68" s="12"/>
      <c r="T68" s="12"/>
      <c r="U68" s="12"/>
      <c r="V68" s="12"/>
      <c r="W68" s="12"/>
      <c r="X68" s="12"/>
      <c r="Y68" s="12"/>
      <c r="Z68" s="359"/>
      <c r="AA68" s="12"/>
      <c r="AB68" s="12"/>
      <c r="AC68" s="12"/>
    </row>
    <row r="69" ht="15.75" customHeight="1">
      <c r="A69" s="12"/>
      <c r="B69" s="12"/>
      <c r="C69" s="12"/>
      <c r="D69" s="12"/>
      <c r="E69" s="12"/>
      <c r="F69" s="12"/>
      <c r="G69" s="12"/>
      <c r="H69" s="12"/>
      <c r="I69" s="12"/>
      <c r="J69" s="359"/>
      <c r="K69" s="12"/>
      <c r="L69" s="12"/>
      <c r="M69" s="12"/>
      <c r="N69" s="12"/>
      <c r="O69" s="12"/>
      <c r="P69" s="12"/>
      <c r="Q69" s="12"/>
      <c r="R69" s="359"/>
      <c r="S69" s="12"/>
      <c r="T69" s="12"/>
      <c r="U69" s="12"/>
      <c r="V69" s="12"/>
      <c r="W69" s="12"/>
      <c r="X69" s="12"/>
      <c r="Y69" s="12"/>
      <c r="Z69" s="359"/>
      <c r="AA69" s="12"/>
      <c r="AB69" s="12"/>
      <c r="AC69" s="12"/>
    </row>
    <row r="70" ht="15.75" customHeight="1">
      <c r="A70" s="12"/>
      <c r="B70" s="12"/>
      <c r="C70" s="12"/>
      <c r="D70" s="12"/>
      <c r="E70" s="12"/>
      <c r="F70" s="12"/>
      <c r="G70" s="12"/>
      <c r="H70" s="12"/>
      <c r="I70" s="12"/>
      <c r="J70" s="359"/>
      <c r="K70" s="12"/>
      <c r="L70" s="12"/>
      <c r="M70" s="12"/>
      <c r="N70" s="12"/>
      <c r="O70" s="12"/>
      <c r="P70" s="12"/>
      <c r="Q70" s="12"/>
      <c r="R70" s="359"/>
      <c r="S70" s="12"/>
      <c r="T70" s="12"/>
      <c r="U70" s="12"/>
      <c r="V70" s="12"/>
      <c r="W70" s="12"/>
      <c r="X70" s="12"/>
      <c r="Y70" s="12"/>
      <c r="Z70" s="359"/>
      <c r="AA70" s="12"/>
      <c r="AB70" s="12"/>
      <c r="AC70" s="12"/>
    </row>
    <row r="71" ht="15.75" customHeight="1">
      <c r="A71" s="12"/>
      <c r="B71" s="12"/>
      <c r="C71" s="12"/>
      <c r="D71" s="12"/>
      <c r="E71" s="12"/>
      <c r="F71" s="12"/>
      <c r="G71" s="12"/>
      <c r="H71" s="12"/>
      <c r="I71" s="12"/>
      <c r="J71" s="359"/>
      <c r="K71" s="12"/>
      <c r="L71" s="12"/>
      <c r="M71" s="12"/>
      <c r="N71" s="12"/>
      <c r="O71" s="12"/>
      <c r="P71" s="12"/>
      <c r="Q71" s="12"/>
      <c r="R71" s="359"/>
      <c r="S71" s="12"/>
      <c r="T71" s="12"/>
      <c r="U71" s="12"/>
      <c r="V71" s="12"/>
      <c r="W71" s="12"/>
      <c r="X71" s="12"/>
      <c r="Y71" s="12"/>
      <c r="Z71" s="359"/>
      <c r="AA71" s="12"/>
      <c r="AB71" s="12"/>
      <c r="AC71" s="12"/>
    </row>
    <row r="72" ht="15.75" customHeight="1">
      <c r="A72" s="12"/>
      <c r="B72" s="12"/>
      <c r="C72" s="12"/>
      <c r="D72" s="12"/>
      <c r="E72" s="12"/>
      <c r="F72" s="12"/>
      <c r="G72" s="12"/>
      <c r="H72" s="12"/>
      <c r="I72" s="12"/>
      <c r="J72" s="359"/>
      <c r="K72" s="12"/>
      <c r="L72" s="12"/>
      <c r="M72" s="12"/>
      <c r="N72" s="12"/>
      <c r="O72" s="12"/>
      <c r="P72" s="12"/>
      <c r="Q72" s="12"/>
      <c r="R72" s="359"/>
      <c r="S72" s="12"/>
      <c r="T72" s="12"/>
      <c r="U72" s="12"/>
      <c r="V72" s="12"/>
      <c r="W72" s="12"/>
      <c r="X72" s="12"/>
      <c r="Y72" s="12"/>
      <c r="Z72" s="359"/>
      <c r="AA72" s="12"/>
      <c r="AB72" s="12"/>
      <c r="AC72" s="12"/>
    </row>
    <row r="73" ht="15.75" customHeight="1">
      <c r="A73" s="12"/>
      <c r="B73" s="12"/>
      <c r="C73" s="12"/>
      <c r="D73" s="12"/>
      <c r="E73" s="12"/>
      <c r="F73" s="12"/>
      <c r="G73" s="12"/>
      <c r="H73" s="12"/>
      <c r="I73" s="12"/>
      <c r="J73" s="359"/>
      <c r="K73" s="12"/>
      <c r="L73" s="12"/>
      <c r="M73" s="12"/>
      <c r="N73" s="12"/>
      <c r="O73" s="12"/>
      <c r="P73" s="12"/>
      <c r="Q73" s="12"/>
      <c r="R73" s="359"/>
      <c r="S73" s="12"/>
      <c r="T73" s="12"/>
      <c r="U73" s="12"/>
      <c r="V73" s="12"/>
      <c r="W73" s="12"/>
      <c r="X73" s="12"/>
      <c r="Y73" s="12"/>
      <c r="Z73" s="359"/>
      <c r="AA73" s="12"/>
      <c r="AB73" s="12"/>
      <c r="AC73" s="12"/>
    </row>
    <row r="74" ht="15.75" customHeight="1">
      <c r="A74" s="12"/>
      <c r="B74" s="12"/>
      <c r="C74" s="12"/>
      <c r="D74" s="12"/>
      <c r="E74" s="12"/>
      <c r="F74" s="12"/>
      <c r="G74" s="12"/>
      <c r="H74" s="12"/>
      <c r="I74" s="12"/>
      <c r="J74" s="359"/>
      <c r="K74" s="12"/>
      <c r="L74" s="12"/>
      <c r="M74" s="12"/>
      <c r="N74" s="12"/>
      <c r="O74" s="12"/>
      <c r="P74" s="12"/>
      <c r="Q74" s="12"/>
      <c r="R74" s="359"/>
      <c r="S74" s="12"/>
      <c r="T74" s="12"/>
      <c r="U74" s="12"/>
      <c r="V74" s="12"/>
      <c r="W74" s="12"/>
      <c r="X74" s="12"/>
      <c r="Y74" s="12"/>
      <c r="Z74" s="359"/>
      <c r="AA74" s="12"/>
      <c r="AB74" s="12"/>
      <c r="AC74" s="12"/>
    </row>
    <row r="75" ht="15.75" customHeight="1">
      <c r="A75" s="12"/>
      <c r="B75" s="12"/>
      <c r="C75" s="12"/>
      <c r="D75" s="12"/>
      <c r="E75" s="12"/>
      <c r="F75" s="12"/>
      <c r="G75" s="12"/>
      <c r="H75" s="12"/>
      <c r="I75" s="12"/>
      <c r="J75" s="359"/>
      <c r="K75" s="12"/>
      <c r="L75" s="12"/>
      <c r="M75" s="12"/>
      <c r="N75" s="12"/>
      <c r="O75" s="12"/>
      <c r="P75" s="12"/>
      <c r="Q75" s="12"/>
      <c r="R75" s="359"/>
      <c r="S75" s="12"/>
      <c r="T75" s="12"/>
      <c r="U75" s="12"/>
      <c r="V75" s="12"/>
      <c r="W75" s="12"/>
      <c r="X75" s="12"/>
      <c r="Y75" s="12"/>
      <c r="Z75" s="359"/>
      <c r="AA75" s="12"/>
      <c r="AB75" s="12"/>
      <c r="AC75" s="12"/>
    </row>
    <row r="76" ht="15.75" customHeight="1">
      <c r="A76" s="12"/>
      <c r="B76" s="12"/>
      <c r="C76" s="12"/>
      <c r="D76" s="12"/>
      <c r="E76" s="12"/>
      <c r="F76" s="12"/>
      <c r="G76" s="12"/>
      <c r="H76" s="12"/>
      <c r="I76" s="12"/>
      <c r="J76" s="359"/>
      <c r="K76" s="12"/>
      <c r="L76" s="12"/>
      <c r="M76" s="12"/>
      <c r="N76" s="12"/>
      <c r="O76" s="12"/>
      <c r="P76" s="12"/>
      <c r="Q76" s="12"/>
      <c r="R76" s="359"/>
      <c r="S76" s="12"/>
      <c r="T76" s="12"/>
      <c r="U76" s="12"/>
      <c r="V76" s="12"/>
      <c r="W76" s="12"/>
      <c r="X76" s="12"/>
      <c r="Y76" s="12"/>
      <c r="Z76" s="359"/>
      <c r="AA76" s="12"/>
      <c r="AB76" s="12"/>
      <c r="AC76" s="12"/>
    </row>
    <row r="77" ht="15.75" customHeight="1">
      <c r="A77" s="12"/>
      <c r="B77" s="12"/>
      <c r="C77" s="12"/>
      <c r="D77" s="12"/>
      <c r="E77" s="12"/>
      <c r="F77" s="12"/>
      <c r="G77" s="12"/>
      <c r="H77" s="12"/>
      <c r="I77" s="12"/>
      <c r="J77" s="359"/>
      <c r="K77" s="12"/>
      <c r="L77" s="12"/>
      <c r="M77" s="12"/>
      <c r="N77" s="12"/>
      <c r="O77" s="12"/>
      <c r="P77" s="12"/>
      <c r="Q77" s="12"/>
      <c r="R77" s="359"/>
      <c r="S77" s="12"/>
      <c r="T77" s="12"/>
      <c r="U77" s="12"/>
      <c r="V77" s="12"/>
      <c r="W77" s="12"/>
      <c r="X77" s="12"/>
      <c r="Y77" s="12"/>
      <c r="Z77" s="359"/>
      <c r="AA77" s="12"/>
      <c r="AB77" s="12"/>
      <c r="AC77" s="12"/>
    </row>
    <row r="78" ht="15.75" customHeight="1">
      <c r="A78" s="12"/>
      <c r="B78" s="12"/>
      <c r="C78" s="12"/>
      <c r="D78" s="12"/>
      <c r="E78" s="12"/>
      <c r="F78" s="12"/>
      <c r="G78" s="12"/>
      <c r="H78" s="12"/>
      <c r="I78" s="12"/>
      <c r="J78" s="359"/>
      <c r="K78" s="12"/>
      <c r="L78" s="12"/>
      <c r="M78" s="12"/>
      <c r="N78" s="12"/>
      <c r="O78" s="12"/>
      <c r="P78" s="12"/>
      <c r="Q78" s="12"/>
      <c r="R78" s="359"/>
      <c r="S78" s="12"/>
      <c r="T78" s="12"/>
      <c r="U78" s="12"/>
      <c r="V78" s="12"/>
      <c r="W78" s="12"/>
      <c r="X78" s="12"/>
      <c r="Y78" s="12"/>
      <c r="Z78" s="359"/>
      <c r="AA78" s="12"/>
      <c r="AB78" s="12"/>
      <c r="AC78" s="12"/>
    </row>
    <row r="79" ht="15.75" customHeight="1">
      <c r="A79" s="12"/>
      <c r="B79" s="12"/>
      <c r="C79" s="12"/>
      <c r="D79" s="12"/>
      <c r="E79" s="12"/>
      <c r="F79" s="12"/>
      <c r="G79" s="12"/>
      <c r="H79" s="12"/>
      <c r="I79" s="12"/>
      <c r="J79" s="359"/>
      <c r="K79" s="12"/>
      <c r="L79" s="12"/>
      <c r="M79" s="12"/>
      <c r="N79" s="12"/>
      <c r="O79" s="12"/>
      <c r="P79" s="12"/>
      <c r="Q79" s="12"/>
      <c r="R79" s="359"/>
      <c r="S79" s="12"/>
      <c r="T79" s="12"/>
      <c r="U79" s="12"/>
      <c r="V79" s="12"/>
      <c r="W79" s="12"/>
      <c r="X79" s="12"/>
      <c r="Y79" s="12"/>
      <c r="Z79" s="359"/>
      <c r="AA79" s="12"/>
      <c r="AB79" s="12"/>
      <c r="AC79" s="12"/>
    </row>
    <row r="80" ht="15.75" customHeight="1">
      <c r="A80" s="12"/>
      <c r="B80" s="12"/>
      <c r="C80" s="12"/>
      <c r="D80" s="12"/>
      <c r="E80" s="12"/>
      <c r="F80" s="12"/>
      <c r="G80" s="12"/>
      <c r="H80" s="12"/>
      <c r="I80" s="12"/>
      <c r="J80" s="359"/>
      <c r="K80" s="12"/>
      <c r="L80" s="12"/>
      <c r="M80" s="12"/>
      <c r="N80" s="12"/>
      <c r="O80" s="12"/>
      <c r="P80" s="12"/>
      <c r="Q80" s="12"/>
      <c r="R80" s="359"/>
      <c r="S80" s="12"/>
      <c r="T80" s="12"/>
      <c r="U80" s="12"/>
      <c r="V80" s="12"/>
      <c r="W80" s="12"/>
      <c r="X80" s="12"/>
      <c r="Y80" s="12"/>
      <c r="Z80" s="359"/>
      <c r="AA80" s="12"/>
      <c r="AB80" s="12"/>
      <c r="AC80" s="12"/>
    </row>
    <row r="81" ht="15.75" customHeight="1">
      <c r="A81" s="12"/>
      <c r="B81" s="12"/>
      <c r="C81" s="12"/>
      <c r="D81" s="12"/>
      <c r="E81" s="12"/>
      <c r="F81" s="12"/>
      <c r="G81" s="12"/>
      <c r="H81" s="12"/>
      <c r="I81" s="12"/>
      <c r="J81" s="359"/>
      <c r="K81" s="12"/>
      <c r="L81" s="12"/>
      <c r="M81" s="12"/>
      <c r="N81" s="12"/>
      <c r="O81" s="12"/>
      <c r="P81" s="12"/>
      <c r="Q81" s="12"/>
      <c r="R81" s="359"/>
      <c r="S81" s="12"/>
      <c r="T81" s="12"/>
      <c r="U81" s="12"/>
      <c r="V81" s="12"/>
      <c r="W81" s="12"/>
      <c r="X81" s="12"/>
      <c r="Y81" s="12"/>
      <c r="Z81" s="359"/>
      <c r="AA81" s="12"/>
      <c r="AB81" s="12"/>
      <c r="AC81" s="12"/>
    </row>
    <row r="82" ht="15.75" customHeight="1">
      <c r="A82" s="12"/>
      <c r="B82" s="12"/>
      <c r="C82" s="12"/>
      <c r="D82" s="12"/>
      <c r="E82" s="12"/>
      <c r="F82" s="12"/>
      <c r="G82" s="12"/>
      <c r="H82" s="12"/>
      <c r="I82" s="12"/>
      <c r="J82" s="359"/>
      <c r="K82" s="12"/>
      <c r="L82" s="12"/>
      <c r="M82" s="12"/>
      <c r="N82" s="12"/>
      <c r="O82" s="12"/>
      <c r="P82" s="12"/>
      <c r="Q82" s="12"/>
      <c r="R82" s="359"/>
      <c r="S82" s="12"/>
      <c r="T82" s="12"/>
      <c r="U82" s="12"/>
      <c r="V82" s="12"/>
      <c r="W82" s="12"/>
      <c r="X82" s="12"/>
      <c r="Y82" s="12"/>
      <c r="Z82" s="359"/>
      <c r="AA82" s="12"/>
      <c r="AB82" s="12"/>
      <c r="AC82" s="12"/>
    </row>
    <row r="83" ht="15.75" customHeight="1">
      <c r="A83" s="12"/>
      <c r="B83" s="12"/>
      <c r="C83" s="12"/>
      <c r="D83" s="12"/>
      <c r="E83" s="12"/>
      <c r="F83" s="12"/>
      <c r="G83" s="12"/>
      <c r="H83" s="12"/>
      <c r="I83" s="12"/>
      <c r="J83" s="359"/>
      <c r="K83" s="12"/>
      <c r="L83" s="12"/>
      <c r="M83" s="12"/>
      <c r="N83" s="12"/>
      <c r="O83" s="12"/>
      <c r="P83" s="12"/>
      <c r="Q83" s="12"/>
      <c r="R83" s="359"/>
      <c r="S83" s="12"/>
      <c r="T83" s="12"/>
      <c r="U83" s="12"/>
      <c r="V83" s="12"/>
      <c r="W83" s="12"/>
      <c r="X83" s="12"/>
      <c r="Y83" s="12"/>
      <c r="Z83" s="359"/>
      <c r="AA83" s="12"/>
      <c r="AB83" s="12"/>
      <c r="AC83" s="12"/>
    </row>
    <row r="84" ht="15.75" customHeight="1">
      <c r="A84" s="12"/>
      <c r="B84" s="12"/>
      <c r="C84" s="12"/>
      <c r="D84" s="12"/>
      <c r="E84" s="12"/>
      <c r="F84" s="12"/>
      <c r="G84" s="12"/>
      <c r="H84" s="12"/>
      <c r="I84" s="12"/>
      <c r="J84" s="359"/>
      <c r="K84" s="12"/>
      <c r="L84" s="12"/>
      <c r="M84" s="12"/>
      <c r="N84" s="12"/>
      <c r="O84" s="12"/>
      <c r="P84" s="12"/>
      <c r="Q84" s="12"/>
      <c r="R84" s="359"/>
      <c r="S84" s="12"/>
      <c r="T84" s="12"/>
      <c r="U84" s="12"/>
      <c r="V84" s="12"/>
      <c r="W84" s="12"/>
      <c r="X84" s="12"/>
      <c r="Y84" s="12"/>
      <c r="Z84" s="359"/>
      <c r="AA84" s="12"/>
      <c r="AB84" s="12"/>
      <c r="AC84" s="12"/>
    </row>
    <row r="85" ht="15.75" customHeight="1">
      <c r="A85" s="12"/>
      <c r="B85" s="12"/>
      <c r="C85" s="12"/>
      <c r="D85" s="12"/>
      <c r="E85" s="12"/>
      <c r="F85" s="12"/>
      <c r="G85" s="12"/>
      <c r="H85" s="12"/>
      <c r="I85" s="12"/>
      <c r="J85" s="359"/>
      <c r="K85" s="12"/>
      <c r="L85" s="12"/>
      <c r="M85" s="12"/>
      <c r="N85" s="12"/>
      <c r="O85" s="12"/>
      <c r="P85" s="12"/>
      <c r="Q85" s="12"/>
      <c r="R85" s="359"/>
      <c r="S85" s="12"/>
      <c r="T85" s="12"/>
      <c r="U85" s="12"/>
      <c r="V85" s="12"/>
      <c r="W85" s="12"/>
      <c r="X85" s="12"/>
      <c r="Y85" s="12"/>
      <c r="Z85" s="359"/>
      <c r="AA85" s="12"/>
      <c r="AB85" s="12"/>
      <c r="AC85" s="12"/>
    </row>
    <row r="86" ht="15.75" customHeight="1">
      <c r="A86" s="12"/>
      <c r="B86" s="12"/>
      <c r="C86" s="12"/>
      <c r="D86" s="12"/>
      <c r="E86" s="12"/>
      <c r="F86" s="12"/>
      <c r="G86" s="12"/>
      <c r="H86" s="12"/>
      <c r="I86" s="12"/>
      <c r="J86" s="359"/>
      <c r="K86" s="12"/>
      <c r="L86" s="12"/>
      <c r="M86" s="12"/>
      <c r="N86" s="12"/>
      <c r="O86" s="12"/>
      <c r="P86" s="12"/>
      <c r="Q86" s="12"/>
      <c r="R86" s="359"/>
      <c r="S86" s="12"/>
      <c r="T86" s="12"/>
      <c r="U86" s="12"/>
      <c r="V86" s="12"/>
      <c r="W86" s="12"/>
      <c r="X86" s="12"/>
      <c r="Y86" s="12"/>
      <c r="Z86" s="359"/>
      <c r="AA86" s="12"/>
      <c r="AB86" s="12"/>
      <c r="AC86" s="12"/>
    </row>
    <row r="87" ht="15.75" customHeight="1">
      <c r="A87" s="12"/>
      <c r="B87" s="12"/>
      <c r="C87" s="12"/>
      <c r="D87" s="12"/>
      <c r="E87" s="12"/>
      <c r="F87" s="12"/>
      <c r="G87" s="12"/>
      <c r="H87" s="12"/>
      <c r="I87" s="12"/>
      <c r="J87" s="359"/>
      <c r="K87" s="12"/>
      <c r="L87" s="12"/>
      <c r="M87" s="12"/>
      <c r="N87" s="12"/>
      <c r="O87" s="12"/>
      <c r="P87" s="12"/>
      <c r="Q87" s="12"/>
      <c r="R87" s="359"/>
      <c r="S87" s="12"/>
      <c r="T87" s="12"/>
      <c r="U87" s="12"/>
      <c r="V87" s="12"/>
      <c r="W87" s="12"/>
      <c r="X87" s="12"/>
      <c r="Y87" s="12"/>
      <c r="Z87" s="359"/>
      <c r="AA87" s="12"/>
      <c r="AB87" s="12"/>
      <c r="AC87" s="12"/>
    </row>
    <row r="88" ht="15.75" customHeight="1">
      <c r="A88" s="12"/>
      <c r="B88" s="12"/>
      <c r="C88" s="12"/>
      <c r="D88" s="12"/>
      <c r="E88" s="12"/>
      <c r="F88" s="12"/>
      <c r="G88" s="12"/>
      <c r="H88" s="12"/>
      <c r="I88" s="12"/>
      <c r="J88" s="359"/>
      <c r="K88" s="12"/>
      <c r="L88" s="12"/>
      <c r="M88" s="12"/>
      <c r="N88" s="12"/>
      <c r="O88" s="12"/>
      <c r="P88" s="12"/>
      <c r="Q88" s="12"/>
      <c r="R88" s="359"/>
      <c r="S88" s="12"/>
      <c r="T88" s="12"/>
      <c r="U88" s="12"/>
      <c r="V88" s="12"/>
      <c r="W88" s="12"/>
      <c r="X88" s="12"/>
      <c r="Y88" s="12"/>
      <c r="Z88" s="359"/>
      <c r="AA88" s="12"/>
      <c r="AB88" s="12"/>
      <c r="AC88" s="12"/>
    </row>
    <row r="89" ht="15.75" customHeight="1">
      <c r="A89" s="12"/>
      <c r="B89" s="12"/>
      <c r="C89" s="12"/>
      <c r="D89" s="12"/>
      <c r="E89" s="12"/>
      <c r="F89" s="12"/>
      <c r="G89" s="12"/>
      <c r="H89" s="12"/>
      <c r="I89" s="12"/>
      <c r="J89" s="359"/>
      <c r="K89" s="12"/>
      <c r="L89" s="12"/>
      <c r="M89" s="12"/>
      <c r="N89" s="12"/>
      <c r="O89" s="12"/>
      <c r="P89" s="12"/>
      <c r="Q89" s="12"/>
      <c r="R89" s="359"/>
      <c r="S89" s="12"/>
      <c r="T89" s="12"/>
      <c r="U89" s="12"/>
      <c r="V89" s="12"/>
      <c r="W89" s="12"/>
      <c r="X89" s="12"/>
      <c r="Y89" s="12"/>
      <c r="Z89" s="359"/>
      <c r="AA89" s="12"/>
      <c r="AB89" s="12"/>
      <c r="AC89" s="12"/>
    </row>
    <row r="90" ht="15.75" customHeight="1">
      <c r="A90" s="12"/>
      <c r="B90" s="12"/>
      <c r="C90" s="12"/>
      <c r="D90" s="12"/>
      <c r="E90" s="12"/>
      <c r="F90" s="12"/>
      <c r="G90" s="12"/>
      <c r="H90" s="12"/>
      <c r="I90" s="12"/>
      <c r="J90" s="359"/>
      <c r="K90" s="12"/>
      <c r="L90" s="12"/>
      <c r="M90" s="12"/>
      <c r="N90" s="12"/>
      <c r="O90" s="12"/>
      <c r="P90" s="12"/>
      <c r="Q90" s="12"/>
      <c r="R90" s="359"/>
      <c r="S90" s="12"/>
      <c r="T90" s="12"/>
      <c r="U90" s="12"/>
      <c r="V90" s="12"/>
      <c r="W90" s="12"/>
      <c r="X90" s="12"/>
      <c r="Y90" s="12"/>
      <c r="Z90" s="359"/>
      <c r="AA90" s="12"/>
      <c r="AB90" s="12"/>
      <c r="AC90" s="12"/>
    </row>
    <row r="91" ht="15.75" customHeight="1">
      <c r="A91" s="12"/>
      <c r="B91" s="12"/>
      <c r="C91" s="12"/>
      <c r="D91" s="12"/>
      <c r="E91" s="12"/>
      <c r="F91" s="12"/>
      <c r="G91" s="12"/>
      <c r="H91" s="12"/>
      <c r="I91" s="12"/>
      <c r="J91" s="359"/>
      <c r="K91" s="12"/>
      <c r="L91" s="12"/>
      <c r="M91" s="12"/>
      <c r="N91" s="12"/>
      <c r="O91" s="12"/>
      <c r="P91" s="12"/>
      <c r="Q91" s="12"/>
      <c r="R91" s="359"/>
      <c r="S91" s="12"/>
      <c r="T91" s="12"/>
      <c r="U91" s="12"/>
      <c r="V91" s="12"/>
      <c r="W91" s="12"/>
      <c r="X91" s="12"/>
      <c r="Y91" s="12"/>
      <c r="Z91" s="359"/>
      <c r="AA91" s="12"/>
      <c r="AB91" s="12"/>
      <c r="AC91" s="12"/>
    </row>
    <row r="92" ht="15.75" customHeight="1">
      <c r="A92" s="12"/>
      <c r="B92" s="12"/>
      <c r="C92" s="12"/>
      <c r="D92" s="12"/>
      <c r="E92" s="12"/>
      <c r="F92" s="12"/>
      <c r="G92" s="12"/>
      <c r="H92" s="12"/>
      <c r="I92" s="12"/>
      <c r="J92" s="359"/>
      <c r="K92" s="12"/>
      <c r="L92" s="12"/>
      <c r="M92" s="12"/>
      <c r="N92" s="12"/>
      <c r="O92" s="12"/>
      <c r="P92" s="12"/>
      <c r="Q92" s="12"/>
      <c r="R92" s="359"/>
      <c r="S92" s="12"/>
      <c r="T92" s="12"/>
      <c r="U92" s="12"/>
      <c r="V92" s="12"/>
      <c r="W92" s="12"/>
      <c r="X92" s="12"/>
      <c r="Y92" s="12"/>
      <c r="Z92" s="359"/>
      <c r="AA92" s="12"/>
      <c r="AB92" s="12"/>
      <c r="AC92" s="12"/>
    </row>
    <row r="93" ht="15.75" customHeight="1">
      <c r="A93" s="12"/>
      <c r="B93" s="12"/>
      <c r="C93" s="12"/>
      <c r="D93" s="12"/>
      <c r="E93" s="12"/>
      <c r="F93" s="12"/>
      <c r="G93" s="12"/>
      <c r="H93" s="12"/>
      <c r="I93" s="12"/>
      <c r="J93" s="359"/>
      <c r="K93" s="12"/>
      <c r="L93" s="12"/>
      <c r="M93" s="12"/>
      <c r="N93" s="12"/>
      <c r="O93" s="12"/>
      <c r="P93" s="12"/>
      <c r="Q93" s="12"/>
      <c r="R93" s="359"/>
      <c r="S93" s="12"/>
      <c r="T93" s="12"/>
      <c r="U93" s="12"/>
      <c r="V93" s="12"/>
      <c r="W93" s="12"/>
      <c r="X93" s="12"/>
      <c r="Y93" s="12"/>
      <c r="Z93" s="359"/>
      <c r="AA93" s="12"/>
      <c r="AB93" s="12"/>
      <c r="AC93" s="12"/>
    </row>
    <row r="94" ht="15.75" customHeight="1">
      <c r="A94" s="12"/>
      <c r="B94" s="12"/>
      <c r="C94" s="12"/>
      <c r="D94" s="12"/>
      <c r="E94" s="12"/>
      <c r="F94" s="12"/>
      <c r="G94" s="12"/>
      <c r="H94" s="12"/>
      <c r="I94" s="12"/>
      <c r="J94" s="359"/>
      <c r="K94" s="12"/>
      <c r="L94" s="12"/>
      <c r="M94" s="12"/>
      <c r="N94" s="12"/>
      <c r="O94" s="12"/>
      <c r="P94" s="12"/>
      <c r="Q94" s="12"/>
      <c r="R94" s="359"/>
      <c r="S94" s="12"/>
      <c r="T94" s="12"/>
      <c r="U94" s="12"/>
      <c r="V94" s="12"/>
      <c r="W94" s="12"/>
      <c r="X94" s="12"/>
      <c r="Y94" s="12"/>
      <c r="Z94" s="359"/>
      <c r="AA94" s="12"/>
      <c r="AB94" s="12"/>
      <c r="AC94" s="12"/>
    </row>
    <row r="95" ht="15.75" customHeight="1">
      <c r="A95" s="12"/>
      <c r="B95" s="12"/>
      <c r="C95" s="12"/>
      <c r="D95" s="12"/>
      <c r="E95" s="12"/>
      <c r="F95" s="12"/>
      <c r="G95" s="12"/>
      <c r="H95" s="12"/>
      <c r="I95" s="12"/>
      <c r="J95" s="359"/>
      <c r="K95" s="12"/>
      <c r="L95" s="12"/>
      <c r="M95" s="12"/>
      <c r="N95" s="12"/>
      <c r="O95" s="12"/>
      <c r="P95" s="12"/>
      <c r="Q95" s="12"/>
      <c r="R95" s="359"/>
      <c r="S95" s="12"/>
      <c r="T95" s="12"/>
      <c r="U95" s="12"/>
      <c r="V95" s="12"/>
      <c r="W95" s="12"/>
      <c r="X95" s="12"/>
      <c r="Y95" s="12"/>
      <c r="Z95" s="359"/>
      <c r="AA95" s="12"/>
      <c r="AB95" s="12"/>
      <c r="AC95" s="12"/>
    </row>
    <row r="96" ht="15.75" customHeight="1">
      <c r="A96" s="12"/>
      <c r="B96" s="12"/>
      <c r="C96" s="12"/>
      <c r="D96" s="12"/>
      <c r="E96" s="12"/>
      <c r="F96" s="12"/>
      <c r="G96" s="12"/>
      <c r="H96" s="12"/>
      <c r="I96" s="12"/>
      <c r="J96" s="359"/>
      <c r="K96" s="12"/>
      <c r="L96" s="12"/>
      <c r="M96" s="12"/>
      <c r="N96" s="12"/>
      <c r="O96" s="12"/>
      <c r="P96" s="12"/>
      <c r="Q96" s="12"/>
      <c r="R96" s="359"/>
      <c r="S96" s="12"/>
      <c r="T96" s="12"/>
      <c r="U96" s="12"/>
      <c r="V96" s="12"/>
      <c r="W96" s="12"/>
      <c r="X96" s="12"/>
      <c r="Y96" s="12"/>
      <c r="Z96" s="359"/>
      <c r="AA96" s="12"/>
      <c r="AB96" s="12"/>
      <c r="AC96" s="12"/>
    </row>
    <row r="97" ht="15.75" customHeight="1">
      <c r="A97" s="12"/>
      <c r="B97" s="12"/>
      <c r="C97" s="12"/>
      <c r="D97" s="12"/>
      <c r="E97" s="12"/>
      <c r="F97" s="12"/>
      <c r="G97" s="12"/>
      <c r="H97" s="12"/>
      <c r="I97" s="12"/>
      <c r="J97" s="359"/>
      <c r="K97" s="12"/>
      <c r="L97" s="12"/>
      <c r="M97" s="12"/>
      <c r="N97" s="12"/>
      <c r="O97" s="12"/>
      <c r="P97" s="12"/>
      <c r="Q97" s="12"/>
      <c r="R97" s="359"/>
      <c r="S97" s="12"/>
      <c r="T97" s="12"/>
      <c r="U97" s="12"/>
      <c r="V97" s="12"/>
      <c r="W97" s="12"/>
      <c r="X97" s="12"/>
      <c r="Y97" s="12"/>
      <c r="Z97" s="359"/>
      <c r="AA97" s="12"/>
      <c r="AB97" s="12"/>
      <c r="AC97" s="12"/>
    </row>
    <row r="98" ht="15.75" customHeight="1">
      <c r="A98" s="12"/>
      <c r="B98" s="12"/>
      <c r="C98" s="12"/>
      <c r="D98" s="12"/>
      <c r="E98" s="12"/>
      <c r="F98" s="12"/>
      <c r="G98" s="12"/>
      <c r="H98" s="12"/>
      <c r="I98" s="12"/>
      <c r="J98" s="359"/>
      <c r="K98" s="12"/>
      <c r="L98" s="12"/>
      <c r="M98" s="12"/>
      <c r="N98" s="12"/>
      <c r="O98" s="12"/>
      <c r="P98" s="12"/>
      <c r="Q98" s="12"/>
      <c r="R98" s="359"/>
      <c r="S98" s="12"/>
      <c r="T98" s="12"/>
      <c r="U98" s="12"/>
      <c r="V98" s="12"/>
      <c r="W98" s="12"/>
      <c r="X98" s="12"/>
      <c r="Y98" s="12"/>
      <c r="Z98" s="359"/>
      <c r="AA98" s="12"/>
      <c r="AB98" s="12"/>
      <c r="AC98" s="12"/>
    </row>
    <row r="99" ht="15.75" customHeight="1">
      <c r="A99" s="12"/>
      <c r="B99" s="12"/>
      <c r="C99" s="12"/>
      <c r="D99" s="12"/>
      <c r="E99" s="12"/>
      <c r="F99" s="12"/>
      <c r="G99" s="12"/>
      <c r="H99" s="12"/>
      <c r="I99" s="12"/>
      <c r="J99" s="359"/>
      <c r="K99" s="12"/>
      <c r="L99" s="12"/>
      <c r="M99" s="12"/>
      <c r="N99" s="12"/>
      <c r="O99" s="12"/>
      <c r="P99" s="12"/>
      <c r="Q99" s="12"/>
      <c r="R99" s="359"/>
      <c r="S99" s="12"/>
      <c r="T99" s="12"/>
      <c r="U99" s="12"/>
      <c r="V99" s="12"/>
      <c r="W99" s="12"/>
      <c r="X99" s="12"/>
      <c r="Y99" s="12"/>
      <c r="Z99" s="359"/>
      <c r="AA99" s="12"/>
      <c r="AB99" s="12"/>
      <c r="AC99" s="12"/>
    </row>
    <row r="100" ht="15.75" customHeight="1">
      <c r="A100" s="12"/>
      <c r="B100" s="12"/>
      <c r="C100" s="12"/>
      <c r="D100" s="12"/>
      <c r="E100" s="12"/>
      <c r="F100" s="12"/>
      <c r="G100" s="12"/>
      <c r="H100" s="12"/>
      <c r="I100" s="12"/>
      <c r="J100" s="359"/>
      <c r="K100" s="12"/>
      <c r="L100" s="12"/>
      <c r="M100" s="12"/>
      <c r="N100" s="12"/>
      <c r="O100" s="12"/>
      <c r="P100" s="12"/>
      <c r="Q100" s="12"/>
      <c r="R100" s="359"/>
      <c r="S100" s="12"/>
      <c r="T100" s="12"/>
      <c r="U100" s="12"/>
      <c r="V100" s="12"/>
      <c r="W100" s="12"/>
      <c r="X100" s="12"/>
      <c r="Y100" s="12"/>
      <c r="Z100" s="359"/>
      <c r="AA100" s="12"/>
      <c r="AB100" s="12"/>
      <c r="AC100" s="12"/>
    </row>
    <row r="101" ht="15.75" customHeight="1">
      <c r="A101" s="12"/>
      <c r="B101" s="12"/>
      <c r="C101" s="12"/>
      <c r="D101" s="12"/>
      <c r="E101" s="12"/>
      <c r="F101" s="12"/>
      <c r="G101" s="12"/>
      <c r="H101" s="12"/>
      <c r="I101" s="12"/>
      <c r="J101" s="359"/>
      <c r="K101" s="12"/>
      <c r="L101" s="12"/>
      <c r="M101" s="12"/>
      <c r="N101" s="12"/>
      <c r="O101" s="12"/>
      <c r="P101" s="12"/>
      <c r="Q101" s="12"/>
      <c r="R101" s="359"/>
      <c r="S101" s="12"/>
      <c r="T101" s="12"/>
      <c r="U101" s="12"/>
      <c r="V101" s="12"/>
      <c r="W101" s="12"/>
      <c r="X101" s="12"/>
      <c r="Y101" s="12"/>
      <c r="Z101" s="359"/>
      <c r="AA101" s="12"/>
      <c r="AB101" s="12"/>
      <c r="AC101" s="12"/>
    </row>
    <row r="102" ht="15.75" customHeight="1">
      <c r="A102" s="12"/>
      <c r="B102" s="12"/>
      <c r="C102" s="12"/>
      <c r="D102" s="12"/>
      <c r="E102" s="12"/>
      <c r="F102" s="12"/>
      <c r="G102" s="12"/>
      <c r="H102" s="12"/>
      <c r="I102" s="12"/>
      <c r="J102" s="359"/>
      <c r="K102" s="12"/>
      <c r="L102" s="12"/>
      <c r="M102" s="12"/>
      <c r="N102" s="12"/>
      <c r="O102" s="12"/>
      <c r="P102" s="12"/>
      <c r="Q102" s="12"/>
      <c r="R102" s="359"/>
      <c r="S102" s="12"/>
      <c r="T102" s="12"/>
      <c r="U102" s="12"/>
      <c r="V102" s="12"/>
      <c r="W102" s="12"/>
      <c r="X102" s="12"/>
      <c r="Y102" s="12"/>
      <c r="Z102" s="359"/>
      <c r="AA102" s="12"/>
      <c r="AB102" s="12"/>
      <c r="AC102" s="12"/>
    </row>
    <row r="103" ht="15.75" customHeight="1">
      <c r="A103" s="12"/>
      <c r="B103" s="12"/>
      <c r="C103" s="12"/>
      <c r="D103" s="12"/>
      <c r="E103" s="12"/>
      <c r="F103" s="12"/>
      <c r="G103" s="12"/>
      <c r="H103" s="12"/>
      <c r="I103" s="12"/>
      <c r="J103" s="359"/>
      <c r="K103" s="12"/>
      <c r="L103" s="12"/>
      <c r="M103" s="12"/>
      <c r="N103" s="12"/>
      <c r="O103" s="12"/>
      <c r="P103" s="12"/>
      <c r="Q103" s="12"/>
      <c r="R103" s="359"/>
      <c r="S103" s="12"/>
      <c r="T103" s="12"/>
      <c r="U103" s="12"/>
      <c r="V103" s="12"/>
      <c r="W103" s="12"/>
      <c r="X103" s="12"/>
      <c r="Y103" s="12"/>
      <c r="Z103" s="359"/>
      <c r="AA103" s="12"/>
      <c r="AB103" s="12"/>
      <c r="AC103" s="12"/>
    </row>
    <row r="104" ht="15.75" customHeight="1">
      <c r="A104" s="12"/>
      <c r="B104" s="12"/>
      <c r="C104" s="12"/>
      <c r="D104" s="12"/>
      <c r="E104" s="12"/>
      <c r="F104" s="12"/>
      <c r="G104" s="12"/>
      <c r="H104" s="12"/>
      <c r="I104" s="12"/>
      <c r="J104" s="359"/>
      <c r="K104" s="12"/>
      <c r="L104" s="12"/>
      <c r="M104" s="12"/>
      <c r="N104" s="12"/>
      <c r="O104" s="12"/>
      <c r="P104" s="12"/>
      <c r="Q104" s="12"/>
      <c r="R104" s="359"/>
      <c r="S104" s="12"/>
      <c r="T104" s="12"/>
      <c r="U104" s="12"/>
      <c r="V104" s="12"/>
      <c r="W104" s="12"/>
      <c r="X104" s="12"/>
      <c r="Y104" s="12"/>
      <c r="Z104" s="359"/>
      <c r="AA104" s="12"/>
      <c r="AB104" s="12"/>
      <c r="AC104" s="12"/>
    </row>
    <row r="105" ht="15.75" customHeight="1">
      <c r="A105" s="12"/>
      <c r="B105" s="12"/>
      <c r="C105" s="12"/>
      <c r="D105" s="12"/>
      <c r="E105" s="12"/>
      <c r="F105" s="12"/>
      <c r="G105" s="12"/>
      <c r="H105" s="12"/>
      <c r="I105" s="12"/>
      <c r="J105" s="359"/>
      <c r="K105" s="12"/>
      <c r="L105" s="12"/>
      <c r="M105" s="12"/>
      <c r="N105" s="12"/>
      <c r="O105" s="12"/>
      <c r="P105" s="12"/>
      <c r="Q105" s="12"/>
      <c r="R105" s="359"/>
      <c r="S105" s="12"/>
      <c r="T105" s="12"/>
      <c r="U105" s="12"/>
      <c r="V105" s="12"/>
      <c r="W105" s="12"/>
      <c r="X105" s="12"/>
      <c r="Y105" s="12"/>
      <c r="Z105" s="359"/>
      <c r="AA105" s="12"/>
      <c r="AB105" s="12"/>
      <c r="AC105" s="12"/>
    </row>
    <row r="106" ht="15.75" customHeight="1">
      <c r="A106" s="12"/>
      <c r="B106" s="12"/>
      <c r="C106" s="12"/>
      <c r="D106" s="12"/>
      <c r="E106" s="12"/>
      <c r="F106" s="12"/>
      <c r="G106" s="12"/>
      <c r="H106" s="12"/>
      <c r="I106" s="12"/>
      <c r="J106" s="359"/>
      <c r="K106" s="12"/>
      <c r="L106" s="12"/>
      <c r="M106" s="12"/>
      <c r="N106" s="12"/>
      <c r="O106" s="12"/>
      <c r="P106" s="12"/>
      <c r="Q106" s="12"/>
      <c r="R106" s="359"/>
      <c r="S106" s="12"/>
      <c r="T106" s="12"/>
      <c r="U106" s="12"/>
      <c r="V106" s="12"/>
      <c r="W106" s="12"/>
      <c r="X106" s="12"/>
      <c r="Y106" s="12"/>
      <c r="Z106" s="359"/>
      <c r="AA106" s="12"/>
      <c r="AB106" s="12"/>
      <c r="AC106" s="12"/>
    </row>
    <row r="107" ht="15.75" customHeight="1">
      <c r="A107" s="12"/>
      <c r="B107" s="12"/>
      <c r="C107" s="12"/>
      <c r="D107" s="12"/>
      <c r="E107" s="12"/>
      <c r="F107" s="12"/>
      <c r="G107" s="12"/>
      <c r="H107" s="12"/>
      <c r="I107" s="12"/>
      <c r="J107" s="359"/>
      <c r="K107" s="12"/>
      <c r="L107" s="12"/>
      <c r="M107" s="12"/>
      <c r="N107" s="12"/>
      <c r="O107" s="12"/>
      <c r="P107" s="12"/>
      <c r="Q107" s="12"/>
      <c r="R107" s="359"/>
      <c r="S107" s="12"/>
      <c r="T107" s="12"/>
      <c r="U107" s="12"/>
      <c r="V107" s="12"/>
      <c r="W107" s="12"/>
      <c r="X107" s="12"/>
      <c r="Y107" s="12"/>
      <c r="Z107" s="359"/>
      <c r="AA107" s="12"/>
      <c r="AB107" s="12"/>
      <c r="AC107" s="12"/>
    </row>
    <row r="108" ht="15.75" customHeight="1">
      <c r="A108" s="12"/>
      <c r="B108" s="12"/>
      <c r="C108" s="12"/>
      <c r="D108" s="12"/>
      <c r="E108" s="12"/>
      <c r="F108" s="12"/>
      <c r="G108" s="12"/>
      <c r="H108" s="12"/>
      <c r="I108" s="12"/>
      <c r="J108" s="359"/>
      <c r="K108" s="12"/>
      <c r="L108" s="12"/>
      <c r="M108" s="12"/>
      <c r="N108" s="12"/>
      <c r="O108" s="12"/>
      <c r="P108" s="12"/>
      <c r="Q108" s="12"/>
      <c r="R108" s="359"/>
      <c r="S108" s="12"/>
      <c r="T108" s="12"/>
      <c r="U108" s="12"/>
      <c r="V108" s="12"/>
      <c r="W108" s="12"/>
      <c r="X108" s="12"/>
      <c r="Y108" s="12"/>
      <c r="Z108" s="359"/>
      <c r="AA108" s="12"/>
      <c r="AB108" s="12"/>
      <c r="AC108" s="12"/>
    </row>
    <row r="109" ht="15.75" customHeight="1">
      <c r="A109" s="12"/>
      <c r="B109" s="12"/>
      <c r="C109" s="12"/>
      <c r="D109" s="12"/>
      <c r="E109" s="12"/>
      <c r="F109" s="12"/>
      <c r="G109" s="12"/>
      <c r="H109" s="12"/>
      <c r="I109" s="12"/>
      <c r="J109" s="359"/>
      <c r="K109" s="12"/>
      <c r="L109" s="12"/>
      <c r="M109" s="12"/>
      <c r="N109" s="12"/>
      <c r="O109" s="12"/>
      <c r="P109" s="12"/>
      <c r="Q109" s="12"/>
      <c r="R109" s="359"/>
      <c r="S109" s="12"/>
      <c r="T109" s="12"/>
      <c r="U109" s="12"/>
      <c r="V109" s="12"/>
      <c r="W109" s="12"/>
      <c r="X109" s="12"/>
      <c r="Y109" s="12"/>
      <c r="Z109" s="359"/>
      <c r="AA109" s="12"/>
      <c r="AB109" s="12"/>
      <c r="AC109" s="12"/>
    </row>
    <row r="110" ht="15.75" customHeight="1">
      <c r="A110" s="12"/>
      <c r="B110" s="12"/>
      <c r="C110" s="12"/>
      <c r="D110" s="12"/>
      <c r="E110" s="12"/>
      <c r="F110" s="12"/>
      <c r="G110" s="12"/>
      <c r="H110" s="12"/>
      <c r="I110" s="12"/>
      <c r="J110" s="359"/>
      <c r="K110" s="12"/>
      <c r="L110" s="12"/>
      <c r="M110" s="12"/>
      <c r="N110" s="12"/>
      <c r="O110" s="12"/>
      <c r="P110" s="12"/>
      <c r="Q110" s="12"/>
      <c r="R110" s="359"/>
      <c r="S110" s="12"/>
      <c r="T110" s="12"/>
      <c r="U110" s="12"/>
      <c r="V110" s="12"/>
      <c r="W110" s="12"/>
      <c r="X110" s="12"/>
      <c r="Y110" s="12"/>
      <c r="Z110" s="359"/>
      <c r="AA110" s="12"/>
      <c r="AB110" s="12"/>
      <c r="AC110" s="12"/>
    </row>
    <row r="111" ht="15.75" customHeight="1">
      <c r="A111" s="12"/>
      <c r="B111" s="12"/>
      <c r="C111" s="12"/>
      <c r="D111" s="12"/>
      <c r="E111" s="12"/>
      <c r="F111" s="12"/>
      <c r="G111" s="12"/>
      <c r="H111" s="12"/>
      <c r="I111" s="12"/>
      <c r="J111" s="359"/>
      <c r="K111" s="12"/>
      <c r="L111" s="12"/>
      <c r="M111" s="12"/>
      <c r="N111" s="12"/>
      <c r="O111" s="12"/>
      <c r="P111" s="12"/>
      <c r="Q111" s="12"/>
      <c r="R111" s="359"/>
      <c r="S111" s="12"/>
      <c r="T111" s="12"/>
      <c r="U111" s="12"/>
      <c r="V111" s="12"/>
      <c r="W111" s="12"/>
      <c r="X111" s="12"/>
      <c r="Y111" s="12"/>
      <c r="Z111" s="359"/>
      <c r="AA111" s="12"/>
      <c r="AB111" s="12"/>
      <c r="AC111" s="12"/>
    </row>
    <row r="112" ht="15.75" customHeight="1">
      <c r="A112" s="12"/>
      <c r="B112" s="12"/>
      <c r="C112" s="12"/>
      <c r="D112" s="12"/>
      <c r="E112" s="12"/>
      <c r="F112" s="12"/>
      <c r="G112" s="12"/>
      <c r="H112" s="12"/>
      <c r="I112" s="12"/>
      <c r="J112" s="359"/>
      <c r="K112" s="12"/>
      <c r="L112" s="12"/>
      <c r="M112" s="12"/>
      <c r="N112" s="12"/>
      <c r="O112" s="12"/>
      <c r="P112" s="12"/>
      <c r="Q112" s="12"/>
      <c r="R112" s="359"/>
      <c r="S112" s="12"/>
      <c r="T112" s="12"/>
      <c r="U112" s="12"/>
      <c r="V112" s="12"/>
      <c r="W112" s="12"/>
      <c r="X112" s="12"/>
      <c r="Y112" s="12"/>
      <c r="Z112" s="359"/>
      <c r="AA112" s="12"/>
      <c r="AB112" s="12"/>
      <c r="AC112" s="12"/>
    </row>
    <row r="113" ht="15.75" customHeight="1">
      <c r="A113" s="12"/>
      <c r="B113" s="12"/>
      <c r="C113" s="12"/>
      <c r="D113" s="12"/>
      <c r="E113" s="12"/>
      <c r="F113" s="12"/>
      <c r="G113" s="12"/>
      <c r="H113" s="12"/>
      <c r="I113" s="12"/>
      <c r="J113" s="359"/>
      <c r="K113" s="12"/>
      <c r="L113" s="12"/>
      <c r="M113" s="12"/>
      <c r="N113" s="12"/>
      <c r="O113" s="12"/>
      <c r="P113" s="12"/>
      <c r="Q113" s="12"/>
      <c r="R113" s="359"/>
      <c r="S113" s="12"/>
      <c r="T113" s="12"/>
      <c r="U113" s="12"/>
      <c r="V113" s="12"/>
      <c r="W113" s="12"/>
      <c r="X113" s="12"/>
      <c r="Y113" s="12"/>
      <c r="Z113" s="359"/>
      <c r="AA113" s="12"/>
      <c r="AB113" s="12"/>
      <c r="AC113" s="12"/>
    </row>
    <row r="114" ht="15.75" customHeight="1">
      <c r="A114" s="12"/>
      <c r="B114" s="12"/>
      <c r="C114" s="12"/>
      <c r="D114" s="12"/>
      <c r="E114" s="12"/>
      <c r="F114" s="12"/>
      <c r="G114" s="12"/>
      <c r="H114" s="12"/>
      <c r="I114" s="12"/>
      <c r="J114" s="359"/>
      <c r="K114" s="12"/>
      <c r="L114" s="12"/>
      <c r="M114" s="12"/>
      <c r="N114" s="12"/>
      <c r="O114" s="12"/>
      <c r="P114" s="12"/>
      <c r="Q114" s="12"/>
      <c r="R114" s="359"/>
      <c r="S114" s="12"/>
      <c r="T114" s="12"/>
      <c r="U114" s="12"/>
      <c r="V114" s="12"/>
      <c r="W114" s="12"/>
      <c r="X114" s="12"/>
      <c r="Y114" s="12"/>
      <c r="Z114" s="359"/>
      <c r="AA114" s="12"/>
      <c r="AB114" s="12"/>
      <c r="AC114" s="12"/>
    </row>
    <row r="115" ht="15.75" customHeight="1">
      <c r="A115" s="12"/>
      <c r="B115" s="12"/>
      <c r="C115" s="12"/>
      <c r="D115" s="12"/>
      <c r="E115" s="12"/>
      <c r="F115" s="12"/>
      <c r="G115" s="12"/>
      <c r="H115" s="12"/>
      <c r="I115" s="12"/>
      <c r="J115" s="359"/>
      <c r="K115" s="12"/>
      <c r="L115" s="12"/>
      <c r="M115" s="12"/>
      <c r="N115" s="12"/>
      <c r="O115" s="12"/>
      <c r="P115" s="12"/>
      <c r="Q115" s="12"/>
      <c r="R115" s="359"/>
      <c r="S115" s="12"/>
      <c r="T115" s="12"/>
      <c r="U115" s="12"/>
      <c r="V115" s="12"/>
      <c r="W115" s="12"/>
      <c r="X115" s="12"/>
      <c r="Y115" s="12"/>
      <c r="Z115" s="359"/>
      <c r="AA115" s="12"/>
      <c r="AB115" s="12"/>
      <c r="AC115" s="12"/>
    </row>
    <row r="116" ht="15.75" customHeight="1">
      <c r="A116" s="12"/>
      <c r="B116" s="12"/>
      <c r="C116" s="12"/>
      <c r="D116" s="12"/>
      <c r="E116" s="12"/>
      <c r="F116" s="12"/>
      <c r="G116" s="12"/>
      <c r="H116" s="12"/>
      <c r="I116" s="12"/>
      <c r="J116" s="359"/>
      <c r="K116" s="12"/>
      <c r="L116" s="12"/>
      <c r="M116" s="12"/>
      <c r="N116" s="12"/>
      <c r="O116" s="12"/>
      <c r="P116" s="12"/>
      <c r="Q116" s="12"/>
      <c r="R116" s="359"/>
      <c r="S116" s="12"/>
      <c r="T116" s="12"/>
      <c r="U116" s="12"/>
      <c r="V116" s="12"/>
      <c r="W116" s="12"/>
      <c r="X116" s="12"/>
      <c r="Y116" s="12"/>
      <c r="Z116" s="359"/>
      <c r="AA116" s="12"/>
      <c r="AB116" s="12"/>
      <c r="AC116" s="12"/>
    </row>
    <row r="117" ht="15.75" customHeight="1">
      <c r="A117" s="12"/>
      <c r="B117" s="12"/>
      <c r="C117" s="12"/>
      <c r="D117" s="12"/>
      <c r="E117" s="12"/>
      <c r="F117" s="12"/>
      <c r="G117" s="12"/>
      <c r="H117" s="12"/>
      <c r="I117" s="12"/>
      <c r="J117" s="359"/>
      <c r="K117" s="12"/>
      <c r="L117" s="12"/>
      <c r="M117" s="12"/>
      <c r="N117" s="12"/>
      <c r="O117" s="12"/>
      <c r="P117" s="12"/>
      <c r="Q117" s="12"/>
      <c r="R117" s="359"/>
      <c r="S117" s="12"/>
      <c r="T117" s="12"/>
      <c r="U117" s="12"/>
      <c r="V117" s="12"/>
      <c r="W117" s="12"/>
      <c r="X117" s="12"/>
      <c r="Y117" s="12"/>
      <c r="Z117" s="359"/>
      <c r="AA117" s="12"/>
      <c r="AB117" s="12"/>
      <c r="AC117" s="12"/>
    </row>
    <row r="118" ht="15.75" customHeight="1">
      <c r="A118" s="12"/>
      <c r="B118" s="12"/>
      <c r="C118" s="12"/>
      <c r="D118" s="12"/>
      <c r="E118" s="12"/>
      <c r="F118" s="12"/>
      <c r="G118" s="12"/>
      <c r="H118" s="12"/>
      <c r="I118" s="12"/>
      <c r="J118" s="359"/>
      <c r="K118" s="12"/>
      <c r="L118" s="12"/>
      <c r="M118" s="12"/>
      <c r="N118" s="12"/>
      <c r="O118" s="12"/>
      <c r="P118" s="12"/>
      <c r="Q118" s="12"/>
      <c r="R118" s="359"/>
      <c r="S118" s="12"/>
      <c r="T118" s="12"/>
      <c r="U118" s="12"/>
      <c r="V118" s="12"/>
      <c r="W118" s="12"/>
      <c r="X118" s="12"/>
      <c r="Y118" s="12"/>
      <c r="Z118" s="359"/>
      <c r="AA118" s="12"/>
      <c r="AB118" s="12"/>
      <c r="AC118" s="12"/>
    </row>
    <row r="119" ht="15.75" customHeight="1">
      <c r="A119" s="12"/>
      <c r="B119" s="12"/>
      <c r="C119" s="12"/>
      <c r="D119" s="12"/>
      <c r="E119" s="12"/>
      <c r="F119" s="12"/>
      <c r="G119" s="12"/>
      <c r="H119" s="12"/>
      <c r="I119" s="12"/>
      <c r="J119" s="359"/>
      <c r="K119" s="12"/>
      <c r="L119" s="12"/>
      <c r="M119" s="12"/>
      <c r="N119" s="12"/>
      <c r="O119" s="12"/>
      <c r="P119" s="12"/>
      <c r="Q119" s="12"/>
      <c r="R119" s="359"/>
      <c r="S119" s="12"/>
      <c r="T119" s="12"/>
      <c r="U119" s="12"/>
      <c r="V119" s="12"/>
      <c r="W119" s="12"/>
      <c r="X119" s="12"/>
      <c r="Y119" s="12"/>
      <c r="Z119" s="359"/>
      <c r="AA119" s="12"/>
      <c r="AB119" s="12"/>
      <c r="AC119" s="12"/>
    </row>
    <row r="120" ht="15.75" customHeight="1">
      <c r="A120" s="12"/>
      <c r="B120" s="12"/>
      <c r="C120" s="12"/>
      <c r="D120" s="12"/>
      <c r="E120" s="12"/>
      <c r="F120" s="12"/>
      <c r="G120" s="12"/>
      <c r="H120" s="12"/>
      <c r="I120" s="12"/>
      <c r="J120" s="359"/>
      <c r="K120" s="12"/>
      <c r="L120" s="12"/>
      <c r="M120" s="12"/>
      <c r="N120" s="12"/>
      <c r="O120" s="12"/>
      <c r="P120" s="12"/>
      <c r="Q120" s="12"/>
      <c r="R120" s="359"/>
      <c r="S120" s="12"/>
      <c r="T120" s="12"/>
      <c r="U120" s="12"/>
      <c r="V120" s="12"/>
      <c r="W120" s="12"/>
      <c r="X120" s="12"/>
      <c r="Y120" s="12"/>
      <c r="Z120" s="359"/>
      <c r="AA120" s="12"/>
      <c r="AB120" s="12"/>
      <c r="AC120" s="12"/>
    </row>
    <row r="121" ht="15.75" customHeight="1">
      <c r="A121" s="12"/>
      <c r="B121" s="12"/>
      <c r="C121" s="12"/>
      <c r="D121" s="12"/>
      <c r="E121" s="12"/>
      <c r="F121" s="12"/>
      <c r="G121" s="12"/>
      <c r="H121" s="12"/>
      <c r="I121" s="12"/>
      <c r="J121" s="359"/>
      <c r="K121" s="12"/>
      <c r="L121" s="12"/>
      <c r="M121" s="12"/>
      <c r="N121" s="12"/>
      <c r="O121" s="12"/>
      <c r="P121" s="12"/>
      <c r="Q121" s="12"/>
      <c r="R121" s="359"/>
      <c r="S121" s="12"/>
      <c r="T121" s="12"/>
      <c r="U121" s="12"/>
      <c r="V121" s="12"/>
      <c r="W121" s="12"/>
      <c r="X121" s="12"/>
      <c r="Y121" s="12"/>
      <c r="Z121" s="359"/>
      <c r="AA121" s="12"/>
      <c r="AB121" s="12"/>
      <c r="AC121" s="12"/>
    </row>
    <row r="122" ht="15.75" customHeight="1">
      <c r="A122" s="12"/>
      <c r="B122" s="12"/>
      <c r="C122" s="12"/>
      <c r="D122" s="12"/>
      <c r="E122" s="12"/>
      <c r="F122" s="12"/>
      <c r="G122" s="12"/>
      <c r="H122" s="12"/>
      <c r="I122" s="12"/>
      <c r="J122" s="359"/>
      <c r="K122" s="12"/>
      <c r="L122" s="12"/>
      <c r="M122" s="12"/>
      <c r="N122" s="12"/>
      <c r="O122" s="12"/>
      <c r="P122" s="12"/>
      <c r="Q122" s="12"/>
      <c r="R122" s="359"/>
      <c r="S122" s="12"/>
      <c r="T122" s="12"/>
      <c r="U122" s="12"/>
      <c r="V122" s="12"/>
      <c r="W122" s="12"/>
      <c r="X122" s="12"/>
      <c r="Y122" s="12"/>
      <c r="Z122" s="359"/>
      <c r="AA122" s="12"/>
      <c r="AB122" s="12"/>
      <c r="AC122" s="12"/>
    </row>
    <row r="123" ht="15.75" customHeight="1">
      <c r="A123" s="12"/>
      <c r="B123" s="12"/>
      <c r="C123" s="12"/>
      <c r="D123" s="12"/>
      <c r="E123" s="12"/>
      <c r="F123" s="12"/>
      <c r="G123" s="12"/>
      <c r="H123" s="12"/>
      <c r="I123" s="12"/>
      <c r="J123" s="359"/>
      <c r="K123" s="12"/>
      <c r="L123" s="12"/>
      <c r="M123" s="12"/>
      <c r="N123" s="12"/>
      <c r="O123" s="12"/>
      <c r="P123" s="12"/>
      <c r="Q123" s="12"/>
      <c r="R123" s="359"/>
      <c r="S123" s="12"/>
      <c r="T123" s="12"/>
      <c r="U123" s="12"/>
      <c r="V123" s="12"/>
      <c r="W123" s="12"/>
      <c r="X123" s="12"/>
      <c r="Y123" s="12"/>
      <c r="Z123" s="359"/>
      <c r="AA123" s="12"/>
      <c r="AB123" s="12"/>
      <c r="AC123" s="12"/>
    </row>
    <row r="124" ht="15.75" customHeight="1">
      <c r="A124" s="12"/>
      <c r="B124" s="12"/>
      <c r="C124" s="12"/>
      <c r="D124" s="12"/>
      <c r="E124" s="12"/>
      <c r="F124" s="12"/>
      <c r="G124" s="12"/>
      <c r="H124" s="12"/>
      <c r="I124" s="12"/>
      <c r="J124" s="359"/>
      <c r="K124" s="12"/>
      <c r="L124" s="12"/>
      <c r="M124" s="12"/>
      <c r="N124" s="12"/>
      <c r="O124" s="12"/>
      <c r="P124" s="12"/>
      <c r="Q124" s="12"/>
      <c r="R124" s="359"/>
      <c r="S124" s="12"/>
      <c r="T124" s="12"/>
      <c r="U124" s="12"/>
      <c r="V124" s="12"/>
      <c r="W124" s="12"/>
      <c r="X124" s="12"/>
      <c r="Y124" s="12"/>
      <c r="Z124" s="359"/>
      <c r="AA124" s="12"/>
      <c r="AB124" s="12"/>
      <c r="AC124" s="12"/>
    </row>
    <row r="125" ht="15.75" customHeight="1">
      <c r="A125" s="12"/>
      <c r="B125" s="12"/>
      <c r="C125" s="12"/>
      <c r="D125" s="12"/>
      <c r="E125" s="12"/>
      <c r="F125" s="12"/>
      <c r="G125" s="12"/>
      <c r="H125" s="12"/>
      <c r="I125" s="12"/>
      <c r="J125" s="359"/>
      <c r="K125" s="12"/>
      <c r="L125" s="12"/>
      <c r="M125" s="12"/>
      <c r="N125" s="12"/>
      <c r="O125" s="12"/>
      <c r="P125" s="12"/>
      <c r="Q125" s="12"/>
      <c r="R125" s="359"/>
      <c r="S125" s="12"/>
      <c r="T125" s="12"/>
      <c r="U125" s="12"/>
      <c r="V125" s="12"/>
      <c r="W125" s="12"/>
      <c r="X125" s="12"/>
      <c r="Y125" s="12"/>
      <c r="Z125" s="359"/>
      <c r="AA125" s="12"/>
      <c r="AB125" s="12"/>
      <c r="AC125" s="12"/>
    </row>
    <row r="126" ht="15.75" customHeight="1">
      <c r="A126" s="12"/>
      <c r="B126" s="12"/>
      <c r="C126" s="12"/>
      <c r="D126" s="12"/>
      <c r="E126" s="12"/>
      <c r="F126" s="12"/>
      <c r="G126" s="12"/>
      <c r="H126" s="12"/>
      <c r="I126" s="12"/>
      <c r="J126" s="359"/>
      <c r="K126" s="12"/>
      <c r="L126" s="12"/>
      <c r="M126" s="12"/>
      <c r="N126" s="12"/>
      <c r="O126" s="12"/>
      <c r="P126" s="12"/>
      <c r="Q126" s="12"/>
      <c r="R126" s="359"/>
      <c r="S126" s="12"/>
      <c r="T126" s="12"/>
      <c r="U126" s="12"/>
      <c r="V126" s="12"/>
      <c r="W126" s="12"/>
      <c r="X126" s="12"/>
      <c r="Y126" s="12"/>
      <c r="Z126" s="359"/>
      <c r="AA126" s="12"/>
      <c r="AB126" s="12"/>
      <c r="AC126" s="12"/>
    </row>
    <row r="127" ht="15.75" customHeight="1">
      <c r="A127" s="12"/>
      <c r="B127" s="12"/>
      <c r="C127" s="12"/>
      <c r="D127" s="12"/>
      <c r="E127" s="12"/>
      <c r="F127" s="12"/>
      <c r="G127" s="12"/>
      <c r="H127" s="12"/>
      <c r="I127" s="12"/>
      <c r="J127" s="359"/>
      <c r="K127" s="12"/>
      <c r="L127" s="12"/>
      <c r="M127" s="12"/>
      <c r="N127" s="12"/>
      <c r="O127" s="12"/>
      <c r="P127" s="12"/>
      <c r="Q127" s="12"/>
      <c r="R127" s="359"/>
      <c r="S127" s="12"/>
      <c r="T127" s="12"/>
      <c r="U127" s="12"/>
      <c r="V127" s="12"/>
      <c r="W127" s="12"/>
      <c r="X127" s="12"/>
      <c r="Y127" s="12"/>
      <c r="Z127" s="359"/>
      <c r="AA127" s="12"/>
      <c r="AB127" s="12"/>
      <c r="AC127" s="12"/>
    </row>
    <row r="128" ht="15.75" customHeight="1">
      <c r="A128" s="12"/>
      <c r="B128" s="12"/>
      <c r="C128" s="12"/>
      <c r="D128" s="12"/>
      <c r="E128" s="12"/>
      <c r="F128" s="12"/>
      <c r="G128" s="12"/>
      <c r="H128" s="12"/>
      <c r="I128" s="12"/>
      <c r="J128" s="359"/>
      <c r="K128" s="12"/>
      <c r="L128" s="12"/>
      <c r="M128" s="12"/>
      <c r="N128" s="12"/>
      <c r="O128" s="12"/>
      <c r="P128" s="12"/>
      <c r="Q128" s="12"/>
      <c r="R128" s="359"/>
      <c r="S128" s="12"/>
      <c r="T128" s="12"/>
      <c r="U128" s="12"/>
      <c r="V128" s="12"/>
      <c r="W128" s="12"/>
      <c r="X128" s="12"/>
      <c r="Y128" s="12"/>
      <c r="Z128" s="359"/>
      <c r="AA128" s="12"/>
      <c r="AB128" s="12"/>
      <c r="AC128" s="12"/>
    </row>
    <row r="129" ht="15.75" customHeight="1">
      <c r="A129" s="12"/>
      <c r="B129" s="12"/>
      <c r="C129" s="12"/>
      <c r="D129" s="12"/>
      <c r="E129" s="12"/>
      <c r="F129" s="12"/>
      <c r="G129" s="12"/>
      <c r="H129" s="12"/>
      <c r="I129" s="12"/>
      <c r="J129" s="359"/>
      <c r="K129" s="12"/>
      <c r="L129" s="12"/>
      <c r="M129" s="12"/>
      <c r="N129" s="12"/>
      <c r="O129" s="12"/>
      <c r="P129" s="12"/>
      <c r="Q129" s="12"/>
      <c r="R129" s="359"/>
      <c r="S129" s="12"/>
      <c r="T129" s="12"/>
      <c r="U129" s="12"/>
      <c r="V129" s="12"/>
      <c r="W129" s="12"/>
      <c r="X129" s="12"/>
      <c r="Y129" s="12"/>
      <c r="Z129" s="359"/>
      <c r="AA129" s="12"/>
      <c r="AB129" s="12"/>
      <c r="AC129" s="12"/>
    </row>
    <row r="130" ht="15.75" customHeight="1">
      <c r="A130" s="12"/>
      <c r="B130" s="12"/>
      <c r="C130" s="12"/>
      <c r="D130" s="12"/>
      <c r="E130" s="12"/>
      <c r="F130" s="12"/>
      <c r="G130" s="12"/>
      <c r="H130" s="12"/>
      <c r="I130" s="12"/>
      <c r="J130" s="359"/>
      <c r="K130" s="12"/>
      <c r="L130" s="12"/>
      <c r="M130" s="12"/>
      <c r="N130" s="12"/>
      <c r="O130" s="12"/>
      <c r="P130" s="12"/>
      <c r="Q130" s="12"/>
      <c r="R130" s="359"/>
      <c r="S130" s="12"/>
      <c r="T130" s="12"/>
      <c r="U130" s="12"/>
      <c r="V130" s="12"/>
      <c r="W130" s="12"/>
      <c r="X130" s="12"/>
      <c r="Y130" s="12"/>
      <c r="Z130" s="359"/>
      <c r="AA130" s="12"/>
      <c r="AB130" s="12"/>
      <c r="AC130" s="12"/>
    </row>
    <row r="131" ht="15.75" customHeight="1">
      <c r="A131" s="12"/>
      <c r="B131" s="12"/>
      <c r="C131" s="12"/>
      <c r="D131" s="12"/>
      <c r="E131" s="12"/>
      <c r="F131" s="12"/>
      <c r="G131" s="12"/>
      <c r="H131" s="12"/>
      <c r="I131" s="12"/>
      <c r="J131" s="359"/>
      <c r="K131" s="12"/>
      <c r="L131" s="12"/>
      <c r="M131" s="12"/>
      <c r="N131" s="12"/>
      <c r="O131" s="12"/>
      <c r="P131" s="12"/>
      <c r="Q131" s="12"/>
      <c r="R131" s="359"/>
      <c r="S131" s="12"/>
      <c r="T131" s="12"/>
      <c r="U131" s="12"/>
      <c r="V131" s="12"/>
      <c r="W131" s="12"/>
      <c r="X131" s="12"/>
      <c r="Y131" s="12"/>
      <c r="Z131" s="359"/>
      <c r="AA131" s="12"/>
      <c r="AB131" s="12"/>
      <c r="AC131" s="12"/>
    </row>
    <row r="132" ht="15.75" customHeight="1">
      <c r="A132" s="12"/>
      <c r="B132" s="12"/>
      <c r="C132" s="12"/>
      <c r="D132" s="12"/>
      <c r="E132" s="12"/>
      <c r="F132" s="12"/>
      <c r="G132" s="12"/>
      <c r="H132" s="12"/>
      <c r="I132" s="12"/>
      <c r="J132" s="359"/>
      <c r="K132" s="12"/>
      <c r="L132" s="12"/>
      <c r="M132" s="12"/>
      <c r="N132" s="12"/>
      <c r="O132" s="12"/>
      <c r="P132" s="12"/>
      <c r="Q132" s="12"/>
      <c r="R132" s="359"/>
      <c r="S132" s="12"/>
      <c r="T132" s="12"/>
      <c r="U132" s="12"/>
      <c r="V132" s="12"/>
      <c r="W132" s="12"/>
      <c r="X132" s="12"/>
      <c r="Y132" s="12"/>
      <c r="Z132" s="359"/>
      <c r="AA132" s="12"/>
      <c r="AB132" s="12"/>
      <c r="AC132" s="12"/>
    </row>
    <row r="133" ht="15.75" customHeight="1">
      <c r="A133" s="12"/>
      <c r="B133" s="12"/>
      <c r="C133" s="12"/>
      <c r="D133" s="12"/>
      <c r="E133" s="12"/>
      <c r="F133" s="12"/>
      <c r="G133" s="12"/>
      <c r="H133" s="12"/>
      <c r="I133" s="12"/>
      <c r="J133" s="359"/>
      <c r="K133" s="12"/>
      <c r="L133" s="12"/>
      <c r="M133" s="12"/>
      <c r="N133" s="12"/>
      <c r="O133" s="12"/>
      <c r="P133" s="12"/>
      <c r="Q133" s="12"/>
      <c r="R133" s="359"/>
      <c r="S133" s="12"/>
      <c r="T133" s="12"/>
      <c r="U133" s="12"/>
      <c r="V133" s="12"/>
      <c r="W133" s="12"/>
      <c r="X133" s="12"/>
      <c r="Y133" s="12"/>
      <c r="Z133" s="359"/>
      <c r="AA133" s="12"/>
      <c r="AB133" s="12"/>
      <c r="AC133" s="12"/>
    </row>
    <row r="134" ht="15.75" customHeight="1">
      <c r="A134" s="12"/>
      <c r="B134" s="12"/>
      <c r="C134" s="12"/>
      <c r="D134" s="12"/>
      <c r="E134" s="12"/>
      <c r="F134" s="12"/>
      <c r="G134" s="12"/>
      <c r="H134" s="12"/>
      <c r="I134" s="12"/>
      <c r="J134" s="359"/>
      <c r="K134" s="12"/>
      <c r="L134" s="12"/>
      <c r="M134" s="12"/>
      <c r="N134" s="12"/>
      <c r="O134" s="12"/>
      <c r="P134" s="12"/>
      <c r="Q134" s="12"/>
      <c r="R134" s="359"/>
      <c r="S134" s="12"/>
      <c r="T134" s="12"/>
      <c r="U134" s="12"/>
      <c r="V134" s="12"/>
      <c r="W134" s="12"/>
      <c r="X134" s="12"/>
      <c r="Y134" s="12"/>
      <c r="Z134" s="359"/>
      <c r="AA134" s="12"/>
      <c r="AB134" s="12"/>
      <c r="AC134" s="12"/>
    </row>
    <row r="135" ht="15.75" customHeight="1">
      <c r="A135" s="12"/>
      <c r="B135" s="12"/>
      <c r="C135" s="12"/>
      <c r="D135" s="12"/>
      <c r="E135" s="12"/>
      <c r="F135" s="12"/>
      <c r="G135" s="12"/>
      <c r="H135" s="12"/>
      <c r="I135" s="12"/>
      <c r="J135" s="359"/>
      <c r="K135" s="12"/>
      <c r="L135" s="12"/>
      <c r="M135" s="12"/>
      <c r="N135" s="12"/>
      <c r="O135" s="12"/>
      <c r="P135" s="12"/>
      <c r="Q135" s="12"/>
      <c r="R135" s="359"/>
      <c r="S135" s="12"/>
      <c r="T135" s="12"/>
      <c r="U135" s="12"/>
      <c r="V135" s="12"/>
      <c r="W135" s="12"/>
      <c r="X135" s="12"/>
      <c r="Y135" s="12"/>
      <c r="Z135" s="359"/>
      <c r="AA135" s="12"/>
      <c r="AB135" s="12"/>
      <c r="AC135" s="12"/>
    </row>
    <row r="136" ht="15.75" customHeight="1">
      <c r="A136" s="12"/>
      <c r="B136" s="12"/>
      <c r="C136" s="12"/>
      <c r="D136" s="12"/>
      <c r="E136" s="12"/>
      <c r="F136" s="12"/>
      <c r="G136" s="12"/>
      <c r="H136" s="12"/>
      <c r="I136" s="12"/>
      <c r="J136" s="359"/>
      <c r="K136" s="12"/>
      <c r="L136" s="12"/>
      <c r="M136" s="12"/>
      <c r="N136" s="12"/>
      <c r="O136" s="12"/>
      <c r="P136" s="12"/>
      <c r="Q136" s="12"/>
      <c r="R136" s="359"/>
      <c r="S136" s="12"/>
      <c r="T136" s="12"/>
      <c r="U136" s="12"/>
      <c r="V136" s="12"/>
      <c r="W136" s="12"/>
      <c r="X136" s="12"/>
      <c r="Y136" s="12"/>
      <c r="Z136" s="359"/>
      <c r="AA136" s="12"/>
      <c r="AB136" s="12"/>
      <c r="AC136" s="12"/>
    </row>
    <row r="137" ht="15.75" customHeight="1">
      <c r="A137" s="12"/>
      <c r="B137" s="12"/>
      <c r="C137" s="12"/>
      <c r="D137" s="12"/>
      <c r="E137" s="12"/>
      <c r="F137" s="12"/>
      <c r="G137" s="12"/>
      <c r="H137" s="12"/>
      <c r="I137" s="12"/>
      <c r="J137" s="359"/>
      <c r="K137" s="12"/>
      <c r="L137" s="12"/>
      <c r="M137" s="12"/>
      <c r="N137" s="12"/>
      <c r="O137" s="12"/>
      <c r="P137" s="12"/>
      <c r="Q137" s="12"/>
      <c r="R137" s="359"/>
      <c r="S137" s="12"/>
      <c r="T137" s="12"/>
      <c r="U137" s="12"/>
      <c r="V137" s="12"/>
      <c r="W137" s="12"/>
      <c r="X137" s="12"/>
      <c r="Y137" s="12"/>
      <c r="Z137" s="359"/>
      <c r="AA137" s="12"/>
      <c r="AB137" s="12"/>
      <c r="AC137" s="12"/>
    </row>
    <row r="138" ht="15.75" customHeight="1">
      <c r="A138" s="12"/>
      <c r="B138" s="12"/>
      <c r="C138" s="12"/>
      <c r="D138" s="12"/>
      <c r="E138" s="12"/>
      <c r="F138" s="12"/>
      <c r="G138" s="12"/>
      <c r="H138" s="12"/>
      <c r="I138" s="12"/>
      <c r="J138" s="359"/>
      <c r="K138" s="12"/>
      <c r="L138" s="12"/>
      <c r="M138" s="12"/>
      <c r="N138" s="12"/>
      <c r="O138" s="12"/>
      <c r="P138" s="12"/>
      <c r="Q138" s="12"/>
      <c r="R138" s="359"/>
      <c r="S138" s="12"/>
      <c r="T138" s="12"/>
      <c r="U138" s="12"/>
      <c r="V138" s="12"/>
      <c r="W138" s="12"/>
      <c r="X138" s="12"/>
      <c r="Y138" s="12"/>
      <c r="Z138" s="359"/>
      <c r="AA138" s="12"/>
      <c r="AB138" s="12"/>
      <c r="AC138" s="12"/>
    </row>
    <row r="139" ht="15.75" customHeight="1">
      <c r="A139" s="12"/>
      <c r="B139" s="12"/>
      <c r="C139" s="12"/>
      <c r="D139" s="12"/>
      <c r="E139" s="12"/>
      <c r="F139" s="12"/>
      <c r="G139" s="12"/>
      <c r="H139" s="12"/>
      <c r="I139" s="12"/>
      <c r="J139" s="359"/>
      <c r="K139" s="12"/>
      <c r="L139" s="12"/>
      <c r="M139" s="12"/>
      <c r="N139" s="12"/>
      <c r="O139" s="12"/>
      <c r="P139" s="12"/>
      <c r="Q139" s="12"/>
      <c r="R139" s="359"/>
      <c r="S139" s="12"/>
      <c r="T139" s="12"/>
      <c r="U139" s="12"/>
      <c r="V139" s="12"/>
      <c r="W139" s="12"/>
      <c r="X139" s="12"/>
      <c r="Y139" s="12"/>
      <c r="Z139" s="359"/>
      <c r="AA139" s="12"/>
      <c r="AB139" s="12"/>
      <c r="AC139" s="12"/>
    </row>
    <row r="140" ht="15.75" customHeight="1">
      <c r="A140" s="12"/>
      <c r="B140" s="12"/>
      <c r="C140" s="12"/>
      <c r="D140" s="12"/>
      <c r="E140" s="12"/>
      <c r="F140" s="12"/>
      <c r="G140" s="12"/>
      <c r="H140" s="12"/>
      <c r="I140" s="12"/>
      <c r="J140" s="359"/>
      <c r="K140" s="12"/>
      <c r="L140" s="12"/>
      <c r="M140" s="12"/>
      <c r="N140" s="12"/>
      <c r="O140" s="12"/>
      <c r="P140" s="12"/>
      <c r="Q140" s="12"/>
      <c r="R140" s="359"/>
      <c r="S140" s="12"/>
      <c r="T140" s="12"/>
      <c r="U140" s="12"/>
      <c r="V140" s="12"/>
      <c r="W140" s="12"/>
      <c r="X140" s="12"/>
      <c r="Y140" s="12"/>
      <c r="Z140" s="359"/>
      <c r="AA140" s="12"/>
      <c r="AB140" s="12"/>
      <c r="AC140" s="12"/>
    </row>
    <row r="141" ht="15.75" customHeight="1">
      <c r="A141" s="12"/>
      <c r="B141" s="12"/>
      <c r="C141" s="12"/>
      <c r="D141" s="12"/>
      <c r="E141" s="12"/>
      <c r="F141" s="12"/>
      <c r="G141" s="12"/>
      <c r="H141" s="12"/>
      <c r="I141" s="12"/>
      <c r="J141" s="359"/>
      <c r="K141" s="12"/>
      <c r="L141" s="12"/>
      <c r="M141" s="12"/>
      <c r="N141" s="12"/>
      <c r="O141" s="12"/>
      <c r="P141" s="12"/>
      <c r="Q141" s="12"/>
      <c r="R141" s="359"/>
      <c r="S141" s="12"/>
      <c r="T141" s="12"/>
      <c r="U141" s="12"/>
      <c r="V141" s="12"/>
      <c r="W141" s="12"/>
      <c r="X141" s="12"/>
      <c r="Y141" s="12"/>
      <c r="Z141" s="359"/>
      <c r="AA141" s="12"/>
      <c r="AB141" s="12"/>
      <c r="AC141" s="12"/>
    </row>
    <row r="142" ht="15.75" customHeight="1">
      <c r="A142" s="12"/>
      <c r="B142" s="12"/>
      <c r="C142" s="12"/>
      <c r="D142" s="12"/>
      <c r="E142" s="12"/>
      <c r="F142" s="12"/>
      <c r="G142" s="12"/>
      <c r="H142" s="12"/>
      <c r="I142" s="12"/>
      <c r="J142" s="359"/>
      <c r="K142" s="12"/>
      <c r="L142" s="12"/>
      <c r="M142" s="12"/>
      <c r="N142" s="12"/>
      <c r="O142" s="12"/>
      <c r="P142" s="12"/>
      <c r="Q142" s="12"/>
      <c r="R142" s="359"/>
      <c r="S142" s="12"/>
      <c r="T142" s="12"/>
      <c r="U142" s="12"/>
      <c r="V142" s="12"/>
      <c r="W142" s="12"/>
      <c r="X142" s="12"/>
      <c r="Y142" s="12"/>
      <c r="Z142" s="359"/>
      <c r="AA142" s="12"/>
      <c r="AB142" s="12"/>
      <c r="AC142" s="12"/>
    </row>
    <row r="143" ht="15.75" customHeight="1">
      <c r="A143" s="12"/>
      <c r="B143" s="12"/>
      <c r="C143" s="12"/>
      <c r="D143" s="12"/>
      <c r="E143" s="12"/>
      <c r="F143" s="12"/>
      <c r="G143" s="12"/>
      <c r="H143" s="12"/>
      <c r="I143" s="12"/>
      <c r="J143" s="359"/>
      <c r="K143" s="12"/>
      <c r="L143" s="12"/>
      <c r="M143" s="12"/>
      <c r="N143" s="12"/>
      <c r="O143" s="12"/>
      <c r="P143" s="12"/>
      <c r="Q143" s="12"/>
      <c r="R143" s="359"/>
      <c r="S143" s="12"/>
      <c r="T143" s="12"/>
      <c r="U143" s="12"/>
      <c r="V143" s="12"/>
      <c r="W143" s="12"/>
      <c r="X143" s="12"/>
      <c r="Y143" s="12"/>
      <c r="Z143" s="359"/>
      <c r="AA143" s="12"/>
      <c r="AB143" s="12"/>
      <c r="AC143" s="12"/>
    </row>
    <row r="144" ht="15.75" customHeight="1">
      <c r="A144" s="12"/>
      <c r="B144" s="12"/>
      <c r="C144" s="12"/>
      <c r="D144" s="12"/>
      <c r="E144" s="12"/>
      <c r="F144" s="12"/>
      <c r="G144" s="12"/>
      <c r="H144" s="12"/>
      <c r="I144" s="12"/>
      <c r="J144" s="359"/>
      <c r="K144" s="12"/>
      <c r="L144" s="12"/>
      <c r="M144" s="12"/>
      <c r="N144" s="12"/>
      <c r="O144" s="12"/>
      <c r="P144" s="12"/>
      <c r="Q144" s="12"/>
      <c r="R144" s="359"/>
      <c r="S144" s="12"/>
      <c r="T144" s="12"/>
      <c r="U144" s="12"/>
      <c r="V144" s="12"/>
      <c r="W144" s="12"/>
      <c r="X144" s="12"/>
      <c r="Y144" s="12"/>
      <c r="Z144" s="359"/>
      <c r="AA144" s="12"/>
      <c r="AB144" s="12"/>
      <c r="AC144" s="12"/>
    </row>
    <row r="145" ht="15.75" customHeight="1">
      <c r="A145" s="12"/>
      <c r="B145" s="12"/>
      <c r="C145" s="12"/>
      <c r="D145" s="12"/>
      <c r="E145" s="12"/>
      <c r="F145" s="12"/>
      <c r="G145" s="12"/>
      <c r="H145" s="12"/>
      <c r="I145" s="12"/>
      <c r="J145" s="359"/>
      <c r="K145" s="12"/>
      <c r="L145" s="12"/>
      <c r="M145" s="12"/>
      <c r="N145" s="12"/>
      <c r="O145" s="12"/>
      <c r="P145" s="12"/>
      <c r="Q145" s="12"/>
      <c r="R145" s="359"/>
      <c r="S145" s="12"/>
      <c r="T145" s="12"/>
      <c r="U145" s="12"/>
      <c r="V145" s="12"/>
      <c r="W145" s="12"/>
      <c r="X145" s="12"/>
      <c r="Y145" s="12"/>
      <c r="Z145" s="359"/>
      <c r="AA145" s="12"/>
      <c r="AB145" s="12"/>
      <c r="AC145" s="12"/>
    </row>
    <row r="146" ht="15.75" customHeight="1">
      <c r="A146" s="12"/>
      <c r="B146" s="12"/>
      <c r="C146" s="12"/>
      <c r="D146" s="12"/>
      <c r="E146" s="12"/>
      <c r="F146" s="12"/>
      <c r="G146" s="12"/>
      <c r="H146" s="12"/>
      <c r="I146" s="12"/>
      <c r="J146" s="359"/>
      <c r="K146" s="12"/>
      <c r="L146" s="12"/>
      <c r="M146" s="12"/>
      <c r="N146" s="12"/>
      <c r="O146" s="12"/>
      <c r="P146" s="12"/>
      <c r="Q146" s="12"/>
      <c r="R146" s="359"/>
      <c r="S146" s="12"/>
      <c r="T146" s="12"/>
      <c r="U146" s="12"/>
      <c r="V146" s="12"/>
      <c r="W146" s="12"/>
      <c r="X146" s="12"/>
      <c r="Y146" s="12"/>
      <c r="Z146" s="359"/>
      <c r="AA146" s="12"/>
      <c r="AB146" s="12"/>
      <c r="AC146" s="12"/>
    </row>
    <row r="147" ht="15.75" customHeight="1">
      <c r="A147" s="12"/>
      <c r="B147" s="12"/>
      <c r="C147" s="12"/>
      <c r="D147" s="12"/>
      <c r="E147" s="12"/>
      <c r="F147" s="12"/>
      <c r="G147" s="12"/>
      <c r="H147" s="12"/>
      <c r="I147" s="12"/>
      <c r="J147" s="359"/>
      <c r="K147" s="12"/>
      <c r="L147" s="12"/>
      <c r="M147" s="12"/>
      <c r="N147" s="12"/>
      <c r="O147" s="12"/>
      <c r="P147" s="12"/>
      <c r="Q147" s="12"/>
      <c r="R147" s="359"/>
      <c r="S147" s="12"/>
      <c r="T147" s="12"/>
      <c r="U147" s="12"/>
      <c r="V147" s="12"/>
      <c r="W147" s="12"/>
      <c r="X147" s="12"/>
      <c r="Y147" s="12"/>
      <c r="Z147" s="359"/>
      <c r="AA147" s="12"/>
      <c r="AB147" s="12"/>
      <c r="AC147" s="12"/>
    </row>
    <row r="148" ht="15.75" customHeight="1">
      <c r="A148" s="12"/>
      <c r="B148" s="12"/>
      <c r="C148" s="12"/>
      <c r="D148" s="12"/>
      <c r="E148" s="12"/>
      <c r="F148" s="12"/>
      <c r="G148" s="12"/>
      <c r="H148" s="12"/>
      <c r="I148" s="12"/>
      <c r="J148" s="359"/>
      <c r="K148" s="12"/>
      <c r="L148" s="12"/>
      <c r="M148" s="12"/>
      <c r="N148" s="12"/>
      <c r="O148" s="12"/>
      <c r="P148" s="12"/>
      <c r="Q148" s="12"/>
      <c r="R148" s="359"/>
      <c r="S148" s="12"/>
      <c r="T148" s="12"/>
      <c r="U148" s="12"/>
      <c r="V148" s="12"/>
      <c r="W148" s="12"/>
      <c r="X148" s="12"/>
      <c r="Y148" s="12"/>
      <c r="Z148" s="359"/>
      <c r="AA148" s="12"/>
      <c r="AB148" s="12"/>
      <c r="AC148" s="12"/>
    </row>
    <row r="149" ht="15.75" customHeight="1">
      <c r="A149" s="12"/>
      <c r="B149" s="12"/>
      <c r="C149" s="12"/>
      <c r="D149" s="12"/>
      <c r="E149" s="12"/>
      <c r="F149" s="12"/>
      <c r="G149" s="12"/>
      <c r="H149" s="12"/>
      <c r="I149" s="12"/>
      <c r="J149" s="359"/>
      <c r="K149" s="12"/>
      <c r="L149" s="12"/>
      <c r="M149" s="12"/>
      <c r="N149" s="12"/>
      <c r="O149" s="12"/>
      <c r="P149" s="12"/>
      <c r="Q149" s="12"/>
      <c r="R149" s="359"/>
      <c r="S149" s="12"/>
      <c r="T149" s="12"/>
      <c r="U149" s="12"/>
      <c r="V149" s="12"/>
      <c r="W149" s="12"/>
      <c r="X149" s="12"/>
      <c r="Y149" s="12"/>
      <c r="Z149" s="359"/>
      <c r="AA149" s="12"/>
      <c r="AB149" s="12"/>
      <c r="AC149" s="12"/>
    </row>
    <row r="150" ht="15.75" customHeight="1">
      <c r="A150" s="12"/>
      <c r="B150" s="12"/>
      <c r="C150" s="12"/>
      <c r="D150" s="12"/>
      <c r="E150" s="12"/>
      <c r="F150" s="12"/>
      <c r="G150" s="12"/>
      <c r="H150" s="12"/>
      <c r="I150" s="12"/>
      <c r="J150" s="359"/>
      <c r="K150" s="12"/>
      <c r="L150" s="12"/>
      <c r="M150" s="12"/>
      <c r="N150" s="12"/>
      <c r="O150" s="12"/>
      <c r="P150" s="12"/>
      <c r="Q150" s="12"/>
      <c r="R150" s="359"/>
      <c r="S150" s="12"/>
      <c r="T150" s="12"/>
      <c r="U150" s="12"/>
      <c r="V150" s="12"/>
      <c r="W150" s="12"/>
      <c r="X150" s="12"/>
      <c r="Y150" s="12"/>
      <c r="Z150" s="359"/>
      <c r="AA150" s="12"/>
      <c r="AB150" s="12"/>
      <c r="AC150" s="12"/>
    </row>
    <row r="151" ht="15.75" customHeight="1">
      <c r="A151" s="12"/>
      <c r="B151" s="12"/>
      <c r="C151" s="12"/>
      <c r="D151" s="12"/>
      <c r="E151" s="12"/>
      <c r="F151" s="12"/>
      <c r="G151" s="12"/>
      <c r="H151" s="12"/>
      <c r="I151" s="12"/>
      <c r="J151" s="359"/>
      <c r="K151" s="12"/>
      <c r="L151" s="12"/>
      <c r="M151" s="12"/>
      <c r="N151" s="12"/>
      <c r="O151" s="12"/>
      <c r="P151" s="12"/>
      <c r="Q151" s="12"/>
      <c r="R151" s="359"/>
      <c r="S151" s="12"/>
      <c r="T151" s="12"/>
      <c r="U151" s="12"/>
      <c r="V151" s="12"/>
      <c r="W151" s="12"/>
      <c r="X151" s="12"/>
      <c r="Y151" s="12"/>
      <c r="Z151" s="359"/>
      <c r="AA151" s="12"/>
      <c r="AB151" s="12"/>
      <c r="AC151" s="12"/>
    </row>
    <row r="152" ht="15.75" customHeight="1">
      <c r="A152" s="12"/>
      <c r="B152" s="12"/>
      <c r="C152" s="12"/>
      <c r="D152" s="12"/>
      <c r="E152" s="12"/>
      <c r="F152" s="12"/>
      <c r="G152" s="12"/>
      <c r="H152" s="12"/>
      <c r="I152" s="12"/>
      <c r="J152" s="359"/>
      <c r="K152" s="12"/>
      <c r="L152" s="12"/>
      <c r="M152" s="12"/>
      <c r="N152" s="12"/>
      <c r="O152" s="12"/>
      <c r="P152" s="12"/>
      <c r="Q152" s="12"/>
      <c r="R152" s="359"/>
      <c r="S152" s="12"/>
      <c r="T152" s="12"/>
      <c r="U152" s="12"/>
      <c r="V152" s="12"/>
      <c r="W152" s="12"/>
      <c r="X152" s="12"/>
      <c r="Y152" s="12"/>
      <c r="Z152" s="359"/>
      <c r="AA152" s="12"/>
      <c r="AB152" s="12"/>
      <c r="AC152" s="12"/>
    </row>
    <row r="153" ht="15.75" customHeight="1">
      <c r="A153" s="12"/>
      <c r="B153" s="12"/>
      <c r="C153" s="12"/>
      <c r="D153" s="12"/>
      <c r="E153" s="12"/>
      <c r="F153" s="12"/>
      <c r="G153" s="12"/>
      <c r="H153" s="12"/>
      <c r="I153" s="12"/>
      <c r="J153" s="359"/>
      <c r="K153" s="12"/>
      <c r="L153" s="12"/>
      <c r="M153" s="12"/>
      <c r="N153" s="12"/>
      <c r="O153" s="12"/>
      <c r="P153" s="12"/>
      <c r="Q153" s="12"/>
      <c r="R153" s="359"/>
      <c r="S153" s="12"/>
      <c r="T153" s="12"/>
      <c r="U153" s="12"/>
      <c r="V153" s="12"/>
      <c r="W153" s="12"/>
      <c r="X153" s="12"/>
      <c r="Y153" s="12"/>
      <c r="Z153" s="359"/>
      <c r="AA153" s="12"/>
      <c r="AB153" s="12"/>
      <c r="AC153" s="12"/>
    </row>
    <row r="154" ht="15.75" customHeight="1">
      <c r="A154" s="12"/>
      <c r="B154" s="12"/>
      <c r="C154" s="12"/>
      <c r="D154" s="12"/>
      <c r="E154" s="12"/>
      <c r="F154" s="12"/>
      <c r="G154" s="12"/>
      <c r="H154" s="12"/>
      <c r="I154" s="12"/>
      <c r="J154" s="359"/>
      <c r="K154" s="12"/>
      <c r="L154" s="12"/>
      <c r="M154" s="12"/>
      <c r="N154" s="12"/>
      <c r="O154" s="12"/>
      <c r="P154" s="12"/>
      <c r="Q154" s="12"/>
      <c r="R154" s="359"/>
      <c r="S154" s="12"/>
      <c r="T154" s="12"/>
      <c r="U154" s="12"/>
      <c r="V154" s="12"/>
      <c r="W154" s="12"/>
      <c r="X154" s="12"/>
      <c r="Y154" s="12"/>
      <c r="Z154" s="359"/>
      <c r="AA154" s="12"/>
      <c r="AB154" s="12"/>
      <c r="AC154" s="12"/>
    </row>
    <row r="155" ht="15.75" customHeight="1">
      <c r="A155" s="12"/>
      <c r="B155" s="12"/>
      <c r="C155" s="12"/>
      <c r="D155" s="12"/>
      <c r="E155" s="12"/>
      <c r="F155" s="12"/>
      <c r="G155" s="12"/>
      <c r="H155" s="12"/>
      <c r="I155" s="12"/>
      <c r="J155" s="359"/>
      <c r="K155" s="12"/>
      <c r="L155" s="12"/>
      <c r="M155" s="12"/>
      <c r="N155" s="12"/>
      <c r="O155" s="12"/>
      <c r="P155" s="12"/>
      <c r="Q155" s="12"/>
      <c r="R155" s="359"/>
      <c r="S155" s="12"/>
      <c r="T155" s="12"/>
      <c r="U155" s="12"/>
      <c r="V155" s="12"/>
      <c r="W155" s="12"/>
      <c r="X155" s="12"/>
      <c r="Y155" s="12"/>
      <c r="Z155" s="359"/>
      <c r="AA155" s="12"/>
      <c r="AB155" s="12"/>
      <c r="AC155" s="12"/>
    </row>
    <row r="156" ht="15.75" customHeight="1">
      <c r="A156" s="12"/>
      <c r="B156" s="12"/>
      <c r="C156" s="12"/>
      <c r="D156" s="12"/>
      <c r="E156" s="12"/>
      <c r="F156" s="12"/>
      <c r="G156" s="12"/>
      <c r="H156" s="12"/>
      <c r="I156" s="12"/>
      <c r="J156" s="359"/>
      <c r="K156" s="12"/>
      <c r="L156" s="12"/>
      <c r="M156" s="12"/>
      <c r="N156" s="12"/>
      <c r="O156" s="12"/>
      <c r="P156" s="12"/>
      <c r="Q156" s="12"/>
      <c r="R156" s="359"/>
      <c r="S156" s="12"/>
      <c r="T156" s="12"/>
      <c r="U156" s="12"/>
      <c r="V156" s="12"/>
      <c r="W156" s="12"/>
      <c r="X156" s="12"/>
      <c r="Y156" s="12"/>
      <c r="Z156" s="359"/>
      <c r="AA156" s="12"/>
      <c r="AB156" s="12"/>
      <c r="AC156" s="12"/>
    </row>
    <row r="157" ht="15.75" customHeight="1">
      <c r="A157" s="12"/>
      <c r="B157" s="12"/>
      <c r="C157" s="12"/>
      <c r="D157" s="12"/>
      <c r="E157" s="12"/>
      <c r="F157" s="12"/>
      <c r="G157" s="12"/>
      <c r="H157" s="12"/>
      <c r="I157" s="12"/>
      <c r="J157" s="359"/>
      <c r="K157" s="12"/>
      <c r="L157" s="12"/>
      <c r="M157" s="12"/>
      <c r="N157" s="12"/>
      <c r="O157" s="12"/>
      <c r="P157" s="12"/>
      <c r="Q157" s="12"/>
      <c r="R157" s="359"/>
      <c r="S157" s="12"/>
      <c r="T157" s="12"/>
      <c r="U157" s="12"/>
      <c r="V157" s="12"/>
      <c r="W157" s="12"/>
      <c r="X157" s="12"/>
      <c r="Y157" s="12"/>
      <c r="Z157" s="359"/>
      <c r="AA157" s="12"/>
      <c r="AB157" s="12"/>
      <c r="AC157" s="12"/>
    </row>
    <row r="158" ht="15.75" customHeight="1">
      <c r="A158" s="12"/>
      <c r="B158" s="12"/>
      <c r="C158" s="12"/>
      <c r="D158" s="12"/>
      <c r="E158" s="12"/>
      <c r="F158" s="12"/>
      <c r="G158" s="12"/>
      <c r="H158" s="12"/>
      <c r="I158" s="12"/>
      <c r="J158" s="359"/>
      <c r="K158" s="12"/>
      <c r="L158" s="12"/>
      <c r="M158" s="12"/>
      <c r="N158" s="12"/>
      <c r="O158" s="12"/>
      <c r="P158" s="12"/>
      <c r="Q158" s="12"/>
      <c r="R158" s="359"/>
      <c r="S158" s="12"/>
      <c r="T158" s="12"/>
      <c r="U158" s="12"/>
      <c r="V158" s="12"/>
      <c r="W158" s="12"/>
      <c r="X158" s="12"/>
      <c r="Y158" s="12"/>
      <c r="Z158" s="359"/>
      <c r="AA158" s="12"/>
      <c r="AB158" s="12"/>
      <c r="AC158" s="12"/>
    </row>
    <row r="159" ht="15.75" customHeight="1">
      <c r="A159" s="12"/>
      <c r="B159" s="12"/>
      <c r="C159" s="12"/>
      <c r="D159" s="12"/>
      <c r="E159" s="12"/>
      <c r="F159" s="12"/>
      <c r="G159" s="12"/>
      <c r="H159" s="12"/>
      <c r="I159" s="12"/>
      <c r="J159" s="359"/>
      <c r="K159" s="12"/>
      <c r="L159" s="12"/>
      <c r="M159" s="12"/>
      <c r="N159" s="12"/>
      <c r="O159" s="12"/>
      <c r="P159" s="12"/>
      <c r="Q159" s="12"/>
      <c r="R159" s="359"/>
      <c r="S159" s="12"/>
      <c r="T159" s="12"/>
      <c r="U159" s="12"/>
      <c r="V159" s="12"/>
      <c r="W159" s="12"/>
      <c r="X159" s="12"/>
      <c r="Y159" s="12"/>
      <c r="Z159" s="359"/>
      <c r="AA159" s="12"/>
      <c r="AB159" s="12"/>
      <c r="AC159" s="12"/>
    </row>
    <row r="160" ht="15.75" customHeight="1">
      <c r="A160" s="12"/>
      <c r="B160" s="12"/>
      <c r="C160" s="12"/>
      <c r="D160" s="12"/>
      <c r="E160" s="12"/>
      <c r="F160" s="12"/>
      <c r="G160" s="12"/>
      <c r="H160" s="12"/>
      <c r="I160" s="12"/>
      <c r="J160" s="359"/>
      <c r="K160" s="12"/>
      <c r="L160" s="12"/>
      <c r="M160" s="12"/>
      <c r="N160" s="12"/>
      <c r="O160" s="12"/>
      <c r="P160" s="12"/>
      <c r="Q160" s="12"/>
      <c r="R160" s="359"/>
      <c r="S160" s="12"/>
      <c r="T160" s="12"/>
      <c r="U160" s="12"/>
      <c r="V160" s="12"/>
      <c r="W160" s="12"/>
      <c r="X160" s="12"/>
      <c r="Y160" s="12"/>
      <c r="Z160" s="359"/>
      <c r="AA160" s="12"/>
      <c r="AB160" s="12"/>
      <c r="AC160" s="12"/>
    </row>
    <row r="161" ht="15.75" customHeight="1">
      <c r="A161" s="12"/>
      <c r="B161" s="12"/>
      <c r="C161" s="12"/>
      <c r="D161" s="12"/>
      <c r="E161" s="12"/>
      <c r="F161" s="12"/>
      <c r="G161" s="12"/>
      <c r="H161" s="12"/>
      <c r="I161" s="12"/>
      <c r="J161" s="359"/>
      <c r="K161" s="12"/>
      <c r="L161" s="12"/>
      <c r="M161" s="12"/>
      <c r="N161" s="12"/>
      <c r="O161" s="12"/>
      <c r="P161" s="12"/>
      <c r="Q161" s="12"/>
      <c r="R161" s="359"/>
      <c r="S161" s="12"/>
      <c r="T161" s="12"/>
      <c r="U161" s="12"/>
      <c r="V161" s="12"/>
      <c r="W161" s="12"/>
      <c r="X161" s="12"/>
      <c r="Y161" s="12"/>
      <c r="Z161" s="359"/>
      <c r="AA161" s="12"/>
      <c r="AB161" s="12"/>
      <c r="AC161" s="12"/>
    </row>
    <row r="162" ht="15.75" customHeight="1">
      <c r="A162" s="12"/>
      <c r="B162" s="12"/>
      <c r="C162" s="12"/>
      <c r="D162" s="12"/>
      <c r="E162" s="12"/>
      <c r="F162" s="12"/>
      <c r="G162" s="12"/>
      <c r="H162" s="12"/>
      <c r="I162" s="12"/>
      <c r="J162" s="359"/>
      <c r="K162" s="12"/>
      <c r="L162" s="12"/>
      <c r="M162" s="12"/>
      <c r="N162" s="12"/>
      <c r="O162" s="12"/>
      <c r="P162" s="12"/>
      <c r="Q162" s="12"/>
      <c r="R162" s="359"/>
      <c r="S162" s="12"/>
      <c r="T162" s="12"/>
      <c r="U162" s="12"/>
      <c r="V162" s="12"/>
      <c r="W162" s="12"/>
      <c r="X162" s="12"/>
      <c r="Y162" s="12"/>
      <c r="Z162" s="359"/>
      <c r="AA162" s="12"/>
      <c r="AB162" s="12"/>
      <c r="AC162" s="12"/>
    </row>
    <row r="163" ht="15.75" customHeight="1">
      <c r="A163" s="12"/>
      <c r="B163" s="12"/>
      <c r="C163" s="12"/>
      <c r="D163" s="12"/>
      <c r="E163" s="12"/>
      <c r="F163" s="12"/>
      <c r="G163" s="12"/>
      <c r="H163" s="12"/>
      <c r="I163" s="12"/>
      <c r="J163" s="359"/>
      <c r="K163" s="12"/>
      <c r="L163" s="12"/>
      <c r="M163" s="12"/>
      <c r="N163" s="12"/>
      <c r="O163" s="12"/>
      <c r="P163" s="12"/>
      <c r="Q163" s="12"/>
      <c r="R163" s="359"/>
      <c r="S163" s="12"/>
      <c r="T163" s="12"/>
      <c r="U163" s="12"/>
      <c r="V163" s="12"/>
      <c r="W163" s="12"/>
      <c r="X163" s="12"/>
      <c r="Y163" s="12"/>
      <c r="Z163" s="359"/>
      <c r="AA163" s="12"/>
      <c r="AB163" s="12"/>
      <c r="AC163" s="12"/>
    </row>
    <row r="164" ht="15.75" customHeight="1">
      <c r="A164" s="12"/>
      <c r="B164" s="12"/>
      <c r="C164" s="12"/>
      <c r="D164" s="12"/>
      <c r="E164" s="12"/>
      <c r="F164" s="12"/>
      <c r="G164" s="12"/>
      <c r="H164" s="12"/>
      <c r="I164" s="12"/>
      <c r="J164" s="359"/>
      <c r="K164" s="12"/>
      <c r="L164" s="12"/>
      <c r="M164" s="12"/>
      <c r="N164" s="12"/>
      <c r="O164" s="12"/>
      <c r="P164" s="12"/>
      <c r="Q164" s="12"/>
      <c r="R164" s="359"/>
      <c r="S164" s="12"/>
      <c r="T164" s="12"/>
      <c r="U164" s="12"/>
      <c r="V164" s="12"/>
      <c r="W164" s="12"/>
      <c r="X164" s="12"/>
      <c r="Y164" s="12"/>
      <c r="Z164" s="359"/>
      <c r="AA164" s="12"/>
      <c r="AB164" s="12"/>
      <c r="AC164" s="12"/>
    </row>
    <row r="165" ht="15.75" customHeight="1">
      <c r="A165" s="12"/>
      <c r="B165" s="12"/>
      <c r="C165" s="12"/>
      <c r="D165" s="12"/>
      <c r="E165" s="12"/>
      <c r="F165" s="12"/>
      <c r="G165" s="12"/>
      <c r="H165" s="12"/>
      <c r="I165" s="12"/>
      <c r="J165" s="359"/>
      <c r="K165" s="12"/>
      <c r="L165" s="12"/>
      <c r="M165" s="12"/>
      <c r="N165" s="12"/>
      <c r="O165" s="12"/>
      <c r="P165" s="12"/>
      <c r="Q165" s="12"/>
      <c r="R165" s="359"/>
      <c r="S165" s="12"/>
      <c r="T165" s="12"/>
      <c r="U165" s="12"/>
      <c r="V165" s="12"/>
      <c r="W165" s="12"/>
      <c r="X165" s="12"/>
      <c r="Y165" s="12"/>
      <c r="Z165" s="359"/>
      <c r="AA165" s="12"/>
      <c r="AB165" s="12"/>
      <c r="AC165" s="12"/>
    </row>
    <row r="166" ht="15.75" customHeight="1">
      <c r="A166" s="12"/>
      <c r="B166" s="12"/>
      <c r="C166" s="12"/>
      <c r="D166" s="12"/>
      <c r="E166" s="12"/>
      <c r="F166" s="12"/>
      <c r="G166" s="12"/>
      <c r="H166" s="12"/>
      <c r="I166" s="12"/>
      <c r="J166" s="359"/>
      <c r="K166" s="12"/>
      <c r="L166" s="12"/>
      <c r="M166" s="12"/>
      <c r="N166" s="12"/>
      <c r="O166" s="12"/>
      <c r="P166" s="12"/>
      <c r="Q166" s="12"/>
      <c r="R166" s="359"/>
      <c r="S166" s="12"/>
      <c r="T166" s="12"/>
      <c r="U166" s="12"/>
      <c r="V166" s="12"/>
      <c r="W166" s="12"/>
      <c r="X166" s="12"/>
      <c r="Y166" s="12"/>
      <c r="Z166" s="359"/>
      <c r="AA166" s="12"/>
      <c r="AB166" s="12"/>
      <c r="AC166" s="12"/>
    </row>
    <row r="167" ht="15.75" customHeight="1">
      <c r="A167" s="12"/>
      <c r="B167" s="12"/>
      <c r="C167" s="12"/>
      <c r="D167" s="12"/>
      <c r="E167" s="12"/>
      <c r="F167" s="12"/>
      <c r="G167" s="12"/>
      <c r="H167" s="12"/>
      <c r="I167" s="12"/>
      <c r="J167" s="359"/>
      <c r="K167" s="12"/>
      <c r="L167" s="12"/>
      <c r="M167" s="12"/>
      <c r="N167" s="12"/>
      <c r="O167" s="12"/>
      <c r="P167" s="12"/>
      <c r="Q167" s="12"/>
      <c r="R167" s="359"/>
      <c r="S167" s="12"/>
      <c r="T167" s="12"/>
      <c r="U167" s="12"/>
      <c r="V167" s="12"/>
      <c r="W167" s="12"/>
      <c r="X167" s="12"/>
      <c r="Y167" s="12"/>
      <c r="Z167" s="359"/>
      <c r="AA167" s="12"/>
      <c r="AB167" s="12"/>
      <c r="AC167" s="12"/>
    </row>
    <row r="168" ht="15.75" customHeight="1">
      <c r="A168" s="12"/>
      <c r="B168" s="12"/>
      <c r="C168" s="12"/>
      <c r="D168" s="12"/>
      <c r="E168" s="12"/>
      <c r="F168" s="12"/>
      <c r="G168" s="12"/>
      <c r="H168" s="12"/>
      <c r="I168" s="12"/>
      <c r="J168" s="359"/>
      <c r="K168" s="12"/>
      <c r="L168" s="12"/>
      <c r="M168" s="12"/>
      <c r="N168" s="12"/>
      <c r="O168" s="12"/>
      <c r="P168" s="12"/>
      <c r="Q168" s="12"/>
      <c r="R168" s="359"/>
      <c r="S168" s="12"/>
      <c r="T168" s="12"/>
      <c r="U168" s="12"/>
      <c r="V168" s="12"/>
      <c r="W168" s="12"/>
      <c r="X168" s="12"/>
      <c r="Y168" s="12"/>
      <c r="Z168" s="359"/>
      <c r="AA168" s="12"/>
      <c r="AB168" s="12"/>
      <c r="AC168" s="12"/>
    </row>
    <row r="169" ht="15.75" customHeight="1">
      <c r="A169" s="12"/>
      <c r="B169" s="12"/>
      <c r="C169" s="12"/>
      <c r="D169" s="12"/>
      <c r="E169" s="12"/>
      <c r="F169" s="12"/>
      <c r="G169" s="12"/>
      <c r="H169" s="12"/>
      <c r="I169" s="12"/>
      <c r="J169" s="359"/>
      <c r="K169" s="12"/>
      <c r="L169" s="12"/>
      <c r="M169" s="12"/>
      <c r="N169" s="12"/>
      <c r="O169" s="12"/>
      <c r="P169" s="12"/>
      <c r="Q169" s="12"/>
      <c r="R169" s="359"/>
      <c r="S169" s="12"/>
      <c r="T169" s="12"/>
      <c r="U169" s="12"/>
      <c r="V169" s="12"/>
      <c r="W169" s="12"/>
      <c r="X169" s="12"/>
      <c r="Y169" s="12"/>
      <c r="Z169" s="359"/>
      <c r="AA169" s="12"/>
      <c r="AB169" s="12"/>
      <c r="AC169" s="12"/>
    </row>
    <row r="170" ht="15.75" customHeight="1">
      <c r="A170" s="12"/>
      <c r="B170" s="12"/>
      <c r="C170" s="12"/>
      <c r="D170" s="12"/>
      <c r="E170" s="12"/>
      <c r="F170" s="12"/>
      <c r="G170" s="12"/>
      <c r="H170" s="12"/>
      <c r="I170" s="12"/>
      <c r="J170" s="359"/>
      <c r="K170" s="12"/>
      <c r="L170" s="12"/>
      <c r="M170" s="12"/>
      <c r="N170" s="12"/>
      <c r="O170" s="12"/>
      <c r="P170" s="12"/>
      <c r="Q170" s="12"/>
      <c r="R170" s="359"/>
      <c r="S170" s="12"/>
      <c r="T170" s="12"/>
      <c r="U170" s="12"/>
      <c r="V170" s="12"/>
      <c r="W170" s="12"/>
      <c r="X170" s="12"/>
      <c r="Y170" s="12"/>
      <c r="Z170" s="359"/>
      <c r="AA170" s="12"/>
      <c r="AB170" s="12"/>
      <c r="AC170" s="12"/>
    </row>
    <row r="171" ht="15.75" customHeight="1">
      <c r="A171" s="12"/>
      <c r="B171" s="12"/>
      <c r="C171" s="12"/>
      <c r="D171" s="12"/>
      <c r="E171" s="12"/>
      <c r="F171" s="12"/>
      <c r="G171" s="12"/>
      <c r="H171" s="12"/>
      <c r="I171" s="12"/>
      <c r="J171" s="359"/>
      <c r="K171" s="12"/>
      <c r="L171" s="12"/>
      <c r="M171" s="12"/>
      <c r="N171" s="12"/>
      <c r="O171" s="12"/>
      <c r="P171" s="12"/>
      <c r="Q171" s="12"/>
      <c r="R171" s="359"/>
      <c r="S171" s="12"/>
      <c r="T171" s="12"/>
      <c r="U171" s="12"/>
      <c r="V171" s="12"/>
      <c r="W171" s="12"/>
      <c r="X171" s="12"/>
      <c r="Y171" s="12"/>
      <c r="Z171" s="359"/>
      <c r="AA171" s="12"/>
      <c r="AB171" s="12"/>
      <c r="AC171" s="12"/>
    </row>
    <row r="172" ht="15.75" customHeight="1">
      <c r="A172" s="12"/>
      <c r="B172" s="12"/>
      <c r="C172" s="12"/>
      <c r="D172" s="12"/>
      <c r="E172" s="12"/>
      <c r="F172" s="12"/>
      <c r="G172" s="12"/>
      <c r="H172" s="12"/>
      <c r="I172" s="12"/>
      <c r="J172" s="359"/>
      <c r="K172" s="12"/>
      <c r="L172" s="12"/>
      <c r="M172" s="12"/>
      <c r="N172" s="12"/>
      <c r="O172" s="12"/>
      <c r="P172" s="12"/>
      <c r="Q172" s="12"/>
      <c r="R172" s="359"/>
      <c r="S172" s="12"/>
      <c r="T172" s="12"/>
      <c r="U172" s="12"/>
      <c r="V172" s="12"/>
      <c r="W172" s="12"/>
      <c r="X172" s="12"/>
      <c r="Y172" s="12"/>
      <c r="Z172" s="359"/>
      <c r="AA172" s="12"/>
      <c r="AB172" s="12"/>
      <c r="AC172" s="12"/>
    </row>
    <row r="173" ht="15.75" customHeight="1">
      <c r="A173" s="12"/>
      <c r="B173" s="12"/>
      <c r="C173" s="12"/>
      <c r="D173" s="12"/>
      <c r="E173" s="12"/>
      <c r="F173" s="12"/>
      <c r="G173" s="12"/>
      <c r="H173" s="12"/>
      <c r="I173" s="12"/>
      <c r="J173" s="359"/>
      <c r="K173" s="12"/>
      <c r="L173" s="12"/>
      <c r="M173" s="12"/>
      <c r="N173" s="12"/>
      <c r="O173" s="12"/>
      <c r="P173" s="12"/>
      <c r="Q173" s="12"/>
      <c r="R173" s="359"/>
      <c r="S173" s="12"/>
      <c r="T173" s="12"/>
      <c r="U173" s="12"/>
      <c r="V173" s="12"/>
      <c r="W173" s="12"/>
      <c r="X173" s="12"/>
      <c r="Y173" s="12"/>
      <c r="Z173" s="359"/>
      <c r="AA173" s="12"/>
      <c r="AB173" s="12"/>
      <c r="AC173" s="12"/>
    </row>
    <row r="174" ht="15.75" customHeight="1">
      <c r="A174" s="12"/>
      <c r="B174" s="12"/>
      <c r="C174" s="12"/>
      <c r="D174" s="12"/>
      <c r="E174" s="12"/>
      <c r="F174" s="12"/>
      <c r="G174" s="12"/>
      <c r="H174" s="12"/>
      <c r="I174" s="12"/>
      <c r="J174" s="359"/>
      <c r="K174" s="12"/>
      <c r="L174" s="12"/>
      <c r="M174" s="12"/>
      <c r="N174" s="12"/>
      <c r="O174" s="12"/>
      <c r="P174" s="12"/>
      <c r="Q174" s="12"/>
      <c r="R174" s="359"/>
      <c r="S174" s="12"/>
      <c r="T174" s="12"/>
      <c r="U174" s="12"/>
      <c r="V174" s="12"/>
      <c r="W174" s="12"/>
      <c r="X174" s="12"/>
      <c r="Y174" s="12"/>
      <c r="Z174" s="359"/>
      <c r="AA174" s="12"/>
      <c r="AB174" s="12"/>
      <c r="AC174" s="12"/>
    </row>
    <row r="175" ht="15.75" customHeight="1">
      <c r="A175" s="12"/>
      <c r="B175" s="12"/>
      <c r="C175" s="12"/>
      <c r="D175" s="12"/>
      <c r="E175" s="12"/>
      <c r="F175" s="12"/>
      <c r="G175" s="12"/>
      <c r="H175" s="12"/>
      <c r="I175" s="12"/>
      <c r="J175" s="359"/>
      <c r="K175" s="12"/>
      <c r="L175" s="12"/>
      <c r="M175" s="12"/>
      <c r="N175" s="12"/>
      <c r="O175" s="12"/>
      <c r="P175" s="12"/>
      <c r="Q175" s="12"/>
      <c r="R175" s="359"/>
      <c r="S175" s="12"/>
      <c r="T175" s="12"/>
      <c r="U175" s="12"/>
      <c r="V175" s="12"/>
      <c r="W175" s="12"/>
      <c r="X175" s="12"/>
      <c r="Y175" s="12"/>
      <c r="Z175" s="359"/>
      <c r="AA175" s="12"/>
      <c r="AB175" s="12"/>
      <c r="AC175" s="12"/>
    </row>
    <row r="176" ht="15.75" customHeight="1">
      <c r="A176" s="12"/>
      <c r="B176" s="12"/>
      <c r="C176" s="12"/>
      <c r="D176" s="12"/>
      <c r="E176" s="12"/>
      <c r="F176" s="12"/>
      <c r="G176" s="12"/>
      <c r="H176" s="12"/>
      <c r="I176" s="12"/>
      <c r="J176" s="359"/>
      <c r="K176" s="12"/>
      <c r="L176" s="12"/>
      <c r="M176" s="12"/>
      <c r="N176" s="12"/>
      <c r="O176" s="12"/>
      <c r="P176" s="12"/>
      <c r="Q176" s="12"/>
      <c r="R176" s="359"/>
      <c r="S176" s="12"/>
      <c r="T176" s="12"/>
      <c r="U176" s="12"/>
      <c r="V176" s="12"/>
      <c r="W176" s="12"/>
      <c r="X176" s="12"/>
      <c r="Y176" s="12"/>
      <c r="Z176" s="359"/>
      <c r="AA176" s="12"/>
      <c r="AB176" s="12"/>
      <c r="AC176" s="12"/>
    </row>
    <row r="177" ht="15.75" customHeight="1">
      <c r="A177" s="12"/>
      <c r="B177" s="12"/>
      <c r="C177" s="12"/>
      <c r="D177" s="12"/>
      <c r="E177" s="12"/>
      <c r="F177" s="12"/>
      <c r="G177" s="12"/>
      <c r="H177" s="12"/>
      <c r="I177" s="12"/>
      <c r="J177" s="359"/>
      <c r="K177" s="12"/>
      <c r="L177" s="12"/>
      <c r="M177" s="12"/>
      <c r="N177" s="12"/>
      <c r="O177" s="12"/>
      <c r="P177" s="12"/>
      <c r="Q177" s="12"/>
      <c r="R177" s="359"/>
      <c r="S177" s="12"/>
      <c r="T177" s="12"/>
      <c r="U177" s="12"/>
      <c r="V177" s="12"/>
      <c r="W177" s="12"/>
      <c r="X177" s="12"/>
      <c r="Y177" s="12"/>
      <c r="Z177" s="359"/>
      <c r="AA177" s="12"/>
      <c r="AB177" s="12"/>
      <c r="AC177" s="12"/>
    </row>
    <row r="178" ht="15.75" customHeight="1">
      <c r="A178" s="12"/>
      <c r="B178" s="12"/>
      <c r="C178" s="12"/>
      <c r="D178" s="12"/>
      <c r="E178" s="12"/>
      <c r="F178" s="12"/>
      <c r="G178" s="12"/>
      <c r="H178" s="12"/>
      <c r="I178" s="12"/>
      <c r="J178" s="359"/>
      <c r="K178" s="12"/>
      <c r="L178" s="12"/>
      <c r="M178" s="12"/>
      <c r="N178" s="12"/>
      <c r="O178" s="12"/>
      <c r="P178" s="12"/>
      <c r="Q178" s="12"/>
      <c r="R178" s="359"/>
      <c r="S178" s="12"/>
      <c r="T178" s="12"/>
      <c r="U178" s="12"/>
      <c r="V178" s="12"/>
      <c r="W178" s="12"/>
      <c r="X178" s="12"/>
      <c r="Y178" s="12"/>
      <c r="Z178" s="359"/>
      <c r="AA178" s="12"/>
      <c r="AB178" s="12"/>
      <c r="AC178" s="12"/>
    </row>
    <row r="179" ht="15.75" customHeight="1">
      <c r="A179" s="12"/>
      <c r="B179" s="12"/>
      <c r="C179" s="12"/>
      <c r="D179" s="12"/>
      <c r="E179" s="12"/>
      <c r="F179" s="12"/>
      <c r="G179" s="12"/>
      <c r="H179" s="12"/>
      <c r="I179" s="12"/>
      <c r="J179" s="359"/>
      <c r="K179" s="12"/>
      <c r="L179" s="12"/>
      <c r="M179" s="12"/>
      <c r="N179" s="12"/>
      <c r="O179" s="12"/>
      <c r="P179" s="12"/>
      <c r="Q179" s="12"/>
      <c r="R179" s="359"/>
      <c r="S179" s="12"/>
      <c r="T179" s="12"/>
      <c r="U179" s="12"/>
      <c r="V179" s="12"/>
      <c r="W179" s="12"/>
      <c r="X179" s="12"/>
      <c r="Y179" s="12"/>
      <c r="Z179" s="359"/>
      <c r="AA179" s="12"/>
      <c r="AB179" s="12"/>
      <c r="AC179" s="12"/>
    </row>
    <row r="180" ht="15.75" customHeight="1">
      <c r="A180" s="12"/>
      <c r="B180" s="12"/>
      <c r="C180" s="12"/>
      <c r="D180" s="12"/>
      <c r="E180" s="12"/>
      <c r="F180" s="12"/>
      <c r="G180" s="12"/>
      <c r="H180" s="12"/>
      <c r="I180" s="12"/>
      <c r="J180" s="359"/>
      <c r="K180" s="12"/>
      <c r="L180" s="12"/>
      <c r="M180" s="12"/>
      <c r="N180" s="12"/>
      <c r="O180" s="12"/>
      <c r="P180" s="12"/>
      <c r="Q180" s="12"/>
      <c r="R180" s="359"/>
      <c r="S180" s="12"/>
      <c r="T180" s="12"/>
      <c r="U180" s="12"/>
      <c r="V180" s="12"/>
      <c r="W180" s="12"/>
      <c r="X180" s="12"/>
      <c r="Y180" s="12"/>
      <c r="Z180" s="359"/>
      <c r="AA180" s="12"/>
      <c r="AB180" s="12"/>
      <c r="AC180" s="12"/>
    </row>
    <row r="181" ht="15.75" customHeight="1">
      <c r="A181" s="12"/>
      <c r="B181" s="12"/>
      <c r="C181" s="12"/>
      <c r="D181" s="12"/>
      <c r="E181" s="12"/>
      <c r="F181" s="12"/>
      <c r="G181" s="12"/>
      <c r="H181" s="12"/>
      <c r="I181" s="12"/>
      <c r="J181" s="359"/>
      <c r="K181" s="12"/>
      <c r="L181" s="12"/>
      <c r="M181" s="12"/>
      <c r="N181" s="12"/>
      <c r="O181" s="12"/>
      <c r="P181" s="12"/>
      <c r="Q181" s="12"/>
      <c r="R181" s="359"/>
      <c r="S181" s="12"/>
      <c r="T181" s="12"/>
      <c r="U181" s="12"/>
      <c r="V181" s="12"/>
      <c r="W181" s="12"/>
      <c r="X181" s="12"/>
      <c r="Y181" s="12"/>
      <c r="Z181" s="359"/>
      <c r="AA181" s="12"/>
      <c r="AB181" s="12"/>
      <c r="AC181" s="12"/>
    </row>
    <row r="182" ht="15.75" customHeight="1">
      <c r="A182" s="12"/>
      <c r="B182" s="12"/>
      <c r="C182" s="12"/>
      <c r="D182" s="12"/>
      <c r="E182" s="12"/>
      <c r="F182" s="12"/>
      <c r="G182" s="12"/>
      <c r="H182" s="12"/>
      <c r="I182" s="12"/>
      <c r="J182" s="359"/>
      <c r="K182" s="12"/>
      <c r="L182" s="12"/>
      <c r="M182" s="12"/>
      <c r="N182" s="12"/>
      <c r="O182" s="12"/>
      <c r="P182" s="12"/>
      <c r="Q182" s="12"/>
      <c r="R182" s="359"/>
      <c r="S182" s="12"/>
      <c r="T182" s="12"/>
      <c r="U182" s="12"/>
      <c r="V182" s="12"/>
      <c r="W182" s="12"/>
      <c r="X182" s="12"/>
      <c r="Y182" s="12"/>
      <c r="Z182" s="359"/>
      <c r="AA182" s="12"/>
      <c r="AB182" s="12"/>
      <c r="AC182" s="12"/>
    </row>
    <row r="183" ht="15.75" customHeight="1">
      <c r="A183" s="12"/>
      <c r="B183" s="12"/>
      <c r="C183" s="12"/>
      <c r="D183" s="12"/>
      <c r="E183" s="12"/>
      <c r="F183" s="12"/>
      <c r="G183" s="12"/>
      <c r="H183" s="12"/>
      <c r="I183" s="12"/>
      <c r="J183" s="359"/>
      <c r="K183" s="12"/>
      <c r="L183" s="12"/>
      <c r="M183" s="12"/>
      <c r="N183" s="12"/>
      <c r="O183" s="12"/>
      <c r="P183" s="12"/>
      <c r="Q183" s="12"/>
      <c r="R183" s="359"/>
      <c r="S183" s="12"/>
      <c r="T183" s="12"/>
      <c r="U183" s="12"/>
      <c r="V183" s="12"/>
      <c r="W183" s="12"/>
      <c r="X183" s="12"/>
      <c r="Y183" s="12"/>
      <c r="Z183" s="359"/>
      <c r="AA183" s="12"/>
      <c r="AB183" s="12"/>
      <c r="AC183" s="12"/>
    </row>
    <row r="184" ht="15.75" customHeight="1">
      <c r="A184" s="12"/>
      <c r="B184" s="12"/>
      <c r="C184" s="12"/>
      <c r="D184" s="12"/>
      <c r="E184" s="12"/>
      <c r="F184" s="12"/>
      <c r="G184" s="12"/>
      <c r="H184" s="12"/>
      <c r="I184" s="12"/>
      <c r="J184" s="359"/>
      <c r="K184" s="12"/>
      <c r="L184" s="12"/>
      <c r="M184" s="12"/>
      <c r="N184" s="12"/>
      <c r="O184" s="12"/>
      <c r="P184" s="12"/>
      <c r="Q184" s="12"/>
      <c r="R184" s="359"/>
      <c r="S184" s="12"/>
      <c r="T184" s="12"/>
      <c r="U184" s="12"/>
      <c r="V184" s="12"/>
      <c r="W184" s="12"/>
      <c r="X184" s="12"/>
      <c r="Y184" s="12"/>
      <c r="Z184" s="359"/>
      <c r="AA184" s="12"/>
      <c r="AB184" s="12"/>
      <c r="AC184" s="12"/>
    </row>
    <row r="185" ht="15.75" customHeight="1">
      <c r="A185" s="12"/>
      <c r="B185" s="12"/>
      <c r="C185" s="12"/>
      <c r="D185" s="12"/>
      <c r="E185" s="12"/>
      <c r="F185" s="12"/>
      <c r="G185" s="12"/>
      <c r="H185" s="12"/>
      <c r="I185" s="12"/>
      <c r="J185" s="359"/>
      <c r="K185" s="12"/>
      <c r="L185" s="12"/>
      <c r="M185" s="12"/>
      <c r="N185" s="12"/>
      <c r="O185" s="12"/>
      <c r="P185" s="12"/>
      <c r="Q185" s="12"/>
      <c r="R185" s="359"/>
      <c r="S185" s="12"/>
      <c r="T185" s="12"/>
      <c r="U185" s="12"/>
      <c r="V185" s="12"/>
      <c r="W185" s="12"/>
      <c r="X185" s="12"/>
      <c r="Y185" s="12"/>
      <c r="Z185" s="359"/>
      <c r="AA185" s="12"/>
      <c r="AB185" s="12"/>
      <c r="AC185" s="12"/>
    </row>
    <row r="186" ht="15.75" customHeight="1">
      <c r="A186" s="12"/>
      <c r="B186" s="12"/>
      <c r="C186" s="12"/>
      <c r="D186" s="12"/>
      <c r="E186" s="12"/>
      <c r="F186" s="12"/>
      <c r="G186" s="12"/>
      <c r="H186" s="12"/>
      <c r="I186" s="12"/>
      <c r="J186" s="359"/>
      <c r="K186" s="12"/>
      <c r="L186" s="12"/>
      <c r="M186" s="12"/>
      <c r="N186" s="12"/>
      <c r="O186" s="12"/>
      <c r="P186" s="12"/>
      <c r="Q186" s="12"/>
      <c r="R186" s="359"/>
      <c r="S186" s="12"/>
      <c r="T186" s="12"/>
      <c r="U186" s="12"/>
      <c r="V186" s="12"/>
      <c r="W186" s="12"/>
      <c r="X186" s="12"/>
      <c r="Y186" s="12"/>
      <c r="Z186" s="359"/>
      <c r="AA186" s="12"/>
      <c r="AB186" s="12"/>
      <c r="AC186" s="12"/>
    </row>
    <row r="187" ht="15.75" customHeight="1">
      <c r="A187" s="12"/>
      <c r="B187" s="12"/>
      <c r="C187" s="12"/>
      <c r="D187" s="12"/>
      <c r="E187" s="12"/>
      <c r="F187" s="12"/>
      <c r="G187" s="12"/>
      <c r="H187" s="12"/>
      <c r="I187" s="12"/>
      <c r="J187" s="359"/>
      <c r="K187" s="12"/>
      <c r="L187" s="12"/>
      <c r="M187" s="12"/>
      <c r="N187" s="12"/>
      <c r="O187" s="12"/>
      <c r="P187" s="12"/>
      <c r="Q187" s="12"/>
      <c r="R187" s="359"/>
      <c r="S187" s="12"/>
      <c r="T187" s="12"/>
      <c r="U187" s="12"/>
      <c r="V187" s="12"/>
      <c r="W187" s="12"/>
      <c r="X187" s="12"/>
      <c r="Y187" s="12"/>
      <c r="Z187" s="359"/>
      <c r="AA187" s="12"/>
      <c r="AB187" s="12"/>
      <c r="AC187" s="12"/>
    </row>
    <row r="188" ht="15.75" customHeight="1">
      <c r="A188" s="12"/>
      <c r="B188" s="12"/>
      <c r="C188" s="12"/>
      <c r="D188" s="12"/>
      <c r="E188" s="12"/>
      <c r="F188" s="12"/>
      <c r="G188" s="12"/>
      <c r="H188" s="12"/>
      <c r="I188" s="12"/>
      <c r="J188" s="359"/>
      <c r="K188" s="12"/>
      <c r="L188" s="12"/>
      <c r="M188" s="12"/>
      <c r="N188" s="12"/>
      <c r="O188" s="12"/>
      <c r="P188" s="12"/>
      <c r="Q188" s="12"/>
      <c r="R188" s="359"/>
      <c r="S188" s="12"/>
      <c r="T188" s="12"/>
      <c r="U188" s="12"/>
      <c r="V188" s="12"/>
      <c r="W188" s="12"/>
      <c r="X188" s="12"/>
      <c r="Y188" s="12"/>
      <c r="Z188" s="359"/>
      <c r="AA188" s="12"/>
      <c r="AB188" s="12"/>
      <c r="AC188" s="12"/>
    </row>
    <row r="189" ht="15.75" customHeight="1">
      <c r="A189" s="12"/>
      <c r="B189" s="12"/>
      <c r="C189" s="12"/>
      <c r="D189" s="12"/>
      <c r="E189" s="12"/>
      <c r="F189" s="12"/>
      <c r="G189" s="12"/>
      <c r="H189" s="12"/>
      <c r="I189" s="12"/>
      <c r="J189" s="359"/>
      <c r="K189" s="12"/>
      <c r="L189" s="12"/>
      <c r="M189" s="12"/>
      <c r="N189" s="12"/>
      <c r="O189" s="12"/>
      <c r="P189" s="12"/>
      <c r="Q189" s="12"/>
      <c r="R189" s="359"/>
      <c r="S189" s="12"/>
      <c r="T189" s="12"/>
      <c r="U189" s="12"/>
      <c r="V189" s="12"/>
      <c r="W189" s="12"/>
      <c r="X189" s="12"/>
      <c r="Y189" s="12"/>
      <c r="Z189" s="359"/>
      <c r="AA189" s="12"/>
      <c r="AB189" s="12"/>
      <c r="AC189" s="12"/>
    </row>
    <row r="190" ht="15.75" customHeight="1">
      <c r="A190" s="12"/>
      <c r="B190" s="12"/>
      <c r="C190" s="12"/>
      <c r="D190" s="12"/>
      <c r="E190" s="12"/>
      <c r="F190" s="12"/>
      <c r="G190" s="12"/>
      <c r="H190" s="12"/>
      <c r="I190" s="12"/>
      <c r="J190" s="359"/>
      <c r="K190" s="12"/>
      <c r="L190" s="12"/>
      <c r="M190" s="12"/>
      <c r="N190" s="12"/>
      <c r="O190" s="12"/>
      <c r="P190" s="12"/>
      <c r="Q190" s="12"/>
      <c r="R190" s="359"/>
      <c r="S190" s="12"/>
      <c r="T190" s="12"/>
      <c r="U190" s="12"/>
      <c r="V190" s="12"/>
      <c r="W190" s="12"/>
      <c r="X190" s="12"/>
      <c r="Y190" s="12"/>
      <c r="Z190" s="359"/>
      <c r="AA190" s="12"/>
      <c r="AB190" s="12"/>
      <c r="AC190" s="12"/>
    </row>
    <row r="191" ht="15.75" customHeight="1">
      <c r="A191" s="12"/>
      <c r="B191" s="12"/>
      <c r="C191" s="12"/>
      <c r="D191" s="12"/>
      <c r="E191" s="12"/>
      <c r="F191" s="12"/>
      <c r="G191" s="12"/>
      <c r="H191" s="12"/>
      <c r="I191" s="12"/>
      <c r="J191" s="359"/>
      <c r="K191" s="12"/>
      <c r="L191" s="12"/>
      <c r="M191" s="12"/>
      <c r="N191" s="12"/>
      <c r="O191" s="12"/>
      <c r="P191" s="12"/>
      <c r="Q191" s="12"/>
      <c r="R191" s="359"/>
      <c r="S191" s="12"/>
      <c r="T191" s="12"/>
      <c r="U191" s="12"/>
      <c r="V191" s="12"/>
      <c r="W191" s="12"/>
      <c r="X191" s="12"/>
      <c r="Y191" s="12"/>
      <c r="Z191" s="359"/>
      <c r="AA191" s="12"/>
      <c r="AB191" s="12"/>
      <c r="AC191" s="12"/>
    </row>
    <row r="192" ht="15.75" customHeight="1">
      <c r="A192" s="12"/>
      <c r="B192" s="12"/>
      <c r="C192" s="12"/>
      <c r="D192" s="12"/>
      <c r="E192" s="12"/>
      <c r="F192" s="12"/>
      <c r="G192" s="12"/>
      <c r="H192" s="12"/>
      <c r="I192" s="12"/>
      <c r="J192" s="359"/>
      <c r="K192" s="12"/>
      <c r="L192" s="12"/>
      <c r="M192" s="12"/>
      <c r="N192" s="12"/>
      <c r="O192" s="12"/>
      <c r="P192" s="12"/>
      <c r="Q192" s="12"/>
      <c r="R192" s="359"/>
      <c r="S192" s="12"/>
      <c r="T192" s="12"/>
      <c r="U192" s="12"/>
      <c r="V192" s="12"/>
      <c r="W192" s="12"/>
      <c r="X192" s="12"/>
      <c r="Y192" s="12"/>
      <c r="Z192" s="359"/>
      <c r="AA192" s="12"/>
      <c r="AB192" s="12"/>
      <c r="AC192" s="12"/>
    </row>
    <row r="193" ht="15.75" customHeight="1">
      <c r="A193" s="12"/>
      <c r="B193" s="12"/>
      <c r="C193" s="12"/>
      <c r="D193" s="12"/>
      <c r="E193" s="12"/>
      <c r="F193" s="12"/>
      <c r="G193" s="12"/>
      <c r="H193" s="12"/>
      <c r="I193" s="12"/>
      <c r="J193" s="359"/>
      <c r="K193" s="12"/>
      <c r="L193" s="12"/>
      <c r="M193" s="12"/>
      <c r="N193" s="12"/>
      <c r="O193" s="12"/>
      <c r="P193" s="12"/>
      <c r="Q193" s="12"/>
      <c r="R193" s="359"/>
      <c r="S193" s="12"/>
      <c r="T193" s="12"/>
      <c r="U193" s="12"/>
      <c r="V193" s="12"/>
      <c r="W193" s="12"/>
      <c r="X193" s="12"/>
      <c r="Y193" s="12"/>
      <c r="Z193" s="359"/>
      <c r="AA193" s="12"/>
      <c r="AB193" s="12"/>
      <c r="AC193" s="12"/>
    </row>
    <row r="194" ht="15.75" customHeight="1">
      <c r="A194" s="12"/>
      <c r="B194" s="12"/>
      <c r="C194" s="12"/>
      <c r="D194" s="12"/>
      <c r="E194" s="12"/>
      <c r="F194" s="12"/>
      <c r="G194" s="12"/>
      <c r="H194" s="12"/>
      <c r="I194" s="12"/>
      <c r="J194" s="359"/>
      <c r="K194" s="12"/>
      <c r="L194" s="12"/>
      <c r="M194" s="12"/>
      <c r="N194" s="12"/>
      <c r="O194" s="12"/>
      <c r="P194" s="12"/>
      <c r="Q194" s="12"/>
      <c r="R194" s="359"/>
      <c r="S194" s="12"/>
      <c r="T194" s="12"/>
      <c r="U194" s="12"/>
      <c r="V194" s="12"/>
      <c r="W194" s="12"/>
      <c r="X194" s="12"/>
      <c r="Y194" s="12"/>
      <c r="Z194" s="359"/>
      <c r="AA194" s="12"/>
      <c r="AB194" s="12"/>
      <c r="AC194" s="12"/>
    </row>
    <row r="195" ht="15.75" customHeight="1">
      <c r="A195" s="12"/>
      <c r="B195" s="12"/>
      <c r="C195" s="12"/>
      <c r="D195" s="12"/>
      <c r="E195" s="12"/>
      <c r="F195" s="12"/>
      <c r="G195" s="12"/>
      <c r="H195" s="12"/>
      <c r="I195" s="12"/>
      <c r="J195" s="359"/>
      <c r="K195" s="12"/>
      <c r="L195" s="12"/>
      <c r="M195" s="12"/>
      <c r="N195" s="12"/>
      <c r="O195" s="12"/>
      <c r="P195" s="12"/>
      <c r="Q195" s="12"/>
      <c r="R195" s="359"/>
      <c r="S195" s="12"/>
      <c r="T195" s="12"/>
      <c r="U195" s="12"/>
      <c r="V195" s="12"/>
      <c r="W195" s="12"/>
      <c r="X195" s="12"/>
      <c r="Y195" s="12"/>
      <c r="Z195" s="359"/>
      <c r="AA195" s="12"/>
      <c r="AB195" s="12"/>
      <c r="AC195" s="12"/>
    </row>
    <row r="196" ht="15.75" customHeight="1">
      <c r="A196" s="12"/>
      <c r="B196" s="12"/>
      <c r="C196" s="12"/>
      <c r="D196" s="12"/>
      <c r="E196" s="12"/>
      <c r="F196" s="12"/>
      <c r="G196" s="12"/>
      <c r="H196" s="12"/>
      <c r="I196" s="12"/>
      <c r="J196" s="359"/>
      <c r="K196" s="12"/>
      <c r="L196" s="12"/>
      <c r="M196" s="12"/>
      <c r="N196" s="12"/>
      <c r="O196" s="12"/>
      <c r="P196" s="12"/>
      <c r="Q196" s="12"/>
      <c r="R196" s="359"/>
      <c r="S196" s="12"/>
      <c r="T196" s="12"/>
      <c r="U196" s="12"/>
      <c r="V196" s="12"/>
      <c r="W196" s="12"/>
      <c r="X196" s="12"/>
      <c r="Y196" s="12"/>
      <c r="Z196" s="359"/>
      <c r="AA196" s="12"/>
      <c r="AB196" s="12"/>
      <c r="AC196" s="12"/>
    </row>
    <row r="197" ht="15.75" customHeight="1">
      <c r="A197" s="12"/>
      <c r="B197" s="12"/>
      <c r="C197" s="12"/>
      <c r="D197" s="12"/>
      <c r="E197" s="12"/>
      <c r="F197" s="12"/>
      <c r="G197" s="12"/>
      <c r="H197" s="12"/>
      <c r="I197" s="12"/>
      <c r="J197" s="359"/>
      <c r="K197" s="12"/>
      <c r="L197" s="12"/>
      <c r="M197" s="12"/>
      <c r="N197" s="12"/>
      <c r="O197" s="12"/>
      <c r="P197" s="12"/>
      <c r="Q197" s="12"/>
      <c r="R197" s="359"/>
      <c r="S197" s="12"/>
      <c r="T197" s="12"/>
      <c r="U197" s="12"/>
      <c r="V197" s="12"/>
      <c r="W197" s="12"/>
      <c r="X197" s="12"/>
      <c r="Y197" s="12"/>
      <c r="Z197" s="359"/>
      <c r="AA197" s="12"/>
      <c r="AB197" s="12"/>
      <c r="AC197" s="12"/>
    </row>
    <row r="198" ht="15.75" customHeight="1">
      <c r="A198" s="12"/>
      <c r="B198" s="12"/>
      <c r="C198" s="12"/>
      <c r="D198" s="12"/>
      <c r="E198" s="12"/>
      <c r="F198" s="12"/>
      <c r="G198" s="12"/>
      <c r="H198" s="12"/>
      <c r="I198" s="12"/>
      <c r="J198" s="359"/>
      <c r="K198" s="12"/>
      <c r="L198" s="12"/>
      <c r="M198" s="12"/>
      <c r="N198" s="12"/>
      <c r="O198" s="12"/>
      <c r="P198" s="12"/>
      <c r="Q198" s="12"/>
      <c r="R198" s="359"/>
      <c r="S198" s="12"/>
      <c r="T198" s="12"/>
      <c r="U198" s="12"/>
      <c r="V198" s="12"/>
      <c r="W198" s="12"/>
      <c r="X198" s="12"/>
      <c r="Y198" s="12"/>
      <c r="Z198" s="359"/>
      <c r="AA198" s="12"/>
      <c r="AB198" s="12"/>
      <c r="AC198" s="12"/>
    </row>
    <row r="199" ht="15.75" customHeight="1">
      <c r="A199" s="12"/>
      <c r="B199" s="12"/>
      <c r="C199" s="12"/>
      <c r="D199" s="12"/>
      <c r="E199" s="12"/>
      <c r="F199" s="12"/>
      <c r="G199" s="12"/>
      <c r="H199" s="12"/>
      <c r="I199" s="12"/>
      <c r="J199" s="359"/>
      <c r="K199" s="12"/>
      <c r="L199" s="12"/>
      <c r="M199" s="12"/>
      <c r="N199" s="12"/>
      <c r="O199" s="12"/>
      <c r="P199" s="12"/>
      <c r="Q199" s="12"/>
      <c r="R199" s="359"/>
      <c r="S199" s="12"/>
      <c r="T199" s="12"/>
      <c r="U199" s="12"/>
      <c r="V199" s="12"/>
      <c r="W199" s="12"/>
      <c r="X199" s="12"/>
      <c r="Y199" s="12"/>
      <c r="Z199" s="359"/>
      <c r="AA199" s="12"/>
      <c r="AB199" s="12"/>
      <c r="AC199" s="12"/>
    </row>
    <row r="200" ht="15.75" customHeight="1">
      <c r="A200" s="12"/>
      <c r="B200" s="12"/>
      <c r="C200" s="12"/>
      <c r="D200" s="12"/>
      <c r="E200" s="12"/>
      <c r="F200" s="12"/>
      <c r="G200" s="12"/>
      <c r="H200" s="12"/>
      <c r="I200" s="12"/>
      <c r="J200" s="359"/>
      <c r="K200" s="12"/>
      <c r="L200" s="12"/>
      <c r="M200" s="12"/>
      <c r="N200" s="12"/>
      <c r="O200" s="12"/>
      <c r="P200" s="12"/>
      <c r="Q200" s="12"/>
      <c r="R200" s="359"/>
      <c r="S200" s="12"/>
      <c r="T200" s="12"/>
      <c r="U200" s="12"/>
      <c r="V200" s="12"/>
      <c r="W200" s="12"/>
      <c r="X200" s="12"/>
      <c r="Y200" s="12"/>
      <c r="Z200" s="359"/>
      <c r="AA200" s="12"/>
      <c r="AB200" s="12"/>
      <c r="AC200" s="12"/>
    </row>
    <row r="201" ht="15.75" customHeight="1">
      <c r="A201" s="12"/>
      <c r="B201" s="12"/>
      <c r="C201" s="12"/>
      <c r="D201" s="12"/>
      <c r="E201" s="12"/>
      <c r="F201" s="12"/>
      <c r="G201" s="12"/>
      <c r="H201" s="12"/>
      <c r="I201" s="12"/>
      <c r="J201" s="359"/>
      <c r="K201" s="12"/>
      <c r="L201" s="12"/>
      <c r="M201" s="12"/>
      <c r="N201" s="12"/>
      <c r="O201" s="12"/>
      <c r="P201" s="12"/>
      <c r="Q201" s="12"/>
      <c r="R201" s="359"/>
      <c r="S201" s="12"/>
      <c r="T201" s="12"/>
      <c r="U201" s="12"/>
      <c r="V201" s="12"/>
      <c r="W201" s="12"/>
      <c r="X201" s="12"/>
      <c r="Y201" s="12"/>
      <c r="Z201" s="359"/>
      <c r="AA201" s="12"/>
      <c r="AB201" s="12"/>
      <c r="AC201" s="12"/>
    </row>
    <row r="202" ht="15.75" customHeight="1">
      <c r="A202" s="12"/>
      <c r="B202" s="12"/>
      <c r="C202" s="12"/>
      <c r="D202" s="12"/>
      <c r="E202" s="12"/>
      <c r="F202" s="12"/>
      <c r="G202" s="12"/>
      <c r="H202" s="12"/>
      <c r="I202" s="12"/>
      <c r="J202" s="359"/>
      <c r="K202" s="12"/>
      <c r="L202" s="12"/>
      <c r="M202" s="12"/>
      <c r="N202" s="12"/>
      <c r="O202" s="12"/>
      <c r="P202" s="12"/>
      <c r="Q202" s="12"/>
      <c r="R202" s="359"/>
      <c r="S202" s="12"/>
      <c r="T202" s="12"/>
      <c r="U202" s="12"/>
      <c r="V202" s="12"/>
      <c r="W202" s="12"/>
      <c r="X202" s="12"/>
      <c r="Y202" s="12"/>
      <c r="Z202" s="359"/>
      <c r="AA202" s="12"/>
      <c r="AB202" s="12"/>
      <c r="AC202" s="12"/>
    </row>
    <row r="203" ht="15.75" customHeight="1">
      <c r="A203" s="12"/>
      <c r="B203" s="12"/>
      <c r="C203" s="12"/>
      <c r="D203" s="12"/>
      <c r="E203" s="12"/>
      <c r="F203" s="12"/>
      <c r="G203" s="12"/>
      <c r="H203" s="12"/>
      <c r="I203" s="12"/>
      <c r="J203" s="359"/>
      <c r="K203" s="12"/>
      <c r="L203" s="12"/>
      <c r="M203" s="12"/>
      <c r="N203" s="12"/>
      <c r="O203" s="12"/>
      <c r="P203" s="12"/>
      <c r="Q203" s="12"/>
      <c r="R203" s="359"/>
      <c r="S203" s="12"/>
      <c r="T203" s="12"/>
      <c r="U203" s="12"/>
      <c r="V203" s="12"/>
      <c r="W203" s="12"/>
      <c r="X203" s="12"/>
      <c r="Y203" s="12"/>
      <c r="Z203" s="359"/>
      <c r="AA203" s="12"/>
      <c r="AB203" s="12"/>
      <c r="AC203" s="12"/>
    </row>
    <row r="204" ht="15.75" customHeight="1">
      <c r="A204" s="12"/>
      <c r="B204" s="12"/>
      <c r="C204" s="12"/>
      <c r="D204" s="12"/>
      <c r="E204" s="12"/>
      <c r="F204" s="12"/>
      <c r="G204" s="12"/>
      <c r="H204" s="12"/>
      <c r="I204" s="12"/>
      <c r="J204" s="359"/>
      <c r="K204" s="12"/>
      <c r="L204" s="12"/>
      <c r="M204" s="12"/>
      <c r="N204" s="12"/>
      <c r="O204" s="12"/>
      <c r="P204" s="12"/>
      <c r="Q204" s="12"/>
      <c r="R204" s="359"/>
      <c r="S204" s="12"/>
      <c r="T204" s="12"/>
      <c r="U204" s="12"/>
      <c r="V204" s="12"/>
      <c r="W204" s="12"/>
      <c r="X204" s="12"/>
      <c r="Y204" s="12"/>
      <c r="Z204" s="359"/>
      <c r="AA204" s="12"/>
      <c r="AB204" s="12"/>
      <c r="AC204" s="12"/>
    </row>
    <row r="205" ht="15.75" customHeight="1">
      <c r="A205" s="12"/>
      <c r="B205" s="12"/>
      <c r="C205" s="12"/>
      <c r="D205" s="12"/>
      <c r="E205" s="12"/>
      <c r="F205" s="12"/>
      <c r="G205" s="12"/>
      <c r="H205" s="12"/>
      <c r="I205" s="12"/>
      <c r="J205" s="359"/>
      <c r="K205" s="12"/>
      <c r="L205" s="12"/>
      <c r="M205" s="12"/>
      <c r="N205" s="12"/>
      <c r="O205" s="12"/>
      <c r="P205" s="12"/>
      <c r="Q205" s="12"/>
      <c r="R205" s="359"/>
      <c r="S205" s="12"/>
      <c r="T205" s="12"/>
      <c r="U205" s="12"/>
      <c r="V205" s="12"/>
      <c r="W205" s="12"/>
      <c r="X205" s="12"/>
      <c r="Y205" s="12"/>
      <c r="Z205" s="359"/>
      <c r="AA205" s="12"/>
      <c r="AB205" s="12"/>
      <c r="AC205" s="12"/>
    </row>
    <row r="206" ht="15.75" customHeight="1">
      <c r="A206" s="12"/>
      <c r="B206" s="12"/>
      <c r="C206" s="12"/>
      <c r="D206" s="12"/>
      <c r="E206" s="12"/>
      <c r="F206" s="12"/>
      <c r="G206" s="12"/>
      <c r="H206" s="12"/>
      <c r="I206" s="12"/>
      <c r="J206" s="359"/>
      <c r="K206" s="12"/>
      <c r="L206" s="12"/>
      <c r="M206" s="12"/>
      <c r="N206" s="12"/>
      <c r="O206" s="12"/>
      <c r="P206" s="12"/>
      <c r="Q206" s="12"/>
      <c r="R206" s="359"/>
      <c r="S206" s="12"/>
      <c r="T206" s="12"/>
      <c r="U206" s="12"/>
      <c r="V206" s="12"/>
      <c r="W206" s="12"/>
      <c r="X206" s="12"/>
      <c r="Y206" s="12"/>
      <c r="Z206" s="359"/>
      <c r="AA206" s="12"/>
      <c r="AB206" s="12"/>
      <c r="AC206" s="12"/>
    </row>
    <row r="207" ht="15.75" customHeight="1">
      <c r="A207" s="12"/>
      <c r="B207" s="12"/>
      <c r="C207" s="12"/>
      <c r="D207" s="12"/>
      <c r="E207" s="12"/>
      <c r="F207" s="12"/>
      <c r="G207" s="12"/>
      <c r="H207" s="12"/>
      <c r="I207" s="12"/>
      <c r="J207" s="359"/>
      <c r="K207" s="12"/>
      <c r="L207" s="12"/>
      <c r="M207" s="12"/>
      <c r="N207" s="12"/>
      <c r="O207" s="12"/>
      <c r="P207" s="12"/>
      <c r="Q207" s="12"/>
      <c r="R207" s="359"/>
      <c r="S207" s="12"/>
      <c r="T207" s="12"/>
      <c r="U207" s="12"/>
      <c r="V207" s="12"/>
      <c r="W207" s="12"/>
      <c r="X207" s="12"/>
      <c r="Y207" s="12"/>
      <c r="Z207" s="359"/>
      <c r="AA207" s="12"/>
      <c r="AB207" s="12"/>
      <c r="AC207" s="12"/>
    </row>
    <row r="208" ht="15.75" customHeight="1">
      <c r="A208" s="12"/>
      <c r="B208" s="12"/>
      <c r="C208" s="12"/>
      <c r="D208" s="12"/>
      <c r="E208" s="12"/>
      <c r="F208" s="12"/>
      <c r="G208" s="12"/>
      <c r="H208" s="12"/>
      <c r="I208" s="12"/>
      <c r="J208" s="359"/>
      <c r="K208" s="12"/>
      <c r="L208" s="12"/>
      <c r="M208" s="12"/>
      <c r="N208" s="12"/>
      <c r="O208" s="12"/>
      <c r="P208" s="12"/>
      <c r="Q208" s="12"/>
      <c r="R208" s="359"/>
      <c r="S208" s="12"/>
      <c r="T208" s="12"/>
      <c r="U208" s="12"/>
      <c r="V208" s="12"/>
      <c r="W208" s="12"/>
      <c r="X208" s="12"/>
      <c r="Y208" s="12"/>
      <c r="Z208" s="359"/>
      <c r="AA208" s="12"/>
      <c r="AB208" s="12"/>
      <c r="AC208" s="12"/>
    </row>
    <row r="209" ht="15.75" customHeight="1">
      <c r="A209" s="12"/>
      <c r="B209" s="12"/>
      <c r="C209" s="12"/>
      <c r="D209" s="12"/>
      <c r="E209" s="12"/>
      <c r="F209" s="12"/>
      <c r="G209" s="12"/>
      <c r="H209" s="12"/>
      <c r="I209" s="12"/>
      <c r="J209" s="359"/>
      <c r="K209" s="12"/>
      <c r="L209" s="12"/>
      <c r="M209" s="12"/>
      <c r="N209" s="12"/>
      <c r="O209" s="12"/>
      <c r="P209" s="12"/>
      <c r="Q209" s="12"/>
      <c r="R209" s="359"/>
      <c r="S209" s="12"/>
      <c r="T209" s="12"/>
      <c r="U209" s="12"/>
      <c r="V209" s="12"/>
      <c r="W209" s="12"/>
      <c r="X209" s="12"/>
      <c r="Y209" s="12"/>
      <c r="Z209" s="359"/>
      <c r="AA209" s="12"/>
      <c r="AB209" s="12"/>
      <c r="AC209" s="12"/>
    </row>
    <row r="210" ht="15.75" customHeight="1">
      <c r="A210" s="12"/>
      <c r="B210" s="12"/>
      <c r="C210" s="12"/>
      <c r="D210" s="12"/>
      <c r="E210" s="12"/>
      <c r="F210" s="12"/>
      <c r="G210" s="12"/>
      <c r="H210" s="12"/>
      <c r="I210" s="12"/>
      <c r="J210" s="359"/>
      <c r="K210" s="12"/>
      <c r="L210" s="12"/>
      <c r="M210" s="12"/>
      <c r="N210" s="12"/>
      <c r="O210" s="12"/>
      <c r="P210" s="12"/>
      <c r="Q210" s="12"/>
      <c r="R210" s="359"/>
      <c r="S210" s="12"/>
      <c r="T210" s="12"/>
      <c r="U210" s="12"/>
      <c r="V210" s="12"/>
      <c r="W210" s="12"/>
      <c r="X210" s="12"/>
      <c r="Y210" s="12"/>
      <c r="Z210" s="359"/>
      <c r="AA210" s="12"/>
      <c r="AB210" s="12"/>
      <c r="AC210" s="12"/>
    </row>
    <row r="211" ht="15.75" customHeight="1">
      <c r="A211" s="12"/>
      <c r="B211" s="12"/>
      <c r="C211" s="12"/>
      <c r="D211" s="12"/>
      <c r="E211" s="12"/>
      <c r="F211" s="12"/>
      <c r="G211" s="12"/>
      <c r="H211" s="12"/>
      <c r="I211" s="12"/>
      <c r="J211" s="359"/>
      <c r="K211" s="12"/>
      <c r="L211" s="12"/>
      <c r="M211" s="12"/>
      <c r="N211" s="12"/>
      <c r="O211" s="12"/>
      <c r="P211" s="12"/>
      <c r="Q211" s="12"/>
      <c r="R211" s="359"/>
      <c r="S211" s="12"/>
      <c r="T211" s="12"/>
      <c r="U211" s="12"/>
      <c r="V211" s="12"/>
      <c r="W211" s="12"/>
      <c r="X211" s="12"/>
      <c r="Y211" s="12"/>
      <c r="Z211" s="359"/>
      <c r="AA211" s="12"/>
      <c r="AB211" s="12"/>
      <c r="AC211" s="12"/>
    </row>
    <row r="212" ht="15.75" customHeight="1">
      <c r="A212" s="12"/>
      <c r="B212" s="12"/>
      <c r="C212" s="12"/>
      <c r="D212" s="12"/>
      <c r="E212" s="12"/>
      <c r="F212" s="12"/>
      <c r="G212" s="12"/>
      <c r="H212" s="12"/>
      <c r="I212" s="12"/>
      <c r="J212" s="359"/>
      <c r="K212" s="12"/>
      <c r="L212" s="12"/>
      <c r="M212" s="12"/>
      <c r="N212" s="12"/>
      <c r="O212" s="12"/>
      <c r="P212" s="12"/>
      <c r="Q212" s="12"/>
      <c r="R212" s="359"/>
      <c r="S212" s="12"/>
      <c r="T212" s="12"/>
      <c r="U212" s="12"/>
      <c r="V212" s="12"/>
      <c r="W212" s="12"/>
      <c r="X212" s="12"/>
      <c r="Y212" s="12"/>
      <c r="Z212" s="359"/>
      <c r="AA212" s="12"/>
      <c r="AB212" s="12"/>
      <c r="AC212" s="12"/>
    </row>
    <row r="213" ht="15.75" customHeight="1">
      <c r="A213" s="12"/>
      <c r="B213" s="12"/>
      <c r="C213" s="12"/>
      <c r="D213" s="12"/>
      <c r="E213" s="12"/>
      <c r="F213" s="12"/>
      <c r="G213" s="12"/>
      <c r="H213" s="12"/>
      <c r="I213" s="12"/>
      <c r="J213" s="359"/>
      <c r="K213" s="12"/>
      <c r="L213" s="12"/>
      <c r="M213" s="12"/>
      <c r="N213" s="12"/>
      <c r="O213" s="12"/>
      <c r="P213" s="12"/>
      <c r="Q213" s="12"/>
      <c r="R213" s="359"/>
      <c r="S213" s="12"/>
      <c r="T213" s="12"/>
      <c r="U213" s="12"/>
      <c r="V213" s="12"/>
      <c r="W213" s="12"/>
      <c r="X213" s="12"/>
      <c r="Y213" s="12"/>
      <c r="Z213" s="359"/>
      <c r="AA213" s="12"/>
      <c r="AB213" s="12"/>
      <c r="AC213" s="12"/>
    </row>
    <row r="214" ht="15.75" customHeight="1">
      <c r="A214" s="12"/>
      <c r="B214" s="12"/>
      <c r="C214" s="12"/>
      <c r="D214" s="12"/>
      <c r="E214" s="12"/>
      <c r="F214" s="12"/>
      <c r="G214" s="12"/>
      <c r="H214" s="12"/>
      <c r="I214" s="12"/>
      <c r="J214" s="359"/>
      <c r="K214" s="12"/>
      <c r="L214" s="12"/>
      <c r="M214" s="12"/>
      <c r="N214" s="12"/>
      <c r="O214" s="12"/>
      <c r="P214" s="12"/>
      <c r="Q214" s="12"/>
      <c r="R214" s="359"/>
      <c r="S214" s="12"/>
      <c r="T214" s="12"/>
      <c r="U214" s="12"/>
      <c r="V214" s="12"/>
      <c r="W214" s="12"/>
      <c r="X214" s="12"/>
      <c r="Y214" s="12"/>
      <c r="Z214" s="359"/>
      <c r="AA214" s="12"/>
      <c r="AB214" s="12"/>
      <c r="AC214" s="12"/>
    </row>
    <row r="215" ht="15.75" customHeight="1">
      <c r="A215" s="12"/>
      <c r="B215" s="12"/>
      <c r="C215" s="12"/>
      <c r="D215" s="12"/>
      <c r="E215" s="12"/>
      <c r="F215" s="12"/>
      <c r="G215" s="12"/>
      <c r="H215" s="12"/>
      <c r="I215" s="12"/>
      <c r="J215" s="359"/>
      <c r="K215" s="12"/>
      <c r="L215" s="12"/>
      <c r="M215" s="12"/>
      <c r="N215" s="12"/>
      <c r="O215" s="12"/>
      <c r="P215" s="12"/>
      <c r="Q215" s="12"/>
      <c r="R215" s="359"/>
      <c r="S215" s="12"/>
      <c r="T215" s="12"/>
      <c r="U215" s="12"/>
      <c r="V215" s="12"/>
      <c r="W215" s="12"/>
      <c r="X215" s="12"/>
      <c r="Y215" s="12"/>
      <c r="Z215" s="359"/>
      <c r="AA215" s="12"/>
      <c r="AB215" s="12"/>
      <c r="AC215" s="12"/>
    </row>
    <row r="216" ht="15.75" customHeight="1">
      <c r="A216" s="12"/>
      <c r="B216" s="12"/>
      <c r="C216" s="12"/>
      <c r="D216" s="12"/>
      <c r="E216" s="12"/>
      <c r="F216" s="12"/>
      <c r="G216" s="12"/>
      <c r="H216" s="12"/>
      <c r="I216" s="12"/>
      <c r="J216" s="359"/>
      <c r="K216" s="12"/>
      <c r="L216" s="12"/>
      <c r="M216" s="12"/>
      <c r="N216" s="12"/>
      <c r="O216" s="12"/>
      <c r="P216" s="12"/>
      <c r="Q216" s="12"/>
      <c r="R216" s="359"/>
      <c r="S216" s="12"/>
      <c r="T216" s="12"/>
      <c r="U216" s="12"/>
      <c r="V216" s="12"/>
      <c r="W216" s="12"/>
      <c r="X216" s="12"/>
      <c r="Y216" s="12"/>
      <c r="Z216" s="359"/>
      <c r="AA216" s="12"/>
      <c r="AB216" s="12"/>
      <c r="AC216" s="12"/>
    </row>
    <row r="217" ht="15.75" customHeight="1">
      <c r="A217" s="12"/>
      <c r="B217" s="12"/>
      <c r="C217" s="12"/>
      <c r="D217" s="12"/>
      <c r="E217" s="12"/>
      <c r="F217" s="12"/>
      <c r="G217" s="12"/>
      <c r="H217" s="12"/>
      <c r="I217" s="12"/>
      <c r="J217" s="359"/>
      <c r="K217" s="12"/>
      <c r="L217" s="12"/>
      <c r="M217" s="12"/>
      <c r="N217" s="12"/>
      <c r="O217" s="12"/>
      <c r="P217" s="12"/>
      <c r="Q217" s="12"/>
      <c r="R217" s="359"/>
      <c r="S217" s="12"/>
      <c r="T217" s="12"/>
      <c r="U217" s="12"/>
      <c r="V217" s="12"/>
      <c r="W217" s="12"/>
      <c r="X217" s="12"/>
      <c r="Y217" s="12"/>
      <c r="Z217" s="359"/>
      <c r="AA217" s="12"/>
      <c r="AB217" s="12"/>
      <c r="AC217" s="12"/>
    </row>
    <row r="218" ht="15.75" customHeight="1">
      <c r="A218" s="12"/>
      <c r="B218" s="12"/>
      <c r="C218" s="12"/>
      <c r="D218" s="12"/>
      <c r="E218" s="12"/>
      <c r="F218" s="12"/>
      <c r="G218" s="12"/>
      <c r="H218" s="12"/>
      <c r="I218" s="12"/>
      <c r="J218" s="359"/>
      <c r="K218" s="12"/>
      <c r="L218" s="12"/>
      <c r="M218" s="12"/>
      <c r="N218" s="12"/>
      <c r="O218" s="12"/>
      <c r="P218" s="12"/>
      <c r="Q218" s="12"/>
      <c r="R218" s="359"/>
      <c r="S218" s="12"/>
      <c r="T218" s="12"/>
      <c r="U218" s="12"/>
      <c r="V218" s="12"/>
      <c r="W218" s="12"/>
      <c r="X218" s="12"/>
      <c r="Y218" s="12"/>
      <c r="Z218" s="359"/>
      <c r="AA218" s="12"/>
      <c r="AB218" s="12"/>
      <c r="AC218" s="12"/>
    </row>
    <row r="219" ht="15.75" customHeight="1">
      <c r="A219" s="12"/>
      <c r="B219" s="12"/>
      <c r="C219" s="12"/>
      <c r="D219" s="12"/>
      <c r="E219" s="12"/>
      <c r="F219" s="12"/>
      <c r="G219" s="12"/>
      <c r="H219" s="12"/>
      <c r="I219" s="12"/>
      <c r="J219" s="359"/>
      <c r="K219" s="12"/>
      <c r="L219" s="12"/>
      <c r="M219" s="12"/>
      <c r="N219" s="12"/>
      <c r="O219" s="12"/>
      <c r="P219" s="12"/>
      <c r="Q219" s="12"/>
      <c r="R219" s="359"/>
      <c r="S219" s="12"/>
      <c r="T219" s="12"/>
      <c r="U219" s="12"/>
      <c r="V219" s="12"/>
      <c r="W219" s="12"/>
      <c r="X219" s="12"/>
      <c r="Y219" s="12"/>
      <c r="Z219" s="359"/>
      <c r="AA219" s="12"/>
      <c r="AB219" s="12"/>
      <c r="AC219" s="12"/>
    </row>
    <row r="220" ht="15.75" customHeight="1">
      <c r="A220" s="12"/>
      <c r="B220" s="12"/>
      <c r="C220" s="12"/>
      <c r="D220" s="12"/>
      <c r="E220" s="12"/>
      <c r="F220" s="12"/>
      <c r="G220" s="12"/>
      <c r="H220" s="12"/>
      <c r="I220" s="12"/>
      <c r="J220" s="359"/>
      <c r="K220" s="12"/>
      <c r="L220" s="12"/>
      <c r="M220" s="12"/>
      <c r="N220" s="12"/>
      <c r="O220" s="12"/>
      <c r="P220" s="12"/>
      <c r="Q220" s="12"/>
      <c r="R220" s="359"/>
      <c r="S220" s="12"/>
      <c r="T220" s="12"/>
      <c r="U220" s="12"/>
      <c r="V220" s="12"/>
      <c r="W220" s="12"/>
      <c r="X220" s="12"/>
      <c r="Y220" s="12"/>
      <c r="Z220" s="359"/>
      <c r="AA220" s="12"/>
      <c r="AB220" s="12"/>
      <c r="AC220" s="12"/>
    </row>
    <row r="221" ht="15.75" customHeight="1">
      <c r="A221" s="12"/>
      <c r="B221" s="12"/>
      <c r="C221" s="12"/>
      <c r="D221" s="12"/>
      <c r="E221" s="12"/>
      <c r="F221" s="12"/>
      <c r="G221" s="12"/>
      <c r="H221" s="12"/>
      <c r="I221" s="12"/>
      <c r="J221" s="359"/>
      <c r="K221" s="12"/>
      <c r="L221" s="12"/>
      <c r="M221" s="12"/>
      <c r="N221" s="12"/>
      <c r="O221" s="12"/>
      <c r="P221" s="12"/>
      <c r="Q221" s="12"/>
      <c r="R221" s="359"/>
      <c r="S221" s="12"/>
      <c r="T221" s="12"/>
      <c r="U221" s="12"/>
      <c r="V221" s="12"/>
      <c r="W221" s="12"/>
      <c r="X221" s="12"/>
      <c r="Y221" s="12"/>
      <c r="Z221" s="359"/>
      <c r="AA221" s="12"/>
      <c r="AB221" s="12"/>
      <c r="AC221" s="12"/>
    </row>
    <row r="222" ht="15.75" customHeight="1">
      <c r="A222" s="12"/>
      <c r="B222" s="12"/>
      <c r="C222" s="12"/>
      <c r="D222" s="12"/>
      <c r="E222" s="12"/>
      <c r="F222" s="12"/>
      <c r="G222" s="12"/>
      <c r="H222" s="12"/>
      <c r="I222" s="12"/>
      <c r="J222" s="359"/>
      <c r="K222" s="12"/>
      <c r="L222" s="12"/>
      <c r="M222" s="12"/>
      <c r="N222" s="12"/>
      <c r="O222" s="12"/>
      <c r="P222" s="12"/>
      <c r="Q222" s="12"/>
      <c r="R222" s="359"/>
      <c r="S222" s="12"/>
      <c r="T222" s="12"/>
      <c r="U222" s="12"/>
      <c r="V222" s="12"/>
      <c r="W222" s="12"/>
      <c r="X222" s="12"/>
      <c r="Y222" s="12"/>
      <c r="Z222" s="359"/>
      <c r="AA222" s="12"/>
      <c r="AB222" s="12"/>
      <c r="AC222" s="12"/>
    </row>
    <row r="223" ht="15.75" customHeight="1">
      <c r="A223" s="12"/>
      <c r="B223" s="12"/>
      <c r="C223" s="12"/>
      <c r="D223" s="12"/>
      <c r="E223" s="12"/>
      <c r="F223" s="12"/>
      <c r="G223" s="12"/>
      <c r="H223" s="12"/>
      <c r="I223" s="12"/>
      <c r="J223" s="359"/>
      <c r="K223" s="12"/>
      <c r="L223" s="12"/>
      <c r="M223" s="12"/>
      <c r="N223" s="12"/>
      <c r="O223" s="12"/>
      <c r="P223" s="12"/>
      <c r="Q223" s="12"/>
      <c r="R223" s="359"/>
      <c r="S223" s="12"/>
      <c r="T223" s="12"/>
      <c r="U223" s="12"/>
      <c r="V223" s="12"/>
      <c r="W223" s="12"/>
      <c r="X223" s="12"/>
      <c r="Y223" s="12"/>
      <c r="Z223" s="359"/>
      <c r="AA223" s="12"/>
      <c r="AB223" s="12"/>
      <c r="AC223" s="12"/>
    </row>
    <row r="224" ht="15.75" customHeight="1">
      <c r="A224" s="12"/>
      <c r="B224" s="12"/>
      <c r="C224" s="12"/>
      <c r="D224" s="12"/>
      <c r="E224" s="12"/>
      <c r="F224" s="12"/>
      <c r="G224" s="12"/>
      <c r="H224" s="12"/>
      <c r="I224" s="12"/>
      <c r="J224" s="359"/>
      <c r="K224" s="12"/>
      <c r="L224" s="12"/>
      <c r="M224" s="12"/>
      <c r="N224" s="12"/>
      <c r="O224" s="12"/>
      <c r="P224" s="12"/>
      <c r="Q224" s="12"/>
      <c r="R224" s="359"/>
      <c r="S224" s="12"/>
      <c r="T224" s="12"/>
      <c r="U224" s="12"/>
      <c r="V224" s="12"/>
      <c r="W224" s="12"/>
      <c r="X224" s="12"/>
      <c r="Y224" s="12"/>
      <c r="Z224" s="359"/>
      <c r="AA224" s="12"/>
      <c r="AB224" s="12"/>
      <c r="AC224" s="12"/>
    </row>
    <row r="225" ht="15.75" customHeight="1">
      <c r="A225" s="12"/>
      <c r="B225" s="12"/>
      <c r="C225" s="12"/>
      <c r="D225" s="12"/>
      <c r="E225" s="12"/>
      <c r="F225" s="12"/>
      <c r="G225" s="12"/>
      <c r="H225" s="12"/>
      <c r="I225" s="12"/>
      <c r="J225" s="359"/>
      <c r="K225" s="12"/>
      <c r="L225" s="12"/>
      <c r="M225" s="12"/>
      <c r="N225" s="12"/>
      <c r="O225" s="12"/>
      <c r="P225" s="12"/>
      <c r="Q225" s="12"/>
      <c r="R225" s="359"/>
      <c r="S225" s="12"/>
      <c r="T225" s="12"/>
      <c r="U225" s="12"/>
      <c r="V225" s="12"/>
      <c r="W225" s="12"/>
      <c r="X225" s="12"/>
      <c r="Y225" s="12"/>
      <c r="Z225" s="359"/>
      <c r="AA225" s="12"/>
      <c r="AB225" s="12"/>
      <c r="AC225" s="12"/>
    </row>
    <row r="226" ht="15.75" customHeight="1">
      <c r="A226" s="12"/>
      <c r="B226" s="12"/>
      <c r="C226" s="12"/>
      <c r="D226" s="12"/>
      <c r="E226" s="12"/>
      <c r="F226" s="12"/>
      <c r="G226" s="12"/>
      <c r="H226" s="12"/>
      <c r="I226" s="12"/>
      <c r="J226" s="359"/>
      <c r="K226" s="12"/>
      <c r="L226" s="12"/>
      <c r="M226" s="12"/>
      <c r="N226" s="12"/>
      <c r="O226" s="12"/>
      <c r="P226" s="12"/>
      <c r="Q226" s="12"/>
      <c r="R226" s="359"/>
      <c r="S226" s="12"/>
      <c r="T226" s="12"/>
      <c r="U226" s="12"/>
      <c r="V226" s="12"/>
      <c r="W226" s="12"/>
      <c r="X226" s="12"/>
      <c r="Y226" s="12"/>
      <c r="Z226" s="359"/>
      <c r="AA226" s="12"/>
      <c r="AB226" s="12"/>
      <c r="AC226" s="12"/>
    </row>
    <row r="227" ht="15.75" customHeight="1">
      <c r="A227" s="12"/>
      <c r="B227" s="12"/>
      <c r="C227" s="12"/>
      <c r="D227" s="12"/>
      <c r="E227" s="12"/>
      <c r="F227" s="12"/>
      <c r="G227" s="12"/>
      <c r="H227" s="12"/>
      <c r="I227" s="12"/>
      <c r="J227" s="359"/>
      <c r="K227" s="12"/>
      <c r="L227" s="12"/>
      <c r="M227" s="12"/>
      <c r="N227" s="12"/>
      <c r="O227" s="12"/>
      <c r="P227" s="12"/>
      <c r="Q227" s="12"/>
      <c r="R227" s="359"/>
      <c r="S227" s="12"/>
      <c r="T227" s="12"/>
      <c r="U227" s="12"/>
      <c r="V227" s="12"/>
      <c r="W227" s="12"/>
      <c r="X227" s="12"/>
      <c r="Y227" s="12"/>
      <c r="Z227" s="359"/>
      <c r="AA227" s="12"/>
      <c r="AB227" s="12"/>
      <c r="AC227" s="12"/>
    </row>
    <row r="228" ht="15.75" customHeight="1">
      <c r="A228" s="12"/>
      <c r="B228" s="12"/>
      <c r="C228" s="12"/>
      <c r="D228" s="12"/>
      <c r="E228" s="12"/>
      <c r="F228" s="12"/>
      <c r="G228" s="12"/>
      <c r="H228" s="12"/>
      <c r="I228" s="12"/>
      <c r="J228" s="359"/>
      <c r="K228" s="12"/>
      <c r="L228" s="12"/>
      <c r="M228" s="12"/>
      <c r="N228" s="12"/>
      <c r="O228" s="12"/>
      <c r="P228" s="12"/>
      <c r="Q228" s="12"/>
      <c r="R228" s="359"/>
      <c r="S228" s="12"/>
      <c r="T228" s="12"/>
      <c r="U228" s="12"/>
      <c r="V228" s="12"/>
      <c r="W228" s="12"/>
      <c r="X228" s="12"/>
      <c r="Y228" s="12"/>
      <c r="Z228" s="359"/>
      <c r="AA228" s="12"/>
      <c r="AB228" s="12"/>
      <c r="AC228" s="12"/>
    </row>
    <row r="229" ht="15.75" customHeight="1">
      <c r="A229" s="12"/>
      <c r="B229" s="12"/>
      <c r="C229" s="12"/>
      <c r="D229" s="12"/>
      <c r="E229" s="12"/>
      <c r="F229" s="12"/>
      <c r="G229" s="12"/>
      <c r="H229" s="12"/>
      <c r="I229" s="12"/>
      <c r="J229" s="359"/>
      <c r="K229" s="12"/>
      <c r="L229" s="12"/>
      <c r="M229" s="12"/>
      <c r="N229" s="12"/>
      <c r="O229" s="12"/>
      <c r="P229" s="12"/>
      <c r="Q229" s="12"/>
      <c r="R229" s="359"/>
      <c r="S229" s="12"/>
      <c r="T229" s="12"/>
      <c r="U229" s="12"/>
      <c r="V229" s="12"/>
      <c r="W229" s="12"/>
      <c r="X229" s="12"/>
      <c r="Y229" s="12"/>
      <c r="Z229" s="359"/>
      <c r="AA229" s="12"/>
      <c r="AB229" s="12"/>
      <c r="AC229" s="12"/>
    </row>
    <row r="230" ht="15.75" customHeight="1">
      <c r="A230" s="12"/>
      <c r="B230" s="12"/>
      <c r="C230" s="12"/>
      <c r="D230" s="12"/>
      <c r="E230" s="12"/>
      <c r="F230" s="12"/>
      <c r="G230" s="12"/>
      <c r="H230" s="12"/>
      <c r="I230" s="12"/>
      <c r="J230" s="359"/>
      <c r="K230" s="12"/>
      <c r="L230" s="12"/>
      <c r="M230" s="12"/>
      <c r="N230" s="12"/>
      <c r="O230" s="12"/>
      <c r="P230" s="12"/>
      <c r="Q230" s="12"/>
      <c r="R230" s="359"/>
      <c r="S230" s="12"/>
      <c r="T230" s="12"/>
      <c r="U230" s="12"/>
      <c r="V230" s="12"/>
      <c r="W230" s="12"/>
      <c r="X230" s="12"/>
      <c r="Y230" s="12"/>
      <c r="Z230" s="359"/>
      <c r="AA230" s="12"/>
      <c r="AB230" s="12"/>
      <c r="AC230" s="12"/>
    </row>
    <row r="231" ht="15.75" customHeight="1">
      <c r="A231" s="12"/>
      <c r="B231" s="12"/>
      <c r="C231" s="12"/>
      <c r="D231" s="12"/>
      <c r="E231" s="12"/>
      <c r="F231" s="12"/>
      <c r="G231" s="12"/>
      <c r="H231" s="12"/>
      <c r="I231" s="12"/>
      <c r="J231" s="359"/>
      <c r="K231" s="12"/>
      <c r="L231" s="12"/>
      <c r="M231" s="12"/>
      <c r="N231" s="12"/>
      <c r="O231" s="12"/>
      <c r="P231" s="12"/>
      <c r="Q231" s="12"/>
      <c r="R231" s="359"/>
      <c r="S231" s="12"/>
      <c r="T231" s="12"/>
      <c r="U231" s="12"/>
      <c r="V231" s="12"/>
      <c r="W231" s="12"/>
      <c r="X231" s="12"/>
      <c r="Y231" s="12"/>
      <c r="Z231" s="359"/>
      <c r="AA231" s="12"/>
      <c r="AB231" s="12"/>
      <c r="AC231" s="12"/>
    </row>
    <row r="232" ht="15.75" customHeight="1">
      <c r="A232" s="12"/>
      <c r="B232" s="12"/>
      <c r="C232" s="12"/>
      <c r="D232" s="12"/>
      <c r="E232" s="12"/>
      <c r="F232" s="12"/>
      <c r="G232" s="12"/>
      <c r="H232" s="12"/>
      <c r="I232" s="12"/>
      <c r="J232" s="359"/>
      <c r="K232" s="12"/>
      <c r="L232" s="12"/>
      <c r="M232" s="12"/>
      <c r="N232" s="12"/>
      <c r="O232" s="12"/>
      <c r="P232" s="12"/>
      <c r="Q232" s="12"/>
      <c r="R232" s="359"/>
      <c r="S232" s="12"/>
      <c r="T232" s="12"/>
      <c r="U232" s="12"/>
      <c r="V232" s="12"/>
      <c r="W232" s="12"/>
      <c r="X232" s="12"/>
      <c r="Y232" s="12"/>
      <c r="Z232" s="359"/>
      <c r="AA232" s="12"/>
      <c r="AB232" s="12"/>
      <c r="AC232" s="12"/>
    </row>
    <row r="233" ht="15.75" customHeight="1">
      <c r="A233" s="12"/>
      <c r="B233" s="12"/>
      <c r="C233" s="12"/>
      <c r="D233" s="12"/>
      <c r="E233" s="12"/>
      <c r="F233" s="12"/>
      <c r="G233" s="12"/>
      <c r="H233" s="12"/>
      <c r="I233" s="12"/>
      <c r="J233" s="359"/>
      <c r="K233" s="12"/>
      <c r="L233" s="12"/>
      <c r="M233" s="12"/>
      <c r="N233" s="12"/>
      <c r="O233" s="12"/>
      <c r="P233" s="12"/>
      <c r="Q233" s="12"/>
      <c r="R233" s="359"/>
      <c r="S233" s="12"/>
      <c r="T233" s="12"/>
      <c r="U233" s="12"/>
      <c r="V233" s="12"/>
      <c r="W233" s="12"/>
      <c r="X233" s="12"/>
      <c r="Y233" s="12"/>
      <c r="Z233" s="359"/>
      <c r="AA233" s="12"/>
      <c r="AB233" s="12"/>
      <c r="AC233" s="12"/>
    </row>
    <row r="234" ht="15.75" customHeight="1">
      <c r="A234" s="12"/>
      <c r="B234" s="12"/>
      <c r="C234" s="12"/>
      <c r="D234" s="12"/>
      <c r="E234" s="12"/>
      <c r="F234" s="12"/>
      <c r="G234" s="12"/>
      <c r="H234" s="12"/>
      <c r="I234" s="12"/>
      <c r="J234" s="359"/>
      <c r="K234" s="12"/>
      <c r="L234" s="12"/>
      <c r="M234" s="12"/>
      <c r="N234" s="12"/>
      <c r="O234" s="12"/>
      <c r="P234" s="12"/>
      <c r="Q234" s="12"/>
      <c r="R234" s="359"/>
      <c r="S234" s="12"/>
      <c r="T234" s="12"/>
      <c r="U234" s="12"/>
      <c r="V234" s="12"/>
      <c r="W234" s="12"/>
      <c r="X234" s="12"/>
      <c r="Y234" s="12"/>
      <c r="Z234" s="359"/>
      <c r="AA234" s="12"/>
      <c r="AB234" s="12"/>
      <c r="AC234" s="12"/>
    </row>
    <row r="235" ht="15.75" customHeight="1">
      <c r="A235" s="12"/>
      <c r="B235" s="12"/>
      <c r="C235" s="12"/>
      <c r="D235" s="12"/>
      <c r="E235" s="12"/>
      <c r="F235" s="12"/>
      <c r="G235" s="12"/>
      <c r="H235" s="12"/>
      <c r="I235" s="12"/>
      <c r="J235" s="359"/>
      <c r="K235" s="12"/>
      <c r="L235" s="12"/>
      <c r="M235" s="12"/>
      <c r="N235" s="12"/>
      <c r="O235" s="12"/>
      <c r="P235" s="12"/>
      <c r="Q235" s="12"/>
      <c r="R235" s="359"/>
      <c r="S235" s="12"/>
      <c r="T235" s="12"/>
      <c r="U235" s="12"/>
      <c r="V235" s="12"/>
      <c r="W235" s="12"/>
      <c r="X235" s="12"/>
      <c r="Y235" s="12"/>
      <c r="Z235" s="359"/>
      <c r="AA235" s="12"/>
      <c r="AB235" s="12"/>
      <c r="AC235" s="12"/>
    </row>
    <row r="236" ht="15.75" customHeight="1">
      <c r="A236" s="12"/>
      <c r="B236" s="12"/>
      <c r="C236" s="12"/>
      <c r="D236" s="12"/>
      <c r="E236" s="12"/>
      <c r="F236" s="12"/>
      <c r="G236" s="12"/>
      <c r="H236" s="12"/>
      <c r="I236" s="12"/>
      <c r="J236" s="359"/>
      <c r="K236" s="12"/>
      <c r="L236" s="12"/>
      <c r="M236" s="12"/>
      <c r="N236" s="12"/>
      <c r="O236" s="12"/>
      <c r="P236" s="12"/>
      <c r="Q236" s="12"/>
      <c r="R236" s="359"/>
      <c r="S236" s="12"/>
      <c r="T236" s="12"/>
      <c r="U236" s="12"/>
      <c r="V236" s="12"/>
      <c r="W236" s="12"/>
      <c r="X236" s="12"/>
      <c r="Y236" s="12"/>
      <c r="Z236" s="359"/>
      <c r="AA236" s="12"/>
      <c r="AB236" s="12"/>
      <c r="AC236" s="12"/>
    </row>
    <row r="237" ht="15.75" customHeight="1">
      <c r="A237" s="12"/>
      <c r="B237" s="12"/>
      <c r="C237" s="12"/>
      <c r="D237" s="12"/>
      <c r="E237" s="12"/>
      <c r="F237" s="12"/>
      <c r="G237" s="12"/>
      <c r="H237" s="12"/>
      <c r="I237" s="12"/>
      <c r="J237" s="359"/>
      <c r="K237" s="12"/>
      <c r="L237" s="12"/>
      <c r="M237" s="12"/>
      <c r="N237" s="12"/>
      <c r="O237" s="12"/>
      <c r="P237" s="12"/>
      <c r="Q237" s="12"/>
      <c r="R237" s="359"/>
      <c r="S237" s="12"/>
      <c r="T237" s="12"/>
      <c r="U237" s="12"/>
      <c r="V237" s="12"/>
      <c r="W237" s="12"/>
      <c r="X237" s="12"/>
      <c r="Y237" s="12"/>
      <c r="Z237" s="359"/>
      <c r="AA237" s="12"/>
      <c r="AB237" s="12"/>
      <c r="AC237" s="12"/>
    </row>
    <row r="238" ht="15.75" customHeight="1">
      <c r="A238" s="12"/>
      <c r="B238" s="12"/>
      <c r="C238" s="12"/>
      <c r="D238" s="12"/>
      <c r="E238" s="12"/>
      <c r="F238" s="12"/>
      <c r="G238" s="12"/>
      <c r="H238" s="12"/>
      <c r="I238" s="12"/>
      <c r="J238" s="359"/>
      <c r="K238" s="12"/>
      <c r="L238" s="12"/>
      <c r="M238" s="12"/>
      <c r="N238" s="12"/>
      <c r="O238" s="12"/>
      <c r="P238" s="12"/>
      <c r="Q238" s="12"/>
      <c r="R238" s="359"/>
      <c r="S238" s="12"/>
      <c r="T238" s="12"/>
      <c r="U238" s="12"/>
      <c r="V238" s="12"/>
      <c r="W238" s="12"/>
      <c r="X238" s="12"/>
      <c r="Y238" s="12"/>
      <c r="Z238" s="359"/>
      <c r="AA238" s="12"/>
      <c r="AB238" s="12"/>
      <c r="AC238" s="12"/>
    </row>
    <row r="239" ht="15.75" customHeight="1">
      <c r="A239" s="12"/>
      <c r="B239" s="12"/>
      <c r="C239" s="12"/>
      <c r="D239" s="12"/>
      <c r="E239" s="12"/>
      <c r="F239" s="12"/>
      <c r="G239" s="12"/>
      <c r="H239" s="12"/>
      <c r="I239" s="12"/>
      <c r="J239" s="359"/>
      <c r="K239" s="12"/>
      <c r="L239" s="12"/>
      <c r="M239" s="12"/>
      <c r="N239" s="12"/>
      <c r="O239" s="12"/>
      <c r="P239" s="12"/>
      <c r="Q239" s="12"/>
      <c r="R239" s="359"/>
      <c r="S239" s="12"/>
      <c r="T239" s="12"/>
      <c r="U239" s="12"/>
      <c r="V239" s="12"/>
      <c r="W239" s="12"/>
      <c r="X239" s="12"/>
      <c r="Y239" s="12"/>
      <c r="Z239" s="359"/>
      <c r="AA239" s="12"/>
      <c r="AB239" s="12"/>
      <c r="AC239" s="12"/>
    </row>
    <row r="240" ht="15.75" customHeight="1">
      <c r="A240" s="12"/>
      <c r="B240" s="12"/>
      <c r="C240" s="12"/>
      <c r="D240" s="12"/>
      <c r="E240" s="12"/>
      <c r="F240" s="12"/>
      <c r="G240" s="12"/>
      <c r="H240" s="12"/>
      <c r="I240" s="12"/>
      <c r="J240" s="359"/>
      <c r="K240" s="12"/>
      <c r="L240" s="12"/>
      <c r="M240" s="12"/>
      <c r="N240" s="12"/>
      <c r="O240" s="12"/>
      <c r="P240" s="12"/>
      <c r="Q240" s="12"/>
      <c r="R240" s="359"/>
      <c r="S240" s="12"/>
      <c r="T240" s="12"/>
      <c r="U240" s="12"/>
      <c r="V240" s="12"/>
      <c r="W240" s="12"/>
      <c r="X240" s="12"/>
      <c r="Y240" s="12"/>
      <c r="Z240" s="359"/>
      <c r="AA240" s="12"/>
      <c r="AB240" s="12"/>
      <c r="AC240" s="12"/>
    </row>
    <row r="241" ht="15.75" customHeight="1">
      <c r="A241" s="12"/>
      <c r="B241" s="12"/>
      <c r="C241" s="12"/>
      <c r="D241" s="12"/>
      <c r="E241" s="12"/>
      <c r="F241" s="12"/>
      <c r="G241" s="12"/>
      <c r="H241" s="12"/>
      <c r="I241" s="12"/>
      <c r="J241" s="359"/>
      <c r="K241" s="12"/>
      <c r="L241" s="12"/>
      <c r="M241" s="12"/>
      <c r="N241" s="12"/>
      <c r="O241" s="12"/>
      <c r="P241" s="12"/>
      <c r="Q241" s="12"/>
      <c r="R241" s="359"/>
      <c r="S241" s="12"/>
      <c r="T241" s="12"/>
      <c r="U241" s="12"/>
      <c r="V241" s="12"/>
      <c r="W241" s="12"/>
      <c r="X241" s="12"/>
      <c r="Y241" s="12"/>
      <c r="Z241" s="359"/>
      <c r="AA241" s="12"/>
      <c r="AB241" s="12"/>
      <c r="AC241" s="12"/>
    </row>
    <row r="242" ht="15.75" customHeight="1">
      <c r="A242" s="12"/>
      <c r="B242" s="12"/>
      <c r="C242" s="12"/>
      <c r="D242" s="12"/>
      <c r="E242" s="12"/>
      <c r="F242" s="12"/>
      <c r="G242" s="12"/>
      <c r="H242" s="12"/>
      <c r="I242" s="12"/>
      <c r="J242" s="359"/>
      <c r="K242" s="12"/>
      <c r="L242" s="12"/>
      <c r="M242" s="12"/>
      <c r="N242" s="12"/>
      <c r="O242" s="12"/>
      <c r="P242" s="12"/>
      <c r="Q242" s="12"/>
      <c r="R242" s="359"/>
      <c r="S242" s="12"/>
      <c r="T242" s="12"/>
      <c r="U242" s="12"/>
      <c r="V242" s="12"/>
      <c r="W242" s="12"/>
      <c r="X242" s="12"/>
      <c r="Y242" s="12"/>
      <c r="Z242" s="359"/>
      <c r="AA242" s="12"/>
      <c r="AB242" s="12"/>
      <c r="AC242" s="12"/>
    </row>
    <row r="243" ht="15.75" customHeight="1">
      <c r="A243" s="12"/>
      <c r="B243" s="12"/>
      <c r="C243" s="12"/>
      <c r="D243" s="12"/>
      <c r="E243" s="12"/>
      <c r="F243" s="12"/>
      <c r="G243" s="12"/>
      <c r="H243" s="12"/>
      <c r="I243" s="12"/>
      <c r="J243" s="359"/>
      <c r="K243" s="12"/>
      <c r="L243" s="12"/>
      <c r="M243" s="12"/>
      <c r="N243" s="12"/>
      <c r="O243" s="12"/>
      <c r="P243" s="12"/>
      <c r="Q243" s="12"/>
      <c r="R243" s="359"/>
      <c r="S243" s="12"/>
      <c r="T243" s="12"/>
      <c r="U243" s="12"/>
      <c r="V243" s="12"/>
      <c r="W243" s="12"/>
      <c r="X243" s="12"/>
      <c r="Y243" s="12"/>
      <c r="Z243" s="359"/>
      <c r="AA243" s="12"/>
      <c r="AB243" s="12"/>
      <c r="AC243" s="12"/>
    </row>
    <row r="244" ht="15.75" customHeight="1">
      <c r="A244" s="12"/>
      <c r="B244" s="12"/>
      <c r="C244" s="12"/>
      <c r="D244" s="12"/>
      <c r="E244" s="12"/>
      <c r="F244" s="12"/>
      <c r="G244" s="12"/>
      <c r="H244" s="12"/>
      <c r="I244" s="12"/>
      <c r="J244" s="359"/>
      <c r="K244" s="12"/>
      <c r="L244" s="12"/>
      <c r="M244" s="12"/>
      <c r="N244" s="12"/>
      <c r="O244" s="12"/>
      <c r="P244" s="12"/>
      <c r="Q244" s="12"/>
      <c r="R244" s="359"/>
      <c r="S244" s="12"/>
      <c r="T244" s="12"/>
      <c r="U244" s="12"/>
      <c r="V244" s="12"/>
      <c r="W244" s="12"/>
      <c r="X244" s="12"/>
      <c r="Y244" s="12"/>
      <c r="Z244" s="359"/>
      <c r="AA244" s="12"/>
      <c r="AB244" s="12"/>
      <c r="AC244" s="12"/>
    </row>
    <row r="245" ht="15.75" customHeight="1">
      <c r="A245" s="12"/>
      <c r="B245" s="12"/>
      <c r="C245" s="12"/>
      <c r="D245" s="12"/>
      <c r="E245" s="12"/>
      <c r="F245" s="12"/>
      <c r="G245" s="12"/>
      <c r="H245" s="12"/>
      <c r="I245" s="12"/>
      <c r="J245" s="359"/>
      <c r="K245" s="12"/>
      <c r="L245" s="12"/>
      <c r="M245" s="12"/>
      <c r="N245" s="12"/>
      <c r="O245" s="12"/>
      <c r="P245" s="12"/>
      <c r="Q245" s="12"/>
      <c r="R245" s="359"/>
      <c r="S245" s="12"/>
      <c r="T245" s="12"/>
      <c r="U245" s="12"/>
      <c r="V245" s="12"/>
      <c r="W245" s="12"/>
      <c r="X245" s="12"/>
      <c r="Y245" s="12"/>
      <c r="Z245" s="359"/>
      <c r="AA245" s="12"/>
      <c r="AB245" s="12"/>
      <c r="AC245" s="12"/>
    </row>
    <row r="246" ht="15.75" customHeight="1">
      <c r="A246" s="12"/>
      <c r="B246" s="12"/>
      <c r="C246" s="12"/>
      <c r="D246" s="12"/>
      <c r="E246" s="12"/>
      <c r="F246" s="12"/>
      <c r="G246" s="12"/>
      <c r="H246" s="12"/>
      <c r="I246" s="12"/>
      <c r="J246" s="359"/>
      <c r="K246" s="12"/>
      <c r="L246" s="12"/>
      <c r="M246" s="12"/>
      <c r="N246" s="12"/>
      <c r="O246" s="12"/>
      <c r="P246" s="12"/>
      <c r="Q246" s="12"/>
      <c r="R246" s="359"/>
      <c r="S246" s="12"/>
      <c r="T246" s="12"/>
      <c r="U246" s="12"/>
      <c r="V246" s="12"/>
      <c r="W246" s="12"/>
      <c r="X246" s="12"/>
      <c r="Y246" s="12"/>
      <c r="Z246" s="359"/>
      <c r="AA246" s="12"/>
      <c r="AB246" s="12"/>
      <c r="AC246" s="12"/>
    </row>
    <row r="247" ht="15.75" customHeight="1">
      <c r="A247" s="12"/>
      <c r="B247" s="12"/>
      <c r="C247" s="12"/>
      <c r="D247" s="12"/>
      <c r="E247" s="12"/>
      <c r="F247" s="12"/>
      <c r="G247" s="12"/>
      <c r="H247" s="12"/>
      <c r="I247" s="12"/>
      <c r="J247" s="359"/>
      <c r="K247" s="12"/>
      <c r="L247" s="12"/>
      <c r="M247" s="12"/>
      <c r="N247" s="12"/>
      <c r="O247" s="12"/>
      <c r="P247" s="12"/>
      <c r="Q247" s="12"/>
      <c r="R247" s="359"/>
      <c r="S247" s="12"/>
      <c r="T247" s="12"/>
      <c r="U247" s="12"/>
      <c r="V247" s="12"/>
      <c r="W247" s="12"/>
      <c r="X247" s="12"/>
      <c r="Y247" s="12"/>
      <c r="Z247" s="359"/>
      <c r="AA247" s="12"/>
      <c r="AB247" s="12"/>
      <c r="AC247" s="12"/>
    </row>
    <row r="248" ht="15.75" customHeight="1">
      <c r="A248" s="12"/>
      <c r="B248" s="12"/>
      <c r="C248" s="12"/>
      <c r="D248" s="12"/>
      <c r="E248" s="12"/>
      <c r="F248" s="12"/>
      <c r="G248" s="12"/>
      <c r="H248" s="12"/>
      <c r="I248" s="12"/>
      <c r="J248" s="359"/>
      <c r="K248" s="12"/>
      <c r="L248" s="12"/>
      <c r="M248" s="12"/>
      <c r="N248" s="12"/>
      <c r="O248" s="12"/>
      <c r="P248" s="12"/>
      <c r="Q248" s="12"/>
      <c r="R248" s="359"/>
      <c r="S248" s="12"/>
      <c r="T248" s="12"/>
      <c r="U248" s="12"/>
      <c r="V248" s="12"/>
      <c r="W248" s="12"/>
      <c r="X248" s="12"/>
      <c r="Y248" s="12"/>
      <c r="Z248" s="359"/>
      <c r="AA248" s="12"/>
      <c r="AB248" s="12"/>
      <c r="AC248" s="12"/>
    </row>
    <row r="249" ht="15.75" customHeight="1">
      <c r="A249" s="12"/>
      <c r="B249" s="12"/>
      <c r="C249" s="12"/>
      <c r="D249" s="12"/>
      <c r="E249" s="12"/>
      <c r="F249" s="12"/>
      <c r="G249" s="12"/>
      <c r="H249" s="12"/>
      <c r="I249" s="12"/>
      <c r="J249" s="359"/>
      <c r="K249" s="12"/>
      <c r="L249" s="12"/>
      <c r="M249" s="12"/>
      <c r="N249" s="12"/>
      <c r="O249" s="12"/>
      <c r="P249" s="12"/>
      <c r="Q249" s="12"/>
      <c r="R249" s="359"/>
      <c r="S249" s="12"/>
      <c r="T249" s="12"/>
      <c r="U249" s="12"/>
      <c r="V249" s="12"/>
      <c r="W249" s="12"/>
      <c r="X249" s="12"/>
      <c r="Y249" s="12"/>
      <c r="Z249" s="359"/>
      <c r="AA249" s="12"/>
      <c r="AB249" s="12"/>
      <c r="AC249" s="12"/>
    </row>
    <row r="250" ht="15.75" customHeight="1">
      <c r="A250" s="12"/>
      <c r="B250" s="12"/>
      <c r="C250" s="12"/>
      <c r="D250" s="12"/>
      <c r="E250" s="12"/>
      <c r="F250" s="12"/>
      <c r="G250" s="12"/>
      <c r="H250" s="12"/>
      <c r="I250" s="12"/>
      <c r="J250" s="359"/>
      <c r="K250" s="12"/>
      <c r="L250" s="12"/>
      <c r="M250" s="12"/>
      <c r="N250" s="12"/>
      <c r="O250" s="12"/>
      <c r="P250" s="12"/>
      <c r="Q250" s="12"/>
      <c r="R250" s="359"/>
      <c r="S250" s="12"/>
      <c r="T250" s="12"/>
      <c r="U250" s="12"/>
      <c r="V250" s="12"/>
      <c r="W250" s="12"/>
      <c r="X250" s="12"/>
      <c r="Y250" s="12"/>
      <c r="Z250" s="359"/>
      <c r="AA250" s="12"/>
      <c r="AB250" s="12"/>
      <c r="AC250" s="12"/>
    </row>
    <row r="251" ht="15.75" customHeight="1">
      <c r="A251" s="12"/>
      <c r="B251" s="12"/>
      <c r="C251" s="12"/>
      <c r="D251" s="12"/>
      <c r="E251" s="12"/>
      <c r="F251" s="12"/>
      <c r="G251" s="12"/>
      <c r="H251" s="12"/>
      <c r="I251" s="12"/>
      <c r="J251" s="359"/>
      <c r="K251" s="12"/>
      <c r="L251" s="12"/>
      <c r="M251" s="12"/>
      <c r="N251" s="12"/>
      <c r="O251" s="12"/>
      <c r="P251" s="12"/>
      <c r="Q251" s="12"/>
      <c r="R251" s="359"/>
      <c r="S251" s="12"/>
      <c r="T251" s="12"/>
      <c r="U251" s="12"/>
      <c r="V251" s="12"/>
      <c r="W251" s="12"/>
      <c r="X251" s="12"/>
      <c r="Y251" s="12"/>
      <c r="Z251" s="359"/>
      <c r="AA251" s="12"/>
      <c r="AB251" s="12"/>
      <c r="AC251" s="12"/>
    </row>
    <row r="252" ht="15.75" customHeight="1">
      <c r="A252" s="12"/>
      <c r="B252" s="12"/>
      <c r="C252" s="12"/>
      <c r="D252" s="12"/>
      <c r="E252" s="12"/>
      <c r="F252" s="12"/>
      <c r="G252" s="12"/>
      <c r="H252" s="12"/>
      <c r="I252" s="12"/>
      <c r="J252" s="359"/>
      <c r="K252" s="12"/>
      <c r="L252" s="12"/>
      <c r="M252" s="12"/>
      <c r="N252" s="12"/>
      <c r="O252" s="12"/>
      <c r="P252" s="12"/>
      <c r="Q252" s="12"/>
      <c r="R252" s="359"/>
      <c r="S252" s="12"/>
      <c r="T252" s="12"/>
      <c r="U252" s="12"/>
      <c r="V252" s="12"/>
      <c r="W252" s="12"/>
      <c r="X252" s="12"/>
      <c r="Y252" s="12"/>
      <c r="Z252" s="359"/>
      <c r="AA252" s="12"/>
      <c r="AB252" s="12"/>
      <c r="AC252" s="12"/>
    </row>
    <row r="253" ht="15.75" customHeight="1">
      <c r="A253" s="12"/>
      <c r="B253" s="12"/>
      <c r="C253" s="12"/>
      <c r="D253" s="12"/>
      <c r="E253" s="12"/>
      <c r="F253" s="12"/>
      <c r="G253" s="12"/>
      <c r="H253" s="12"/>
      <c r="I253" s="12"/>
      <c r="J253" s="359"/>
      <c r="K253" s="12"/>
      <c r="L253" s="12"/>
      <c r="M253" s="12"/>
      <c r="N253" s="12"/>
      <c r="O253" s="12"/>
      <c r="P253" s="12"/>
      <c r="Q253" s="12"/>
      <c r="R253" s="359"/>
      <c r="S253" s="12"/>
      <c r="T253" s="12"/>
      <c r="U253" s="12"/>
      <c r="V253" s="12"/>
      <c r="W253" s="12"/>
      <c r="X253" s="12"/>
      <c r="Y253" s="12"/>
      <c r="Z253" s="359"/>
      <c r="AA253" s="12"/>
      <c r="AB253" s="12"/>
      <c r="AC253" s="12"/>
    </row>
    <row r="254" ht="15.75" customHeight="1">
      <c r="A254" s="12"/>
      <c r="B254" s="12"/>
      <c r="C254" s="12"/>
      <c r="D254" s="12"/>
      <c r="E254" s="12"/>
      <c r="F254" s="12"/>
      <c r="G254" s="12"/>
      <c r="H254" s="12"/>
      <c r="I254" s="12"/>
      <c r="J254" s="359"/>
      <c r="K254" s="12"/>
      <c r="L254" s="12"/>
      <c r="M254" s="12"/>
      <c r="N254" s="12"/>
      <c r="O254" s="12"/>
      <c r="P254" s="12"/>
      <c r="Q254" s="12"/>
      <c r="R254" s="359"/>
      <c r="S254" s="12"/>
      <c r="T254" s="12"/>
      <c r="U254" s="12"/>
      <c r="V254" s="12"/>
      <c r="W254" s="12"/>
      <c r="X254" s="12"/>
      <c r="Y254" s="12"/>
      <c r="Z254" s="359"/>
      <c r="AA254" s="12"/>
      <c r="AB254" s="12"/>
      <c r="AC254" s="12"/>
    </row>
    <row r="255" ht="15.75" customHeight="1">
      <c r="A255" s="12"/>
      <c r="B255" s="12"/>
      <c r="C255" s="12"/>
      <c r="D255" s="12"/>
      <c r="E255" s="12"/>
      <c r="F255" s="12"/>
      <c r="G255" s="12"/>
      <c r="H255" s="12"/>
      <c r="I255" s="12"/>
      <c r="J255" s="359"/>
      <c r="K255" s="12"/>
      <c r="L255" s="12"/>
      <c r="M255" s="12"/>
      <c r="N255" s="12"/>
      <c r="O255" s="12"/>
      <c r="P255" s="12"/>
      <c r="Q255" s="12"/>
      <c r="R255" s="359"/>
      <c r="S255" s="12"/>
      <c r="T255" s="12"/>
      <c r="U255" s="12"/>
      <c r="V255" s="12"/>
      <c r="W255" s="12"/>
      <c r="X255" s="12"/>
      <c r="Y255" s="12"/>
      <c r="Z255" s="359"/>
      <c r="AA255" s="12"/>
      <c r="AB255" s="12"/>
      <c r="AC255" s="12"/>
    </row>
    <row r="256" ht="15.75" customHeight="1">
      <c r="A256" s="12"/>
      <c r="B256" s="12"/>
      <c r="C256" s="12"/>
      <c r="D256" s="12"/>
      <c r="E256" s="12"/>
      <c r="F256" s="12"/>
      <c r="G256" s="12"/>
      <c r="H256" s="12"/>
      <c r="I256" s="12"/>
      <c r="J256" s="359"/>
      <c r="K256" s="12"/>
      <c r="L256" s="12"/>
      <c r="M256" s="12"/>
      <c r="N256" s="12"/>
      <c r="O256" s="12"/>
      <c r="P256" s="12"/>
      <c r="Q256" s="12"/>
      <c r="R256" s="359"/>
      <c r="S256" s="12"/>
      <c r="T256" s="12"/>
      <c r="U256" s="12"/>
      <c r="V256" s="12"/>
      <c r="W256" s="12"/>
      <c r="X256" s="12"/>
      <c r="Y256" s="12"/>
      <c r="Z256" s="359"/>
      <c r="AA256" s="12"/>
      <c r="AB256" s="12"/>
      <c r="AC256" s="12"/>
    </row>
    <row r="257" ht="15.75" customHeight="1">
      <c r="A257" s="12"/>
      <c r="B257" s="12"/>
      <c r="C257" s="12"/>
      <c r="D257" s="12"/>
      <c r="E257" s="12"/>
      <c r="F257" s="12"/>
      <c r="G257" s="12"/>
      <c r="H257" s="12"/>
      <c r="I257" s="12"/>
      <c r="J257" s="359"/>
      <c r="K257" s="12"/>
      <c r="L257" s="12"/>
      <c r="M257" s="12"/>
      <c r="N257" s="12"/>
      <c r="O257" s="12"/>
      <c r="P257" s="12"/>
      <c r="Q257" s="12"/>
      <c r="R257" s="359"/>
      <c r="S257" s="12"/>
      <c r="T257" s="12"/>
      <c r="U257" s="12"/>
      <c r="V257" s="12"/>
      <c r="W257" s="12"/>
      <c r="X257" s="12"/>
      <c r="Y257" s="12"/>
      <c r="Z257" s="359"/>
      <c r="AA257" s="12"/>
      <c r="AB257" s="12"/>
      <c r="AC257" s="12"/>
    </row>
    <row r="258" ht="15.75" customHeight="1">
      <c r="A258" s="12"/>
      <c r="B258" s="12"/>
      <c r="C258" s="12"/>
      <c r="D258" s="12"/>
      <c r="E258" s="12"/>
      <c r="F258" s="12"/>
      <c r="G258" s="12"/>
      <c r="H258" s="12"/>
      <c r="I258" s="12"/>
      <c r="J258" s="359"/>
      <c r="K258" s="12"/>
      <c r="L258" s="12"/>
      <c r="M258" s="12"/>
      <c r="N258" s="12"/>
      <c r="O258" s="12"/>
      <c r="P258" s="12"/>
      <c r="Q258" s="12"/>
      <c r="R258" s="359"/>
      <c r="S258" s="12"/>
      <c r="T258" s="12"/>
      <c r="U258" s="12"/>
      <c r="V258" s="12"/>
      <c r="W258" s="12"/>
      <c r="X258" s="12"/>
      <c r="Y258" s="12"/>
      <c r="Z258" s="359"/>
      <c r="AA258" s="12"/>
      <c r="AB258" s="12"/>
      <c r="AC258" s="12"/>
    </row>
    <row r="259" ht="15.75" customHeight="1">
      <c r="A259" s="12"/>
      <c r="B259" s="12"/>
      <c r="C259" s="12"/>
      <c r="D259" s="12"/>
      <c r="E259" s="12"/>
      <c r="F259" s="12"/>
      <c r="G259" s="12"/>
      <c r="H259" s="12"/>
      <c r="I259" s="12"/>
      <c r="J259" s="359"/>
      <c r="K259" s="12"/>
      <c r="L259" s="12"/>
      <c r="M259" s="12"/>
      <c r="N259" s="12"/>
      <c r="O259" s="12"/>
      <c r="P259" s="12"/>
      <c r="Q259" s="12"/>
      <c r="R259" s="359"/>
      <c r="S259" s="12"/>
      <c r="T259" s="12"/>
      <c r="U259" s="12"/>
      <c r="V259" s="12"/>
      <c r="W259" s="12"/>
      <c r="X259" s="12"/>
      <c r="Y259" s="12"/>
      <c r="Z259" s="359"/>
      <c r="AA259" s="12"/>
      <c r="AB259" s="12"/>
      <c r="AC259" s="12"/>
    </row>
    <row r="260" ht="15.75" customHeight="1">
      <c r="A260" s="12"/>
      <c r="B260" s="12"/>
      <c r="C260" s="12"/>
      <c r="D260" s="12"/>
      <c r="E260" s="12"/>
      <c r="F260" s="12"/>
      <c r="G260" s="12"/>
      <c r="H260" s="12"/>
      <c r="I260" s="12"/>
      <c r="J260" s="359"/>
      <c r="K260" s="12"/>
      <c r="L260" s="12"/>
      <c r="M260" s="12"/>
      <c r="N260" s="12"/>
      <c r="O260" s="12"/>
      <c r="P260" s="12"/>
      <c r="Q260" s="12"/>
      <c r="R260" s="359"/>
      <c r="S260" s="12"/>
      <c r="T260" s="12"/>
      <c r="U260" s="12"/>
      <c r="V260" s="12"/>
      <c r="W260" s="12"/>
      <c r="X260" s="12"/>
      <c r="Y260" s="12"/>
      <c r="Z260" s="359"/>
      <c r="AA260" s="12"/>
      <c r="AB260" s="12"/>
      <c r="AC260" s="12"/>
    </row>
    <row r="261" ht="15.75" customHeight="1">
      <c r="A261" s="12"/>
      <c r="B261" s="12"/>
      <c r="C261" s="12"/>
      <c r="D261" s="12"/>
      <c r="E261" s="12"/>
      <c r="F261" s="12"/>
      <c r="G261" s="12"/>
      <c r="H261" s="12"/>
      <c r="I261" s="12"/>
      <c r="J261" s="359"/>
      <c r="K261" s="12"/>
      <c r="L261" s="12"/>
      <c r="M261" s="12"/>
      <c r="N261" s="12"/>
      <c r="O261" s="12"/>
      <c r="P261" s="12"/>
      <c r="Q261" s="12"/>
      <c r="R261" s="359"/>
      <c r="S261" s="12"/>
      <c r="T261" s="12"/>
      <c r="U261" s="12"/>
      <c r="V261" s="12"/>
      <c r="W261" s="12"/>
      <c r="X261" s="12"/>
      <c r="Y261" s="12"/>
      <c r="Z261" s="359"/>
      <c r="AA261" s="12"/>
      <c r="AB261" s="12"/>
      <c r="AC261" s="12"/>
    </row>
    <row r="262" ht="15.75" customHeight="1">
      <c r="A262" s="12"/>
      <c r="B262" s="12"/>
      <c r="C262" s="12"/>
      <c r="D262" s="12"/>
      <c r="E262" s="12"/>
      <c r="F262" s="12"/>
      <c r="G262" s="12"/>
      <c r="H262" s="12"/>
      <c r="I262" s="12"/>
      <c r="J262" s="359"/>
      <c r="K262" s="12"/>
      <c r="L262" s="12"/>
      <c r="M262" s="12"/>
      <c r="N262" s="12"/>
      <c r="O262" s="12"/>
      <c r="P262" s="12"/>
      <c r="Q262" s="12"/>
      <c r="R262" s="359"/>
      <c r="S262" s="12"/>
      <c r="T262" s="12"/>
      <c r="U262" s="12"/>
      <c r="V262" s="12"/>
      <c r="W262" s="12"/>
      <c r="X262" s="12"/>
      <c r="Y262" s="12"/>
      <c r="Z262" s="359"/>
      <c r="AA262" s="12"/>
      <c r="AB262" s="12"/>
      <c r="AC262" s="12"/>
    </row>
    <row r="263" ht="15.75" customHeight="1">
      <c r="A263" s="12"/>
      <c r="B263" s="12"/>
      <c r="C263" s="12"/>
      <c r="D263" s="12"/>
      <c r="E263" s="12"/>
      <c r="F263" s="12"/>
      <c r="G263" s="12"/>
      <c r="H263" s="12"/>
      <c r="I263" s="12"/>
      <c r="J263" s="359"/>
      <c r="K263" s="12"/>
      <c r="L263" s="12"/>
      <c r="M263" s="12"/>
      <c r="N263" s="12"/>
      <c r="O263" s="12"/>
      <c r="P263" s="12"/>
      <c r="Q263" s="12"/>
      <c r="R263" s="359"/>
      <c r="S263" s="12"/>
      <c r="T263" s="12"/>
      <c r="U263" s="12"/>
      <c r="V263" s="12"/>
      <c r="W263" s="12"/>
      <c r="X263" s="12"/>
      <c r="Y263" s="12"/>
      <c r="Z263" s="359"/>
      <c r="AA263" s="12"/>
      <c r="AB263" s="12"/>
      <c r="AC263" s="12"/>
    </row>
    <row r="264" ht="15.75" customHeight="1">
      <c r="A264" s="12"/>
      <c r="B264" s="12"/>
      <c r="C264" s="12"/>
      <c r="D264" s="12"/>
      <c r="E264" s="12"/>
      <c r="F264" s="12"/>
      <c r="G264" s="12"/>
      <c r="H264" s="12"/>
      <c r="I264" s="12"/>
      <c r="J264" s="359"/>
      <c r="K264" s="12"/>
      <c r="L264" s="12"/>
      <c r="M264" s="12"/>
      <c r="N264" s="12"/>
      <c r="O264" s="12"/>
      <c r="P264" s="12"/>
      <c r="Q264" s="12"/>
      <c r="R264" s="359"/>
      <c r="S264" s="12"/>
      <c r="T264" s="12"/>
      <c r="U264" s="12"/>
      <c r="V264" s="12"/>
      <c r="W264" s="12"/>
      <c r="X264" s="12"/>
      <c r="Y264" s="12"/>
      <c r="Z264" s="359"/>
      <c r="AA264" s="12"/>
      <c r="AB264" s="12"/>
      <c r="AC264" s="12"/>
    </row>
    <row r="265" ht="15.75" customHeight="1">
      <c r="A265" s="12"/>
      <c r="B265" s="12"/>
      <c r="C265" s="12"/>
      <c r="D265" s="12"/>
      <c r="E265" s="12"/>
      <c r="F265" s="12"/>
      <c r="G265" s="12"/>
      <c r="H265" s="12"/>
      <c r="I265" s="12"/>
      <c r="J265" s="359"/>
      <c r="K265" s="12"/>
      <c r="L265" s="12"/>
      <c r="M265" s="12"/>
      <c r="N265" s="12"/>
      <c r="O265" s="12"/>
      <c r="P265" s="12"/>
      <c r="Q265" s="12"/>
      <c r="R265" s="359"/>
      <c r="S265" s="12"/>
      <c r="T265" s="12"/>
      <c r="U265" s="12"/>
      <c r="V265" s="12"/>
      <c r="W265" s="12"/>
      <c r="X265" s="12"/>
      <c r="Y265" s="12"/>
      <c r="Z265" s="359"/>
      <c r="AA265" s="12"/>
      <c r="AB265" s="12"/>
      <c r="AC265" s="12"/>
    </row>
    <row r="266" ht="15.75" customHeight="1">
      <c r="A266" s="12"/>
      <c r="B266" s="12"/>
      <c r="C266" s="12"/>
      <c r="D266" s="12"/>
      <c r="E266" s="12"/>
      <c r="F266" s="12"/>
      <c r="G266" s="12"/>
      <c r="H266" s="12"/>
      <c r="I266" s="12"/>
      <c r="J266" s="359"/>
      <c r="K266" s="12"/>
      <c r="L266" s="12"/>
      <c r="M266" s="12"/>
      <c r="N266" s="12"/>
      <c r="O266" s="12"/>
      <c r="P266" s="12"/>
      <c r="Q266" s="12"/>
      <c r="R266" s="359"/>
      <c r="S266" s="12"/>
      <c r="T266" s="12"/>
      <c r="U266" s="12"/>
      <c r="V266" s="12"/>
      <c r="W266" s="12"/>
      <c r="X266" s="12"/>
      <c r="Y266" s="12"/>
      <c r="Z266" s="359"/>
      <c r="AA266" s="12"/>
      <c r="AB266" s="12"/>
      <c r="AC266" s="12"/>
    </row>
    <row r="267" ht="15.75" customHeight="1">
      <c r="A267" s="12"/>
      <c r="B267" s="12"/>
      <c r="C267" s="12"/>
      <c r="D267" s="12"/>
      <c r="E267" s="12"/>
      <c r="F267" s="12"/>
      <c r="G267" s="12"/>
      <c r="H267" s="12"/>
      <c r="I267" s="12"/>
      <c r="J267" s="359"/>
      <c r="K267" s="12"/>
      <c r="L267" s="12"/>
      <c r="M267" s="12"/>
      <c r="N267" s="12"/>
      <c r="O267" s="12"/>
      <c r="P267" s="12"/>
      <c r="Q267" s="12"/>
      <c r="R267" s="359"/>
      <c r="S267" s="12"/>
      <c r="T267" s="12"/>
      <c r="U267" s="12"/>
      <c r="V267" s="12"/>
      <c r="W267" s="12"/>
      <c r="X267" s="12"/>
      <c r="Y267" s="12"/>
      <c r="Z267" s="359"/>
      <c r="AA267" s="12"/>
      <c r="AB267" s="12"/>
      <c r="AC267" s="12"/>
    </row>
    <row r="268" ht="15.75" customHeight="1">
      <c r="A268" s="12"/>
      <c r="B268" s="12"/>
      <c r="C268" s="12"/>
      <c r="D268" s="12"/>
      <c r="E268" s="12"/>
      <c r="F268" s="12"/>
      <c r="G268" s="12"/>
      <c r="H268" s="12"/>
      <c r="I268" s="12"/>
      <c r="J268" s="359"/>
      <c r="K268" s="12"/>
      <c r="L268" s="12"/>
      <c r="M268" s="12"/>
      <c r="N268" s="12"/>
      <c r="O268" s="12"/>
      <c r="P268" s="12"/>
      <c r="Q268" s="12"/>
      <c r="R268" s="359"/>
      <c r="S268" s="12"/>
      <c r="T268" s="12"/>
      <c r="U268" s="12"/>
      <c r="V268" s="12"/>
      <c r="W268" s="12"/>
      <c r="X268" s="12"/>
      <c r="Y268" s="12"/>
      <c r="Z268" s="359"/>
      <c r="AA268" s="12"/>
      <c r="AB268" s="12"/>
      <c r="AC268" s="12"/>
    </row>
    <row r="269" ht="15.75" customHeight="1">
      <c r="A269" s="12"/>
      <c r="B269" s="12"/>
      <c r="C269" s="12"/>
      <c r="D269" s="12"/>
      <c r="E269" s="12"/>
      <c r="F269" s="12"/>
      <c r="G269" s="12"/>
      <c r="H269" s="12"/>
      <c r="I269" s="12"/>
      <c r="J269" s="359"/>
      <c r="K269" s="12"/>
      <c r="L269" s="12"/>
      <c r="M269" s="12"/>
      <c r="N269" s="12"/>
      <c r="O269" s="12"/>
      <c r="P269" s="12"/>
      <c r="Q269" s="12"/>
      <c r="R269" s="359"/>
      <c r="S269" s="12"/>
      <c r="T269" s="12"/>
      <c r="U269" s="12"/>
      <c r="V269" s="12"/>
      <c r="W269" s="12"/>
      <c r="X269" s="12"/>
      <c r="Y269" s="12"/>
      <c r="Z269" s="359"/>
      <c r="AA269" s="12"/>
      <c r="AB269" s="12"/>
      <c r="AC269" s="12"/>
    </row>
    <row r="270" ht="15.75" customHeight="1">
      <c r="A270" s="12"/>
      <c r="B270" s="12"/>
      <c r="C270" s="12"/>
      <c r="D270" s="12"/>
      <c r="E270" s="12"/>
      <c r="F270" s="12"/>
      <c r="G270" s="12"/>
      <c r="H270" s="12"/>
      <c r="I270" s="12"/>
      <c r="J270" s="359"/>
      <c r="K270" s="12"/>
      <c r="L270" s="12"/>
      <c r="M270" s="12"/>
      <c r="N270" s="12"/>
      <c r="O270" s="12"/>
      <c r="P270" s="12"/>
      <c r="Q270" s="12"/>
      <c r="R270" s="359"/>
      <c r="S270" s="12"/>
      <c r="T270" s="12"/>
      <c r="U270" s="12"/>
      <c r="V270" s="12"/>
      <c r="W270" s="12"/>
      <c r="X270" s="12"/>
      <c r="Y270" s="12"/>
      <c r="Z270" s="359"/>
      <c r="AA270" s="12"/>
      <c r="AB270" s="12"/>
      <c r="AC270" s="12"/>
    </row>
    <row r="271" ht="15.75" customHeight="1">
      <c r="A271" s="12"/>
      <c r="B271" s="12"/>
      <c r="C271" s="12"/>
      <c r="D271" s="12"/>
      <c r="E271" s="12"/>
      <c r="F271" s="12"/>
      <c r="G271" s="12"/>
      <c r="H271" s="12"/>
      <c r="I271" s="12"/>
      <c r="J271" s="359"/>
      <c r="K271" s="12"/>
      <c r="L271" s="12"/>
      <c r="M271" s="12"/>
      <c r="N271" s="12"/>
      <c r="O271" s="12"/>
      <c r="P271" s="12"/>
      <c r="Q271" s="12"/>
      <c r="R271" s="359"/>
      <c r="S271" s="12"/>
      <c r="T271" s="12"/>
      <c r="U271" s="12"/>
      <c r="V271" s="12"/>
      <c r="W271" s="12"/>
      <c r="X271" s="12"/>
      <c r="Y271" s="12"/>
      <c r="Z271" s="359"/>
      <c r="AA271" s="12"/>
      <c r="AB271" s="12"/>
      <c r="AC271" s="12"/>
    </row>
    <row r="272" ht="15.75" customHeight="1">
      <c r="A272" s="12"/>
      <c r="B272" s="12"/>
      <c r="C272" s="12"/>
      <c r="D272" s="12"/>
      <c r="E272" s="12"/>
      <c r="F272" s="12"/>
      <c r="G272" s="12"/>
      <c r="H272" s="12"/>
      <c r="I272" s="12"/>
      <c r="J272" s="359"/>
      <c r="K272" s="12"/>
      <c r="L272" s="12"/>
      <c r="M272" s="12"/>
      <c r="N272" s="12"/>
      <c r="O272" s="12"/>
      <c r="P272" s="12"/>
      <c r="Q272" s="12"/>
      <c r="R272" s="359"/>
      <c r="S272" s="12"/>
      <c r="T272" s="12"/>
      <c r="U272" s="12"/>
      <c r="V272" s="12"/>
      <c r="W272" s="12"/>
      <c r="X272" s="12"/>
      <c r="Y272" s="12"/>
      <c r="Z272" s="359"/>
      <c r="AA272" s="12"/>
      <c r="AB272" s="12"/>
      <c r="AC272" s="12"/>
    </row>
    <row r="273" ht="15.75" customHeight="1">
      <c r="A273" s="12"/>
      <c r="B273" s="12"/>
      <c r="C273" s="12"/>
      <c r="D273" s="12"/>
      <c r="E273" s="12"/>
      <c r="F273" s="12"/>
      <c r="G273" s="12"/>
      <c r="H273" s="12"/>
      <c r="I273" s="12"/>
      <c r="J273" s="359"/>
      <c r="K273" s="12"/>
      <c r="L273" s="12"/>
      <c r="M273" s="12"/>
      <c r="N273" s="12"/>
      <c r="O273" s="12"/>
      <c r="P273" s="12"/>
      <c r="Q273" s="12"/>
      <c r="R273" s="359"/>
      <c r="S273" s="12"/>
      <c r="T273" s="12"/>
      <c r="U273" s="12"/>
      <c r="V273" s="12"/>
      <c r="W273" s="12"/>
      <c r="X273" s="12"/>
      <c r="Y273" s="12"/>
      <c r="Z273" s="359"/>
      <c r="AA273" s="12"/>
      <c r="AB273" s="12"/>
      <c r="AC273" s="12"/>
    </row>
    <row r="274" ht="15.75" customHeight="1">
      <c r="A274" s="12"/>
      <c r="B274" s="12"/>
      <c r="C274" s="12"/>
      <c r="D274" s="12"/>
      <c r="E274" s="12"/>
      <c r="F274" s="12"/>
      <c r="G274" s="12"/>
      <c r="H274" s="12"/>
      <c r="I274" s="12"/>
      <c r="J274" s="359"/>
      <c r="K274" s="12"/>
      <c r="L274" s="12"/>
      <c r="M274" s="12"/>
      <c r="N274" s="12"/>
      <c r="O274" s="12"/>
      <c r="P274" s="12"/>
      <c r="Q274" s="12"/>
      <c r="R274" s="359"/>
      <c r="S274" s="12"/>
      <c r="T274" s="12"/>
      <c r="U274" s="12"/>
      <c r="V274" s="12"/>
      <c r="W274" s="12"/>
      <c r="X274" s="12"/>
      <c r="Y274" s="12"/>
      <c r="Z274" s="359"/>
      <c r="AA274" s="12"/>
      <c r="AB274" s="12"/>
      <c r="AC274" s="12"/>
    </row>
    <row r="275" ht="15.75" customHeight="1">
      <c r="A275" s="12"/>
      <c r="B275" s="12"/>
      <c r="C275" s="12"/>
      <c r="D275" s="12"/>
      <c r="E275" s="12"/>
      <c r="F275" s="12"/>
      <c r="G275" s="12"/>
      <c r="H275" s="12"/>
      <c r="I275" s="12"/>
      <c r="J275" s="359"/>
      <c r="K275" s="12"/>
      <c r="L275" s="12"/>
      <c r="M275" s="12"/>
      <c r="N275" s="12"/>
      <c r="O275" s="12"/>
      <c r="P275" s="12"/>
      <c r="Q275" s="12"/>
      <c r="R275" s="359"/>
      <c r="S275" s="12"/>
      <c r="T275" s="12"/>
      <c r="U275" s="12"/>
      <c r="V275" s="12"/>
      <c r="W275" s="12"/>
      <c r="X275" s="12"/>
      <c r="Y275" s="12"/>
      <c r="Z275" s="359"/>
      <c r="AA275" s="12"/>
      <c r="AB275" s="12"/>
      <c r="AC275" s="12"/>
    </row>
    <row r="276" ht="15.75" customHeight="1">
      <c r="A276" s="12"/>
      <c r="B276" s="12"/>
      <c r="C276" s="12"/>
      <c r="D276" s="12"/>
      <c r="E276" s="12"/>
      <c r="F276" s="12"/>
      <c r="G276" s="12"/>
      <c r="H276" s="12"/>
      <c r="I276" s="12"/>
      <c r="J276" s="359"/>
      <c r="K276" s="12"/>
      <c r="L276" s="12"/>
      <c r="M276" s="12"/>
      <c r="N276" s="12"/>
      <c r="O276" s="12"/>
      <c r="P276" s="12"/>
      <c r="Q276" s="12"/>
      <c r="R276" s="359"/>
      <c r="S276" s="12"/>
      <c r="T276" s="12"/>
      <c r="U276" s="12"/>
      <c r="V276" s="12"/>
      <c r="W276" s="12"/>
      <c r="X276" s="12"/>
      <c r="Y276" s="12"/>
      <c r="Z276" s="359"/>
      <c r="AA276" s="12"/>
      <c r="AB276" s="12"/>
      <c r="AC276" s="12"/>
    </row>
    <row r="277" ht="15.75" customHeight="1">
      <c r="A277" s="12"/>
      <c r="B277" s="12"/>
      <c r="C277" s="12"/>
      <c r="D277" s="12"/>
      <c r="E277" s="12"/>
      <c r="F277" s="12"/>
      <c r="G277" s="12"/>
      <c r="H277" s="12"/>
      <c r="I277" s="12"/>
      <c r="J277" s="359"/>
      <c r="K277" s="12"/>
      <c r="L277" s="12"/>
      <c r="M277" s="12"/>
      <c r="N277" s="12"/>
      <c r="O277" s="12"/>
      <c r="P277" s="12"/>
      <c r="Q277" s="12"/>
      <c r="R277" s="359"/>
      <c r="S277" s="12"/>
      <c r="T277" s="12"/>
      <c r="U277" s="12"/>
      <c r="V277" s="12"/>
      <c r="W277" s="12"/>
      <c r="X277" s="12"/>
      <c r="Y277" s="12"/>
      <c r="Z277" s="359"/>
      <c r="AA277" s="12"/>
      <c r="AB277" s="12"/>
      <c r="AC277" s="12"/>
    </row>
    <row r="278" ht="15.75" customHeight="1">
      <c r="A278" s="12"/>
      <c r="B278" s="12"/>
      <c r="C278" s="12"/>
      <c r="D278" s="12"/>
      <c r="E278" s="12"/>
      <c r="F278" s="12"/>
      <c r="G278" s="12"/>
      <c r="H278" s="12"/>
      <c r="I278" s="12"/>
      <c r="J278" s="359"/>
      <c r="K278" s="12"/>
      <c r="L278" s="12"/>
      <c r="M278" s="12"/>
      <c r="N278" s="12"/>
      <c r="O278" s="12"/>
      <c r="P278" s="12"/>
      <c r="Q278" s="12"/>
      <c r="R278" s="359"/>
      <c r="S278" s="12"/>
      <c r="T278" s="12"/>
      <c r="U278" s="12"/>
      <c r="V278" s="12"/>
      <c r="W278" s="12"/>
      <c r="X278" s="12"/>
      <c r="Y278" s="12"/>
      <c r="Z278" s="359"/>
      <c r="AA278" s="12"/>
      <c r="AB278" s="12"/>
      <c r="AC278" s="12"/>
    </row>
    <row r="279" ht="15.75" customHeight="1">
      <c r="A279" s="12"/>
      <c r="B279" s="12"/>
      <c r="C279" s="12"/>
      <c r="D279" s="12"/>
      <c r="E279" s="12"/>
      <c r="F279" s="12"/>
      <c r="G279" s="12"/>
      <c r="H279" s="12"/>
      <c r="I279" s="12"/>
      <c r="J279" s="359"/>
      <c r="K279" s="12"/>
      <c r="L279" s="12"/>
      <c r="M279" s="12"/>
      <c r="N279" s="12"/>
      <c r="O279" s="12"/>
      <c r="P279" s="12"/>
      <c r="Q279" s="12"/>
      <c r="R279" s="359"/>
      <c r="S279" s="12"/>
      <c r="T279" s="12"/>
      <c r="U279" s="12"/>
      <c r="V279" s="12"/>
      <c r="W279" s="12"/>
      <c r="X279" s="12"/>
      <c r="Y279" s="12"/>
      <c r="Z279" s="359"/>
      <c r="AA279" s="12"/>
      <c r="AB279" s="12"/>
      <c r="AC279" s="12"/>
    </row>
    <row r="280" ht="15.75" customHeight="1">
      <c r="A280" s="12"/>
      <c r="B280" s="12"/>
      <c r="C280" s="12"/>
      <c r="D280" s="12"/>
      <c r="E280" s="12"/>
      <c r="F280" s="12"/>
      <c r="G280" s="12"/>
      <c r="H280" s="12"/>
      <c r="I280" s="12"/>
      <c r="J280" s="359"/>
      <c r="K280" s="12"/>
      <c r="L280" s="12"/>
      <c r="M280" s="12"/>
      <c r="N280" s="12"/>
      <c r="O280" s="12"/>
      <c r="P280" s="12"/>
      <c r="Q280" s="12"/>
      <c r="R280" s="359"/>
      <c r="S280" s="12"/>
      <c r="T280" s="12"/>
      <c r="U280" s="12"/>
      <c r="V280" s="12"/>
      <c r="W280" s="12"/>
      <c r="X280" s="12"/>
      <c r="Y280" s="12"/>
      <c r="Z280" s="359"/>
      <c r="AA280" s="12"/>
      <c r="AB280" s="12"/>
      <c r="AC280" s="12"/>
    </row>
    <row r="281" ht="15.75" customHeight="1">
      <c r="A281" s="12"/>
      <c r="B281" s="12"/>
      <c r="C281" s="12"/>
      <c r="D281" s="12"/>
      <c r="E281" s="12"/>
      <c r="F281" s="12"/>
      <c r="G281" s="12"/>
      <c r="H281" s="12"/>
      <c r="I281" s="12"/>
      <c r="J281" s="359"/>
      <c r="K281" s="12"/>
      <c r="L281" s="12"/>
      <c r="M281" s="12"/>
      <c r="N281" s="12"/>
      <c r="O281" s="12"/>
      <c r="P281" s="12"/>
      <c r="Q281" s="12"/>
      <c r="R281" s="359"/>
      <c r="S281" s="12"/>
      <c r="T281" s="12"/>
      <c r="U281" s="12"/>
      <c r="V281" s="12"/>
      <c r="W281" s="12"/>
      <c r="X281" s="12"/>
      <c r="Y281" s="12"/>
      <c r="Z281" s="359"/>
      <c r="AA281" s="12"/>
      <c r="AB281" s="12"/>
      <c r="AC281" s="12"/>
    </row>
    <row r="282" ht="15.75" customHeight="1">
      <c r="A282" s="12"/>
      <c r="B282" s="12"/>
      <c r="C282" s="12"/>
      <c r="D282" s="12"/>
      <c r="E282" s="12"/>
      <c r="F282" s="12"/>
      <c r="G282" s="12"/>
      <c r="H282" s="12"/>
      <c r="I282" s="12"/>
      <c r="J282" s="359"/>
      <c r="K282" s="12"/>
      <c r="L282" s="12"/>
      <c r="M282" s="12"/>
      <c r="N282" s="12"/>
      <c r="O282" s="12"/>
      <c r="P282" s="12"/>
      <c r="Q282" s="12"/>
      <c r="R282" s="359"/>
      <c r="S282" s="12"/>
      <c r="T282" s="12"/>
      <c r="U282" s="12"/>
      <c r="V282" s="12"/>
      <c r="W282" s="12"/>
      <c r="X282" s="12"/>
      <c r="Y282" s="12"/>
      <c r="Z282" s="359"/>
      <c r="AA282" s="12"/>
      <c r="AB282" s="12"/>
      <c r="AC282" s="12"/>
    </row>
    <row r="283" ht="15.75" customHeight="1">
      <c r="A283" s="12"/>
      <c r="B283" s="12"/>
      <c r="C283" s="12"/>
      <c r="D283" s="12"/>
      <c r="E283" s="12"/>
      <c r="F283" s="12"/>
      <c r="G283" s="12"/>
      <c r="H283" s="12"/>
      <c r="I283" s="12"/>
      <c r="J283" s="359"/>
      <c r="K283" s="12"/>
      <c r="L283" s="12"/>
      <c r="M283" s="12"/>
      <c r="N283" s="12"/>
      <c r="O283" s="12"/>
      <c r="P283" s="12"/>
      <c r="Q283" s="12"/>
      <c r="R283" s="359"/>
      <c r="S283" s="12"/>
      <c r="T283" s="12"/>
      <c r="U283" s="12"/>
      <c r="V283" s="12"/>
      <c r="W283" s="12"/>
      <c r="X283" s="12"/>
      <c r="Y283" s="12"/>
      <c r="Z283" s="359"/>
      <c r="AA283" s="12"/>
      <c r="AB283" s="12"/>
      <c r="AC283" s="12"/>
    </row>
    <row r="284" ht="15.75" customHeight="1">
      <c r="A284" s="12"/>
      <c r="B284" s="12"/>
      <c r="C284" s="12"/>
      <c r="D284" s="12"/>
      <c r="E284" s="12"/>
      <c r="F284" s="12"/>
      <c r="G284" s="12"/>
      <c r="H284" s="12"/>
      <c r="I284" s="12"/>
      <c r="J284" s="359"/>
      <c r="K284" s="12"/>
      <c r="L284" s="12"/>
      <c r="M284" s="12"/>
      <c r="N284" s="12"/>
      <c r="O284" s="12"/>
      <c r="P284" s="12"/>
      <c r="Q284" s="12"/>
      <c r="R284" s="359"/>
      <c r="S284" s="12"/>
      <c r="T284" s="12"/>
      <c r="U284" s="12"/>
      <c r="V284" s="12"/>
      <c r="W284" s="12"/>
      <c r="X284" s="12"/>
      <c r="Y284" s="12"/>
      <c r="Z284" s="359"/>
      <c r="AA284" s="12"/>
      <c r="AB284" s="12"/>
      <c r="AC284" s="12"/>
    </row>
    <row r="285" ht="15.75" customHeight="1">
      <c r="A285" s="12"/>
      <c r="B285" s="12"/>
      <c r="C285" s="12"/>
      <c r="D285" s="12"/>
      <c r="E285" s="12"/>
      <c r="F285" s="12"/>
      <c r="G285" s="12"/>
      <c r="H285" s="12"/>
      <c r="I285" s="12"/>
      <c r="J285" s="359"/>
      <c r="K285" s="12"/>
      <c r="L285" s="12"/>
      <c r="M285" s="12"/>
      <c r="N285" s="12"/>
      <c r="O285" s="12"/>
      <c r="P285" s="12"/>
      <c r="Q285" s="12"/>
      <c r="R285" s="359"/>
      <c r="S285" s="12"/>
      <c r="T285" s="12"/>
      <c r="U285" s="12"/>
      <c r="V285" s="12"/>
      <c r="W285" s="12"/>
      <c r="X285" s="12"/>
      <c r="Y285" s="12"/>
      <c r="Z285" s="359"/>
      <c r="AA285" s="12"/>
      <c r="AB285" s="12"/>
      <c r="AC285" s="12"/>
    </row>
    <row r="286" ht="15.75" customHeight="1">
      <c r="A286" s="12"/>
      <c r="B286" s="12"/>
      <c r="C286" s="12"/>
      <c r="D286" s="12"/>
      <c r="E286" s="12"/>
      <c r="F286" s="12"/>
      <c r="G286" s="12"/>
      <c r="H286" s="12"/>
      <c r="I286" s="12"/>
      <c r="J286" s="359"/>
      <c r="K286" s="12"/>
      <c r="L286" s="12"/>
      <c r="M286" s="12"/>
      <c r="N286" s="12"/>
      <c r="O286" s="12"/>
      <c r="P286" s="12"/>
      <c r="Q286" s="12"/>
      <c r="R286" s="359"/>
      <c r="S286" s="12"/>
      <c r="T286" s="12"/>
      <c r="U286" s="12"/>
      <c r="V286" s="12"/>
      <c r="W286" s="12"/>
      <c r="X286" s="12"/>
      <c r="Y286" s="12"/>
      <c r="Z286" s="359"/>
      <c r="AA286" s="12"/>
      <c r="AB286" s="12"/>
      <c r="AC286" s="12"/>
    </row>
    <row r="287" ht="15.75" customHeight="1">
      <c r="A287" s="12"/>
      <c r="B287" s="12"/>
      <c r="C287" s="12"/>
      <c r="D287" s="12"/>
      <c r="E287" s="12"/>
      <c r="F287" s="12"/>
      <c r="G287" s="12"/>
      <c r="H287" s="12"/>
      <c r="I287" s="12"/>
      <c r="J287" s="359"/>
      <c r="K287" s="12"/>
      <c r="L287" s="12"/>
      <c r="M287" s="12"/>
      <c r="N287" s="12"/>
      <c r="O287" s="12"/>
      <c r="P287" s="12"/>
      <c r="Q287" s="12"/>
      <c r="R287" s="359"/>
      <c r="S287" s="12"/>
      <c r="T287" s="12"/>
      <c r="U287" s="12"/>
      <c r="V287" s="12"/>
      <c r="W287" s="12"/>
      <c r="X287" s="12"/>
      <c r="Y287" s="12"/>
      <c r="Z287" s="359"/>
      <c r="AA287" s="12"/>
      <c r="AB287" s="12"/>
      <c r="AC287" s="12"/>
    </row>
    <row r="288" ht="15.75" customHeight="1">
      <c r="A288" s="12"/>
      <c r="B288" s="12"/>
      <c r="C288" s="12"/>
      <c r="D288" s="12"/>
      <c r="E288" s="12"/>
      <c r="F288" s="12"/>
      <c r="G288" s="12"/>
      <c r="H288" s="12"/>
      <c r="I288" s="12"/>
      <c r="J288" s="359"/>
      <c r="K288" s="12"/>
      <c r="L288" s="12"/>
      <c r="M288" s="12"/>
      <c r="N288" s="12"/>
      <c r="O288" s="12"/>
      <c r="P288" s="12"/>
      <c r="Q288" s="12"/>
      <c r="R288" s="359"/>
      <c r="S288" s="12"/>
      <c r="T288" s="12"/>
      <c r="U288" s="12"/>
      <c r="V288" s="12"/>
      <c r="W288" s="12"/>
      <c r="X288" s="12"/>
      <c r="Y288" s="12"/>
      <c r="Z288" s="359"/>
      <c r="AA288" s="12"/>
      <c r="AB288" s="12"/>
      <c r="AC288" s="12"/>
    </row>
    <row r="289" ht="15.75" customHeight="1">
      <c r="A289" s="12"/>
      <c r="B289" s="12"/>
      <c r="C289" s="12"/>
      <c r="D289" s="12"/>
      <c r="E289" s="12"/>
      <c r="F289" s="12"/>
      <c r="G289" s="12"/>
      <c r="H289" s="12"/>
      <c r="I289" s="12"/>
      <c r="J289" s="359"/>
      <c r="K289" s="12"/>
      <c r="L289" s="12"/>
      <c r="M289" s="12"/>
      <c r="N289" s="12"/>
      <c r="O289" s="12"/>
      <c r="P289" s="12"/>
      <c r="Q289" s="12"/>
      <c r="R289" s="359"/>
      <c r="S289" s="12"/>
      <c r="T289" s="12"/>
      <c r="U289" s="12"/>
      <c r="V289" s="12"/>
      <c r="W289" s="12"/>
      <c r="X289" s="12"/>
      <c r="Y289" s="12"/>
      <c r="Z289" s="359"/>
      <c r="AA289" s="12"/>
      <c r="AB289" s="12"/>
      <c r="AC289" s="12"/>
    </row>
    <row r="290" ht="15.75" customHeight="1">
      <c r="A290" s="12"/>
      <c r="B290" s="12"/>
      <c r="C290" s="12"/>
      <c r="D290" s="12"/>
      <c r="E290" s="12"/>
      <c r="F290" s="12"/>
      <c r="G290" s="12"/>
      <c r="H290" s="12"/>
      <c r="I290" s="12"/>
      <c r="J290" s="359"/>
      <c r="K290" s="12"/>
      <c r="L290" s="12"/>
      <c r="M290" s="12"/>
      <c r="N290" s="12"/>
      <c r="O290" s="12"/>
      <c r="P290" s="12"/>
      <c r="Q290" s="12"/>
      <c r="R290" s="359"/>
      <c r="S290" s="12"/>
      <c r="T290" s="12"/>
      <c r="U290" s="12"/>
      <c r="V290" s="12"/>
      <c r="W290" s="12"/>
      <c r="X290" s="12"/>
      <c r="Y290" s="12"/>
      <c r="Z290" s="359"/>
      <c r="AA290" s="12"/>
      <c r="AB290" s="12"/>
      <c r="AC290" s="12"/>
    </row>
    <row r="291" ht="15.75" customHeight="1">
      <c r="A291" s="12"/>
      <c r="B291" s="12"/>
      <c r="C291" s="12"/>
      <c r="D291" s="12"/>
      <c r="E291" s="12"/>
      <c r="F291" s="12"/>
      <c r="G291" s="12"/>
      <c r="H291" s="12"/>
      <c r="I291" s="12"/>
      <c r="J291" s="359"/>
      <c r="K291" s="12"/>
      <c r="L291" s="12"/>
      <c r="M291" s="12"/>
      <c r="N291" s="12"/>
      <c r="O291" s="12"/>
      <c r="P291" s="12"/>
      <c r="Q291" s="12"/>
      <c r="R291" s="359"/>
      <c r="S291" s="12"/>
      <c r="T291" s="12"/>
      <c r="U291" s="12"/>
      <c r="V291" s="12"/>
      <c r="W291" s="12"/>
      <c r="X291" s="12"/>
      <c r="Y291" s="12"/>
      <c r="Z291" s="359"/>
      <c r="AA291" s="12"/>
      <c r="AB291" s="12"/>
      <c r="AC291" s="12"/>
    </row>
    <row r="292" ht="15.75" customHeight="1">
      <c r="A292" s="12"/>
      <c r="B292" s="12"/>
      <c r="C292" s="12"/>
      <c r="D292" s="12"/>
      <c r="E292" s="12"/>
      <c r="F292" s="12"/>
      <c r="G292" s="12"/>
      <c r="H292" s="12"/>
      <c r="I292" s="12"/>
      <c r="J292" s="359"/>
      <c r="K292" s="12"/>
      <c r="L292" s="12"/>
      <c r="M292" s="12"/>
      <c r="N292" s="12"/>
      <c r="O292" s="12"/>
      <c r="P292" s="12"/>
      <c r="Q292" s="12"/>
      <c r="R292" s="359"/>
      <c r="S292" s="12"/>
      <c r="T292" s="12"/>
      <c r="U292" s="12"/>
      <c r="V292" s="12"/>
      <c r="W292" s="12"/>
      <c r="X292" s="12"/>
      <c r="Y292" s="12"/>
      <c r="Z292" s="359"/>
      <c r="AA292" s="12"/>
      <c r="AB292" s="12"/>
      <c r="AC292" s="12"/>
    </row>
    <row r="293" ht="15.75" customHeight="1">
      <c r="A293" s="12"/>
      <c r="B293" s="12"/>
      <c r="C293" s="12"/>
      <c r="D293" s="12"/>
      <c r="E293" s="12"/>
      <c r="F293" s="12"/>
      <c r="G293" s="12"/>
      <c r="H293" s="12"/>
      <c r="I293" s="12"/>
      <c r="J293" s="359"/>
      <c r="K293" s="12"/>
      <c r="L293" s="12"/>
      <c r="M293" s="12"/>
      <c r="N293" s="12"/>
      <c r="O293" s="12"/>
      <c r="P293" s="12"/>
      <c r="Q293" s="12"/>
      <c r="R293" s="359"/>
      <c r="S293" s="12"/>
      <c r="T293" s="12"/>
      <c r="U293" s="12"/>
      <c r="V293" s="12"/>
      <c r="W293" s="12"/>
      <c r="X293" s="12"/>
      <c r="Y293" s="12"/>
      <c r="Z293" s="359"/>
      <c r="AA293" s="12"/>
      <c r="AB293" s="12"/>
      <c r="AC293" s="12"/>
    </row>
    <row r="294" ht="15.75" customHeight="1">
      <c r="A294" s="12"/>
      <c r="B294" s="12"/>
      <c r="C294" s="12"/>
      <c r="D294" s="12"/>
      <c r="E294" s="12"/>
      <c r="F294" s="12"/>
      <c r="G294" s="12"/>
      <c r="H294" s="12"/>
      <c r="I294" s="12"/>
      <c r="J294" s="359"/>
      <c r="K294" s="12"/>
      <c r="L294" s="12"/>
      <c r="M294" s="12"/>
      <c r="N294" s="12"/>
      <c r="O294" s="12"/>
      <c r="P294" s="12"/>
      <c r="Q294" s="12"/>
      <c r="R294" s="359"/>
      <c r="S294" s="12"/>
      <c r="T294" s="12"/>
      <c r="U294" s="12"/>
      <c r="V294" s="12"/>
      <c r="W294" s="12"/>
      <c r="X294" s="12"/>
      <c r="Y294" s="12"/>
      <c r="Z294" s="359"/>
      <c r="AA294" s="12"/>
      <c r="AB294" s="12"/>
      <c r="AC294" s="12"/>
    </row>
    <row r="295" ht="15.75" customHeight="1">
      <c r="A295" s="12"/>
      <c r="B295" s="12"/>
      <c r="C295" s="12"/>
      <c r="D295" s="12"/>
      <c r="E295" s="12"/>
      <c r="F295" s="12"/>
      <c r="G295" s="12"/>
      <c r="H295" s="12"/>
      <c r="I295" s="12"/>
      <c r="J295" s="359"/>
      <c r="K295" s="12"/>
      <c r="L295" s="12"/>
      <c r="M295" s="12"/>
      <c r="N295" s="12"/>
      <c r="O295" s="12"/>
      <c r="P295" s="12"/>
      <c r="Q295" s="12"/>
      <c r="R295" s="359"/>
      <c r="S295" s="12"/>
      <c r="T295" s="12"/>
      <c r="U295" s="12"/>
      <c r="V295" s="12"/>
      <c r="W295" s="12"/>
      <c r="X295" s="12"/>
      <c r="Y295" s="12"/>
      <c r="Z295" s="359"/>
      <c r="AA295" s="12"/>
      <c r="AB295" s="12"/>
      <c r="AC295" s="12"/>
    </row>
    <row r="296" ht="15.75" customHeight="1">
      <c r="A296" s="12"/>
      <c r="B296" s="12"/>
      <c r="C296" s="12"/>
      <c r="D296" s="12"/>
      <c r="E296" s="12"/>
      <c r="F296" s="12"/>
      <c r="G296" s="12"/>
      <c r="H296" s="12"/>
      <c r="I296" s="12"/>
      <c r="J296" s="359"/>
      <c r="K296" s="12"/>
      <c r="L296" s="12"/>
      <c r="M296" s="12"/>
      <c r="N296" s="12"/>
      <c r="O296" s="12"/>
      <c r="P296" s="12"/>
      <c r="Q296" s="12"/>
      <c r="R296" s="359"/>
      <c r="S296" s="12"/>
      <c r="T296" s="12"/>
      <c r="U296" s="12"/>
      <c r="V296" s="12"/>
      <c r="W296" s="12"/>
      <c r="X296" s="12"/>
      <c r="Y296" s="12"/>
      <c r="Z296" s="359"/>
      <c r="AA296" s="12"/>
      <c r="AB296" s="12"/>
      <c r="AC296" s="12"/>
    </row>
    <row r="297" ht="15.75" customHeight="1">
      <c r="A297" s="12"/>
      <c r="B297" s="12"/>
      <c r="C297" s="12"/>
      <c r="D297" s="12"/>
      <c r="E297" s="12"/>
      <c r="F297" s="12"/>
      <c r="G297" s="12"/>
      <c r="H297" s="12"/>
      <c r="I297" s="12"/>
      <c r="J297" s="359"/>
      <c r="K297" s="12"/>
      <c r="L297" s="12"/>
      <c r="M297" s="12"/>
      <c r="N297" s="12"/>
      <c r="O297" s="12"/>
      <c r="P297" s="12"/>
      <c r="Q297" s="12"/>
      <c r="R297" s="359"/>
      <c r="S297" s="12"/>
      <c r="T297" s="12"/>
      <c r="U297" s="12"/>
      <c r="V297" s="12"/>
      <c r="W297" s="12"/>
      <c r="X297" s="12"/>
      <c r="Y297" s="12"/>
      <c r="Z297" s="359"/>
      <c r="AA297" s="12"/>
      <c r="AB297" s="12"/>
      <c r="AC297" s="12"/>
    </row>
    <row r="298" ht="15.75" customHeight="1">
      <c r="A298" s="12"/>
      <c r="B298" s="12"/>
      <c r="C298" s="12"/>
      <c r="D298" s="12"/>
      <c r="E298" s="12"/>
      <c r="F298" s="12"/>
      <c r="G298" s="12"/>
      <c r="H298" s="12"/>
      <c r="I298" s="12"/>
      <c r="J298" s="359"/>
      <c r="K298" s="12"/>
      <c r="L298" s="12"/>
      <c r="M298" s="12"/>
      <c r="N298" s="12"/>
      <c r="O298" s="12"/>
      <c r="P298" s="12"/>
      <c r="Q298" s="12"/>
      <c r="R298" s="359"/>
      <c r="S298" s="12"/>
      <c r="T298" s="12"/>
      <c r="U298" s="12"/>
      <c r="V298" s="12"/>
      <c r="W298" s="12"/>
      <c r="X298" s="12"/>
      <c r="Y298" s="12"/>
      <c r="Z298" s="359"/>
      <c r="AA298" s="12"/>
      <c r="AB298" s="12"/>
      <c r="AC298" s="12"/>
    </row>
    <row r="299" ht="15.75" customHeight="1">
      <c r="A299" s="12"/>
      <c r="B299" s="12"/>
      <c r="C299" s="12"/>
      <c r="D299" s="12"/>
      <c r="E299" s="12"/>
      <c r="F299" s="12"/>
      <c r="G299" s="12"/>
      <c r="H299" s="12"/>
      <c r="I299" s="12"/>
      <c r="J299" s="359"/>
      <c r="K299" s="12"/>
      <c r="L299" s="12"/>
      <c r="M299" s="12"/>
      <c r="N299" s="12"/>
      <c r="O299" s="12"/>
      <c r="P299" s="12"/>
      <c r="Q299" s="12"/>
      <c r="R299" s="359"/>
      <c r="S299" s="12"/>
      <c r="T299" s="12"/>
      <c r="U299" s="12"/>
      <c r="V299" s="12"/>
      <c r="W299" s="12"/>
      <c r="X299" s="12"/>
      <c r="Y299" s="12"/>
      <c r="Z299" s="359"/>
      <c r="AA299" s="12"/>
      <c r="AB299" s="12"/>
      <c r="AC299" s="12"/>
    </row>
    <row r="300" ht="15.75" customHeight="1">
      <c r="A300" s="12"/>
      <c r="B300" s="12"/>
      <c r="C300" s="12"/>
      <c r="D300" s="12"/>
      <c r="E300" s="12"/>
      <c r="F300" s="12"/>
      <c r="G300" s="12"/>
      <c r="H300" s="12"/>
      <c r="I300" s="12"/>
      <c r="J300" s="359"/>
      <c r="K300" s="12"/>
      <c r="L300" s="12"/>
      <c r="M300" s="12"/>
      <c r="N300" s="12"/>
      <c r="O300" s="12"/>
      <c r="P300" s="12"/>
      <c r="Q300" s="12"/>
      <c r="R300" s="359"/>
      <c r="S300" s="12"/>
      <c r="T300" s="12"/>
      <c r="U300" s="12"/>
      <c r="V300" s="12"/>
      <c r="W300" s="12"/>
      <c r="X300" s="12"/>
      <c r="Y300" s="12"/>
      <c r="Z300" s="359"/>
      <c r="AA300" s="12"/>
      <c r="AB300" s="12"/>
      <c r="AC300" s="12"/>
    </row>
    <row r="301" ht="15.75" customHeight="1">
      <c r="A301" s="12"/>
      <c r="B301" s="12"/>
      <c r="C301" s="12"/>
      <c r="D301" s="12"/>
      <c r="E301" s="12"/>
      <c r="F301" s="12"/>
      <c r="G301" s="12"/>
      <c r="H301" s="12"/>
      <c r="I301" s="12"/>
      <c r="J301" s="359"/>
      <c r="K301" s="12"/>
      <c r="L301" s="12"/>
      <c r="M301" s="12"/>
      <c r="N301" s="12"/>
      <c r="O301" s="12"/>
      <c r="P301" s="12"/>
      <c r="Q301" s="12"/>
      <c r="R301" s="359"/>
      <c r="S301" s="12"/>
      <c r="T301" s="12"/>
      <c r="U301" s="12"/>
      <c r="V301" s="12"/>
      <c r="W301" s="12"/>
      <c r="X301" s="12"/>
      <c r="Y301" s="12"/>
      <c r="Z301" s="359"/>
      <c r="AA301" s="12"/>
      <c r="AB301" s="12"/>
      <c r="AC301" s="12"/>
    </row>
    <row r="302" ht="15.75" customHeight="1">
      <c r="A302" s="12"/>
      <c r="B302" s="12"/>
      <c r="C302" s="12"/>
      <c r="D302" s="12"/>
      <c r="E302" s="12"/>
      <c r="F302" s="12"/>
      <c r="G302" s="12"/>
      <c r="H302" s="12"/>
      <c r="I302" s="12"/>
      <c r="J302" s="359"/>
      <c r="K302" s="12"/>
      <c r="L302" s="12"/>
      <c r="M302" s="12"/>
      <c r="N302" s="12"/>
      <c r="O302" s="12"/>
      <c r="P302" s="12"/>
      <c r="Q302" s="12"/>
      <c r="R302" s="359"/>
      <c r="S302" s="12"/>
      <c r="T302" s="12"/>
      <c r="U302" s="12"/>
      <c r="V302" s="12"/>
      <c r="W302" s="12"/>
      <c r="X302" s="12"/>
      <c r="Y302" s="12"/>
      <c r="Z302" s="359"/>
      <c r="AA302" s="12"/>
      <c r="AB302" s="12"/>
      <c r="AC302" s="12"/>
    </row>
    <row r="303" ht="15.75" customHeight="1">
      <c r="A303" s="12"/>
      <c r="B303" s="12"/>
      <c r="C303" s="12"/>
      <c r="D303" s="12"/>
      <c r="E303" s="12"/>
      <c r="F303" s="12"/>
      <c r="G303" s="12"/>
      <c r="H303" s="12"/>
      <c r="I303" s="12"/>
      <c r="J303" s="359"/>
      <c r="K303" s="12"/>
      <c r="L303" s="12"/>
      <c r="M303" s="12"/>
      <c r="N303" s="12"/>
      <c r="O303" s="12"/>
      <c r="P303" s="12"/>
      <c r="Q303" s="12"/>
      <c r="R303" s="359"/>
      <c r="S303" s="12"/>
      <c r="T303" s="12"/>
      <c r="U303" s="12"/>
      <c r="V303" s="12"/>
      <c r="W303" s="12"/>
      <c r="X303" s="12"/>
      <c r="Y303" s="12"/>
      <c r="Z303" s="359"/>
      <c r="AA303" s="12"/>
      <c r="AB303" s="12"/>
      <c r="AC303" s="12"/>
    </row>
    <row r="304" ht="15.75" customHeight="1">
      <c r="A304" s="12"/>
      <c r="B304" s="12"/>
      <c r="C304" s="12"/>
      <c r="D304" s="12"/>
      <c r="E304" s="12"/>
      <c r="F304" s="12"/>
      <c r="G304" s="12"/>
      <c r="H304" s="12"/>
      <c r="I304" s="12"/>
      <c r="J304" s="359"/>
      <c r="K304" s="12"/>
      <c r="L304" s="12"/>
      <c r="M304" s="12"/>
      <c r="N304" s="12"/>
      <c r="O304" s="12"/>
      <c r="P304" s="12"/>
      <c r="Q304" s="12"/>
      <c r="R304" s="359"/>
      <c r="S304" s="12"/>
      <c r="T304" s="12"/>
      <c r="U304" s="12"/>
      <c r="V304" s="12"/>
      <c r="W304" s="12"/>
      <c r="X304" s="12"/>
      <c r="Y304" s="12"/>
      <c r="Z304" s="359"/>
      <c r="AA304" s="12"/>
      <c r="AB304" s="12"/>
      <c r="AC304" s="12"/>
    </row>
    <row r="305" ht="15.75" customHeight="1">
      <c r="A305" s="12"/>
      <c r="B305" s="12"/>
      <c r="C305" s="12"/>
      <c r="D305" s="12"/>
      <c r="E305" s="12"/>
      <c r="F305" s="12"/>
      <c r="G305" s="12"/>
      <c r="H305" s="12"/>
      <c r="I305" s="12"/>
      <c r="J305" s="359"/>
      <c r="K305" s="12"/>
      <c r="L305" s="12"/>
      <c r="M305" s="12"/>
      <c r="N305" s="12"/>
      <c r="O305" s="12"/>
      <c r="P305" s="12"/>
      <c r="Q305" s="12"/>
      <c r="R305" s="359"/>
      <c r="S305" s="12"/>
      <c r="T305" s="12"/>
      <c r="U305" s="12"/>
      <c r="V305" s="12"/>
      <c r="W305" s="12"/>
      <c r="X305" s="12"/>
      <c r="Y305" s="12"/>
      <c r="Z305" s="359"/>
      <c r="AA305" s="12"/>
      <c r="AB305" s="12"/>
      <c r="AC305" s="12"/>
    </row>
    <row r="306" ht="15.75" customHeight="1">
      <c r="A306" s="12"/>
      <c r="B306" s="12"/>
      <c r="C306" s="12"/>
      <c r="D306" s="12"/>
      <c r="E306" s="12"/>
      <c r="F306" s="12"/>
      <c r="G306" s="12"/>
      <c r="H306" s="12"/>
      <c r="I306" s="12"/>
      <c r="J306" s="359"/>
      <c r="K306" s="12"/>
      <c r="L306" s="12"/>
      <c r="M306" s="12"/>
      <c r="N306" s="12"/>
      <c r="O306" s="12"/>
      <c r="P306" s="12"/>
      <c r="Q306" s="12"/>
      <c r="R306" s="359"/>
      <c r="S306" s="12"/>
      <c r="T306" s="12"/>
      <c r="U306" s="12"/>
      <c r="V306" s="12"/>
      <c r="W306" s="12"/>
      <c r="X306" s="12"/>
      <c r="Y306" s="12"/>
      <c r="Z306" s="359"/>
      <c r="AA306" s="12"/>
      <c r="AB306" s="12"/>
      <c r="AC306" s="12"/>
    </row>
    <row r="307" ht="15.75" customHeight="1">
      <c r="A307" s="12"/>
      <c r="B307" s="12"/>
      <c r="C307" s="12"/>
      <c r="D307" s="12"/>
      <c r="E307" s="12"/>
      <c r="F307" s="12"/>
      <c r="G307" s="12"/>
      <c r="H307" s="12"/>
      <c r="I307" s="12"/>
      <c r="J307" s="359"/>
      <c r="K307" s="12"/>
      <c r="L307" s="12"/>
      <c r="M307" s="12"/>
      <c r="N307" s="12"/>
      <c r="O307" s="12"/>
      <c r="P307" s="12"/>
      <c r="Q307" s="12"/>
      <c r="R307" s="359"/>
      <c r="S307" s="12"/>
      <c r="T307" s="12"/>
      <c r="U307" s="12"/>
      <c r="V307" s="12"/>
      <c r="W307" s="12"/>
      <c r="X307" s="12"/>
      <c r="Y307" s="12"/>
      <c r="Z307" s="359"/>
      <c r="AA307" s="12"/>
      <c r="AB307" s="12"/>
      <c r="AC307" s="12"/>
    </row>
    <row r="308" ht="15.75" customHeight="1">
      <c r="A308" s="12"/>
      <c r="B308" s="12"/>
      <c r="C308" s="12"/>
      <c r="D308" s="12"/>
      <c r="E308" s="12"/>
      <c r="F308" s="12"/>
      <c r="G308" s="12"/>
      <c r="H308" s="12"/>
      <c r="I308" s="12"/>
      <c r="J308" s="359"/>
      <c r="K308" s="12"/>
      <c r="L308" s="12"/>
      <c r="M308" s="12"/>
      <c r="N308" s="12"/>
      <c r="O308" s="12"/>
      <c r="P308" s="12"/>
      <c r="Q308" s="12"/>
      <c r="R308" s="359"/>
      <c r="S308" s="12"/>
      <c r="T308" s="12"/>
      <c r="U308" s="12"/>
      <c r="V308" s="12"/>
      <c r="W308" s="12"/>
      <c r="X308" s="12"/>
      <c r="Y308" s="12"/>
      <c r="Z308" s="359"/>
      <c r="AA308" s="12"/>
      <c r="AB308" s="12"/>
      <c r="AC308" s="12"/>
    </row>
    <row r="309" ht="15.75" customHeight="1">
      <c r="A309" s="12"/>
      <c r="B309" s="12"/>
      <c r="C309" s="12"/>
      <c r="D309" s="12"/>
      <c r="E309" s="12"/>
      <c r="F309" s="12"/>
      <c r="G309" s="12"/>
      <c r="H309" s="12"/>
      <c r="I309" s="12"/>
      <c r="J309" s="359"/>
      <c r="K309" s="12"/>
      <c r="L309" s="12"/>
      <c r="M309" s="12"/>
      <c r="N309" s="12"/>
      <c r="O309" s="12"/>
      <c r="P309" s="12"/>
      <c r="Q309" s="12"/>
      <c r="R309" s="359"/>
      <c r="S309" s="12"/>
      <c r="T309" s="12"/>
      <c r="U309" s="12"/>
      <c r="V309" s="12"/>
      <c r="W309" s="12"/>
      <c r="X309" s="12"/>
      <c r="Y309" s="12"/>
      <c r="Z309" s="359"/>
      <c r="AA309" s="12"/>
      <c r="AB309" s="12"/>
      <c r="AC309" s="12"/>
    </row>
    <row r="310" ht="15.75" customHeight="1">
      <c r="A310" s="12"/>
      <c r="B310" s="12"/>
      <c r="C310" s="12"/>
      <c r="D310" s="12"/>
      <c r="E310" s="12"/>
      <c r="F310" s="12"/>
      <c r="G310" s="12"/>
      <c r="H310" s="12"/>
      <c r="I310" s="12"/>
      <c r="J310" s="359"/>
      <c r="K310" s="12"/>
      <c r="L310" s="12"/>
      <c r="M310" s="12"/>
      <c r="N310" s="12"/>
      <c r="O310" s="12"/>
      <c r="P310" s="12"/>
      <c r="Q310" s="12"/>
      <c r="R310" s="359"/>
      <c r="S310" s="12"/>
      <c r="T310" s="12"/>
      <c r="U310" s="12"/>
      <c r="V310" s="12"/>
      <c r="W310" s="12"/>
      <c r="X310" s="12"/>
      <c r="Y310" s="12"/>
      <c r="Z310" s="359"/>
      <c r="AA310" s="12"/>
      <c r="AB310" s="12"/>
      <c r="AC310" s="12"/>
    </row>
    <row r="311" ht="15.75" customHeight="1">
      <c r="A311" s="12"/>
      <c r="B311" s="12"/>
      <c r="C311" s="12"/>
      <c r="D311" s="12"/>
      <c r="E311" s="12"/>
      <c r="F311" s="12"/>
      <c r="G311" s="12"/>
      <c r="H311" s="12"/>
      <c r="I311" s="12"/>
      <c r="J311" s="359"/>
      <c r="K311" s="12"/>
      <c r="L311" s="12"/>
      <c r="M311" s="12"/>
      <c r="N311" s="12"/>
      <c r="O311" s="12"/>
      <c r="P311" s="12"/>
      <c r="Q311" s="12"/>
      <c r="R311" s="359"/>
      <c r="S311" s="12"/>
      <c r="T311" s="12"/>
      <c r="U311" s="12"/>
      <c r="V311" s="12"/>
      <c r="W311" s="12"/>
      <c r="X311" s="12"/>
      <c r="Y311" s="12"/>
      <c r="Z311" s="359"/>
      <c r="AA311" s="12"/>
      <c r="AB311" s="12"/>
      <c r="AC311" s="12"/>
    </row>
    <row r="312" ht="15.75" customHeight="1">
      <c r="A312" s="12"/>
      <c r="B312" s="12"/>
      <c r="C312" s="12"/>
      <c r="D312" s="12"/>
      <c r="E312" s="12"/>
      <c r="F312" s="12"/>
      <c r="G312" s="12"/>
      <c r="H312" s="12"/>
      <c r="I312" s="12"/>
      <c r="J312" s="359"/>
      <c r="K312" s="12"/>
      <c r="L312" s="12"/>
      <c r="M312" s="12"/>
      <c r="N312" s="12"/>
      <c r="O312" s="12"/>
      <c r="P312" s="12"/>
      <c r="Q312" s="12"/>
      <c r="R312" s="359"/>
      <c r="S312" s="12"/>
      <c r="T312" s="12"/>
      <c r="U312" s="12"/>
      <c r="V312" s="12"/>
      <c r="W312" s="12"/>
      <c r="X312" s="12"/>
      <c r="Y312" s="12"/>
      <c r="Z312" s="359"/>
      <c r="AA312" s="12"/>
      <c r="AB312" s="12"/>
      <c r="AC312" s="12"/>
    </row>
    <row r="313" ht="15.75" customHeight="1">
      <c r="A313" s="12"/>
      <c r="B313" s="12"/>
      <c r="C313" s="12"/>
      <c r="D313" s="12"/>
      <c r="E313" s="12"/>
      <c r="F313" s="12"/>
      <c r="G313" s="12"/>
      <c r="H313" s="12"/>
      <c r="I313" s="12"/>
      <c r="J313" s="359"/>
      <c r="K313" s="12"/>
      <c r="L313" s="12"/>
      <c r="M313" s="12"/>
      <c r="N313" s="12"/>
      <c r="O313" s="12"/>
      <c r="P313" s="12"/>
      <c r="Q313" s="12"/>
      <c r="R313" s="359"/>
      <c r="S313" s="12"/>
      <c r="T313" s="12"/>
      <c r="U313" s="12"/>
      <c r="V313" s="12"/>
      <c r="W313" s="12"/>
      <c r="X313" s="12"/>
      <c r="Y313" s="12"/>
      <c r="Z313" s="359"/>
      <c r="AA313" s="12"/>
      <c r="AB313" s="12"/>
      <c r="AC313" s="12"/>
    </row>
    <row r="314" ht="15.75" customHeight="1">
      <c r="A314" s="12"/>
      <c r="B314" s="12"/>
      <c r="C314" s="12"/>
      <c r="D314" s="12"/>
      <c r="E314" s="12"/>
      <c r="F314" s="12"/>
      <c r="G314" s="12"/>
      <c r="H314" s="12"/>
      <c r="I314" s="12"/>
      <c r="J314" s="359"/>
      <c r="K314" s="12"/>
      <c r="L314" s="12"/>
      <c r="M314" s="12"/>
      <c r="N314" s="12"/>
      <c r="O314" s="12"/>
      <c r="P314" s="12"/>
      <c r="Q314" s="12"/>
      <c r="R314" s="359"/>
      <c r="S314" s="12"/>
      <c r="T314" s="12"/>
      <c r="U314" s="12"/>
      <c r="V314" s="12"/>
      <c r="W314" s="12"/>
      <c r="X314" s="12"/>
      <c r="Y314" s="12"/>
      <c r="Z314" s="359"/>
      <c r="AA314" s="12"/>
      <c r="AB314" s="12"/>
      <c r="AC314" s="12"/>
    </row>
    <row r="315" ht="15.75" customHeight="1">
      <c r="A315" s="12"/>
      <c r="B315" s="12"/>
      <c r="C315" s="12"/>
      <c r="D315" s="12"/>
      <c r="E315" s="12"/>
      <c r="F315" s="12"/>
      <c r="G315" s="12"/>
      <c r="H315" s="12"/>
      <c r="I315" s="12"/>
      <c r="J315" s="359"/>
      <c r="K315" s="12"/>
      <c r="L315" s="12"/>
      <c r="M315" s="12"/>
      <c r="N315" s="12"/>
      <c r="O315" s="12"/>
      <c r="P315" s="12"/>
      <c r="Q315" s="12"/>
      <c r="R315" s="359"/>
      <c r="S315" s="12"/>
      <c r="T315" s="12"/>
      <c r="U315" s="12"/>
      <c r="V315" s="12"/>
      <c r="W315" s="12"/>
      <c r="X315" s="12"/>
      <c r="Y315" s="12"/>
      <c r="Z315" s="359"/>
      <c r="AA315" s="12"/>
      <c r="AB315" s="12"/>
      <c r="AC315" s="12"/>
    </row>
    <row r="316" ht="15.75" customHeight="1">
      <c r="A316" s="12"/>
      <c r="B316" s="12"/>
      <c r="C316" s="12"/>
      <c r="D316" s="12"/>
      <c r="E316" s="12"/>
      <c r="F316" s="12"/>
      <c r="G316" s="12"/>
      <c r="H316" s="12"/>
      <c r="I316" s="12"/>
      <c r="J316" s="359"/>
      <c r="K316" s="12"/>
      <c r="L316" s="12"/>
      <c r="M316" s="12"/>
      <c r="N316" s="12"/>
      <c r="O316" s="12"/>
      <c r="P316" s="12"/>
      <c r="Q316" s="12"/>
      <c r="R316" s="359"/>
      <c r="S316" s="12"/>
      <c r="T316" s="12"/>
      <c r="U316" s="12"/>
      <c r="V316" s="12"/>
      <c r="W316" s="12"/>
      <c r="X316" s="12"/>
      <c r="Y316" s="12"/>
      <c r="Z316" s="359"/>
      <c r="AA316" s="12"/>
      <c r="AB316" s="12"/>
      <c r="AC316" s="12"/>
    </row>
    <row r="317" ht="15.75" customHeight="1">
      <c r="A317" s="12"/>
      <c r="B317" s="12"/>
      <c r="C317" s="12"/>
      <c r="D317" s="12"/>
      <c r="E317" s="12"/>
      <c r="F317" s="12"/>
      <c r="G317" s="12"/>
      <c r="H317" s="12"/>
      <c r="I317" s="12"/>
      <c r="J317" s="359"/>
      <c r="K317" s="12"/>
      <c r="L317" s="12"/>
      <c r="M317" s="12"/>
      <c r="N317" s="12"/>
      <c r="O317" s="12"/>
      <c r="P317" s="12"/>
      <c r="Q317" s="12"/>
      <c r="R317" s="359"/>
      <c r="S317" s="12"/>
      <c r="T317" s="12"/>
      <c r="U317" s="12"/>
      <c r="V317" s="12"/>
      <c r="W317" s="12"/>
      <c r="X317" s="12"/>
      <c r="Y317" s="12"/>
      <c r="Z317" s="359"/>
      <c r="AA317" s="12"/>
      <c r="AB317" s="12"/>
      <c r="AC317" s="12"/>
    </row>
    <row r="318" ht="15.75" customHeight="1">
      <c r="A318" s="12"/>
      <c r="B318" s="12"/>
      <c r="C318" s="12"/>
      <c r="D318" s="12"/>
      <c r="E318" s="12"/>
      <c r="F318" s="12"/>
      <c r="G318" s="12"/>
      <c r="H318" s="12"/>
      <c r="I318" s="12"/>
      <c r="J318" s="359"/>
      <c r="K318" s="12"/>
      <c r="L318" s="12"/>
      <c r="M318" s="12"/>
      <c r="N318" s="12"/>
      <c r="O318" s="12"/>
      <c r="P318" s="12"/>
      <c r="Q318" s="12"/>
      <c r="R318" s="359"/>
      <c r="S318" s="12"/>
      <c r="T318" s="12"/>
      <c r="U318" s="12"/>
      <c r="V318" s="12"/>
      <c r="W318" s="12"/>
      <c r="X318" s="12"/>
      <c r="Y318" s="12"/>
      <c r="Z318" s="359"/>
      <c r="AA318" s="12"/>
      <c r="AB318" s="12"/>
      <c r="AC318" s="12"/>
    </row>
    <row r="319" ht="15.75" customHeight="1">
      <c r="A319" s="12"/>
      <c r="B319" s="12"/>
      <c r="C319" s="12"/>
      <c r="D319" s="12"/>
      <c r="E319" s="12"/>
      <c r="F319" s="12"/>
      <c r="G319" s="12"/>
      <c r="H319" s="12"/>
      <c r="I319" s="12"/>
      <c r="J319" s="359"/>
      <c r="K319" s="12"/>
      <c r="L319" s="12"/>
      <c r="M319" s="12"/>
      <c r="N319" s="12"/>
      <c r="O319" s="12"/>
      <c r="P319" s="12"/>
      <c r="Q319" s="12"/>
      <c r="R319" s="359"/>
      <c r="S319" s="12"/>
      <c r="T319" s="12"/>
      <c r="U319" s="12"/>
      <c r="V319" s="12"/>
      <c r="W319" s="12"/>
      <c r="X319" s="12"/>
      <c r="Y319" s="12"/>
      <c r="Z319" s="359"/>
      <c r="AA319" s="12"/>
      <c r="AB319" s="12"/>
      <c r="AC319" s="12"/>
    </row>
    <row r="320" ht="15.75" customHeight="1">
      <c r="A320" s="12"/>
      <c r="B320" s="12"/>
      <c r="C320" s="12"/>
      <c r="D320" s="12"/>
      <c r="E320" s="12"/>
      <c r="F320" s="12"/>
      <c r="G320" s="12"/>
      <c r="H320" s="12"/>
      <c r="I320" s="12"/>
      <c r="J320" s="359"/>
      <c r="K320" s="12"/>
      <c r="L320" s="12"/>
      <c r="M320" s="12"/>
      <c r="N320" s="12"/>
      <c r="O320" s="12"/>
      <c r="P320" s="12"/>
      <c r="Q320" s="12"/>
      <c r="R320" s="359"/>
      <c r="S320" s="12"/>
      <c r="T320" s="12"/>
      <c r="U320" s="12"/>
      <c r="V320" s="12"/>
      <c r="W320" s="12"/>
      <c r="X320" s="12"/>
      <c r="Y320" s="12"/>
      <c r="Z320" s="359"/>
      <c r="AA320" s="12"/>
      <c r="AB320" s="12"/>
      <c r="AC320" s="12"/>
    </row>
    <row r="321" ht="15.75" customHeight="1">
      <c r="A321" s="12"/>
      <c r="B321" s="12"/>
      <c r="C321" s="12"/>
      <c r="D321" s="12"/>
      <c r="E321" s="12"/>
      <c r="F321" s="12"/>
      <c r="G321" s="12"/>
      <c r="H321" s="12"/>
      <c r="I321" s="12"/>
      <c r="J321" s="359"/>
      <c r="K321" s="12"/>
      <c r="L321" s="12"/>
      <c r="M321" s="12"/>
      <c r="N321" s="12"/>
      <c r="O321" s="12"/>
      <c r="P321" s="12"/>
      <c r="Q321" s="12"/>
      <c r="R321" s="359"/>
      <c r="S321" s="12"/>
      <c r="T321" s="12"/>
      <c r="U321" s="12"/>
      <c r="V321" s="12"/>
      <c r="W321" s="12"/>
      <c r="X321" s="12"/>
      <c r="Y321" s="12"/>
      <c r="Z321" s="359"/>
      <c r="AA321" s="12"/>
      <c r="AB321" s="12"/>
      <c r="AC321" s="12"/>
    </row>
    <row r="322" ht="15.75" customHeight="1">
      <c r="A322" s="12"/>
      <c r="B322" s="12"/>
      <c r="C322" s="12"/>
      <c r="D322" s="12"/>
      <c r="E322" s="12"/>
      <c r="F322" s="12"/>
      <c r="G322" s="12"/>
      <c r="H322" s="12"/>
      <c r="I322" s="12"/>
      <c r="J322" s="359"/>
      <c r="K322" s="12"/>
      <c r="L322" s="12"/>
      <c r="M322" s="12"/>
      <c r="N322" s="12"/>
      <c r="O322" s="12"/>
      <c r="P322" s="12"/>
      <c r="Q322" s="12"/>
      <c r="R322" s="359"/>
      <c r="S322" s="12"/>
      <c r="T322" s="12"/>
      <c r="U322" s="12"/>
      <c r="V322" s="12"/>
      <c r="W322" s="12"/>
      <c r="X322" s="12"/>
      <c r="Y322" s="12"/>
      <c r="Z322" s="359"/>
      <c r="AA322" s="12"/>
      <c r="AB322" s="12"/>
      <c r="AC322" s="12"/>
    </row>
    <row r="323" ht="15.75" customHeight="1">
      <c r="A323" s="12"/>
      <c r="B323" s="12"/>
      <c r="C323" s="12"/>
      <c r="D323" s="12"/>
      <c r="E323" s="12"/>
      <c r="F323" s="12"/>
      <c r="G323" s="12"/>
      <c r="H323" s="12"/>
      <c r="I323" s="12"/>
      <c r="J323" s="359"/>
      <c r="K323" s="12"/>
      <c r="L323" s="12"/>
      <c r="M323" s="12"/>
      <c r="N323" s="12"/>
      <c r="O323" s="12"/>
      <c r="P323" s="12"/>
      <c r="Q323" s="12"/>
      <c r="R323" s="359"/>
      <c r="S323" s="12"/>
      <c r="T323" s="12"/>
      <c r="U323" s="12"/>
      <c r="V323" s="12"/>
      <c r="W323" s="12"/>
      <c r="X323" s="12"/>
      <c r="Y323" s="12"/>
      <c r="Z323" s="359"/>
      <c r="AA323" s="12"/>
      <c r="AB323" s="12"/>
      <c r="AC323" s="12"/>
    </row>
    <row r="324" ht="15.75" customHeight="1">
      <c r="A324" s="12"/>
      <c r="B324" s="12"/>
      <c r="C324" s="12"/>
      <c r="D324" s="12"/>
      <c r="E324" s="12"/>
      <c r="F324" s="12"/>
      <c r="G324" s="12"/>
      <c r="H324" s="12"/>
      <c r="I324" s="12"/>
      <c r="J324" s="359"/>
      <c r="K324" s="12"/>
      <c r="L324" s="12"/>
      <c r="M324" s="12"/>
      <c r="N324" s="12"/>
      <c r="O324" s="12"/>
      <c r="P324" s="12"/>
      <c r="Q324" s="12"/>
      <c r="R324" s="359"/>
      <c r="S324" s="12"/>
      <c r="T324" s="12"/>
      <c r="U324" s="12"/>
      <c r="V324" s="12"/>
      <c r="W324" s="12"/>
      <c r="X324" s="12"/>
      <c r="Y324" s="12"/>
      <c r="Z324" s="359"/>
      <c r="AA324" s="12"/>
      <c r="AB324" s="12"/>
      <c r="AC324" s="12"/>
    </row>
    <row r="325" ht="15.75" customHeight="1">
      <c r="A325" s="12"/>
      <c r="B325" s="12"/>
      <c r="C325" s="12"/>
      <c r="D325" s="12"/>
      <c r="E325" s="12"/>
      <c r="F325" s="12"/>
      <c r="G325" s="12"/>
      <c r="H325" s="12"/>
      <c r="I325" s="12"/>
      <c r="J325" s="359"/>
      <c r="K325" s="12"/>
      <c r="L325" s="12"/>
      <c r="M325" s="12"/>
      <c r="N325" s="12"/>
      <c r="O325" s="12"/>
      <c r="P325" s="12"/>
      <c r="Q325" s="12"/>
      <c r="R325" s="359"/>
      <c r="S325" s="12"/>
      <c r="T325" s="12"/>
      <c r="U325" s="12"/>
      <c r="V325" s="12"/>
      <c r="W325" s="12"/>
      <c r="X325" s="12"/>
      <c r="Y325" s="12"/>
      <c r="Z325" s="359"/>
      <c r="AA325" s="12"/>
      <c r="AB325" s="12"/>
      <c r="AC325" s="12"/>
    </row>
    <row r="326" ht="15.75" customHeight="1">
      <c r="A326" s="12"/>
      <c r="B326" s="12"/>
      <c r="C326" s="12"/>
      <c r="D326" s="12"/>
      <c r="E326" s="12"/>
      <c r="F326" s="12"/>
      <c r="G326" s="12"/>
      <c r="H326" s="12"/>
      <c r="I326" s="12"/>
      <c r="J326" s="359"/>
      <c r="K326" s="12"/>
      <c r="L326" s="12"/>
      <c r="M326" s="12"/>
      <c r="N326" s="12"/>
      <c r="O326" s="12"/>
      <c r="P326" s="12"/>
      <c r="Q326" s="12"/>
      <c r="R326" s="359"/>
      <c r="S326" s="12"/>
      <c r="T326" s="12"/>
      <c r="U326" s="12"/>
      <c r="V326" s="12"/>
      <c r="W326" s="12"/>
      <c r="X326" s="12"/>
      <c r="Y326" s="12"/>
      <c r="Z326" s="359"/>
      <c r="AA326" s="12"/>
      <c r="AB326" s="12"/>
      <c r="AC326" s="12"/>
    </row>
    <row r="327" ht="15.75" customHeight="1">
      <c r="A327" s="12"/>
      <c r="B327" s="12"/>
      <c r="C327" s="12"/>
      <c r="D327" s="12"/>
      <c r="E327" s="12"/>
      <c r="F327" s="12"/>
      <c r="G327" s="12"/>
      <c r="H327" s="12"/>
      <c r="I327" s="12"/>
      <c r="J327" s="359"/>
      <c r="K327" s="12"/>
      <c r="L327" s="12"/>
      <c r="M327" s="12"/>
      <c r="N327" s="12"/>
      <c r="O327" s="12"/>
      <c r="P327" s="12"/>
      <c r="Q327" s="12"/>
      <c r="R327" s="359"/>
      <c r="S327" s="12"/>
      <c r="T327" s="12"/>
      <c r="U327" s="12"/>
      <c r="V327" s="12"/>
      <c r="W327" s="12"/>
      <c r="X327" s="12"/>
      <c r="Y327" s="12"/>
      <c r="Z327" s="359"/>
      <c r="AA327" s="12"/>
      <c r="AB327" s="12"/>
      <c r="AC327" s="12"/>
    </row>
    <row r="328" ht="15.75" customHeight="1">
      <c r="A328" s="12"/>
      <c r="B328" s="12"/>
      <c r="C328" s="12"/>
      <c r="D328" s="12"/>
      <c r="E328" s="12"/>
      <c r="F328" s="12"/>
      <c r="G328" s="12"/>
      <c r="H328" s="12"/>
      <c r="I328" s="12"/>
      <c r="J328" s="359"/>
      <c r="K328" s="12"/>
      <c r="L328" s="12"/>
      <c r="M328" s="12"/>
      <c r="N328" s="12"/>
      <c r="O328" s="12"/>
      <c r="P328" s="12"/>
      <c r="Q328" s="12"/>
      <c r="R328" s="359"/>
      <c r="S328" s="12"/>
      <c r="T328" s="12"/>
      <c r="U328" s="12"/>
      <c r="V328" s="12"/>
      <c r="W328" s="12"/>
      <c r="X328" s="12"/>
      <c r="Y328" s="12"/>
      <c r="Z328" s="359"/>
      <c r="AA328" s="12"/>
      <c r="AB328" s="12"/>
      <c r="AC328" s="12"/>
    </row>
    <row r="329" ht="15.75" customHeight="1">
      <c r="A329" s="12"/>
      <c r="B329" s="12"/>
      <c r="C329" s="12"/>
      <c r="D329" s="12"/>
      <c r="E329" s="12"/>
      <c r="F329" s="12"/>
      <c r="G329" s="12"/>
      <c r="H329" s="12"/>
      <c r="I329" s="12"/>
      <c r="J329" s="359"/>
      <c r="K329" s="12"/>
      <c r="L329" s="12"/>
      <c r="M329" s="12"/>
      <c r="N329" s="12"/>
      <c r="O329" s="12"/>
      <c r="P329" s="12"/>
      <c r="Q329" s="12"/>
      <c r="R329" s="359"/>
      <c r="S329" s="12"/>
      <c r="T329" s="12"/>
      <c r="U329" s="12"/>
      <c r="V329" s="12"/>
      <c r="W329" s="12"/>
      <c r="X329" s="12"/>
      <c r="Y329" s="12"/>
      <c r="Z329" s="359"/>
      <c r="AA329" s="12"/>
      <c r="AB329" s="12"/>
      <c r="AC329" s="12"/>
    </row>
    <row r="330" ht="15.75" customHeight="1">
      <c r="A330" s="12"/>
      <c r="B330" s="12"/>
      <c r="C330" s="12"/>
      <c r="D330" s="12"/>
      <c r="E330" s="12"/>
      <c r="F330" s="12"/>
      <c r="G330" s="12"/>
      <c r="H330" s="12"/>
      <c r="I330" s="12"/>
      <c r="J330" s="359"/>
      <c r="K330" s="12"/>
      <c r="L330" s="12"/>
      <c r="M330" s="12"/>
      <c r="N330" s="12"/>
      <c r="O330" s="12"/>
      <c r="P330" s="12"/>
      <c r="Q330" s="12"/>
      <c r="R330" s="359"/>
      <c r="S330" s="12"/>
      <c r="T330" s="12"/>
      <c r="U330" s="12"/>
      <c r="V330" s="12"/>
      <c r="W330" s="12"/>
      <c r="X330" s="12"/>
      <c r="Y330" s="12"/>
      <c r="Z330" s="359"/>
      <c r="AA330" s="12"/>
      <c r="AB330" s="12"/>
      <c r="AC330" s="12"/>
    </row>
    <row r="331" ht="15.75" customHeight="1">
      <c r="A331" s="12"/>
      <c r="B331" s="12"/>
      <c r="C331" s="12"/>
      <c r="D331" s="12"/>
      <c r="E331" s="12"/>
      <c r="F331" s="12"/>
      <c r="G331" s="12"/>
      <c r="H331" s="12"/>
      <c r="I331" s="12"/>
      <c r="J331" s="359"/>
      <c r="K331" s="12"/>
      <c r="L331" s="12"/>
      <c r="M331" s="12"/>
      <c r="N331" s="12"/>
      <c r="O331" s="12"/>
      <c r="P331" s="12"/>
      <c r="Q331" s="12"/>
      <c r="R331" s="359"/>
      <c r="S331" s="12"/>
      <c r="T331" s="12"/>
      <c r="U331" s="12"/>
      <c r="V331" s="12"/>
      <c r="W331" s="12"/>
      <c r="X331" s="12"/>
      <c r="Y331" s="12"/>
      <c r="Z331" s="359"/>
      <c r="AA331" s="12"/>
      <c r="AB331" s="12"/>
      <c r="AC331" s="12"/>
    </row>
    <row r="332" ht="15.75" customHeight="1">
      <c r="A332" s="12"/>
      <c r="B332" s="12"/>
      <c r="C332" s="12"/>
      <c r="D332" s="12"/>
      <c r="E332" s="12"/>
      <c r="F332" s="12"/>
      <c r="G332" s="12"/>
      <c r="H332" s="12"/>
      <c r="I332" s="12"/>
      <c r="J332" s="359"/>
      <c r="K332" s="12"/>
      <c r="L332" s="12"/>
      <c r="M332" s="12"/>
      <c r="N332" s="12"/>
      <c r="O332" s="12"/>
      <c r="P332" s="12"/>
      <c r="Q332" s="12"/>
      <c r="R332" s="359"/>
      <c r="S332" s="12"/>
      <c r="T332" s="12"/>
      <c r="U332" s="12"/>
      <c r="V332" s="12"/>
      <c r="W332" s="12"/>
      <c r="X332" s="12"/>
      <c r="Y332" s="12"/>
      <c r="Z332" s="359"/>
      <c r="AA332" s="12"/>
      <c r="AB332" s="12"/>
      <c r="AC332" s="12"/>
    </row>
    <row r="333" ht="15.75" customHeight="1">
      <c r="A333" s="12"/>
      <c r="B333" s="12"/>
      <c r="C333" s="12"/>
      <c r="D333" s="12"/>
      <c r="E333" s="12"/>
      <c r="F333" s="12"/>
      <c r="G333" s="12"/>
      <c r="H333" s="12"/>
      <c r="I333" s="12"/>
      <c r="J333" s="359"/>
      <c r="K333" s="12"/>
      <c r="L333" s="12"/>
      <c r="M333" s="12"/>
      <c r="N333" s="12"/>
      <c r="O333" s="12"/>
      <c r="P333" s="12"/>
      <c r="Q333" s="12"/>
      <c r="R333" s="359"/>
      <c r="S333" s="12"/>
      <c r="T333" s="12"/>
      <c r="U333" s="12"/>
      <c r="V333" s="12"/>
      <c r="W333" s="12"/>
      <c r="X333" s="12"/>
      <c r="Y333" s="12"/>
      <c r="Z333" s="359"/>
      <c r="AA333" s="12"/>
      <c r="AB333" s="12"/>
      <c r="AC333" s="12"/>
    </row>
    <row r="334" ht="15.75" customHeight="1">
      <c r="A334" s="12"/>
      <c r="B334" s="12"/>
      <c r="C334" s="12"/>
      <c r="D334" s="12"/>
      <c r="E334" s="12"/>
      <c r="F334" s="12"/>
      <c r="G334" s="12"/>
      <c r="H334" s="12"/>
      <c r="I334" s="12"/>
      <c r="J334" s="359"/>
      <c r="K334" s="12"/>
      <c r="L334" s="12"/>
      <c r="M334" s="12"/>
      <c r="N334" s="12"/>
      <c r="O334" s="12"/>
      <c r="P334" s="12"/>
      <c r="Q334" s="12"/>
      <c r="R334" s="359"/>
      <c r="S334" s="12"/>
      <c r="T334" s="12"/>
      <c r="U334" s="12"/>
      <c r="V334" s="12"/>
      <c r="W334" s="12"/>
      <c r="X334" s="12"/>
      <c r="Y334" s="12"/>
      <c r="Z334" s="359"/>
      <c r="AA334" s="12"/>
      <c r="AB334" s="12"/>
      <c r="AC334" s="12"/>
    </row>
    <row r="335" ht="15.75" customHeight="1">
      <c r="A335" s="12"/>
      <c r="B335" s="12"/>
      <c r="C335" s="12"/>
      <c r="D335" s="12"/>
      <c r="E335" s="12"/>
      <c r="F335" s="12"/>
      <c r="G335" s="12"/>
      <c r="H335" s="12"/>
      <c r="I335" s="12"/>
      <c r="J335" s="359"/>
      <c r="K335" s="12"/>
      <c r="L335" s="12"/>
      <c r="M335" s="12"/>
      <c r="N335" s="12"/>
      <c r="O335" s="12"/>
      <c r="P335" s="12"/>
      <c r="Q335" s="12"/>
      <c r="R335" s="359"/>
      <c r="S335" s="12"/>
      <c r="T335" s="12"/>
      <c r="U335" s="12"/>
      <c r="V335" s="12"/>
      <c r="W335" s="12"/>
      <c r="X335" s="12"/>
      <c r="Y335" s="12"/>
      <c r="Z335" s="359"/>
      <c r="AA335" s="12"/>
      <c r="AB335" s="12"/>
      <c r="AC335" s="12"/>
    </row>
    <row r="336" ht="15.75" customHeight="1">
      <c r="A336" s="12"/>
      <c r="B336" s="12"/>
      <c r="C336" s="12"/>
      <c r="D336" s="12"/>
      <c r="E336" s="12"/>
      <c r="F336" s="12"/>
      <c r="G336" s="12"/>
      <c r="H336" s="12"/>
      <c r="I336" s="12"/>
      <c r="J336" s="359"/>
      <c r="K336" s="12"/>
      <c r="L336" s="12"/>
      <c r="M336" s="12"/>
      <c r="N336" s="12"/>
      <c r="O336" s="12"/>
      <c r="P336" s="12"/>
      <c r="Q336" s="12"/>
      <c r="R336" s="359"/>
      <c r="S336" s="12"/>
      <c r="T336" s="12"/>
      <c r="U336" s="12"/>
      <c r="V336" s="12"/>
      <c r="W336" s="12"/>
      <c r="X336" s="12"/>
      <c r="Y336" s="12"/>
      <c r="Z336" s="359"/>
      <c r="AA336" s="12"/>
      <c r="AB336" s="12"/>
      <c r="AC336" s="12"/>
    </row>
    <row r="337" ht="15.75" customHeight="1">
      <c r="A337" s="12"/>
      <c r="B337" s="12"/>
      <c r="C337" s="12"/>
      <c r="D337" s="12"/>
      <c r="E337" s="12"/>
      <c r="F337" s="12"/>
      <c r="G337" s="12"/>
      <c r="H337" s="12"/>
      <c r="I337" s="12"/>
      <c r="J337" s="359"/>
      <c r="K337" s="12"/>
      <c r="L337" s="12"/>
      <c r="M337" s="12"/>
      <c r="N337" s="12"/>
      <c r="O337" s="12"/>
      <c r="P337" s="12"/>
      <c r="Q337" s="12"/>
      <c r="R337" s="359"/>
      <c r="S337" s="12"/>
      <c r="T337" s="12"/>
      <c r="U337" s="12"/>
      <c r="V337" s="12"/>
      <c r="W337" s="12"/>
      <c r="X337" s="12"/>
      <c r="Y337" s="12"/>
      <c r="Z337" s="359"/>
      <c r="AA337" s="12"/>
      <c r="AB337" s="12"/>
      <c r="AC337" s="12"/>
    </row>
    <row r="338" ht="15.75" customHeight="1">
      <c r="A338" s="12"/>
      <c r="B338" s="12"/>
      <c r="C338" s="12"/>
      <c r="D338" s="12"/>
      <c r="E338" s="12"/>
      <c r="F338" s="12"/>
      <c r="G338" s="12"/>
      <c r="H338" s="12"/>
      <c r="I338" s="12"/>
      <c r="J338" s="359"/>
      <c r="K338" s="12"/>
      <c r="L338" s="12"/>
      <c r="M338" s="12"/>
      <c r="N338" s="12"/>
      <c r="O338" s="12"/>
      <c r="P338" s="12"/>
      <c r="Q338" s="12"/>
      <c r="R338" s="359"/>
      <c r="S338" s="12"/>
      <c r="T338" s="12"/>
      <c r="U338" s="12"/>
      <c r="V338" s="12"/>
      <c r="W338" s="12"/>
      <c r="X338" s="12"/>
      <c r="Y338" s="12"/>
      <c r="Z338" s="359"/>
      <c r="AA338" s="12"/>
      <c r="AB338" s="12"/>
      <c r="AC338" s="12"/>
    </row>
    <row r="339" ht="15.75" customHeight="1">
      <c r="A339" s="12"/>
      <c r="B339" s="12"/>
      <c r="C339" s="12"/>
      <c r="D339" s="12"/>
      <c r="E339" s="12"/>
      <c r="F339" s="12"/>
      <c r="G339" s="12"/>
      <c r="H339" s="12"/>
      <c r="I339" s="12"/>
      <c r="J339" s="359"/>
      <c r="K339" s="12"/>
      <c r="L339" s="12"/>
      <c r="M339" s="12"/>
      <c r="N339" s="12"/>
      <c r="O339" s="12"/>
      <c r="P339" s="12"/>
      <c r="Q339" s="12"/>
      <c r="R339" s="359"/>
      <c r="S339" s="12"/>
      <c r="T339" s="12"/>
      <c r="U339" s="12"/>
      <c r="V339" s="12"/>
      <c r="W339" s="12"/>
      <c r="X339" s="12"/>
      <c r="Y339" s="12"/>
      <c r="Z339" s="359"/>
      <c r="AA339" s="12"/>
      <c r="AB339" s="12"/>
      <c r="AC339" s="12"/>
    </row>
    <row r="340" ht="15.75" customHeight="1">
      <c r="A340" s="12"/>
      <c r="B340" s="12"/>
      <c r="C340" s="12"/>
      <c r="D340" s="12"/>
      <c r="E340" s="12"/>
      <c r="F340" s="12"/>
      <c r="G340" s="12"/>
      <c r="H340" s="12"/>
      <c r="I340" s="12"/>
      <c r="J340" s="359"/>
      <c r="K340" s="12"/>
      <c r="L340" s="12"/>
      <c r="M340" s="12"/>
      <c r="N340" s="12"/>
      <c r="O340" s="12"/>
      <c r="P340" s="12"/>
      <c r="Q340" s="12"/>
      <c r="R340" s="359"/>
      <c r="S340" s="12"/>
      <c r="T340" s="12"/>
      <c r="U340" s="12"/>
      <c r="V340" s="12"/>
      <c r="W340" s="12"/>
      <c r="X340" s="12"/>
      <c r="Y340" s="12"/>
      <c r="Z340" s="359"/>
      <c r="AA340" s="12"/>
      <c r="AB340" s="12"/>
      <c r="AC340" s="12"/>
    </row>
    <row r="341" ht="15.75" customHeight="1">
      <c r="A341" s="12"/>
      <c r="B341" s="12"/>
      <c r="C341" s="12"/>
      <c r="D341" s="12"/>
      <c r="E341" s="12"/>
      <c r="F341" s="12"/>
      <c r="G341" s="12"/>
      <c r="H341" s="12"/>
      <c r="I341" s="12"/>
      <c r="J341" s="359"/>
      <c r="K341" s="12"/>
      <c r="L341" s="12"/>
      <c r="M341" s="12"/>
      <c r="N341" s="12"/>
      <c r="O341" s="12"/>
      <c r="P341" s="12"/>
      <c r="Q341" s="12"/>
      <c r="R341" s="359"/>
      <c r="S341" s="12"/>
      <c r="T341" s="12"/>
      <c r="U341" s="12"/>
      <c r="V341" s="12"/>
      <c r="W341" s="12"/>
      <c r="X341" s="12"/>
      <c r="Y341" s="12"/>
      <c r="Z341" s="359"/>
      <c r="AA341" s="12"/>
      <c r="AB341" s="12"/>
      <c r="AC341" s="12"/>
    </row>
    <row r="342" ht="15.75" customHeight="1">
      <c r="A342" s="12"/>
      <c r="B342" s="12"/>
      <c r="C342" s="12"/>
      <c r="D342" s="12"/>
      <c r="E342" s="12"/>
      <c r="F342" s="12"/>
      <c r="G342" s="12"/>
      <c r="H342" s="12"/>
      <c r="I342" s="12"/>
      <c r="J342" s="359"/>
      <c r="K342" s="12"/>
      <c r="L342" s="12"/>
      <c r="M342" s="12"/>
      <c r="N342" s="12"/>
      <c r="O342" s="12"/>
      <c r="P342" s="12"/>
      <c r="Q342" s="12"/>
      <c r="R342" s="359"/>
      <c r="S342" s="12"/>
      <c r="T342" s="12"/>
      <c r="U342" s="12"/>
      <c r="V342" s="12"/>
      <c r="W342" s="12"/>
      <c r="X342" s="12"/>
      <c r="Y342" s="12"/>
      <c r="Z342" s="359"/>
      <c r="AA342" s="12"/>
      <c r="AB342" s="12"/>
      <c r="AC342" s="12"/>
    </row>
    <row r="343" ht="15.75" customHeight="1">
      <c r="A343" s="12"/>
      <c r="B343" s="12"/>
      <c r="C343" s="12"/>
      <c r="D343" s="12"/>
      <c r="E343" s="12"/>
      <c r="F343" s="12"/>
      <c r="G343" s="12"/>
      <c r="H343" s="12"/>
      <c r="I343" s="12"/>
      <c r="J343" s="359"/>
      <c r="K343" s="12"/>
      <c r="L343" s="12"/>
      <c r="M343" s="12"/>
      <c r="N343" s="12"/>
      <c r="O343" s="12"/>
      <c r="P343" s="12"/>
      <c r="Q343" s="12"/>
      <c r="R343" s="359"/>
      <c r="S343" s="12"/>
      <c r="T343" s="12"/>
      <c r="U343" s="12"/>
      <c r="V343" s="12"/>
      <c r="W343" s="12"/>
      <c r="X343" s="12"/>
      <c r="Y343" s="12"/>
      <c r="Z343" s="359"/>
      <c r="AA343" s="12"/>
      <c r="AB343" s="12"/>
      <c r="AC343" s="12"/>
    </row>
    <row r="344" ht="15.75" customHeight="1">
      <c r="A344" s="12"/>
      <c r="B344" s="12"/>
      <c r="C344" s="12"/>
      <c r="D344" s="12"/>
      <c r="E344" s="12"/>
      <c r="F344" s="12"/>
      <c r="G344" s="12"/>
      <c r="H344" s="12"/>
      <c r="I344" s="12"/>
      <c r="J344" s="359"/>
      <c r="K344" s="12"/>
      <c r="L344" s="12"/>
      <c r="M344" s="12"/>
      <c r="N344" s="12"/>
      <c r="O344" s="12"/>
      <c r="P344" s="12"/>
      <c r="Q344" s="12"/>
      <c r="R344" s="359"/>
      <c r="S344" s="12"/>
      <c r="T344" s="12"/>
      <c r="U344" s="12"/>
      <c r="V344" s="12"/>
      <c r="W344" s="12"/>
      <c r="X344" s="12"/>
      <c r="Y344" s="12"/>
      <c r="Z344" s="359"/>
      <c r="AA344" s="12"/>
      <c r="AB344" s="12"/>
      <c r="AC344" s="12"/>
    </row>
    <row r="345" ht="15.75" customHeight="1">
      <c r="A345" s="12"/>
      <c r="B345" s="12"/>
      <c r="C345" s="12"/>
      <c r="D345" s="12"/>
      <c r="E345" s="12"/>
      <c r="F345" s="12"/>
      <c r="G345" s="12"/>
      <c r="H345" s="12"/>
      <c r="I345" s="12"/>
      <c r="J345" s="359"/>
      <c r="K345" s="12"/>
      <c r="L345" s="12"/>
      <c r="M345" s="12"/>
      <c r="N345" s="12"/>
      <c r="O345" s="12"/>
      <c r="P345" s="12"/>
      <c r="Q345" s="12"/>
      <c r="R345" s="359"/>
      <c r="S345" s="12"/>
      <c r="T345" s="12"/>
      <c r="U345" s="12"/>
      <c r="V345" s="12"/>
      <c r="W345" s="12"/>
      <c r="X345" s="12"/>
      <c r="Y345" s="12"/>
      <c r="Z345" s="359"/>
      <c r="AA345" s="12"/>
      <c r="AB345" s="12"/>
      <c r="AC345" s="12"/>
    </row>
    <row r="346" ht="15.75" customHeight="1">
      <c r="A346" s="12"/>
      <c r="B346" s="12"/>
      <c r="C346" s="12"/>
      <c r="D346" s="12"/>
      <c r="E346" s="12"/>
      <c r="F346" s="12"/>
      <c r="G346" s="12"/>
      <c r="H346" s="12"/>
      <c r="I346" s="12"/>
      <c r="J346" s="359"/>
      <c r="K346" s="12"/>
      <c r="L346" s="12"/>
      <c r="M346" s="12"/>
      <c r="N346" s="12"/>
      <c r="O346" s="12"/>
      <c r="P346" s="12"/>
      <c r="Q346" s="12"/>
      <c r="R346" s="359"/>
      <c r="S346" s="12"/>
      <c r="T346" s="12"/>
      <c r="U346" s="12"/>
      <c r="V346" s="12"/>
      <c r="W346" s="12"/>
      <c r="X346" s="12"/>
      <c r="Y346" s="12"/>
      <c r="Z346" s="359"/>
      <c r="AA346" s="12"/>
      <c r="AB346" s="12"/>
      <c r="AC346" s="12"/>
    </row>
    <row r="347" ht="15.75" customHeight="1">
      <c r="A347" s="12"/>
      <c r="B347" s="12"/>
      <c r="C347" s="12"/>
      <c r="D347" s="12"/>
      <c r="E347" s="12"/>
      <c r="F347" s="12"/>
      <c r="G347" s="12"/>
      <c r="H347" s="12"/>
      <c r="I347" s="12"/>
      <c r="J347" s="359"/>
      <c r="K347" s="12"/>
      <c r="L347" s="12"/>
      <c r="M347" s="12"/>
      <c r="N347" s="12"/>
      <c r="O347" s="12"/>
      <c r="P347" s="12"/>
      <c r="Q347" s="12"/>
      <c r="R347" s="359"/>
      <c r="S347" s="12"/>
      <c r="T347" s="12"/>
      <c r="U347" s="12"/>
      <c r="V347" s="12"/>
      <c r="W347" s="12"/>
      <c r="X347" s="12"/>
      <c r="Y347" s="12"/>
      <c r="Z347" s="359"/>
      <c r="AA347" s="12"/>
      <c r="AB347" s="12"/>
      <c r="AC347" s="12"/>
    </row>
    <row r="348" ht="15.75" customHeight="1">
      <c r="A348" s="12"/>
      <c r="B348" s="12"/>
      <c r="C348" s="12"/>
      <c r="D348" s="12"/>
      <c r="E348" s="12"/>
      <c r="F348" s="12"/>
      <c r="G348" s="12"/>
      <c r="H348" s="12"/>
      <c r="I348" s="12"/>
      <c r="J348" s="359"/>
      <c r="K348" s="12"/>
      <c r="L348" s="12"/>
      <c r="M348" s="12"/>
      <c r="N348" s="12"/>
      <c r="O348" s="12"/>
      <c r="P348" s="12"/>
      <c r="Q348" s="12"/>
      <c r="R348" s="359"/>
      <c r="S348" s="12"/>
      <c r="T348" s="12"/>
      <c r="U348" s="12"/>
      <c r="V348" s="12"/>
      <c r="W348" s="12"/>
      <c r="X348" s="12"/>
      <c r="Y348" s="12"/>
      <c r="Z348" s="359"/>
      <c r="AA348" s="12"/>
      <c r="AB348" s="12"/>
      <c r="AC348" s="12"/>
    </row>
    <row r="349" ht="15.75" customHeight="1">
      <c r="A349" s="12"/>
      <c r="B349" s="12"/>
      <c r="C349" s="12"/>
      <c r="D349" s="12"/>
      <c r="E349" s="12"/>
      <c r="F349" s="12"/>
      <c r="G349" s="12"/>
      <c r="H349" s="12"/>
      <c r="I349" s="12"/>
      <c r="J349" s="359"/>
      <c r="K349" s="12"/>
      <c r="L349" s="12"/>
      <c r="M349" s="12"/>
      <c r="N349" s="12"/>
      <c r="O349" s="12"/>
      <c r="P349" s="12"/>
      <c r="Q349" s="12"/>
      <c r="R349" s="359"/>
      <c r="S349" s="12"/>
      <c r="T349" s="12"/>
      <c r="U349" s="12"/>
      <c r="V349" s="12"/>
      <c r="W349" s="12"/>
      <c r="X349" s="12"/>
      <c r="Y349" s="12"/>
      <c r="Z349" s="359"/>
      <c r="AA349" s="12"/>
      <c r="AB349" s="12"/>
      <c r="AC349" s="12"/>
    </row>
    <row r="350" ht="15.75" customHeight="1">
      <c r="A350" s="12"/>
      <c r="B350" s="12"/>
      <c r="C350" s="12"/>
      <c r="D350" s="12"/>
      <c r="E350" s="12"/>
      <c r="F350" s="12"/>
      <c r="G350" s="12"/>
      <c r="H350" s="12"/>
      <c r="I350" s="12"/>
      <c r="J350" s="359"/>
      <c r="K350" s="12"/>
      <c r="L350" s="12"/>
      <c r="M350" s="12"/>
      <c r="N350" s="12"/>
      <c r="O350" s="12"/>
      <c r="P350" s="12"/>
      <c r="Q350" s="12"/>
      <c r="R350" s="359"/>
      <c r="S350" s="12"/>
      <c r="T350" s="12"/>
      <c r="U350" s="12"/>
      <c r="V350" s="12"/>
      <c r="W350" s="12"/>
      <c r="X350" s="12"/>
      <c r="Y350" s="12"/>
      <c r="Z350" s="359"/>
      <c r="AA350" s="12"/>
      <c r="AB350" s="12"/>
      <c r="AC350" s="12"/>
    </row>
    <row r="351" ht="15.75" customHeight="1">
      <c r="A351" s="12"/>
      <c r="B351" s="12"/>
      <c r="C351" s="12"/>
      <c r="D351" s="12"/>
      <c r="E351" s="12"/>
      <c r="F351" s="12"/>
      <c r="G351" s="12"/>
      <c r="H351" s="12"/>
      <c r="I351" s="12"/>
      <c r="J351" s="359"/>
      <c r="K351" s="12"/>
      <c r="L351" s="12"/>
      <c r="M351" s="12"/>
      <c r="N351" s="12"/>
      <c r="O351" s="12"/>
      <c r="P351" s="12"/>
      <c r="Q351" s="12"/>
      <c r="R351" s="359"/>
      <c r="S351" s="12"/>
      <c r="T351" s="12"/>
      <c r="U351" s="12"/>
      <c r="V351" s="12"/>
      <c r="W351" s="12"/>
      <c r="X351" s="12"/>
      <c r="Y351" s="12"/>
      <c r="Z351" s="359"/>
      <c r="AA351" s="12"/>
      <c r="AB351" s="12"/>
      <c r="AC351" s="12"/>
    </row>
    <row r="352" ht="15.75" customHeight="1">
      <c r="A352" s="12"/>
      <c r="B352" s="12"/>
      <c r="C352" s="12"/>
      <c r="D352" s="12"/>
      <c r="E352" s="12"/>
      <c r="F352" s="12"/>
      <c r="G352" s="12"/>
      <c r="H352" s="12"/>
      <c r="I352" s="12"/>
      <c r="J352" s="359"/>
      <c r="K352" s="12"/>
      <c r="L352" s="12"/>
      <c r="M352" s="12"/>
      <c r="N352" s="12"/>
      <c r="O352" s="12"/>
      <c r="P352" s="12"/>
      <c r="Q352" s="12"/>
      <c r="R352" s="359"/>
      <c r="S352" s="12"/>
      <c r="T352" s="12"/>
      <c r="U352" s="12"/>
      <c r="V352" s="12"/>
      <c r="W352" s="12"/>
      <c r="X352" s="12"/>
      <c r="Y352" s="12"/>
      <c r="Z352" s="359"/>
      <c r="AA352" s="12"/>
      <c r="AB352" s="12"/>
      <c r="AC352" s="12"/>
    </row>
    <row r="353" ht="15.75" customHeight="1">
      <c r="A353" s="12"/>
      <c r="B353" s="12"/>
      <c r="C353" s="12"/>
      <c r="D353" s="12"/>
      <c r="E353" s="12"/>
      <c r="F353" s="12"/>
      <c r="G353" s="12"/>
      <c r="H353" s="12"/>
      <c r="I353" s="12"/>
      <c r="J353" s="359"/>
      <c r="K353" s="12"/>
      <c r="L353" s="12"/>
      <c r="M353" s="12"/>
      <c r="N353" s="12"/>
      <c r="O353" s="12"/>
      <c r="P353" s="12"/>
      <c r="Q353" s="12"/>
      <c r="R353" s="359"/>
      <c r="S353" s="12"/>
      <c r="T353" s="12"/>
      <c r="U353" s="12"/>
      <c r="V353" s="12"/>
      <c r="W353" s="12"/>
      <c r="X353" s="12"/>
      <c r="Y353" s="12"/>
      <c r="Z353" s="359"/>
      <c r="AA353" s="12"/>
      <c r="AB353" s="12"/>
      <c r="AC353" s="12"/>
    </row>
    <row r="354" ht="15.75" customHeight="1">
      <c r="A354" s="12"/>
      <c r="B354" s="12"/>
      <c r="C354" s="12"/>
      <c r="D354" s="12"/>
      <c r="E354" s="12"/>
      <c r="F354" s="12"/>
      <c r="G354" s="12"/>
      <c r="H354" s="12"/>
      <c r="I354" s="12"/>
      <c r="J354" s="359"/>
      <c r="K354" s="12"/>
      <c r="L354" s="12"/>
      <c r="M354" s="12"/>
      <c r="N354" s="12"/>
      <c r="O354" s="12"/>
      <c r="P354" s="12"/>
      <c r="Q354" s="12"/>
      <c r="R354" s="359"/>
      <c r="S354" s="12"/>
      <c r="T354" s="12"/>
      <c r="U354" s="12"/>
      <c r="V354" s="12"/>
      <c r="W354" s="12"/>
      <c r="X354" s="12"/>
      <c r="Y354" s="12"/>
      <c r="Z354" s="359"/>
      <c r="AA354" s="12"/>
      <c r="AB354" s="12"/>
      <c r="AC354" s="12"/>
    </row>
    <row r="355" ht="15.75" customHeight="1">
      <c r="A355" s="12"/>
      <c r="B355" s="12"/>
      <c r="C355" s="12"/>
      <c r="D355" s="12"/>
      <c r="E355" s="12"/>
      <c r="F355" s="12"/>
      <c r="G355" s="12"/>
      <c r="H355" s="12"/>
      <c r="I355" s="12"/>
      <c r="J355" s="359"/>
      <c r="K355" s="12"/>
      <c r="L355" s="12"/>
      <c r="M355" s="12"/>
      <c r="N355" s="12"/>
      <c r="O355" s="12"/>
      <c r="P355" s="12"/>
      <c r="Q355" s="12"/>
      <c r="R355" s="359"/>
      <c r="S355" s="12"/>
      <c r="T355" s="12"/>
      <c r="U355" s="12"/>
      <c r="V355" s="12"/>
      <c r="W355" s="12"/>
      <c r="X355" s="12"/>
      <c r="Y355" s="12"/>
      <c r="Z355" s="359"/>
      <c r="AA355" s="12"/>
      <c r="AB355" s="12"/>
      <c r="AC355" s="12"/>
    </row>
    <row r="356" ht="15.75" customHeight="1">
      <c r="A356" s="12"/>
      <c r="B356" s="12"/>
      <c r="C356" s="12"/>
      <c r="D356" s="12"/>
      <c r="E356" s="12"/>
      <c r="F356" s="12"/>
      <c r="G356" s="12"/>
      <c r="H356" s="12"/>
      <c r="I356" s="12"/>
      <c r="J356" s="359"/>
      <c r="K356" s="12"/>
      <c r="L356" s="12"/>
      <c r="M356" s="12"/>
      <c r="N356" s="12"/>
      <c r="O356" s="12"/>
      <c r="P356" s="12"/>
      <c r="Q356" s="12"/>
      <c r="R356" s="359"/>
      <c r="S356" s="12"/>
      <c r="T356" s="12"/>
      <c r="U356" s="12"/>
      <c r="V356" s="12"/>
      <c r="W356" s="12"/>
      <c r="X356" s="12"/>
      <c r="Y356" s="12"/>
      <c r="Z356" s="359"/>
      <c r="AA356" s="12"/>
      <c r="AB356" s="12"/>
      <c r="AC356" s="12"/>
    </row>
    <row r="357" ht="15.75" customHeight="1">
      <c r="A357" s="12"/>
      <c r="B357" s="12"/>
      <c r="C357" s="12"/>
      <c r="D357" s="12"/>
      <c r="E357" s="12"/>
      <c r="F357" s="12"/>
      <c r="G357" s="12"/>
      <c r="H357" s="12"/>
      <c r="I357" s="12"/>
      <c r="J357" s="359"/>
      <c r="K357" s="12"/>
      <c r="L357" s="12"/>
      <c r="M357" s="12"/>
      <c r="N357" s="12"/>
      <c r="O357" s="12"/>
      <c r="P357" s="12"/>
      <c r="Q357" s="12"/>
      <c r="R357" s="359"/>
      <c r="S357" s="12"/>
      <c r="T357" s="12"/>
      <c r="U357" s="12"/>
      <c r="V357" s="12"/>
      <c r="W357" s="12"/>
      <c r="X357" s="12"/>
      <c r="Y357" s="12"/>
      <c r="Z357" s="359"/>
      <c r="AA357" s="12"/>
      <c r="AB357" s="12"/>
      <c r="AC357" s="12"/>
    </row>
    <row r="358" ht="15.75" customHeight="1">
      <c r="A358" s="12"/>
      <c r="B358" s="12"/>
      <c r="C358" s="12"/>
      <c r="D358" s="12"/>
      <c r="E358" s="12"/>
      <c r="F358" s="12"/>
      <c r="G358" s="12"/>
      <c r="H358" s="12"/>
      <c r="I358" s="12"/>
      <c r="J358" s="359"/>
      <c r="K358" s="12"/>
      <c r="L358" s="12"/>
      <c r="M358" s="12"/>
      <c r="N358" s="12"/>
      <c r="O358" s="12"/>
      <c r="P358" s="12"/>
      <c r="Q358" s="12"/>
      <c r="R358" s="359"/>
      <c r="S358" s="12"/>
      <c r="T358" s="12"/>
      <c r="U358" s="12"/>
      <c r="V358" s="12"/>
      <c r="W358" s="12"/>
      <c r="X358" s="12"/>
      <c r="Y358" s="12"/>
      <c r="Z358" s="359"/>
      <c r="AA358" s="12"/>
      <c r="AB358" s="12"/>
      <c r="AC358" s="12"/>
    </row>
    <row r="359" ht="15.75" customHeight="1">
      <c r="A359" s="12"/>
      <c r="B359" s="12"/>
      <c r="C359" s="12"/>
      <c r="D359" s="12"/>
      <c r="E359" s="12"/>
      <c r="F359" s="12"/>
      <c r="G359" s="12"/>
      <c r="H359" s="12"/>
      <c r="I359" s="12"/>
      <c r="J359" s="359"/>
      <c r="K359" s="12"/>
      <c r="L359" s="12"/>
      <c r="M359" s="12"/>
      <c r="N359" s="12"/>
      <c r="O359" s="12"/>
      <c r="P359" s="12"/>
      <c r="Q359" s="12"/>
      <c r="R359" s="359"/>
      <c r="S359" s="12"/>
      <c r="T359" s="12"/>
      <c r="U359" s="12"/>
      <c r="V359" s="12"/>
      <c r="W359" s="12"/>
      <c r="X359" s="12"/>
      <c r="Y359" s="12"/>
      <c r="Z359" s="359"/>
      <c r="AA359" s="12"/>
      <c r="AB359" s="12"/>
      <c r="AC359" s="12"/>
    </row>
    <row r="360" ht="15.75" customHeight="1">
      <c r="A360" s="12"/>
      <c r="B360" s="12"/>
      <c r="C360" s="12"/>
      <c r="D360" s="12"/>
      <c r="E360" s="12"/>
      <c r="F360" s="12"/>
      <c r="G360" s="12"/>
      <c r="H360" s="12"/>
      <c r="I360" s="12"/>
      <c r="J360" s="359"/>
      <c r="K360" s="12"/>
      <c r="L360" s="12"/>
      <c r="M360" s="12"/>
      <c r="N360" s="12"/>
      <c r="O360" s="12"/>
      <c r="P360" s="12"/>
      <c r="Q360" s="12"/>
      <c r="R360" s="359"/>
      <c r="S360" s="12"/>
      <c r="T360" s="12"/>
      <c r="U360" s="12"/>
      <c r="V360" s="12"/>
      <c r="W360" s="12"/>
      <c r="X360" s="12"/>
      <c r="Y360" s="12"/>
      <c r="Z360" s="359"/>
      <c r="AA360" s="12"/>
      <c r="AB360" s="12"/>
      <c r="AC360" s="12"/>
    </row>
    <row r="361" ht="15.75" customHeight="1">
      <c r="A361" s="12"/>
      <c r="B361" s="12"/>
      <c r="C361" s="12"/>
      <c r="D361" s="12"/>
      <c r="E361" s="12"/>
      <c r="F361" s="12"/>
      <c r="G361" s="12"/>
      <c r="H361" s="12"/>
      <c r="I361" s="12"/>
      <c r="J361" s="359"/>
      <c r="K361" s="12"/>
      <c r="L361" s="12"/>
      <c r="M361" s="12"/>
      <c r="N361" s="12"/>
      <c r="O361" s="12"/>
      <c r="P361" s="12"/>
      <c r="Q361" s="12"/>
      <c r="R361" s="359"/>
      <c r="S361" s="12"/>
      <c r="T361" s="12"/>
      <c r="U361" s="12"/>
      <c r="V361" s="12"/>
      <c r="W361" s="12"/>
      <c r="X361" s="12"/>
      <c r="Y361" s="12"/>
      <c r="Z361" s="359"/>
      <c r="AA361" s="12"/>
      <c r="AB361" s="12"/>
      <c r="AC361" s="12"/>
    </row>
    <row r="362" ht="15.75" customHeight="1">
      <c r="A362" s="12"/>
      <c r="B362" s="12"/>
      <c r="C362" s="12"/>
      <c r="D362" s="12"/>
      <c r="E362" s="12"/>
      <c r="F362" s="12"/>
      <c r="G362" s="12"/>
      <c r="H362" s="12"/>
      <c r="I362" s="12"/>
      <c r="J362" s="359"/>
      <c r="K362" s="12"/>
      <c r="L362" s="12"/>
      <c r="M362" s="12"/>
      <c r="N362" s="12"/>
      <c r="O362" s="12"/>
      <c r="P362" s="12"/>
      <c r="Q362" s="12"/>
      <c r="R362" s="359"/>
      <c r="S362" s="12"/>
      <c r="T362" s="12"/>
      <c r="U362" s="12"/>
      <c r="V362" s="12"/>
      <c r="W362" s="12"/>
      <c r="X362" s="12"/>
      <c r="Y362" s="12"/>
      <c r="Z362" s="359"/>
      <c r="AA362" s="12"/>
      <c r="AB362" s="12"/>
      <c r="AC362" s="12"/>
    </row>
    <row r="363" ht="15.75" customHeight="1">
      <c r="A363" s="12"/>
      <c r="B363" s="12"/>
      <c r="C363" s="12"/>
      <c r="D363" s="12"/>
      <c r="E363" s="12"/>
      <c r="F363" s="12"/>
      <c r="G363" s="12"/>
      <c r="H363" s="12"/>
      <c r="I363" s="12"/>
      <c r="J363" s="359"/>
      <c r="K363" s="12"/>
      <c r="L363" s="12"/>
      <c r="M363" s="12"/>
      <c r="N363" s="12"/>
      <c r="O363" s="12"/>
      <c r="P363" s="12"/>
      <c r="Q363" s="12"/>
      <c r="R363" s="359"/>
      <c r="S363" s="12"/>
      <c r="T363" s="12"/>
      <c r="U363" s="12"/>
      <c r="V363" s="12"/>
      <c r="W363" s="12"/>
      <c r="X363" s="12"/>
      <c r="Y363" s="12"/>
      <c r="Z363" s="359"/>
      <c r="AA363" s="12"/>
      <c r="AB363" s="12"/>
      <c r="AC363" s="12"/>
    </row>
    <row r="364" ht="15.75" customHeight="1">
      <c r="A364" s="12"/>
      <c r="B364" s="12"/>
      <c r="C364" s="12"/>
      <c r="D364" s="12"/>
      <c r="E364" s="12"/>
      <c r="F364" s="12"/>
      <c r="G364" s="12"/>
      <c r="H364" s="12"/>
      <c r="I364" s="12"/>
      <c r="J364" s="359"/>
      <c r="K364" s="12"/>
      <c r="L364" s="12"/>
      <c r="M364" s="12"/>
      <c r="N364" s="12"/>
      <c r="O364" s="12"/>
      <c r="P364" s="12"/>
      <c r="Q364" s="12"/>
      <c r="R364" s="359"/>
      <c r="S364" s="12"/>
      <c r="T364" s="12"/>
      <c r="U364" s="12"/>
      <c r="V364" s="12"/>
      <c r="W364" s="12"/>
      <c r="X364" s="12"/>
      <c r="Y364" s="12"/>
      <c r="Z364" s="359"/>
      <c r="AA364" s="12"/>
      <c r="AB364" s="12"/>
      <c r="AC364" s="12"/>
    </row>
    <row r="365" ht="15.75" customHeight="1">
      <c r="A365" s="12"/>
      <c r="B365" s="12"/>
      <c r="C365" s="12"/>
      <c r="D365" s="12"/>
      <c r="E365" s="12"/>
      <c r="F365" s="12"/>
      <c r="G365" s="12"/>
      <c r="H365" s="12"/>
      <c r="I365" s="12"/>
      <c r="J365" s="359"/>
      <c r="K365" s="12"/>
      <c r="L365" s="12"/>
      <c r="M365" s="12"/>
      <c r="N365" s="12"/>
      <c r="O365" s="12"/>
      <c r="P365" s="12"/>
      <c r="Q365" s="12"/>
      <c r="R365" s="359"/>
      <c r="S365" s="12"/>
      <c r="T365" s="12"/>
      <c r="U365" s="12"/>
      <c r="V365" s="12"/>
      <c r="W365" s="12"/>
      <c r="X365" s="12"/>
      <c r="Y365" s="12"/>
      <c r="Z365" s="359"/>
      <c r="AA365" s="12"/>
      <c r="AB365" s="12"/>
      <c r="AC365" s="12"/>
    </row>
    <row r="366" ht="15.75" customHeight="1">
      <c r="A366" s="12"/>
      <c r="B366" s="12"/>
      <c r="C366" s="12"/>
      <c r="D366" s="12"/>
      <c r="E366" s="12"/>
      <c r="F366" s="12"/>
      <c r="G366" s="12"/>
      <c r="H366" s="12"/>
      <c r="I366" s="12"/>
      <c r="J366" s="359"/>
      <c r="K366" s="12"/>
      <c r="L366" s="12"/>
      <c r="M366" s="12"/>
      <c r="N366" s="12"/>
      <c r="O366" s="12"/>
      <c r="P366" s="12"/>
      <c r="Q366" s="12"/>
      <c r="R366" s="359"/>
      <c r="S366" s="12"/>
      <c r="T366" s="12"/>
      <c r="U366" s="12"/>
      <c r="V366" s="12"/>
      <c r="W366" s="12"/>
      <c r="X366" s="12"/>
      <c r="Y366" s="12"/>
      <c r="Z366" s="359"/>
      <c r="AA366" s="12"/>
      <c r="AB366" s="12"/>
      <c r="AC366" s="12"/>
    </row>
    <row r="367" ht="15.75" customHeight="1">
      <c r="A367" s="12"/>
      <c r="B367" s="12"/>
      <c r="C367" s="12"/>
      <c r="D367" s="12"/>
      <c r="E367" s="12"/>
      <c r="F367" s="12"/>
      <c r="G367" s="12"/>
      <c r="H367" s="12"/>
      <c r="I367" s="12"/>
      <c r="J367" s="359"/>
      <c r="K367" s="12"/>
      <c r="L367" s="12"/>
      <c r="M367" s="12"/>
      <c r="N367" s="12"/>
      <c r="O367" s="12"/>
      <c r="P367" s="12"/>
      <c r="Q367" s="12"/>
      <c r="R367" s="359"/>
      <c r="S367" s="12"/>
      <c r="T367" s="12"/>
      <c r="U367" s="12"/>
      <c r="V367" s="12"/>
      <c r="W367" s="12"/>
      <c r="X367" s="12"/>
      <c r="Y367" s="12"/>
      <c r="Z367" s="359"/>
      <c r="AA367" s="12"/>
      <c r="AB367" s="12"/>
      <c r="AC367" s="12"/>
    </row>
    <row r="368" ht="15.75" customHeight="1">
      <c r="A368" s="12"/>
      <c r="B368" s="12"/>
      <c r="C368" s="12"/>
      <c r="D368" s="12"/>
      <c r="E368" s="12"/>
      <c r="F368" s="12"/>
      <c r="G368" s="12"/>
      <c r="H368" s="12"/>
      <c r="I368" s="12"/>
      <c r="J368" s="359"/>
      <c r="K368" s="12"/>
      <c r="L368" s="12"/>
      <c r="M368" s="12"/>
      <c r="N368" s="12"/>
      <c r="O368" s="12"/>
      <c r="P368" s="12"/>
      <c r="Q368" s="12"/>
      <c r="R368" s="359"/>
      <c r="S368" s="12"/>
      <c r="T368" s="12"/>
      <c r="U368" s="12"/>
      <c r="V368" s="12"/>
      <c r="W368" s="12"/>
      <c r="X368" s="12"/>
      <c r="Y368" s="12"/>
      <c r="Z368" s="359"/>
      <c r="AA368" s="12"/>
      <c r="AB368" s="12"/>
      <c r="AC368" s="12"/>
    </row>
    <row r="369" ht="15.75" customHeight="1">
      <c r="A369" s="12"/>
      <c r="B369" s="12"/>
      <c r="C369" s="12"/>
      <c r="D369" s="12"/>
      <c r="E369" s="12"/>
      <c r="F369" s="12"/>
      <c r="G369" s="12"/>
      <c r="H369" s="12"/>
      <c r="I369" s="12"/>
      <c r="J369" s="359"/>
      <c r="K369" s="12"/>
      <c r="L369" s="12"/>
      <c r="M369" s="12"/>
      <c r="N369" s="12"/>
      <c r="O369" s="12"/>
      <c r="P369" s="12"/>
      <c r="Q369" s="12"/>
      <c r="R369" s="359"/>
      <c r="S369" s="12"/>
      <c r="T369" s="12"/>
      <c r="U369" s="12"/>
      <c r="V369" s="12"/>
      <c r="W369" s="12"/>
      <c r="X369" s="12"/>
      <c r="Y369" s="12"/>
      <c r="Z369" s="359"/>
      <c r="AA369" s="12"/>
      <c r="AB369" s="12"/>
      <c r="AC369" s="12"/>
    </row>
    <row r="370" ht="15.75" customHeight="1">
      <c r="A370" s="12"/>
      <c r="B370" s="12"/>
      <c r="C370" s="12"/>
      <c r="D370" s="12"/>
      <c r="E370" s="12"/>
      <c r="F370" s="12"/>
      <c r="G370" s="12"/>
      <c r="H370" s="12"/>
      <c r="I370" s="12"/>
      <c r="J370" s="359"/>
      <c r="K370" s="12"/>
      <c r="L370" s="12"/>
      <c r="M370" s="12"/>
      <c r="N370" s="12"/>
      <c r="O370" s="12"/>
      <c r="P370" s="12"/>
      <c r="Q370" s="12"/>
      <c r="R370" s="359"/>
      <c r="S370" s="12"/>
      <c r="T370" s="12"/>
      <c r="U370" s="12"/>
      <c r="V370" s="12"/>
      <c r="W370" s="12"/>
      <c r="X370" s="12"/>
      <c r="Y370" s="12"/>
      <c r="Z370" s="359"/>
      <c r="AA370" s="12"/>
      <c r="AB370" s="12"/>
      <c r="AC370" s="12"/>
    </row>
    <row r="371" ht="15.75" customHeight="1">
      <c r="A371" s="12"/>
      <c r="B371" s="12"/>
      <c r="C371" s="12"/>
      <c r="D371" s="12"/>
      <c r="E371" s="12"/>
      <c r="F371" s="12"/>
      <c r="G371" s="12"/>
      <c r="H371" s="12"/>
      <c r="I371" s="12"/>
      <c r="J371" s="359"/>
      <c r="K371" s="12"/>
      <c r="L371" s="12"/>
      <c r="M371" s="12"/>
      <c r="N371" s="12"/>
      <c r="O371" s="12"/>
      <c r="P371" s="12"/>
      <c r="Q371" s="12"/>
      <c r="R371" s="359"/>
      <c r="S371" s="12"/>
      <c r="T371" s="12"/>
      <c r="U371" s="12"/>
      <c r="V371" s="12"/>
      <c r="W371" s="12"/>
      <c r="X371" s="12"/>
      <c r="Y371" s="12"/>
      <c r="Z371" s="359"/>
      <c r="AA371" s="12"/>
      <c r="AB371" s="12"/>
      <c r="AC371" s="12"/>
    </row>
    <row r="372" ht="15.75" customHeight="1">
      <c r="A372" s="12"/>
      <c r="B372" s="12"/>
      <c r="C372" s="12"/>
      <c r="D372" s="12"/>
      <c r="E372" s="12"/>
      <c r="F372" s="12"/>
      <c r="G372" s="12"/>
      <c r="H372" s="12"/>
      <c r="I372" s="12"/>
      <c r="J372" s="359"/>
      <c r="K372" s="12"/>
      <c r="L372" s="12"/>
      <c r="M372" s="12"/>
      <c r="N372" s="12"/>
      <c r="O372" s="12"/>
      <c r="P372" s="12"/>
      <c r="Q372" s="12"/>
      <c r="R372" s="359"/>
      <c r="S372" s="12"/>
      <c r="T372" s="12"/>
      <c r="U372" s="12"/>
      <c r="V372" s="12"/>
      <c r="W372" s="12"/>
      <c r="X372" s="12"/>
      <c r="Y372" s="12"/>
      <c r="Z372" s="359"/>
      <c r="AA372" s="12"/>
      <c r="AB372" s="12"/>
      <c r="AC372" s="12"/>
    </row>
    <row r="373" ht="15.75" customHeight="1">
      <c r="A373" s="12"/>
      <c r="B373" s="12"/>
      <c r="C373" s="12"/>
      <c r="D373" s="12"/>
      <c r="E373" s="12"/>
      <c r="F373" s="12"/>
      <c r="G373" s="12"/>
      <c r="H373" s="12"/>
      <c r="I373" s="12"/>
      <c r="J373" s="359"/>
      <c r="K373" s="12"/>
      <c r="L373" s="12"/>
      <c r="M373" s="12"/>
      <c r="N373" s="12"/>
      <c r="O373" s="12"/>
      <c r="P373" s="12"/>
      <c r="Q373" s="12"/>
      <c r="R373" s="359"/>
      <c r="S373" s="12"/>
      <c r="T373" s="12"/>
      <c r="U373" s="12"/>
      <c r="V373" s="12"/>
      <c r="W373" s="12"/>
      <c r="X373" s="12"/>
      <c r="Y373" s="12"/>
      <c r="Z373" s="359"/>
      <c r="AA373" s="12"/>
      <c r="AB373" s="12"/>
      <c r="AC373" s="12"/>
    </row>
    <row r="374" ht="15.75" customHeight="1">
      <c r="A374" s="12"/>
      <c r="B374" s="12"/>
      <c r="C374" s="12"/>
      <c r="D374" s="12"/>
      <c r="E374" s="12"/>
      <c r="F374" s="12"/>
      <c r="G374" s="12"/>
      <c r="H374" s="12"/>
      <c r="I374" s="12"/>
      <c r="J374" s="359"/>
      <c r="K374" s="12"/>
      <c r="L374" s="12"/>
      <c r="M374" s="12"/>
      <c r="N374" s="12"/>
      <c r="O374" s="12"/>
      <c r="P374" s="12"/>
      <c r="Q374" s="12"/>
      <c r="R374" s="359"/>
      <c r="S374" s="12"/>
      <c r="T374" s="12"/>
      <c r="U374" s="12"/>
      <c r="V374" s="12"/>
      <c r="W374" s="12"/>
      <c r="X374" s="12"/>
      <c r="Y374" s="12"/>
      <c r="Z374" s="359"/>
      <c r="AA374" s="12"/>
      <c r="AB374" s="12"/>
      <c r="AC374" s="12"/>
    </row>
    <row r="375" ht="15.75" customHeight="1">
      <c r="A375" s="12"/>
      <c r="B375" s="12"/>
      <c r="C375" s="12"/>
      <c r="D375" s="12"/>
      <c r="E375" s="12"/>
      <c r="F375" s="12"/>
      <c r="G375" s="12"/>
      <c r="H375" s="12"/>
      <c r="I375" s="12"/>
      <c r="J375" s="359"/>
      <c r="K375" s="12"/>
      <c r="L375" s="12"/>
      <c r="M375" s="12"/>
      <c r="N375" s="12"/>
      <c r="O375" s="12"/>
      <c r="P375" s="12"/>
      <c r="Q375" s="12"/>
      <c r="R375" s="359"/>
      <c r="S375" s="12"/>
      <c r="T375" s="12"/>
      <c r="U375" s="12"/>
      <c r="V375" s="12"/>
      <c r="W375" s="12"/>
      <c r="X375" s="12"/>
      <c r="Y375" s="12"/>
      <c r="Z375" s="359"/>
      <c r="AA375" s="12"/>
      <c r="AB375" s="12"/>
      <c r="AC375" s="12"/>
    </row>
    <row r="376" ht="15.75" customHeight="1">
      <c r="A376" s="12"/>
      <c r="B376" s="12"/>
      <c r="C376" s="12"/>
      <c r="D376" s="12"/>
      <c r="E376" s="12"/>
      <c r="F376" s="12"/>
      <c r="G376" s="12"/>
      <c r="H376" s="12"/>
      <c r="I376" s="12"/>
      <c r="J376" s="359"/>
      <c r="K376" s="12"/>
      <c r="L376" s="12"/>
      <c r="M376" s="12"/>
      <c r="N376" s="12"/>
      <c r="O376" s="12"/>
      <c r="P376" s="12"/>
      <c r="Q376" s="12"/>
      <c r="R376" s="359"/>
      <c r="S376" s="12"/>
      <c r="T376" s="12"/>
      <c r="U376" s="12"/>
      <c r="V376" s="12"/>
      <c r="W376" s="12"/>
      <c r="X376" s="12"/>
      <c r="Y376" s="12"/>
      <c r="Z376" s="359"/>
      <c r="AA376" s="12"/>
      <c r="AB376" s="12"/>
      <c r="AC376" s="12"/>
    </row>
    <row r="377" ht="15.75" customHeight="1">
      <c r="A377" s="12"/>
      <c r="B377" s="12"/>
      <c r="C377" s="12"/>
      <c r="D377" s="12"/>
      <c r="E377" s="12"/>
      <c r="F377" s="12"/>
      <c r="G377" s="12"/>
      <c r="H377" s="12"/>
      <c r="I377" s="12"/>
      <c r="J377" s="359"/>
      <c r="K377" s="12"/>
      <c r="L377" s="12"/>
      <c r="M377" s="12"/>
      <c r="N377" s="12"/>
      <c r="O377" s="12"/>
      <c r="P377" s="12"/>
      <c r="Q377" s="12"/>
      <c r="R377" s="359"/>
      <c r="S377" s="12"/>
      <c r="T377" s="12"/>
      <c r="U377" s="12"/>
      <c r="V377" s="12"/>
      <c r="W377" s="12"/>
      <c r="X377" s="12"/>
      <c r="Y377" s="12"/>
      <c r="Z377" s="359"/>
      <c r="AA377" s="12"/>
      <c r="AB377" s="12"/>
      <c r="AC377" s="12"/>
    </row>
    <row r="378" ht="15.75" customHeight="1">
      <c r="A378" s="12"/>
      <c r="B378" s="12"/>
      <c r="C378" s="12"/>
      <c r="D378" s="12"/>
      <c r="E378" s="12"/>
      <c r="F378" s="12"/>
      <c r="G378" s="12"/>
      <c r="H378" s="12"/>
      <c r="I378" s="12"/>
      <c r="J378" s="359"/>
      <c r="K378" s="12"/>
      <c r="L378" s="12"/>
      <c r="M378" s="12"/>
      <c r="N378" s="12"/>
      <c r="O378" s="12"/>
      <c r="P378" s="12"/>
      <c r="Q378" s="12"/>
      <c r="R378" s="359"/>
      <c r="S378" s="12"/>
      <c r="T378" s="12"/>
      <c r="U378" s="12"/>
      <c r="V378" s="12"/>
      <c r="W378" s="12"/>
      <c r="X378" s="12"/>
      <c r="Y378" s="12"/>
      <c r="Z378" s="359"/>
      <c r="AA378" s="12"/>
      <c r="AB378" s="12"/>
      <c r="AC378" s="12"/>
    </row>
    <row r="379" ht="15.75" customHeight="1">
      <c r="A379" s="12"/>
      <c r="B379" s="12"/>
      <c r="C379" s="12"/>
      <c r="D379" s="12"/>
      <c r="E379" s="12"/>
      <c r="F379" s="12"/>
      <c r="G379" s="12"/>
      <c r="H379" s="12"/>
      <c r="I379" s="12"/>
      <c r="J379" s="359"/>
      <c r="K379" s="12"/>
      <c r="L379" s="12"/>
      <c r="M379" s="12"/>
      <c r="N379" s="12"/>
      <c r="O379" s="12"/>
      <c r="P379" s="12"/>
      <c r="Q379" s="12"/>
      <c r="R379" s="359"/>
      <c r="S379" s="12"/>
      <c r="T379" s="12"/>
      <c r="U379" s="12"/>
      <c r="V379" s="12"/>
      <c r="W379" s="12"/>
      <c r="X379" s="12"/>
      <c r="Y379" s="12"/>
      <c r="Z379" s="359"/>
      <c r="AA379" s="12"/>
      <c r="AB379" s="12"/>
      <c r="AC379" s="12"/>
    </row>
    <row r="380" ht="15.75" customHeight="1">
      <c r="A380" s="12"/>
      <c r="B380" s="12"/>
      <c r="C380" s="12"/>
      <c r="D380" s="12"/>
      <c r="E380" s="12"/>
      <c r="F380" s="12"/>
      <c r="G380" s="12"/>
      <c r="H380" s="12"/>
      <c r="I380" s="12"/>
      <c r="J380" s="359"/>
      <c r="K380" s="12"/>
      <c r="L380" s="12"/>
      <c r="M380" s="12"/>
      <c r="N380" s="12"/>
      <c r="O380" s="12"/>
      <c r="P380" s="12"/>
      <c r="Q380" s="12"/>
      <c r="R380" s="359"/>
      <c r="S380" s="12"/>
      <c r="T380" s="12"/>
      <c r="U380" s="12"/>
      <c r="V380" s="12"/>
      <c r="W380" s="12"/>
      <c r="X380" s="12"/>
      <c r="Y380" s="12"/>
      <c r="Z380" s="359"/>
      <c r="AA380" s="12"/>
      <c r="AB380" s="12"/>
      <c r="AC380" s="12"/>
    </row>
    <row r="381" ht="15.75" customHeight="1">
      <c r="A381" s="12"/>
      <c r="B381" s="12"/>
      <c r="C381" s="12"/>
      <c r="D381" s="12"/>
      <c r="E381" s="12"/>
      <c r="F381" s="12"/>
      <c r="G381" s="12"/>
      <c r="H381" s="12"/>
      <c r="I381" s="12"/>
      <c r="J381" s="359"/>
      <c r="K381" s="12"/>
      <c r="L381" s="12"/>
      <c r="M381" s="12"/>
      <c r="N381" s="12"/>
      <c r="O381" s="12"/>
      <c r="P381" s="12"/>
      <c r="Q381" s="12"/>
      <c r="R381" s="359"/>
      <c r="S381" s="12"/>
      <c r="T381" s="12"/>
      <c r="U381" s="12"/>
      <c r="V381" s="12"/>
      <c r="W381" s="12"/>
      <c r="X381" s="12"/>
      <c r="Y381" s="12"/>
      <c r="Z381" s="359"/>
      <c r="AA381" s="12"/>
      <c r="AB381" s="12"/>
      <c r="AC381" s="12"/>
    </row>
    <row r="382" ht="15.75" customHeight="1">
      <c r="A382" s="12"/>
      <c r="B382" s="12"/>
      <c r="C382" s="12"/>
      <c r="D382" s="12"/>
      <c r="E382" s="12"/>
      <c r="F382" s="12"/>
      <c r="G382" s="12"/>
      <c r="H382" s="12"/>
      <c r="I382" s="12"/>
      <c r="J382" s="359"/>
      <c r="K382" s="12"/>
      <c r="L382" s="12"/>
      <c r="M382" s="12"/>
      <c r="N382" s="12"/>
      <c r="O382" s="12"/>
      <c r="P382" s="12"/>
      <c r="Q382" s="12"/>
      <c r="R382" s="359"/>
      <c r="S382" s="12"/>
      <c r="T382" s="12"/>
      <c r="U382" s="12"/>
      <c r="V382" s="12"/>
      <c r="W382" s="12"/>
      <c r="X382" s="12"/>
      <c r="Y382" s="12"/>
      <c r="Z382" s="359"/>
      <c r="AA382" s="12"/>
      <c r="AB382" s="12"/>
      <c r="AC382" s="12"/>
    </row>
    <row r="383" ht="15.75" customHeight="1">
      <c r="A383" s="12"/>
      <c r="B383" s="12"/>
      <c r="C383" s="12"/>
      <c r="D383" s="12"/>
      <c r="E383" s="12"/>
      <c r="F383" s="12"/>
      <c r="G383" s="12"/>
      <c r="H383" s="12"/>
      <c r="I383" s="12"/>
      <c r="J383" s="359"/>
      <c r="K383" s="12"/>
      <c r="L383" s="12"/>
      <c r="M383" s="12"/>
      <c r="N383" s="12"/>
      <c r="O383" s="12"/>
      <c r="P383" s="12"/>
      <c r="Q383" s="12"/>
      <c r="R383" s="359"/>
      <c r="S383" s="12"/>
      <c r="T383" s="12"/>
      <c r="U383" s="12"/>
      <c r="V383" s="12"/>
      <c r="W383" s="12"/>
      <c r="X383" s="12"/>
      <c r="Y383" s="12"/>
      <c r="Z383" s="359"/>
      <c r="AA383" s="12"/>
      <c r="AB383" s="12"/>
      <c r="AC383" s="12"/>
    </row>
    <row r="384" ht="15.75" customHeight="1">
      <c r="A384" s="12"/>
      <c r="B384" s="12"/>
      <c r="C384" s="12"/>
      <c r="D384" s="12"/>
      <c r="E384" s="12"/>
      <c r="F384" s="12"/>
      <c r="G384" s="12"/>
      <c r="H384" s="12"/>
      <c r="I384" s="12"/>
      <c r="J384" s="359"/>
      <c r="K384" s="12"/>
      <c r="L384" s="12"/>
      <c r="M384" s="12"/>
      <c r="N384" s="12"/>
      <c r="O384" s="12"/>
      <c r="P384" s="12"/>
      <c r="Q384" s="12"/>
      <c r="R384" s="359"/>
      <c r="S384" s="12"/>
      <c r="T384" s="12"/>
      <c r="U384" s="12"/>
      <c r="V384" s="12"/>
      <c r="W384" s="12"/>
      <c r="X384" s="12"/>
      <c r="Y384" s="12"/>
      <c r="Z384" s="359"/>
      <c r="AA384" s="12"/>
      <c r="AB384" s="12"/>
      <c r="AC384" s="12"/>
    </row>
    <row r="385" ht="15.75" customHeight="1">
      <c r="A385" s="12"/>
      <c r="B385" s="12"/>
      <c r="C385" s="12"/>
      <c r="D385" s="12"/>
      <c r="E385" s="12"/>
      <c r="F385" s="12"/>
      <c r="G385" s="12"/>
      <c r="H385" s="12"/>
      <c r="I385" s="12"/>
      <c r="J385" s="359"/>
      <c r="K385" s="12"/>
      <c r="L385" s="12"/>
      <c r="M385" s="12"/>
      <c r="N385" s="12"/>
      <c r="O385" s="12"/>
      <c r="P385" s="12"/>
      <c r="Q385" s="12"/>
      <c r="R385" s="359"/>
      <c r="S385" s="12"/>
      <c r="T385" s="12"/>
      <c r="U385" s="12"/>
      <c r="V385" s="12"/>
      <c r="W385" s="12"/>
      <c r="X385" s="12"/>
      <c r="Y385" s="12"/>
      <c r="Z385" s="359"/>
      <c r="AA385" s="12"/>
      <c r="AB385" s="12"/>
      <c r="AC385" s="12"/>
    </row>
    <row r="386" ht="15.75" customHeight="1">
      <c r="A386" s="12"/>
      <c r="B386" s="12"/>
      <c r="C386" s="12"/>
      <c r="D386" s="12"/>
      <c r="E386" s="12"/>
      <c r="F386" s="12"/>
      <c r="G386" s="12"/>
      <c r="H386" s="12"/>
      <c r="I386" s="12"/>
      <c r="J386" s="359"/>
      <c r="K386" s="12"/>
      <c r="L386" s="12"/>
      <c r="M386" s="12"/>
      <c r="N386" s="12"/>
      <c r="O386" s="12"/>
      <c r="P386" s="12"/>
      <c r="Q386" s="12"/>
      <c r="R386" s="359"/>
      <c r="S386" s="12"/>
      <c r="T386" s="12"/>
      <c r="U386" s="12"/>
      <c r="V386" s="12"/>
      <c r="W386" s="12"/>
      <c r="X386" s="12"/>
      <c r="Y386" s="12"/>
      <c r="Z386" s="359"/>
      <c r="AA386" s="12"/>
      <c r="AB386" s="12"/>
      <c r="AC386" s="12"/>
    </row>
    <row r="387" ht="15.75" customHeight="1">
      <c r="A387" s="12"/>
      <c r="B387" s="12"/>
      <c r="C387" s="12"/>
      <c r="D387" s="12"/>
      <c r="E387" s="12"/>
      <c r="F387" s="12"/>
      <c r="G387" s="12"/>
      <c r="H387" s="12"/>
      <c r="I387" s="12"/>
      <c r="J387" s="359"/>
      <c r="K387" s="12"/>
      <c r="L387" s="12"/>
      <c r="M387" s="12"/>
      <c r="N387" s="12"/>
      <c r="O387" s="12"/>
      <c r="P387" s="12"/>
      <c r="Q387" s="12"/>
      <c r="R387" s="359"/>
      <c r="S387" s="12"/>
      <c r="T387" s="12"/>
      <c r="U387" s="12"/>
      <c r="V387" s="12"/>
      <c r="W387" s="12"/>
      <c r="X387" s="12"/>
      <c r="Y387" s="12"/>
      <c r="Z387" s="359"/>
      <c r="AA387" s="12"/>
      <c r="AB387" s="12"/>
      <c r="AC387" s="12"/>
    </row>
    <row r="388" ht="15.75" customHeight="1">
      <c r="A388" s="12"/>
      <c r="B388" s="12"/>
      <c r="C388" s="12"/>
      <c r="D388" s="12"/>
      <c r="E388" s="12"/>
      <c r="F388" s="12"/>
      <c r="G388" s="12"/>
      <c r="H388" s="12"/>
      <c r="I388" s="12"/>
      <c r="J388" s="359"/>
      <c r="K388" s="12"/>
      <c r="L388" s="12"/>
      <c r="M388" s="12"/>
      <c r="N388" s="12"/>
      <c r="O388" s="12"/>
      <c r="P388" s="12"/>
      <c r="Q388" s="12"/>
      <c r="R388" s="359"/>
      <c r="S388" s="12"/>
      <c r="T388" s="12"/>
      <c r="U388" s="12"/>
      <c r="V388" s="12"/>
      <c r="W388" s="12"/>
      <c r="X388" s="12"/>
      <c r="Y388" s="12"/>
      <c r="Z388" s="359"/>
      <c r="AA388" s="12"/>
      <c r="AB388" s="12"/>
      <c r="AC388" s="12"/>
    </row>
    <row r="389" ht="15.75" customHeight="1">
      <c r="A389" s="12"/>
      <c r="B389" s="12"/>
      <c r="C389" s="12"/>
      <c r="D389" s="12"/>
      <c r="E389" s="12"/>
      <c r="F389" s="12"/>
      <c r="G389" s="12"/>
      <c r="H389" s="12"/>
      <c r="I389" s="12"/>
      <c r="J389" s="359"/>
      <c r="K389" s="12"/>
      <c r="L389" s="12"/>
      <c r="M389" s="12"/>
      <c r="N389" s="12"/>
      <c r="O389" s="12"/>
      <c r="P389" s="12"/>
      <c r="Q389" s="12"/>
      <c r="R389" s="359"/>
      <c r="S389" s="12"/>
      <c r="T389" s="12"/>
      <c r="U389" s="12"/>
      <c r="V389" s="12"/>
      <c r="W389" s="12"/>
      <c r="X389" s="12"/>
      <c r="Y389" s="12"/>
      <c r="Z389" s="359"/>
      <c r="AA389" s="12"/>
      <c r="AB389" s="12"/>
      <c r="AC389" s="12"/>
    </row>
    <row r="390" ht="15.75" customHeight="1">
      <c r="A390" s="12"/>
      <c r="B390" s="12"/>
      <c r="C390" s="12"/>
      <c r="D390" s="12"/>
      <c r="E390" s="12"/>
      <c r="F390" s="12"/>
      <c r="G390" s="12"/>
      <c r="H390" s="12"/>
      <c r="I390" s="12"/>
      <c r="J390" s="359"/>
      <c r="K390" s="12"/>
      <c r="L390" s="12"/>
      <c r="M390" s="12"/>
      <c r="N390" s="12"/>
      <c r="O390" s="12"/>
      <c r="P390" s="12"/>
      <c r="Q390" s="12"/>
      <c r="R390" s="359"/>
      <c r="S390" s="12"/>
      <c r="T390" s="12"/>
      <c r="U390" s="12"/>
      <c r="V390" s="12"/>
      <c r="W390" s="12"/>
      <c r="X390" s="12"/>
      <c r="Y390" s="12"/>
      <c r="Z390" s="359"/>
      <c r="AA390" s="12"/>
      <c r="AB390" s="12"/>
      <c r="AC390" s="12"/>
    </row>
    <row r="391" ht="15.75" customHeight="1">
      <c r="A391" s="12"/>
      <c r="B391" s="12"/>
      <c r="C391" s="12"/>
      <c r="D391" s="12"/>
      <c r="E391" s="12"/>
      <c r="F391" s="12"/>
      <c r="G391" s="12"/>
      <c r="H391" s="12"/>
      <c r="I391" s="12"/>
      <c r="J391" s="359"/>
      <c r="K391" s="12"/>
      <c r="L391" s="12"/>
      <c r="M391" s="12"/>
      <c r="N391" s="12"/>
      <c r="O391" s="12"/>
      <c r="P391" s="12"/>
      <c r="Q391" s="12"/>
      <c r="R391" s="359"/>
      <c r="S391" s="12"/>
      <c r="T391" s="12"/>
      <c r="U391" s="12"/>
      <c r="V391" s="12"/>
      <c r="W391" s="12"/>
      <c r="X391" s="12"/>
      <c r="Y391" s="12"/>
      <c r="Z391" s="359"/>
      <c r="AA391" s="12"/>
      <c r="AB391" s="12"/>
      <c r="AC391" s="12"/>
    </row>
    <row r="392" ht="15.75" customHeight="1">
      <c r="A392" s="12"/>
      <c r="B392" s="12"/>
      <c r="C392" s="12"/>
      <c r="D392" s="12"/>
      <c r="E392" s="12"/>
      <c r="F392" s="12"/>
      <c r="G392" s="12"/>
      <c r="H392" s="12"/>
      <c r="I392" s="12"/>
      <c r="J392" s="359"/>
      <c r="K392" s="12"/>
      <c r="L392" s="12"/>
      <c r="M392" s="12"/>
      <c r="N392" s="12"/>
      <c r="O392" s="12"/>
      <c r="P392" s="12"/>
      <c r="Q392" s="12"/>
      <c r="R392" s="359"/>
      <c r="S392" s="12"/>
      <c r="T392" s="12"/>
      <c r="U392" s="12"/>
      <c r="V392" s="12"/>
      <c r="W392" s="12"/>
      <c r="X392" s="12"/>
      <c r="Y392" s="12"/>
      <c r="Z392" s="359"/>
      <c r="AA392" s="12"/>
      <c r="AB392" s="12"/>
      <c r="AC392" s="12"/>
    </row>
    <row r="393" ht="15.75" customHeight="1">
      <c r="A393" s="12"/>
      <c r="B393" s="12"/>
      <c r="C393" s="12"/>
      <c r="D393" s="12"/>
      <c r="E393" s="12"/>
      <c r="F393" s="12"/>
      <c r="G393" s="12"/>
      <c r="H393" s="12"/>
      <c r="I393" s="12"/>
      <c r="J393" s="359"/>
      <c r="K393" s="12"/>
      <c r="L393" s="12"/>
      <c r="M393" s="12"/>
      <c r="N393" s="12"/>
      <c r="O393" s="12"/>
      <c r="P393" s="12"/>
      <c r="Q393" s="12"/>
      <c r="R393" s="359"/>
      <c r="S393" s="12"/>
      <c r="T393" s="12"/>
      <c r="U393" s="12"/>
      <c r="V393" s="12"/>
      <c r="W393" s="12"/>
      <c r="X393" s="12"/>
      <c r="Y393" s="12"/>
      <c r="Z393" s="359"/>
      <c r="AA393" s="12"/>
      <c r="AB393" s="12"/>
      <c r="AC393" s="12"/>
    </row>
    <row r="394" ht="15.75" customHeight="1">
      <c r="A394" s="12"/>
      <c r="B394" s="12"/>
      <c r="C394" s="12"/>
      <c r="D394" s="12"/>
      <c r="E394" s="12"/>
      <c r="F394" s="12"/>
      <c r="G394" s="12"/>
      <c r="H394" s="12"/>
      <c r="I394" s="12"/>
      <c r="J394" s="359"/>
      <c r="K394" s="12"/>
      <c r="L394" s="12"/>
      <c r="M394" s="12"/>
      <c r="N394" s="12"/>
      <c r="O394" s="12"/>
      <c r="P394" s="12"/>
      <c r="Q394" s="12"/>
      <c r="R394" s="359"/>
      <c r="S394" s="12"/>
      <c r="T394" s="12"/>
      <c r="U394" s="12"/>
      <c r="V394" s="12"/>
      <c r="W394" s="12"/>
      <c r="X394" s="12"/>
      <c r="Y394" s="12"/>
      <c r="Z394" s="359"/>
      <c r="AA394" s="12"/>
      <c r="AB394" s="12"/>
      <c r="AC394" s="12"/>
    </row>
    <row r="395" ht="15.75" customHeight="1">
      <c r="A395" s="12"/>
      <c r="B395" s="12"/>
      <c r="C395" s="12"/>
      <c r="D395" s="12"/>
      <c r="E395" s="12"/>
      <c r="F395" s="12"/>
      <c r="G395" s="12"/>
      <c r="H395" s="12"/>
      <c r="I395" s="12"/>
      <c r="J395" s="359"/>
      <c r="K395" s="12"/>
      <c r="L395" s="12"/>
      <c r="M395" s="12"/>
      <c r="N395" s="12"/>
      <c r="O395" s="12"/>
      <c r="P395" s="12"/>
      <c r="Q395" s="12"/>
      <c r="R395" s="359"/>
      <c r="S395" s="12"/>
      <c r="T395" s="12"/>
      <c r="U395" s="12"/>
      <c r="V395" s="12"/>
      <c r="W395" s="12"/>
      <c r="X395" s="12"/>
      <c r="Y395" s="12"/>
      <c r="Z395" s="359"/>
      <c r="AA395" s="12"/>
      <c r="AB395" s="12"/>
      <c r="AC395" s="12"/>
    </row>
    <row r="396" ht="15.75" customHeight="1">
      <c r="A396" s="12"/>
      <c r="B396" s="12"/>
      <c r="C396" s="12"/>
      <c r="D396" s="12"/>
      <c r="E396" s="12"/>
      <c r="F396" s="12"/>
      <c r="G396" s="12"/>
      <c r="H396" s="12"/>
      <c r="I396" s="12"/>
      <c r="J396" s="359"/>
      <c r="K396" s="12"/>
      <c r="L396" s="12"/>
      <c r="M396" s="12"/>
      <c r="N396" s="12"/>
      <c r="O396" s="12"/>
      <c r="P396" s="12"/>
      <c r="Q396" s="12"/>
      <c r="R396" s="359"/>
      <c r="S396" s="12"/>
      <c r="T396" s="12"/>
      <c r="U396" s="12"/>
      <c r="V396" s="12"/>
      <c r="W396" s="12"/>
      <c r="X396" s="12"/>
      <c r="Y396" s="12"/>
      <c r="Z396" s="359"/>
      <c r="AA396" s="12"/>
      <c r="AB396" s="12"/>
      <c r="AC396" s="12"/>
    </row>
    <row r="397" ht="15.75" customHeight="1">
      <c r="A397" s="12"/>
      <c r="B397" s="12"/>
      <c r="C397" s="12"/>
      <c r="D397" s="12"/>
      <c r="E397" s="12"/>
      <c r="F397" s="12"/>
      <c r="G397" s="12"/>
      <c r="H397" s="12"/>
      <c r="I397" s="12"/>
      <c r="J397" s="359"/>
      <c r="K397" s="12"/>
      <c r="L397" s="12"/>
      <c r="M397" s="12"/>
      <c r="N397" s="12"/>
      <c r="O397" s="12"/>
      <c r="P397" s="12"/>
      <c r="Q397" s="12"/>
      <c r="R397" s="359"/>
      <c r="S397" s="12"/>
      <c r="T397" s="12"/>
      <c r="U397" s="12"/>
      <c r="V397" s="12"/>
      <c r="W397" s="12"/>
      <c r="X397" s="12"/>
      <c r="Y397" s="12"/>
      <c r="Z397" s="359"/>
      <c r="AA397" s="12"/>
      <c r="AB397" s="12"/>
      <c r="AC397" s="12"/>
    </row>
    <row r="398" ht="15.75" customHeight="1">
      <c r="A398" s="12"/>
      <c r="B398" s="12"/>
      <c r="C398" s="12"/>
      <c r="D398" s="12"/>
      <c r="E398" s="12"/>
      <c r="F398" s="12"/>
      <c r="G398" s="12"/>
      <c r="H398" s="12"/>
      <c r="I398" s="12"/>
      <c r="J398" s="359"/>
      <c r="K398" s="12"/>
      <c r="L398" s="12"/>
      <c r="M398" s="12"/>
      <c r="N398" s="12"/>
      <c r="O398" s="12"/>
      <c r="P398" s="12"/>
      <c r="Q398" s="12"/>
      <c r="R398" s="359"/>
      <c r="S398" s="12"/>
      <c r="T398" s="12"/>
      <c r="U398" s="12"/>
      <c r="V398" s="12"/>
      <c r="W398" s="12"/>
      <c r="X398" s="12"/>
      <c r="Y398" s="12"/>
      <c r="Z398" s="359"/>
      <c r="AA398" s="12"/>
      <c r="AB398" s="12"/>
      <c r="AC398" s="12"/>
    </row>
    <row r="399" ht="15.75" customHeight="1">
      <c r="A399" s="12"/>
      <c r="B399" s="12"/>
      <c r="C399" s="12"/>
      <c r="D399" s="12"/>
      <c r="E399" s="12"/>
      <c r="F399" s="12"/>
      <c r="G399" s="12"/>
      <c r="H399" s="12"/>
      <c r="I399" s="12"/>
      <c r="J399" s="359"/>
      <c r="K399" s="12"/>
      <c r="L399" s="12"/>
      <c r="M399" s="12"/>
      <c r="N399" s="12"/>
      <c r="O399" s="12"/>
      <c r="P399" s="12"/>
      <c r="Q399" s="12"/>
      <c r="R399" s="359"/>
      <c r="S399" s="12"/>
      <c r="T399" s="12"/>
      <c r="U399" s="12"/>
      <c r="V399" s="12"/>
      <c r="W399" s="12"/>
      <c r="X399" s="12"/>
      <c r="Y399" s="12"/>
      <c r="Z399" s="359"/>
      <c r="AA399" s="12"/>
      <c r="AB399" s="12"/>
      <c r="AC399" s="12"/>
    </row>
    <row r="400" ht="15.75" customHeight="1">
      <c r="A400" s="12"/>
      <c r="B400" s="12"/>
      <c r="C400" s="12"/>
      <c r="D400" s="12"/>
      <c r="E400" s="12"/>
      <c r="F400" s="12"/>
      <c r="G400" s="12"/>
      <c r="H400" s="12"/>
      <c r="I400" s="12"/>
      <c r="J400" s="359"/>
      <c r="K400" s="12"/>
      <c r="L400" s="12"/>
      <c r="M400" s="12"/>
      <c r="N400" s="12"/>
      <c r="O400" s="12"/>
      <c r="P400" s="12"/>
      <c r="Q400" s="12"/>
      <c r="R400" s="359"/>
      <c r="S400" s="12"/>
      <c r="T400" s="12"/>
      <c r="U400" s="12"/>
      <c r="V400" s="12"/>
      <c r="W400" s="12"/>
      <c r="X400" s="12"/>
      <c r="Y400" s="12"/>
      <c r="Z400" s="359"/>
      <c r="AA400" s="12"/>
      <c r="AB400" s="12"/>
      <c r="AC400" s="12"/>
    </row>
    <row r="401" ht="15.75" customHeight="1">
      <c r="A401" s="12"/>
      <c r="B401" s="12"/>
      <c r="C401" s="12"/>
      <c r="D401" s="12"/>
      <c r="E401" s="12"/>
      <c r="F401" s="12"/>
      <c r="G401" s="12"/>
      <c r="H401" s="12"/>
      <c r="I401" s="12"/>
      <c r="J401" s="359"/>
      <c r="K401" s="12"/>
      <c r="L401" s="12"/>
      <c r="M401" s="12"/>
      <c r="N401" s="12"/>
      <c r="O401" s="12"/>
      <c r="P401" s="12"/>
      <c r="Q401" s="12"/>
      <c r="R401" s="359"/>
      <c r="S401" s="12"/>
      <c r="T401" s="12"/>
      <c r="U401" s="12"/>
      <c r="V401" s="12"/>
      <c r="W401" s="12"/>
      <c r="X401" s="12"/>
      <c r="Y401" s="12"/>
      <c r="Z401" s="359"/>
      <c r="AA401" s="12"/>
      <c r="AB401" s="12"/>
      <c r="AC401" s="12"/>
    </row>
    <row r="402" ht="15.75" customHeight="1">
      <c r="A402" s="12"/>
      <c r="B402" s="12"/>
      <c r="C402" s="12"/>
      <c r="D402" s="12"/>
      <c r="E402" s="12"/>
      <c r="F402" s="12"/>
      <c r="G402" s="12"/>
      <c r="H402" s="12"/>
      <c r="I402" s="12"/>
      <c r="J402" s="359"/>
      <c r="K402" s="12"/>
      <c r="L402" s="12"/>
      <c r="M402" s="12"/>
      <c r="N402" s="12"/>
      <c r="O402" s="12"/>
      <c r="P402" s="12"/>
      <c r="Q402" s="12"/>
      <c r="R402" s="359"/>
      <c r="S402" s="12"/>
      <c r="T402" s="12"/>
      <c r="U402" s="12"/>
      <c r="V402" s="12"/>
      <c r="W402" s="12"/>
      <c r="X402" s="12"/>
      <c r="Y402" s="12"/>
      <c r="Z402" s="359"/>
      <c r="AA402" s="12"/>
      <c r="AB402" s="12"/>
      <c r="AC402" s="12"/>
    </row>
    <row r="403" ht="15.75" customHeight="1">
      <c r="A403" s="12"/>
      <c r="B403" s="12"/>
      <c r="C403" s="12"/>
      <c r="D403" s="12"/>
      <c r="E403" s="12"/>
      <c r="F403" s="12"/>
      <c r="G403" s="12"/>
      <c r="H403" s="12"/>
      <c r="I403" s="12"/>
      <c r="J403" s="359"/>
      <c r="K403" s="12"/>
      <c r="L403" s="12"/>
      <c r="M403" s="12"/>
      <c r="N403" s="12"/>
      <c r="O403" s="12"/>
      <c r="P403" s="12"/>
      <c r="Q403" s="12"/>
      <c r="R403" s="359"/>
      <c r="S403" s="12"/>
      <c r="T403" s="12"/>
      <c r="U403" s="12"/>
      <c r="V403" s="12"/>
      <c r="W403" s="12"/>
      <c r="X403" s="12"/>
      <c r="Y403" s="12"/>
      <c r="Z403" s="359"/>
      <c r="AA403" s="12"/>
      <c r="AB403" s="12"/>
      <c r="AC403" s="12"/>
    </row>
    <row r="404" ht="15.75" customHeight="1">
      <c r="A404" s="12"/>
      <c r="B404" s="12"/>
      <c r="C404" s="12"/>
      <c r="D404" s="12"/>
      <c r="E404" s="12"/>
      <c r="F404" s="12"/>
      <c r="G404" s="12"/>
      <c r="H404" s="12"/>
      <c r="I404" s="12"/>
      <c r="J404" s="359"/>
      <c r="K404" s="12"/>
      <c r="L404" s="12"/>
      <c r="M404" s="12"/>
      <c r="N404" s="12"/>
      <c r="O404" s="12"/>
      <c r="P404" s="12"/>
      <c r="Q404" s="12"/>
      <c r="R404" s="359"/>
      <c r="S404" s="12"/>
      <c r="T404" s="12"/>
      <c r="U404" s="12"/>
      <c r="V404" s="12"/>
      <c r="W404" s="12"/>
      <c r="X404" s="12"/>
      <c r="Y404" s="12"/>
      <c r="Z404" s="359"/>
      <c r="AA404" s="12"/>
      <c r="AB404" s="12"/>
      <c r="AC404" s="12"/>
    </row>
    <row r="405" ht="15.75" customHeight="1">
      <c r="A405" s="12"/>
      <c r="B405" s="12"/>
      <c r="C405" s="12"/>
      <c r="D405" s="12"/>
      <c r="E405" s="12"/>
      <c r="F405" s="12"/>
      <c r="G405" s="12"/>
      <c r="H405" s="12"/>
      <c r="I405" s="12"/>
      <c r="J405" s="359"/>
      <c r="K405" s="12"/>
      <c r="L405" s="12"/>
      <c r="M405" s="12"/>
      <c r="N405" s="12"/>
      <c r="O405" s="12"/>
      <c r="P405" s="12"/>
      <c r="Q405" s="12"/>
      <c r="R405" s="359"/>
      <c r="S405" s="12"/>
      <c r="T405" s="12"/>
      <c r="U405" s="12"/>
      <c r="V405" s="12"/>
      <c r="W405" s="12"/>
      <c r="X405" s="12"/>
      <c r="Y405" s="12"/>
      <c r="Z405" s="359"/>
      <c r="AA405" s="12"/>
      <c r="AB405" s="12"/>
      <c r="AC405" s="12"/>
    </row>
    <row r="406" ht="15.75" customHeight="1">
      <c r="A406" s="12"/>
      <c r="B406" s="12"/>
      <c r="C406" s="12"/>
      <c r="D406" s="12"/>
      <c r="E406" s="12"/>
      <c r="F406" s="12"/>
      <c r="G406" s="12"/>
      <c r="H406" s="12"/>
      <c r="I406" s="12"/>
      <c r="J406" s="359"/>
      <c r="K406" s="12"/>
      <c r="L406" s="12"/>
      <c r="M406" s="12"/>
      <c r="N406" s="12"/>
      <c r="O406" s="12"/>
      <c r="P406" s="12"/>
      <c r="Q406" s="12"/>
      <c r="R406" s="359"/>
      <c r="S406" s="12"/>
      <c r="T406" s="12"/>
      <c r="U406" s="12"/>
      <c r="V406" s="12"/>
      <c r="W406" s="12"/>
      <c r="X406" s="12"/>
      <c r="Y406" s="12"/>
      <c r="Z406" s="359"/>
      <c r="AA406" s="12"/>
      <c r="AB406" s="12"/>
      <c r="AC406" s="12"/>
    </row>
    <row r="407" ht="15.75" customHeight="1">
      <c r="A407" s="12"/>
      <c r="B407" s="12"/>
      <c r="C407" s="12"/>
      <c r="D407" s="12"/>
      <c r="E407" s="12"/>
      <c r="F407" s="12"/>
      <c r="G407" s="12"/>
      <c r="H407" s="12"/>
      <c r="I407" s="12"/>
      <c r="J407" s="359"/>
      <c r="K407" s="12"/>
      <c r="L407" s="12"/>
      <c r="M407" s="12"/>
      <c r="N407" s="12"/>
      <c r="O407" s="12"/>
      <c r="P407" s="12"/>
      <c r="Q407" s="12"/>
      <c r="R407" s="359"/>
      <c r="S407" s="12"/>
      <c r="T407" s="12"/>
      <c r="U407" s="12"/>
      <c r="V407" s="12"/>
      <c r="W407" s="12"/>
      <c r="X407" s="12"/>
      <c r="Y407" s="12"/>
      <c r="Z407" s="359"/>
      <c r="AA407" s="12"/>
      <c r="AB407" s="12"/>
      <c r="AC407" s="12"/>
    </row>
    <row r="408" ht="15.75" customHeight="1">
      <c r="A408" s="12"/>
      <c r="B408" s="12"/>
      <c r="C408" s="12"/>
      <c r="D408" s="12"/>
      <c r="E408" s="12"/>
      <c r="F408" s="12"/>
      <c r="G408" s="12"/>
      <c r="H408" s="12"/>
      <c r="I408" s="12"/>
      <c r="J408" s="359"/>
      <c r="K408" s="12"/>
      <c r="L408" s="12"/>
      <c r="M408" s="12"/>
      <c r="N408" s="12"/>
      <c r="O408" s="12"/>
      <c r="P408" s="12"/>
      <c r="Q408" s="12"/>
      <c r="R408" s="359"/>
      <c r="S408" s="12"/>
      <c r="T408" s="12"/>
      <c r="U408" s="12"/>
      <c r="V408" s="12"/>
      <c r="W408" s="12"/>
      <c r="X408" s="12"/>
      <c r="Y408" s="12"/>
      <c r="Z408" s="359"/>
      <c r="AA408" s="12"/>
      <c r="AB408" s="12"/>
      <c r="AC408" s="12"/>
    </row>
    <row r="409" ht="15.75" customHeight="1">
      <c r="A409" s="12"/>
      <c r="B409" s="12"/>
      <c r="C409" s="12"/>
      <c r="D409" s="12"/>
      <c r="E409" s="12"/>
      <c r="F409" s="12"/>
      <c r="G409" s="12"/>
      <c r="H409" s="12"/>
      <c r="I409" s="12"/>
      <c r="J409" s="359"/>
      <c r="K409" s="12"/>
      <c r="L409" s="12"/>
      <c r="M409" s="12"/>
      <c r="N409" s="12"/>
      <c r="O409" s="12"/>
      <c r="P409" s="12"/>
      <c r="Q409" s="12"/>
      <c r="R409" s="359"/>
      <c r="S409" s="12"/>
      <c r="T409" s="12"/>
      <c r="U409" s="12"/>
      <c r="V409" s="12"/>
      <c r="W409" s="12"/>
      <c r="X409" s="12"/>
      <c r="Y409" s="12"/>
      <c r="Z409" s="359"/>
      <c r="AA409" s="12"/>
      <c r="AB409" s="12"/>
      <c r="AC409" s="12"/>
    </row>
    <row r="410" ht="15.75" customHeight="1">
      <c r="A410" s="12"/>
      <c r="B410" s="12"/>
      <c r="C410" s="12"/>
      <c r="D410" s="12"/>
      <c r="E410" s="12"/>
      <c r="F410" s="12"/>
      <c r="G410" s="12"/>
      <c r="H410" s="12"/>
      <c r="I410" s="12"/>
      <c r="J410" s="359"/>
      <c r="K410" s="12"/>
      <c r="L410" s="12"/>
      <c r="M410" s="12"/>
      <c r="N410" s="12"/>
      <c r="O410" s="12"/>
      <c r="P410" s="12"/>
      <c r="Q410" s="12"/>
      <c r="R410" s="359"/>
      <c r="S410" s="12"/>
      <c r="T410" s="12"/>
      <c r="U410" s="12"/>
      <c r="V410" s="12"/>
      <c r="W410" s="12"/>
      <c r="X410" s="12"/>
      <c r="Y410" s="12"/>
      <c r="Z410" s="359"/>
      <c r="AA410" s="12"/>
      <c r="AB410" s="12"/>
      <c r="AC410" s="12"/>
    </row>
    <row r="411" ht="15.75" customHeight="1">
      <c r="A411" s="12"/>
      <c r="B411" s="12"/>
      <c r="C411" s="12"/>
      <c r="D411" s="12"/>
      <c r="E411" s="12"/>
      <c r="F411" s="12"/>
      <c r="G411" s="12"/>
      <c r="H411" s="12"/>
      <c r="I411" s="12"/>
      <c r="J411" s="359"/>
      <c r="K411" s="12"/>
      <c r="L411" s="12"/>
      <c r="M411" s="12"/>
      <c r="N411" s="12"/>
      <c r="O411" s="12"/>
      <c r="P411" s="12"/>
      <c r="Q411" s="12"/>
      <c r="R411" s="359"/>
      <c r="S411" s="12"/>
      <c r="T411" s="12"/>
      <c r="U411" s="12"/>
      <c r="V411" s="12"/>
      <c r="W411" s="12"/>
      <c r="X411" s="12"/>
      <c r="Y411" s="12"/>
      <c r="Z411" s="359"/>
      <c r="AA411" s="12"/>
      <c r="AB411" s="12"/>
      <c r="AC411" s="12"/>
    </row>
    <row r="412" ht="15.75" customHeight="1">
      <c r="A412" s="12"/>
      <c r="B412" s="12"/>
      <c r="C412" s="12"/>
      <c r="D412" s="12"/>
      <c r="E412" s="12"/>
      <c r="F412" s="12"/>
      <c r="G412" s="12"/>
      <c r="H412" s="12"/>
      <c r="I412" s="12"/>
      <c r="J412" s="359"/>
      <c r="K412" s="12"/>
      <c r="L412" s="12"/>
      <c r="M412" s="12"/>
      <c r="N412" s="12"/>
      <c r="O412" s="12"/>
      <c r="P412" s="12"/>
      <c r="Q412" s="12"/>
      <c r="R412" s="359"/>
      <c r="S412" s="12"/>
      <c r="T412" s="12"/>
      <c r="U412" s="12"/>
      <c r="V412" s="12"/>
      <c r="W412" s="12"/>
      <c r="X412" s="12"/>
      <c r="Y412" s="12"/>
      <c r="Z412" s="359"/>
      <c r="AA412" s="12"/>
      <c r="AB412" s="12"/>
      <c r="AC412" s="12"/>
    </row>
    <row r="413" ht="15.75" customHeight="1">
      <c r="A413" s="12"/>
      <c r="B413" s="12"/>
      <c r="C413" s="12"/>
      <c r="D413" s="12"/>
      <c r="E413" s="12"/>
      <c r="F413" s="12"/>
      <c r="G413" s="12"/>
      <c r="H413" s="12"/>
      <c r="I413" s="12"/>
      <c r="J413" s="359"/>
      <c r="K413" s="12"/>
      <c r="L413" s="12"/>
      <c r="M413" s="12"/>
      <c r="N413" s="12"/>
      <c r="O413" s="12"/>
      <c r="P413" s="12"/>
      <c r="Q413" s="12"/>
      <c r="R413" s="359"/>
      <c r="S413" s="12"/>
      <c r="T413" s="12"/>
      <c r="U413" s="12"/>
      <c r="V413" s="12"/>
      <c r="W413" s="12"/>
      <c r="X413" s="12"/>
      <c r="Y413" s="12"/>
      <c r="Z413" s="359"/>
      <c r="AA413" s="12"/>
      <c r="AB413" s="12"/>
      <c r="AC413" s="12"/>
    </row>
    <row r="414" ht="15.75" customHeight="1">
      <c r="A414" s="12"/>
      <c r="B414" s="12"/>
      <c r="C414" s="12"/>
      <c r="D414" s="12"/>
      <c r="E414" s="12"/>
      <c r="F414" s="12"/>
      <c r="G414" s="12"/>
      <c r="H414" s="12"/>
      <c r="I414" s="12"/>
      <c r="J414" s="359"/>
      <c r="K414" s="12"/>
      <c r="L414" s="12"/>
      <c r="M414" s="12"/>
      <c r="N414" s="12"/>
      <c r="O414" s="12"/>
      <c r="P414" s="12"/>
      <c r="Q414" s="12"/>
      <c r="R414" s="359"/>
      <c r="S414" s="12"/>
      <c r="T414" s="12"/>
      <c r="U414" s="12"/>
      <c r="V414" s="12"/>
      <c r="W414" s="12"/>
      <c r="X414" s="12"/>
      <c r="Y414" s="12"/>
      <c r="Z414" s="359"/>
      <c r="AA414" s="12"/>
      <c r="AB414" s="12"/>
      <c r="AC414" s="12"/>
    </row>
    <row r="415" ht="15.75" customHeight="1">
      <c r="A415" s="12"/>
      <c r="B415" s="12"/>
      <c r="C415" s="12"/>
      <c r="D415" s="12"/>
      <c r="E415" s="12"/>
      <c r="F415" s="12"/>
      <c r="G415" s="12"/>
      <c r="H415" s="12"/>
      <c r="I415" s="12"/>
      <c r="J415" s="359"/>
      <c r="K415" s="12"/>
      <c r="L415" s="12"/>
      <c r="M415" s="12"/>
      <c r="N415" s="12"/>
      <c r="O415" s="12"/>
      <c r="P415" s="12"/>
      <c r="Q415" s="12"/>
      <c r="R415" s="359"/>
      <c r="S415" s="12"/>
      <c r="T415" s="12"/>
      <c r="U415" s="12"/>
      <c r="V415" s="12"/>
      <c r="W415" s="12"/>
      <c r="X415" s="12"/>
      <c r="Y415" s="12"/>
      <c r="Z415" s="359"/>
      <c r="AA415" s="12"/>
      <c r="AB415" s="12"/>
      <c r="AC415" s="12"/>
    </row>
    <row r="416" ht="15.75" customHeight="1">
      <c r="A416" s="12"/>
      <c r="B416" s="12"/>
      <c r="C416" s="12"/>
      <c r="D416" s="12"/>
      <c r="E416" s="12"/>
      <c r="F416" s="12"/>
      <c r="G416" s="12"/>
      <c r="H416" s="12"/>
      <c r="I416" s="12"/>
      <c r="J416" s="359"/>
      <c r="K416" s="12"/>
      <c r="L416" s="12"/>
      <c r="M416" s="12"/>
      <c r="N416" s="12"/>
      <c r="O416" s="12"/>
      <c r="P416" s="12"/>
      <c r="Q416" s="12"/>
      <c r="R416" s="359"/>
      <c r="S416" s="12"/>
      <c r="T416" s="12"/>
      <c r="U416" s="12"/>
      <c r="V416" s="12"/>
      <c r="W416" s="12"/>
      <c r="X416" s="12"/>
      <c r="Y416" s="12"/>
      <c r="Z416" s="359"/>
      <c r="AA416" s="12"/>
      <c r="AB416" s="12"/>
      <c r="AC416" s="12"/>
    </row>
    <row r="417" ht="15.75" customHeight="1">
      <c r="A417" s="12"/>
      <c r="B417" s="12"/>
      <c r="C417" s="12"/>
      <c r="D417" s="12"/>
      <c r="E417" s="12"/>
      <c r="F417" s="12"/>
      <c r="G417" s="12"/>
      <c r="H417" s="12"/>
      <c r="I417" s="12"/>
      <c r="J417" s="359"/>
      <c r="K417" s="12"/>
      <c r="L417" s="12"/>
      <c r="M417" s="12"/>
      <c r="N417" s="12"/>
      <c r="O417" s="12"/>
      <c r="P417" s="12"/>
      <c r="Q417" s="12"/>
      <c r="R417" s="359"/>
      <c r="S417" s="12"/>
      <c r="T417" s="12"/>
      <c r="U417" s="12"/>
      <c r="V417" s="12"/>
      <c r="W417" s="12"/>
      <c r="X417" s="12"/>
      <c r="Y417" s="12"/>
      <c r="Z417" s="359"/>
      <c r="AA417" s="12"/>
      <c r="AB417" s="12"/>
      <c r="AC417" s="12"/>
    </row>
    <row r="418" ht="15.75" customHeight="1">
      <c r="A418" s="12"/>
      <c r="B418" s="12"/>
      <c r="C418" s="12"/>
      <c r="D418" s="12"/>
      <c r="E418" s="12"/>
      <c r="F418" s="12"/>
      <c r="G418" s="12"/>
      <c r="H418" s="12"/>
      <c r="I418" s="12"/>
      <c r="J418" s="359"/>
      <c r="K418" s="12"/>
      <c r="L418" s="12"/>
      <c r="M418" s="12"/>
      <c r="N418" s="12"/>
      <c r="O418" s="12"/>
      <c r="P418" s="12"/>
      <c r="Q418" s="12"/>
      <c r="R418" s="359"/>
      <c r="S418" s="12"/>
      <c r="T418" s="12"/>
      <c r="U418" s="12"/>
      <c r="V418" s="12"/>
      <c r="W418" s="12"/>
      <c r="X418" s="12"/>
      <c r="Y418" s="12"/>
      <c r="Z418" s="359"/>
      <c r="AA418" s="12"/>
      <c r="AB418" s="12"/>
      <c r="AC418" s="12"/>
    </row>
    <row r="419" ht="15.75" customHeight="1">
      <c r="A419" s="12"/>
      <c r="B419" s="12"/>
      <c r="C419" s="12"/>
      <c r="D419" s="12"/>
      <c r="E419" s="12"/>
      <c r="F419" s="12"/>
      <c r="G419" s="12"/>
      <c r="H419" s="12"/>
      <c r="I419" s="12"/>
      <c r="J419" s="359"/>
      <c r="K419" s="12"/>
      <c r="L419" s="12"/>
      <c r="M419" s="12"/>
      <c r="N419" s="12"/>
      <c r="O419" s="12"/>
      <c r="P419" s="12"/>
      <c r="Q419" s="12"/>
      <c r="R419" s="359"/>
      <c r="S419" s="12"/>
      <c r="T419" s="12"/>
      <c r="U419" s="12"/>
      <c r="V419" s="12"/>
      <c r="W419" s="12"/>
      <c r="X419" s="12"/>
      <c r="Y419" s="12"/>
      <c r="Z419" s="359"/>
      <c r="AA419" s="12"/>
      <c r="AB419" s="12"/>
      <c r="AC419" s="12"/>
    </row>
    <row r="420" ht="15.75" customHeight="1">
      <c r="A420" s="12"/>
      <c r="B420" s="12"/>
      <c r="C420" s="12"/>
      <c r="D420" s="12"/>
      <c r="E420" s="12"/>
      <c r="F420" s="12"/>
      <c r="G420" s="12"/>
      <c r="H420" s="12"/>
      <c r="I420" s="12"/>
      <c r="J420" s="359"/>
      <c r="K420" s="12"/>
      <c r="L420" s="12"/>
      <c r="M420" s="12"/>
      <c r="N420" s="12"/>
      <c r="O420" s="12"/>
      <c r="P420" s="12"/>
      <c r="Q420" s="12"/>
      <c r="R420" s="359"/>
      <c r="S420" s="12"/>
      <c r="T420" s="12"/>
      <c r="U420" s="12"/>
      <c r="V420" s="12"/>
      <c r="W420" s="12"/>
      <c r="X420" s="12"/>
      <c r="Y420" s="12"/>
      <c r="Z420" s="359"/>
      <c r="AA420" s="12"/>
      <c r="AB420" s="12"/>
      <c r="AC420" s="12"/>
    </row>
    <row r="421" ht="15.75" customHeight="1">
      <c r="A421" s="12"/>
      <c r="B421" s="12"/>
      <c r="C421" s="12"/>
      <c r="D421" s="12"/>
      <c r="E421" s="12"/>
      <c r="F421" s="12"/>
      <c r="G421" s="12"/>
      <c r="H421" s="12"/>
      <c r="I421" s="12"/>
      <c r="J421" s="359"/>
      <c r="K421" s="12"/>
      <c r="L421" s="12"/>
      <c r="M421" s="12"/>
      <c r="N421" s="12"/>
      <c r="O421" s="12"/>
      <c r="P421" s="12"/>
      <c r="Q421" s="12"/>
      <c r="R421" s="359"/>
      <c r="S421" s="12"/>
      <c r="T421" s="12"/>
      <c r="U421" s="12"/>
      <c r="V421" s="12"/>
      <c r="W421" s="12"/>
      <c r="X421" s="12"/>
      <c r="Y421" s="12"/>
      <c r="Z421" s="359"/>
      <c r="AA421" s="12"/>
      <c r="AB421" s="12"/>
      <c r="AC421" s="12"/>
    </row>
    <row r="422" ht="15.75" customHeight="1">
      <c r="A422" s="12"/>
      <c r="B422" s="12"/>
      <c r="C422" s="12"/>
      <c r="D422" s="12"/>
      <c r="E422" s="12"/>
      <c r="F422" s="12"/>
      <c r="G422" s="12"/>
      <c r="H422" s="12"/>
      <c r="I422" s="12"/>
      <c r="J422" s="359"/>
      <c r="K422" s="12"/>
      <c r="L422" s="12"/>
      <c r="M422" s="12"/>
      <c r="N422" s="12"/>
      <c r="O422" s="12"/>
      <c r="P422" s="12"/>
      <c r="Q422" s="12"/>
      <c r="R422" s="359"/>
      <c r="S422" s="12"/>
      <c r="T422" s="12"/>
      <c r="U422" s="12"/>
      <c r="V422" s="12"/>
      <c r="W422" s="12"/>
      <c r="X422" s="12"/>
      <c r="Y422" s="12"/>
      <c r="Z422" s="359"/>
      <c r="AA422" s="12"/>
      <c r="AB422" s="12"/>
      <c r="AC422" s="12"/>
    </row>
    <row r="423" ht="15.75" customHeight="1">
      <c r="A423" s="12"/>
      <c r="B423" s="12"/>
      <c r="C423" s="12"/>
      <c r="D423" s="12"/>
      <c r="E423" s="12"/>
      <c r="F423" s="12"/>
      <c r="G423" s="12"/>
      <c r="H423" s="12"/>
      <c r="I423" s="12"/>
      <c r="J423" s="359"/>
      <c r="K423" s="12"/>
      <c r="L423" s="12"/>
      <c r="M423" s="12"/>
      <c r="N423" s="12"/>
      <c r="O423" s="12"/>
      <c r="P423" s="12"/>
      <c r="Q423" s="12"/>
      <c r="R423" s="359"/>
      <c r="S423" s="12"/>
      <c r="T423" s="12"/>
      <c r="U423" s="12"/>
      <c r="V423" s="12"/>
      <c r="W423" s="12"/>
      <c r="X423" s="12"/>
      <c r="Y423" s="12"/>
      <c r="Z423" s="359"/>
      <c r="AA423" s="12"/>
      <c r="AB423" s="12"/>
      <c r="AC423" s="12"/>
    </row>
    <row r="424" ht="15.75" customHeight="1">
      <c r="A424" s="12"/>
      <c r="B424" s="12"/>
      <c r="C424" s="12"/>
      <c r="D424" s="12"/>
      <c r="E424" s="12"/>
      <c r="F424" s="12"/>
      <c r="G424" s="12"/>
      <c r="H424" s="12"/>
      <c r="I424" s="12"/>
      <c r="J424" s="359"/>
      <c r="K424" s="12"/>
      <c r="L424" s="12"/>
      <c r="M424" s="12"/>
      <c r="N424" s="12"/>
      <c r="O424" s="12"/>
      <c r="P424" s="12"/>
      <c r="Q424" s="12"/>
      <c r="R424" s="359"/>
      <c r="S424" s="12"/>
      <c r="T424" s="12"/>
      <c r="U424" s="12"/>
      <c r="V424" s="12"/>
      <c r="W424" s="12"/>
      <c r="X424" s="12"/>
      <c r="Y424" s="12"/>
      <c r="Z424" s="359"/>
      <c r="AA424" s="12"/>
      <c r="AB424" s="12"/>
      <c r="AC424" s="12"/>
    </row>
    <row r="425" ht="15.75" customHeight="1">
      <c r="A425" s="12"/>
      <c r="B425" s="12"/>
      <c r="C425" s="12"/>
      <c r="D425" s="12"/>
      <c r="E425" s="12"/>
      <c r="F425" s="12"/>
      <c r="G425" s="12"/>
      <c r="H425" s="12"/>
      <c r="I425" s="12"/>
      <c r="J425" s="359"/>
      <c r="K425" s="12"/>
      <c r="L425" s="12"/>
      <c r="M425" s="12"/>
      <c r="N425" s="12"/>
      <c r="O425" s="12"/>
      <c r="P425" s="12"/>
      <c r="Q425" s="12"/>
      <c r="R425" s="359"/>
      <c r="S425" s="12"/>
      <c r="T425" s="12"/>
      <c r="U425" s="12"/>
      <c r="V425" s="12"/>
      <c r="W425" s="12"/>
      <c r="X425" s="12"/>
      <c r="Y425" s="12"/>
      <c r="Z425" s="359"/>
      <c r="AA425" s="12"/>
      <c r="AB425" s="12"/>
      <c r="AC425" s="12"/>
    </row>
    <row r="426" ht="15.75" customHeight="1">
      <c r="A426" s="12"/>
      <c r="B426" s="12"/>
      <c r="C426" s="12"/>
      <c r="D426" s="12"/>
      <c r="E426" s="12"/>
      <c r="F426" s="12"/>
      <c r="G426" s="12"/>
      <c r="H426" s="12"/>
      <c r="I426" s="12"/>
      <c r="J426" s="359"/>
      <c r="K426" s="12"/>
      <c r="L426" s="12"/>
      <c r="M426" s="12"/>
      <c r="N426" s="12"/>
      <c r="O426" s="12"/>
      <c r="P426" s="12"/>
      <c r="Q426" s="12"/>
      <c r="R426" s="359"/>
      <c r="S426" s="12"/>
      <c r="T426" s="12"/>
      <c r="U426" s="12"/>
      <c r="V426" s="12"/>
      <c r="W426" s="12"/>
      <c r="X426" s="12"/>
      <c r="Y426" s="12"/>
      <c r="Z426" s="359"/>
      <c r="AA426" s="12"/>
      <c r="AB426" s="12"/>
      <c r="AC426" s="12"/>
    </row>
    <row r="427" ht="15.75" customHeight="1">
      <c r="A427" s="12"/>
      <c r="B427" s="12"/>
      <c r="C427" s="12"/>
      <c r="D427" s="12"/>
      <c r="E427" s="12"/>
      <c r="F427" s="12"/>
      <c r="G427" s="12"/>
      <c r="H427" s="12"/>
      <c r="I427" s="12"/>
      <c r="J427" s="359"/>
      <c r="K427" s="12"/>
      <c r="L427" s="12"/>
      <c r="M427" s="12"/>
      <c r="N427" s="12"/>
      <c r="O427" s="12"/>
      <c r="P427" s="12"/>
      <c r="Q427" s="12"/>
      <c r="R427" s="359"/>
      <c r="S427" s="12"/>
      <c r="T427" s="12"/>
      <c r="U427" s="12"/>
      <c r="V427" s="12"/>
      <c r="W427" s="12"/>
      <c r="X427" s="12"/>
      <c r="Y427" s="12"/>
      <c r="Z427" s="359"/>
      <c r="AA427" s="12"/>
      <c r="AB427" s="12"/>
      <c r="AC427" s="12"/>
    </row>
    <row r="428" ht="15.75" customHeight="1">
      <c r="A428" s="12"/>
      <c r="B428" s="12"/>
      <c r="C428" s="12"/>
      <c r="D428" s="12"/>
      <c r="E428" s="12"/>
      <c r="F428" s="12"/>
      <c r="G428" s="12"/>
      <c r="H428" s="12"/>
      <c r="I428" s="12"/>
      <c r="J428" s="359"/>
      <c r="K428" s="12"/>
      <c r="L428" s="12"/>
      <c r="M428" s="12"/>
      <c r="N428" s="12"/>
      <c r="O428" s="12"/>
      <c r="P428" s="12"/>
      <c r="Q428" s="12"/>
      <c r="R428" s="359"/>
      <c r="S428" s="12"/>
      <c r="T428" s="12"/>
      <c r="U428" s="12"/>
      <c r="V428" s="12"/>
      <c r="W428" s="12"/>
      <c r="X428" s="12"/>
      <c r="Y428" s="12"/>
      <c r="Z428" s="359"/>
      <c r="AA428" s="12"/>
      <c r="AB428" s="12"/>
      <c r="AC428" s="12"/>
    </row>
    <row r="429" ht="15.75" customHeight="1">
      <c r="A429" s="12"/>
      <c r="B429" s="12"/>
      <c r="C429" s="12"/>
      <c r="D429" s="12"/>
      <c r="E429" s="12"/>
      <c r="F429" s="12"/>
      <c r="G429" s="12"/>
      <c r="H429" s="12"/>
      <c r="I429" s="12"/>
      <c r="J429" s="359"/>
      <c r="K429" s="12"/>
      <c r="L429" s="12"/>
      <c r="M429" s="12"/>
      <c r="N429" s="12"/>
      <c r="O429" s="12"/>
      <c r="P429" s="12"/>
      <c r="Q429" s="12"/>
      <c r="R429" s="359"/>
      <c r="S429" s="12"/>
      <c r="T429" s="12"/>
      <c r="U429" s="12"/>
      <c r="V429" s="12"/>
      <c r="W429" s="12"/>
      <c r="X429" s="12"/>
      <c r="Y429" s="12"/>
      <c r="Z429" s="359"/>
      <c r="AA429" s="12"/>
      <c r="AB429" s="12"/>
      <c r="AC429" s="12"/>
    </row>
    <row r="430" ht="15.75" customHeight="1">
      <c r="A430" s="12"/>
      <c r="B430" s="12"/>
      <c r="C430" s="12"/>
      <c r="D430" s="12"/>
      <c r="E430" s="12"/>
      <c r="F430" s="12"/>
      <c r="G430" s="12"/>
      <c r="H430" s="12"/>
      <c r="I430" s="12"/>
      <c r="J430" s="359"/>
      <c r="K430" s="12"/>
      <c r="L430" s="12"/>
      <c r="M430" s="12"/>
      <c r="N430" s="12"/>
      <c r="O430" s="12"/>
      <c r="P430" s="12"/>
      <c r="Q430" s="12"/>
      <c r="R430" s="359"/>
      <c r="S430" s="12"/>
      <c r="T430" s="12"/>
      <c r="U430" s="12"/>
      <c r="V430" s="12"/>
      <c r="W430" s="12"/>
      <c r="X430" s="12"/>
      <c r="Y430" s="12"/>
      <c r="Z430" s="359"/>
      <c r="AA430" s="12"/>
      <c r="AB430" s="12"/>
      <c r="AC430" s="12"/>
    </row>
    <row r="431" ht="15.75" customHeight="1">
      <c r="A431" s="12"/>
      <c r="B431" s="12"/>
      <c r="C431" s="12"/>
      <c r="D431" s="12"/>
      <c r="E431" s="12"/>
      <c r="F431" s="12"/>
      <c r="G431" s="12"/>
      <c r="H431" s="12"/>
      <c r="I431" s="12"/>
      <c r="J431" s="359"/>
      <c r="K431" s="12"/>
      <c r="L431" s="12"/>
      <c r="M431" s="12"/>
      <c r="N431" s="12"/>
      <c r="O431" s="12"/>
      <c r="P431" s="12"/>
      <c r="Q431" s="12"/>
      <c r="R431" s="359"/>
      <c r="S431" s="12"/>
      <c r="T431" s="12"/>
      <c r="U431" s="12"/>
      <c r="V431" s="12"/>
      <c r="W431" s="12"/>
      <c r="X431" s="12"/>
      <c r="Y431" s="12"/>
      <c r="Z431" s="359"/>
      <c r="AA431" s="12"/>
      <c r="AB431" s="12"/>
      <c r="AC431" s="12"/>
    </row>
    <row r="432" ht="15.75" customHeight="1">
      <c r="A432" s="12"/>
      <c r="B432" s="12"/>
      <c r="C432" s="12"/>
      <c r="D432" s="12"/>
      <c r="E432" s="12"/>
      <c r="F432" s="12"/>
      <c r="G432" s="12"/>
      <c r="H432" s="12"/>
      <c r="I432" s="12"/>
      <c r="J432" s="359"/>
      <c r="K432" s="12"/>
      <c r="L432" s="12"/>
      <c r="M432" s="12"/>
      <c r="N432" s="12"/>
      <c r="O432" s="12"/>
      <c r="P432" s="12"/>
      <c r="Q432" s="12"/>
      <c r="R432" s="359"/>
      <c r="S432" s="12"/>
      <c r="T432" s="12"/>
      <c r="U432" s="12"/>
      <c r="V432" s="12"/>
      <c r="W432" s="12"/>
      <c r="X432" s="12"/>
      <c r="Y432" s="12"/>
      <c r="Z432" s="359"/>
      <c r="AA432" s="12"/>
      <c r="AB432" s="12"/>
      <c r="AC432" s="12"/>
    </row>
    <row r="433" ht="15.75" customHeight="1">
      <c r="A433" s="12"/>
      <c r="B433" s="12"/>
      <c r="C433" s="12"/>
      <c r="D433" s="12"/>
      <c r="E433" s="12"/>
      <c r="F433" s="12"/>
      <c r="G433" s="12"/>
      <c r="H433" s="12"/>
      <c r="I433" s="12"/>
      <c r="J433" s="359"/>
      <c r="K433" s="12"/>
      <c r="L433" s="12"/>
      <c r="M433" s="12"/>
      <c r="N433" s="12"/>
      <c r="O433" s="12"/>
      <c r="P433" s="12"/>
      <c r="Q433" s="12"/>
      <c r="R433" s="359"/>
      <c r="S433" s="12"/>
      <c r="T433" s="12"/>
      <c r="U433" s="12"/>
      <c r="V433" s="12"/>
      <c r="W433" s="12"/>
      <c r="X433" s="12"/>
      <c r="Y433" s="12"/>
      <c r="Z433" s="359"/>
      <c r="AA433" s="12"/>
      <c r="AB433" s="12"/>
      <c r="AC433" s="12"/>
    </row>
    <row r="434" ht="15.75" customHeight="1">
      <c r="A434" s="12"/>
      <c r="B434" s="12"/>
      <c r="C434" s="12"/>
      <c r="D434" s="12"/>
      <c r="E434" s="12"/>
      <c r="F434" s="12"/>
      <c r="G434" s="12"/>
      <c r="H434" s="12"/>
      <c r="I434" s="12"/>
      <c r="J434" s="359"/>
      <c r="K434" s="12"/>
      <c r="L434" s="12"/>
      <c r="M434" s="12"/>
      <c r="N434" s="12"/>
      <c r="O434" s="12"/>
      <c r="P434" s="12"/>
      <c r="Q434" s="12"/>
      <c r="R434" s="359"/>
      <c r="S434" s="12"/>
      <c r="T434" s="12"/>
      <c r="U434" s="12"/>
      <c r="V434" s="12"/>
      <c r="W434" s="12"/>
      <c r="X434" s="12"/>
      <c r="Y434" s="12"/>
      <c r="Z434" s="359"/>
      <c r="AA434" s="12"/>
      <c r="AB434" s="12"/>
      <c r="AC434" s="12"/>
    </row>
    <row r="435" ht="15.75" customHeight="1">
      <c r="A435" s="12"/>
      <c r="B435" s="12"/>
      <c r="C435" s="12"/>
      <c r="D435" s="12"/>
      <c r="E435" s="12"/>
      <c r="F435" s="12"/>
      <c r="G435" s="12"/>
      <c r="H435" s="12"/>
      <c r="I435" s="12"/>
      <c r="J435" s="359"/>
      <c r="K435" s="12"/>
      <c r="L435" s="12"/>
      <c r="M435" s="12"/>
      <c r="N435" s="12"/>
      <c r="O435" s="12"/>
      <c r="P435" s="12"/>
      <c r="Q435" s="12"/>
      <c r="R435" s="359"/>
      <c r="S435" s="12"/>
      <c r="T435" s="12"/>
      <c r="U435" s="12"/>
      <c r="V435" s="12"/>
      <c r="W435" s="12"/>
      <c r="X435" s="12"/>
      <c r="Y435" s="12"/>
      <c r="Z435" s="359"/>
      <c r="AA435" s="12"/>
      <c r="AB435" s="12"/>
      <c r="AC435" s="12"/>
    </row>
    <row r="436" ht="15.75" customHeight="1">
      <c r="A436" s="12"/>
      <c r="B436" s="12"/>
      <c r="C436" s="12"/>
      <c r="D436" s="12"/>
      <c r="E436" s="12"/>
      <c r="F436" s="12"/>
      <c r="G436" s="12"/>
      <c r="H436" s="12"/>
      <c r="I436" s="12"/>
      <c r="J436" s="359"/>
      <c r="K436" s="12"/>
      <c r="L436" s="12"/>
      <c r="M436" s="12"/>
      <c r="N436" s="12"/>
      <c r="O436" s="12"/>
      <c r="P436" s="12"/>
      <c r="Q436" s="12"/>
      <c r="R436" s="359"/>
      <c r="S436" s="12"/>
      <c r="T436" s="12"/>
      <c r="U436" s="12"/>
      <c r="V436" s="12"/>
      <c r="W436" s="12"/>
      <c r="X436" s="12"/>
      <c r="Y436" s="12"/>
      <c r="Z436" s="359"/>
      <c r="AA436" s="12"/>
      <c r="AB436" s="12"/>
      <c r="AC436" s="12"/>
    </row>
    <row r="437" ht="15.75" customHeight="1">
      <c r="A437" s="12"/>
      <c r="B437" s="12"/>
      <c r="C437" s="12"/>
      <c r="D437" s="12"/>
      <c r="E437" s="12"/>
      <c r="F437" s="12"/>
      <c r="G437" s="12"/>
      <c r="H437" s="12"/>
      <c r="I437" s="12"/>
      <c r="J437" s="359"/>
      <c r="K437" s="12"/>
      <c r="L437" s="12"/>
      <c r="M437" s="12"/>
      <c r="N437" s="12"/>
      <c r="O437" s="12"/>
      <c r="P437" s="12"/>
      <c r="Q437" s="12"/>
      <c r="R437" s="359"/>
      <c r="S437" s="12"/>
      <c r="T437" s="12"/>
      <c r="U437" s="12"/>
      <c r="V437" s="12"/>
      <c r="W437" s="12"/>
      <c r="X437" s="12"/>
      <c r="Y437" s="12"/>
      <c r="Z437" s="359"/>
      <c r="AA437" s="12"/>
      <c r="AB437" s="12"/>
      <c r="AC437" s="12"/>
    </row>
    <row r="438" ht="15.75" customHeight="1">
      <c r="A438" s="12"/>
      <c r="B438" s="12"/>
      <c r="C438" s="12"/>
      <c r="D438" s="12"/>
      <c r="E438" s="12"/>
      <c r="F438" s="12"/>
      <c r="G438" s="12"/>
      <c r="H438" s="12"/>
      <c r="I438" s="12"/>
      <c r="J438" s="359"/>
      <c r="K438" s="12"/>
      <c r="L438" s="12"/>
      <c r="M438" s="12"/>
      <c r="N438" s="12"/>
      <c r="O438" s="12"/>
      <c r="P438" s="12"/>
      <c r="Q438" s="12"/>
      <c r="R438" s="359"/>
      <c r="S438" s="12"/>
      <c r="T438" s="12"/>
      <c r="U438" s="12"/>
      <c r="V438" s="12"/>
      <c r="W438" s="12"/>
      <c r="X438" s="12"/>
      <c r="Y438" s="12"/>
      <c r="Z438" s="359"/>
      <c r="AA438" s="12"/>
      <c r="AB438" s="12"/>
      <c r="AC438" s="12"/>
    </row>
    <row r="439" ht="15.75" customHeight="1">
      <c r="A439" s="12"/>
      <c r="B439" s="12"/>
      <c r="C439" s="12"/>
      <c r="D439" s="12"/>
      <c r="E439" s="12"/>
      <c r="F439" s="12"/>
      <c r="G439" s="12"/>
      <c r="H439" s="12"/>
      <c r="I439" s="12"/>
      <c r="J439" s="359"/>
      <c r="K439" s="12"/>
      <c r="L439" s="12"/>
      <c r="M439" s="12"/>
      <c r="N439" s="12"/>
      <c r="O439" s="12"/>
      <c r="P439" s="12"/>
      <c r="Q439" s="12"/>
      <c r="R439" s="359"/>
      <c r="S439" s="12"/>
      <c r="T439" s="12"/>
      <c r="U439" s="12"/>
      <c r="V439" s="12"/>
      <c r="W439" s="12"/>
      <c r="X439" s="12"/>
      <c r="Y439" s="12"/>
      <c r="Z439" s="359"/>
      <c r="AA439" s="12"/>
      <c r="AB439" s="12"/>
      <c r="AC439" s="12"/>
    </row>
    <row r="440" ht="15.75" customHeight="1">
      <c r="A440" s="12"/>
      <c r="B440" s="12"/>
      <c r="C440" s="12"/>
      <c r="D440" s="12"/>
      <c r="E440" s="12"/>
      <c r="F440" s="12"/>
      <c r="G440" s="12"/>
      <c r="H440" s="12"/>
      <c r="I440" s="12"/>
      <c r="J440" s="359"/>
      <c r="K440" s="12"/>
      <c r="L440" s="12"/>
      <c r="M440" s="12"/>
      <c r="N440" s="12"/>
      <c r="O440" s="12"/>
      <c r="P440" s="12"/>
      <c r="Q440" s="12"/>
      <c r="R440" s="359"/>
      <c r="S440" s="12"/>
      <c r="T440" s="12"/>
      <c r="U440" s="12"/>
      <c r="V440" s="12"/>
      <c r="W440" s="12"/>
      <c r="X440" s="12"/>
      <c r="Y440" s="12"/>
      <c r="Z440" s="359"/>
      <c r="AA440" s="12"/>
      <c r="AB440" s="12"/>
      <c r="AC440" s="12"/>
    </row>
    <row r="441" ht="15.75" customHeight="1">
      <c r="A441" s="12"/>
      <c r="B441" s="12"/>
      <c r="C441" s="12"/>
      <c r="D441" s="12"/>
      <c r="E441" s="12"/>
      <c r="F441" s="12"/>
      <c r="G441" s="12"/>
      <c r="H441" s="12"/>
      <c r="I441" s="12"/>
      <c r="J441" s="359"/>
      <c r="K441" s="12"/>
      <c r="L441" s="12"/>
      <c r="M441" s="12"/>
      <c r="N441" s="12"/>
      <c r="O441" s="12"/>
      <c r="P441" s="12"/>
      <c r="Q441" s="12"/>
      <c r="R441" s="359"/>
      <c r="S441" s="12"/>
      <c r="T441" s="12"/>
      <c r="U441" s="12"/>
      <c r="V441" s="12"/>
      <c r="W441" s="12"/>
      <c r="X441" s="12"/>
      <c r="Y441" s="12"/>
      <c r="Z441" s="359"/>
      <c r="AA441" s="12"/>
      <c r="AB441" s="12"/>
      <c r="AC441" s="12"/>
    </row>
    <row r="442" ht="15.75" customHeight="1">
      <c r="A442" s="12"/>
      <c r="B442" s="12"/>
      <c r="C442" s="12"/>
      <c r="D442" s="12"/>
      <c r="E442" s="12"/>
      <c r="F442" s="12"/>
      <c r="G442" s="12"/>
      <c r="H442" s="12"/>
      <c r="I442" s="12"/>
      <c r="J442" s="359"/>
      <c r="K442" s="12"/>
      <c r="L442" s="12"/>
      <c r="M442" s="12"/>
      <c r="N442" s="12"/>
      <c r="O442" s="12"/>
      <c r="P442" s="12"/>
      <c r="Q442" s="12"/>
      <c r="R442" s="359"/>
      <c r="S442" s="12"/>
      <c r="T442" s="12"/>
      <c r="U442" s="12"/>
      <c r="V442" s="12"/>
      <c r="W442" s="12"/>
      <c r="X442" s="12"/>
      <c r="Y442" s="12"/>
      <c r="Z442" s="359"/>
      <c r="AA442" s="12"/>
      <c r="AB442" s="12"/>
      <c r="AC442" s="12"/>
    </row>
    <row r="443" ht="15.75" customHeight="1">
      <c r="A443" s="12"/>
      <c r="B443" s="12"/>
      <c r="C443" s="12"/>
      <c r="D443" s="12"/>
      <c r="E443" s="12"/>
      <c r="F443" s="12"/>
      <c r="G443" s="12"/>
      <c r="H443" s="12"/>
      <c r="I443" s="12"/>
      <c r="J443" s="359"/>
      <c r="K443" s="12"/>
      <c r="L443" s="12"/>
      <c r="M443" s="12"/>
      <c r="N443" s="12"/>
      <c r="O443" s="12"/>
      <c r="P443" s="12"/>
      <c r="Q443" s="12"/>
      <c r="R443" s="359"/>
      <c r="S443" s="12"/>
      <c r="T443" s="12"/>
      <c r="U443" s="12"/>
      <c r="V443" s="12"/>
      <c r="W443" s="12"/>
      <c r="X443" s="12"/>
      <c r="Y443" s="12"/>
      <c r="Z443" s="359"/>
      <c r="AA443" s="12"/>
      <c r="AB443" s="12"/>
      <c r="AC443" s="12"/>
    </row>
    <row r="444" ht="15.75" customHeight="1">
      <c r="A444" s="12"/>
      <c r="B444" s="12"/>
      <c r="C444" s="12"/>
      <c r="D444" s="12"/>
      <c r="E444" s="12"/>
      <c r="F444" s="12"/>
      <c r="G444" s="12"/>
      <c r="H444" s="12"/>
      <c r="I444" s="12"/>
      <c r="J444" s="359"/>
      <c r="K444" s="12"/>
      <c r="L444" s="12"/>
      <c r="M444" s="12"/>
      <c r="N444" s="12"/>
      <c r="O444" s="12"/>
      <c r="P444" s="12"/>
      <c r="Q444" s="12"/>
      <c r="R444" s="359"/>
      <c r="S444" s="12"/>
      <c r="T444" s="12"/>
      <c r="U444" s="12"/>
      <c r="V444" s="12"/>
      <c r="W444" s="12"/>
      <c r="X444" s="12"/>
      <c r="Y444" s="12"/>
      <c r="Z444" s="359"/>
      <c r="AA444" s="12"/>
      <c r="AB444" s="12"/>
      <c r="AC444" s="12"/>
    </row>
    <row r="445" ht="15.75" customHeight="1">
      <c r="A445" s="12"/>
      <c r="B445" s="12"/>
      <c r="C445" s="12"/>
      <c r="D445" s="12"/>
      <c r="E445" s="12"/>
      <c r="F445" s="12"/>
      <c r="G445" s="12"/>
      <c r="H445" s="12"/>
      <c r="I445" s="12"/>
      <c r="J445" s="359"/>
      <c r="K445" s="12"/>
      <c r="L445" s="12"/>
      <c r="M445" s="12"/>
      <c r="N445" s="12"/>
      <c r="O445" s="12"/>
      <c r="P445" s="12"/>
      <c r="Q445" s="12"/>
      <c r="R445" s="359"/>
      <c r="S445" s="12"/>
      <c r="T445" s="12"/>
      <c r="U445" s="12"/>
      <c r="V445" s="12"/>
      <c r="W445" s="12"/>
      <c r="X445" s="12"/>
      <c r="Y445" s="12"/>
      <c r="Z445" s="359"/>
      <c r="AA445" s="12"/>
      <c r="AB445" s="12"/>
      <c r="AC445" s="12"/>
    </row>
    <row r="446" ht="15.75" customHeight="1">
      <c r="A446" s="12"/>
      <c r="B446" s="12"/>
      <c r="C446" s="12"/>
      <c r="D446" s="12"/>
      <c r="E446" s="12"/>
      <c r="F446" s="12"/>
      <c r="G446" s="12"/>
      <c r="H446" s="12"/>
      <c r="I446" s="12"/>
      <c r="J446" s="359"/>
      <c r="K446" s="12"/>
      <c r="L446" s="12"/>
      <c r="M446" s="12"/>
      <c r="N446" s="12"/>
      <c r="O446" s="12"/>
      <c r="P446" s="12"/>
      <c r="Q446" s="12"/>
      <c r="R446" s="359"/>
      <c r="S446" s="12"/>
      <c r="T446" s="12"/>
      <c r="U446" s="12"/>
      <c r="V446" s="12"/>
      <c r="W446" s="12"/>
      <c r="X446" s="12"/>
      <c r="Y446" s="12"/>
      <c r="Z446" s="359"/>
      <c r="AA446" s="12"/>
      <c r="AB446" s="12"/>
      <c r="AC446" s="12"/>
    </row>
    <row r="447" ht="15.75" customHeight="1">
      <c r="A447" s="12"/>
      <c r="B447" s="12"/>
      <c r="C447" s="12"/>
      <c r="D447" s="12"/>
      <c r="E447" s="12"/>
      <c r="F447" s="12"/>
      <c r="G447" s="12"/>
      <c r="H447" s="12"/>
      <c r="I447" s="12"/>
      <c r="J447" s="359"/>
      <c r="K447" s="12"/>
      <c r="L447" s="12"/>
      <c r="M447" s="12"/>
      <c r="N447" s="12"/>
      <c r="O447" s="12"/>
      <c r="P447" s="12"/>
      <c r="Q447" s="12"/>
      <c r="R447" s="359"/>
      <c r="S447" s="12"/>
      <c r="T447" s="12"/>
      <c r="U447" s="12"/>
      <c r="V447" s="12"/>
      <c r="W447" s="12"/>
      <c r="X447" s="12"/>
      <c r="Y447" s="12"/>
      <c r="Z447" s="359"/>
      <c r="AA447" s="12"/>
      <c r="AB447" s="12"/>
      <c r="AC447" s="12"/>
    </row>
    <row r="448" ht="15.75" customHeight="1">
      <c r="A448" s="12"/>
      <c r="B448" s="12"/>
      <c r="C448" s="12"/>
      <c r="D448" s="12"/>
      <c r="E448" s="12"/>
      <c r="F448" s="12"/>
      <c r="G448" s="12"/>
      <c r="H448" s="12"/>
      <c r="I448" s="12"/>
      <c r="J448" s="359"/>
      <c r="K448" s="12"/>
      <c r="L448" s="12"/>
      <c r="M448" s="12"/>
      <c r="N448" s="12"/>
      <c r="O448" s="12"/>
      <c r="P448" s="12"/>
      <c r="Q448" s="12"/>
      <c r="R448" s="359"/>
      <c r="S448" s="12"/>
      <c r="T448" s="12"/>
      <c r="U448" s="12"/>
      <c r="V448" s="12"/>
      <c r="W448" s="12"/>
      <c r="X448" s="12"/>
      <c r="Y448" s="12"/>
      <c r="Z448" s="359"/>
      <c r="AA448" s="12"/>
      <c r="AB448" s="12"/>
      <c r="AC448" s="12"/>
    </row>
    <row r="449" ht="15.75" customHeight="1">
      <c r="A449" s="12"/>
      <c r="B449" s="12"/>
      <c r="C449" s="12"/>
      <c r="D449" s="12"/>
      <c r="E449" s="12"/>
      <c r="F449" s="12"/>
      <c r="G449" s="12"/>
      <c r="H449" s="12"/>
      <c r="I449" s="12"/>
      <c r="J449" s="359"/>
      <c r="K449" s="12"/>
      <c r="L449" s="12"/>
      <c r="M449" s="12"/>
      <c r="N449" s="12"/>
      <c r="O449" s="12"/>
      <c r="P449" s="12"/>
      <c r="Q449" s="12"/>
      <c r="R449" s="359"/>
      <c r="S449" s="12"/>
      <c r="T449" s="12"/>
      <c r="U449" s="12"/>
      <c r="V449" s="12"/>
      <c r="W449" s="12"/>
      <c r="X449" s="12"/>
      <c r="Y449" s="12"/>
      <c r="Z449" s="359"/>
      <c r="AA449" s="12"/>
      <c r="AB449" s="12"/>
      <c r="AC449" s="12"/>
    </row>
    <row r="450" ht="15.75" customHeight="1">
      <c r="A450" s="12"/>
      <c r="B450" s="12"/>
      <c r="C450" s="12"/>
      <c r="D450" s="12"/>
      <c r="E450" s="12"/>
      <c r="F450" s="12"/>
      <c r="G450" s="12"/>
      <c r="H450" s="12"/>
      <c r="I450" s="12"/>
      <c r="J450" s="359"/>
      <c r="K450" s="12"/>
      <c r="L450" s="12"/>
      <c r="M450" s="12"/>
      <c r="N450" s="12"/>
      <c r="O450" s="12"/>
      <c r="P450" s="12"/>
      <c r="Q450" s="12"/>
      <c r="R450" s="359"/>
      <c r="S450" s="12"/>
      <c r="T450" s="12"/>
      <c r="U450" s="12"/>
      <c r="V450" s="12"/>
      <c r="W450" s="12"/>
      <c r="X450" s="12"/>
      <c r="Y450" s="12"/>
      <c r="Z450" s="359"/>
      <c r="AA450" s="12"/>
      <c r="AB450" s="12"/>
      <c r="AC450" s="12"/>
    </row>
    <row r="451" ht="15.75" customHeight="1">
      <c r="A451" s="12"/>
      <c r="B451" s="12"/>
      <c r="C451" s="12"/>
      <c r="D451" s="12"/>
      <c r="E451" s="12"/>
      <c r="F451" s="12"/>
      <c r="G451" s="12"/>
      <c r="H451" s="12"/>
      <c r="I451" s="12"/>
      <c r="J451" s="359"/>
      <c r="K451" s="12"/>
      <c r="L451" s="12"/>
      <c r="M451" s="12"/>
      <c r="N451" s="12"/>
      <c r="O451" s="12"/>
      <c r="P451" s="12"/>
      <c r="Q451" s="12"/>
      <c r="R451" s="359"/>
      <c r="S451" s="12"/>
      <c r="T451" s="12"/>
      <c r="U451" s="12"/>
      <c r="V451" s="12"/>
      <c r="W451" s="12"/>
      <c r="X451" s="12"/>
      <c r="Y451" s="12"/>
      <c r="Z451" s="359"/>
      <c r="AA451" s="12"/>
      <c r="AB451" s="12"/>
      <c r="AC451" s="12"/>
    </row>
    <row r="452" ht="15.75" customHeight="1">
      <c r="A452" s="12"/>
      <c r="B452" s="12"/>
      <c r="C452" s="12"/>
      <c r="D452" s="12"/>
      <c r="E452" s="12"/>
      <c r="F452" s="12"/>
      <c r="G452" s="12"/>
      <c r="H452" s="12"/>
      <c r="I452" s="12"/>
      <c r="J452" s="359"/>
      <c r="K452" s="12"/>
      <c r="L452" s="12"/>
      <c r="M452" s="12"/>
      <c r="N452" s="12"/>
      <c r="O452" s="12"/>
      <c r="P452" s="12"/>
      <c r="Q452" s="12"/>
      <c r="R452" s="359"/>
      <c r="S452" s="12"/>
      <c r="T452" s="12"/>
      <c r="U452" s="12"/>
      <c r="V452" s="12"/>
      <c r="W452" s="12"/>
      <c r="X452" s="12"/>
      <c r="Y452" s="12"/>
      <c r="Z452" s="359"/>
      <c r="AA452" s="12"/>
      <c r="AB452" s="12"/>
      <c r="AC452" s="12"/>
    </row>
    <row r="453" ht="15.75" customHeight="1">
      <c r="A453" s="12"/>
      <c r="B453" s="12"/>
      <c r="C453" s="12"/>
      <c r="D453" s="12"/>
      <c r="E453" s="12"/>
      <c r="F453" s="12"/>
      <c r="G453" s="12"/>
      <c r="H453" s="12"/>
      <c r="I453" s="12"/>
      <c r="J453" s="359"/>
      <c r="K453" s="12"/>
      <c r="L453" s="12"/>
      <c r="M453" s="12"/>
      <c r="N453" s="12"/>
      <c r="O453" s="12"/>
      <c r="P453" s="12"/>
      <c r="Q453" s="12"/>
      <c r="R453" s="359"/>
      <c r="S453" s="12"/>
      <c r="T453" s="12"/>
      <c r="U453" s="12"/>
      <c r="V453" s="12"/>
      <c r="W453" s="12"/>
      <c r="X453" s="12"/>
      <c r="Y453" s="12"/>
      <c r="Z453" s="359"/>
      <c r="AA453" s="12"/>
      <c r="AB453" s="12"/>
      <c r="AC453" s="12"/>
    </row>
    <row r="454" ht="15.75" customHeight="1">
      <c r="A454" s="12"/>
      <c r="B454" s="12"/>
      <c r="C454" s="12"/>
      <c r="D454" s="12"/>
      <c r="E454" s="12"/>
      <c r="F454" s="12"/>
      <c r="G454" s="12"/>
      <c r="H454" s="12"/>
      <c r="I454" s="12"/>
      <c r="J454" s="359"/>
      <c r="K454" s="12"/>
      <c r="L454" s="12"/>
      <c r="M454" s="12"/>
      <c r="N454" s="12"/>
      <c r="O454" s="12"/>
      <c r="P454" s="12"/>
      <c r="Q454" s="12"/>
      <c r="R454" s="359"/>
      <c r="S454" s="12"/>
      <c r="T454" s="12"/>
      <c r="U454" s="12"/>
      <c r="V454" s="12"/>
      <c r="W454" s="12"/>
      <c r="X454" s="12"/>
      <c r="Y454" s="12"/>
      <c r="Z454" s="359"/>
      <c r="AA454" s="12"/>
      <c r="AB454" s="12"/>
      <c r="AC454" s="12"/>
    </row>
    <row r="455" ht="15.75" customHeight="1">
      <c r="A455" s="12"/>
      <c r="B455" s="12"/>
      <c r="C455" s="12"/>
      <c r="D455" s="12"/>
      <c r="E455" s="12"/>
      <c r="F455" s="12"/>
      <c r="G455" s="12"/>
      <c r="H455" s="12"/>
      <c r="I455" s="12"/>
      <c r="J455" s="359"/>
      <c r="K455" s="12"/>
      <c r="L455" s="12"/>
      <c r="M455" s="12"/>
      <c r="N455" s="12"/>
      <c r="O455" s="12"/>
      <c r="P455" s="12"/>
      <c r="Q455" s="12"/>
      <c r="R455" s="359"/>
      <c r="S455" s="12"/>
      <c r="T455" s="12"/>
      <c r="U455" s="12"/>
      <c r="V455" s="12"/>
      <c r="W455" s="12"/>
      <c r="X455" s="12"/>
      <c r="Y455" s="12"/>
      <c r="Z455" s="359"/>
      <c r="AA455" s="12"/>
      <c r="AB455" s="12"/>
      <c r="AC455" s="12"/>
    </row>
    <row r="456" ht="15.75" customHeight="1">
      <c r="A456" s="12"/>
      <c r="B456" s="12"/>
      <c r="C456" s="12"/>
      <c r="D456" s="12"/>
      <c r="E456" s="12"/>
      <c r="F456" s="12"/>
      <c r="G456" s="12"/>
      <c r="H456" s="12"/>
      <c r="I456" s="12"/>
      <c r="J456" s="359"/>
      <c r="K456" s="12"/>
      <c r="L456" s="12"/>
      <c r="M456" s="12"/>
      <c r="N456" s="12"/>
      <c r="O456" s="12"/>
      <c r="P456" s="12"/>
      <c r="Q456" s="12"/>
      <c r="R456" s="359"/>
      <c r="S456" s="12"/>
      <c r="T456" s="12"/>
      <c r="U456" s="12"/>
      <c r="V456" s="12"/>
      <c r="W456" s="12"/>
      <c r="X456" s="12"/>
      <c r="Y456" s="12"/>
      <c r="Z456" s="359"/>
      <c r="AA456" s="12"/>
      <c r="AB456" s="12"/>
      <c r="AC456" s="12"/>
    </row>
    <row r="457" ht="15.75" customHeight="1">
      <c r="A457" s="12"/>
      <c r="B457" s="12"/>
      <c r="C457" s="12"/>
      <c r="D457" s="12"/>
      <c r="E457" s="12"/>
      <c r="F457" s="12"/>
      <c r="G457" s="12"/>
      <c r="H457" s="12"/>
      <c r="I457" s="12"/>
      <c r="J457" s="359"/>
      <c r="K457" s="12"/>
      <c r="L457" s="12"/>
      <c r="M457" s="12"/>
      <c r="N457" s="12"/>
      <c r="O457" s="12"/>
      <c r="P457" s="12"/>
      <c r="Q457" s="12"/>
      <c r="R457" s="359"/>
      <c r="S457" s="12"/>
      <c r="T457" s="12"/>
      <c r="U457" s="12"/>
      <c r="V457" s="12"/>
      <c r="W457" s="12"/>
      <c r="X457" s="12"/>
      <c r="Y457" s="12"/>
      <c r="Z457" s="359"/>
      <c r="AA457" s="12"/>
      <c r="AB457" s="12"/>
      <c r="AC457" s="12"/>
    </row>
    <row r="458" ht="15.75" customHeight="1">
      <c r="A458" s="12"/>
      <c r="B458" s="12"/>
      <c r="C458" s="12"/>
      <c r="D458" s="12"/>
      <c r="E458" s="12"/>
      <c r="F458" s="12"/>
      <c r="G458" s="12"/>
      <c r="H458" s="12"/>
      <c r="I458" s="12"/>
      <c r="J458" s="359"/>
      <c r="K458" s="12"/>
      <c r="L458" s="12"/>
      <c r="M458" s="12"/>
      <c r="N458" s="12"/>
      <c r="O458" s="12"/>
      <c r="P458" s="12"/>
      <c r="Q458" s="12"/>
      <c r="R458" s="359"/>
      <c r="S458" s="12"/>
      <c r="T458" s="12"/>
      <c r="U458" s="12"/>
      <c r="V458" s="12"/>
      <c r="W458" s="12"/>
      <c r="X458" s="12"/>
      <c r="Y458" s="12"/>
      <c r="Z458" s="359"/>
      <c r="AA458" s="12"/>
      <c r="AB458" s="12"/>
      <c r="AC458" s="12"/>
    </row>
    <row r="459" ht="15.75" customHeight="1">
      <c r="A459" s="12"/>
      <c r="B459" s="12"/>
      <c r="C459" s="12"/>
      <c r="D459" s="12"/>
      <c r="E459" s="12"/>
      <c r="F459" s="12"/>
      <c r="G459" s="12"/>
      <c r="H459" s="12"/>
      <c r="I459" s="12"/>
      <c r="J459" s="359"/>
      <c r="K459" s="12"/>
      <c r="L459" s="12"/>
      <c r="M459" s="12"/>
      <c r="N459" s="12"/>
      <c r="O459" s="12"/>
      <c r="P459" s="12"/>
      <c r="Q459" s="12"/>
      <c r="R459" s="359"/>
      <c r="S459" s="12"/>
      <c r="T459" s="12"/>
      <c r="U459" s="12"/>
      <c r="V459" s="12"/>
      <c r="W459" s="12"/>
      <c r="X459" s="12"/>
      <c r="Y459" s="12"/>
      <c r="Z459" s="359"/>
      <c r="AA459" s="12"/>
      <c r="AB459" s="12"/>
      <c r="AC459" s="12"/>
    </row>
    <row r="460" ht="15.75" customHeight="1">
      <c r="A460" s="12"/>
      <c r="B460" s="12"/>
      <c r="C460" s="12"/>
      <c r="D460" s="12"/>
      <c r="E460" s="12"/>
      <c r="F460" s="12"/>
      <c r="G460" s="12"/>
      <c r="H460" s="12"/>
      <c r="I460" s="12"/>
      <c r="J460" s="359"/>
      <c r="K460" s="12"/>
      <c r="L460" s="12"/>
      <c r="M460" s="12"/>
      <c r="N460" s="12"/>
      <c r="O460" s="12"/>
      <c r="P460" s="12"/>
      <c r="Q460" s="12"/>
      <c r="R460" s="359"/>
      <c r="S460" s="12"/>
      <c r="T460" s="12"/>
      <c r="U460" s="12"/>
      <c r="V460" s="12"/>
      <c r="W460" s="12"/>
      <c r="X460" s="12"/>
      <c r="Y460" s="12"/>
      <c r="Z460" s="359"/>
      <c r="AA460" s="12"/>
      <c r="AB460" s="12"/>
      <c r="AC460" s="12"/>
    </row>
    <row r="461" ht="15.75" customHeight="1">
      <c r="A461" s="12"/>
      <c r="B461" s="12"/>
      <c r="C461" s="12"/>
      <c r="D461" s="12"/>
      <c r="E461" s="12"/>
      <c r="F461" s="12"/>
      <c r="G461" s="12"/>
      <c r="H461" s="12"/>
      <c r="I461" s="12"/>
      <c r="J461" s="359"/>
      <c r="K461" s="12"/>
      <c r="L461" s="12"/>
      <c r="M461" s="12"/>
      <c r="N461" s="12"/>
      <c r="O461" s="12"/>
      <c r="P461" s="12"/>
      <c r="Q461" s="12"/>
      <c r="R461" s="359"/>
      <c r="S461" s="12"/>
      <c r="T461" s="12"/>
      <c r="U461" s="12"/>
      <c r="V461" s="12"/>
      <c r="W461" s="12"/>
      <c r="X461" s="12"/>
      <c r="Y461" s="12"/>
      <c r="Z461" s="359"/>
      <c r="AA461" s="12"/>
      <c r="AB461" s="12"/>
      <c r="AC461" s="12"/>
    </row>
    <row r="462" ht="15.75" customHeight="1">
      <c r="A462" s="12"/>
      <c r="B462" s="12"/>
      <c r="C462" s="12"/>
      <c r="D462" s="12"/>
      <c r="E462" s="12"/>
      <c r="F462" s="12"/>
      <c r="G462" s="12"/>
      <c r="H462" s="12"/>
      <c r="I462" s="12"/>
      <c r="J462" s="359"/>
      <c r="K462" s="12"/>
      <c r="L462" s="12"/>
      <c r="M462" s="12"/>
      <c r="N462" s="12"/>
      <c r="O462" s="12"/>
      <c r="P462" s="12"/>
      <c r="Q462" s="12"/>
      <c r="R462" s="359"/>
      <c r="S462" s="12"/>
      <c r="T462" s="12"/>
      <c r="U462" s="12"/>
      <c r="V462" s="12"/>
      <c r="W462" s="12"/>
      <c r="X462" s="12"/>
      <c r="Y462" s="12"/>
      <c r="Z462" s="359"/>
      <c r="AA462" s="12"/>
      <c r="AB462" s="12"/>
      <c r="AC462" s="12"/>
    </row>
    <row r="463" ht="15.75" customHeight="1">
      <c r="A463" s="12"/>
      <c r="B463" s="12"/>
      <c r="C463" s="12"/>
      <c r="D463" s="12"/>
      <c r="E463" s="12"/>
      <c r="F463" s="12"/>
      <c r="G463" s="12"/>
      <c r="H463" s="12"/>
      <c r="I463" s="12"/>
      <c r="J463" s="359"/>
      <c r="K463" s="12"/>
      <c r="L463" s="12"/>
      <c r="M463" s="12"/>
      <c r="N463" s="12"/>
      <c r="O463" s="12"/>
      <c r="P463" s="12"/>
      <c r="Q463" s="12"/>
      <c r="R463" s="359"/>
      <c r="S463" s="12"/>
      <c r="T463" s="12"/>
      <c r="U463" s="12"/>
      <c r="V463" s="12"/>
      <c r="W463" s="12"/>
      <c r="X463" s="12"/>
      <c r="Y463" s="12"/>
      <c r="Z463" s="359"/>
      <c r="AA463" s="12"/>
      <c r="AB463" s="12"/>
      <c r="AC463" s="12"/>
    </row>
    <row r="464" ht="15.75" customHeight="1">
      <c r="A464" s="12"/>
      <c r="B464" s="12"/>
      <c r="C464" s="12"/>
      <c r="D464" s="12"/>
      <c r="E464" s="12"/>
      <c r="F464" s="12"/>
      <c r="G464" s="12"/>
      <c r="H464" s="12"/>
      <c r="I464" s="12"/>
      <c r="J464" s="359"/>
      <c r="K464" s="12"/>
      <c r="L464" s="12"/>
      <c r="M464" s="12"/>
      <c r="N464" s="12"/>
      <c r="O464" s="12"/>
      <c r="P464" s="12"/>
      <c r="Q464" s="12"/>
      <c r="R464" s="359"/>
      <c r="S464" s="12"/>
      <c r="T464" s="12"/>
      <c r="U464" s="12"/>
      <c r="V464" s="12"/>
      <c r="W464" s="12"/>
      <c r="X464" s="12"/>
      <c r="Y464" s="12"/>
      <c r="Z464" s="359"/>
      <c r="AA464" s="12"/>
      <c r="AB464" s="12"/>
      <c r="AC464" s="12"/>
    </row>
    <row r="465" ht="15.75" customHeight="1">
      <c r="A465" s="12"/>
      <c r="B465" s="12"/>
      <c r="C465" s="12"/>
      <c r="D465" s="12"/>
      <c r="E465" s="12"/>
      <c r="F465" s="12"/>
      <c r="G465" s="12"/>
      <c r="H465" s="12"/>
      <c r="I465" s="12"/>
      <c r="J465" s="359"/>
      <c r="K465" s="12"/>
      <c r="L465" s="12"/>
      <c r="M465" s="12"/>
      <c r="N465" s="12"/>
      <c r="O465" s="12"/>
      <c r="P465" s="12"/>
      <c r="Q465" s="12"/>
      <c r="R465" s="359"/>
      <c r="S465" s="12"/>
      <c r="T465" s="12"/>
      <c r="U465" s="12"/>
      <c r="V465" s="12"/>
      <c r="W465" s="12"/>
      <c r="X465" s="12"/>
      <c r="Y465" s="12"/>
      <c r="Z465" s="359"/>
      <c r="AA465" s="12"/>
      <c r="AB465" s="12"/>
      <c r="AC465" s="12"/>
    </row>
    <row r="466" ht="15.75" customHeight="1">
      <c r="A466" s="12"/>
      <c r="B466" s="12"/>
      <c r="C466" s="12"/>
      <c r="D466" s="12"/>
      <c r="E466" s="12"/>
      <c r="F466" s="12"/>
      <c r="G466" s="12"/>
      <c r="H466" s="12"/>
      <c r="I466" s="12"/>
      <c r="J466" s="359"/>
      <c r="K466" s="12"/>
      <c r="L466" s="12"/>
      <c r="M466" s="12"/>
      <c r="N466" s="12"/>
      <c r="O466" s="12"/>
      <c r="P466" s="12"/>
      <c r="Q466" s="12"/>
      <c r="R466" s="359"/>
      <c r="S466" s="12"/>
      <c r="T466" s="12"/>
      <c r="U466" s="12"/>
      <c r="V466" s="12"/>
      <c r="W466" s="12"/>
      <c r="X466" s="12"/>
      <c r="Y466" s="12"/>
      <c r="Z466" s="359"/>
      <c r="AA466" s="12"/>
      <c r="AB466" s="12"/>
      <c r="AC466" s="12"/>
    </row>
    <row r="467" ht="15.75" customHeight="1">
      <c r="A467" s="12"/>
      <c r="B467" s="12"/>
      <c r="C467" s="12"/>
      <c r="D467" s="12"/>
      <c r="E467" s="12"/>
      <c r="F467" s="12"/>
      <c r="G467" s="12"/>
      <c r="H467" s="12"/>
      <c r="I467" s="12"/>
      <c r="J467" s="359"/>
      <c r="K467" s="12"/>
      <c r="L467" s="12"/>
      <c r="M467" s="12"/>
      <c r="N467" s="12"/>
      <c r="O467" s="12"/>
      <c r="P467" s="12"/>
      <c r="Q467" s="12"/>
      <c r="R467" s="359"/>
      <c r="S467" s="12"/>
      <c r="T467" s="12"/>
      <c r="U467" s="12"/>
      <c r="V467" s="12"/>
      <c r="W467" s="12"/>
      <c r="X467" s="12"/>
      <c r="Y467" s="12"/>
      <c r="Z467" s="359"/>
      <c r="AA467" s="12"/>
      <c r="AB467" s="12"/>
      <c r="AC467" s="12"/>
    </row>
    <row r="468" ht="15.75" customHeight="1">
      <c r="A468" s="12"/>
      <c r="B468" s="12"/>
      <c r="C468" s="12"/>
      <c r="D468" s="12"/>
      <c r="E468" s="12"/>
      <c r="F468" s="12"/>
      <c r="G468" s="12"/>
      <c r="H468" s="12"/>
      <c r="I468" s="12"/>
      <c r="J468" s="359"/>
      <c r="K468" s="12"/>
      <c r="L468" s="12"/>
      <c r="M468" s="12"/>
      <c r="N468" s="12"/>
      <c r="O468" s="12"/>
      <c r="P468" s="12"/>
      <c r="Q468" s="12"/>
      <c r="R468" s="359"/>
      <c r="S468" s="12"/>
      <c r="T468" s="12"/>
      <c r="U468" s="12"/>
      <c r="V468" s="12"/>
      <c r="W468" s="12"/>
      <c r="X468" s="12"/>
      <c r="Y468" s="12"/>
      <c r="Z468" s="359"/>
      <c r="AA468" s="12"/>
      <c r="AB468" s="12"/>
      <c r="AC468" s="12"/>
    </row>
    <row r="469" ht="15.75" customHeight="1">
      <c r="A469" s="12"/>
      <c r="B469" s="12"/>
      <c r="C469" s="12"/>
      <c r="D469" s="12"/>
      <c r="E469" s="12"/>
      <c r="F469" s="12"/>
      <c r="G469" s="12"/>
      <c r="H469" s="12"/>
      <c r="I469" s="12"/>
      <c r="J469" s="359"/>
      <c r="K469" s="12"/>
      <c r="L469" s="12"/>
      <c r="M469" s="12"/>
      <c r="N469" s="12"/>
      <c r="O469" s="12"/>
      <c r="P469" s="12"/>
      <c r="Q469" s="12"/>
      <c r="R469" s="359"/>
      <c r="S469" s="12"/>
      <c r="T469" s="12"/>
      <c r="U469" s="12"/>
      <c r="V469" s="12"/>
      <c r="W469" s="12"/>
      <c r="X469" s="12"/>
      <c r="Y469" s="12"/>
      <c r="Z469" s="359"/>
      <c r="AA469" s="12"/>
      <c r="AB469" s="12"/>
      <c r="AC469" s="12"/>
    </row>
    <row r="470" ht="15.75" customHeight="1">
      <c r="A470" s="12"/>
      <c r="B470" s="12"/>
      <c r="C470" s="12"/>
      <c r="D470" s="12"/>
      <c r="E470" s="12"/>
      <c r="F470" s="12"/>
      <c r="G470" s="12"/>
      <c r="H470" s="12"/>
      <c r="I470" s="12"/>
      <c r="J470" s="359"/>
      <c r="K470" s="12"/>
      <c r="L470" s="12"/>
      <c r="M470" s="12"/>
      <c r="N470" s="12"/>
      <c r="O470" s="12"/>
      <c r="P470" s="12"/>
      <c r="Q470" s="12"/>
      <c r="R470" s="359"/>
      <c r="S470" s="12"/>
      <c r="T470" s="12"/>
      <c r="U470" s="12"/>
      <c r="V470" s="12"/>
      <c r="W470" s="12"/>
      <c r="X470" s="12"/>
      <c r="Y470" s="12"/>
      <c r="Z470" s="359"/>
      <c r="AA470" s="12"/>
      <c r="AB470" s="12"/>
      <c r="AC470" s="12"/>
    </row>
    <row r="471" ht="15.75" customHeight="1">
      <c r="A471" s="12"/>
      <c r="B471" s="12"/>
      <c r="C471" s="12"/>
      <c r="D471" s="12"/>
      <c r="E471" s="12"/>
      <c r="F471" s="12"/>
      <c r="G471" s="12"/>
      <c r="H471" s="12"/>
      <c r="I471" s="12"/>
      <c r="J471" s="359"/>
      <c r="K471" s="12"/>
      <c r="L471" s="12"/>
      <c r="M471" s="12"/>
      <c r="N471" s="12"/>
      <c r="O471" s="12"/>
      <c r="P471" s="12"/>
      <c r="Q471" s="12"/>
      <c r="R471" s="359"/>
      <c r="S471" s="12"/>
      <c r="T471" s="12"/>
      <c r="U471" s="12"/>
      <c r="V471" s="12"/>
      <c r="W471" s="12"/>
      <c r="X471" s="12"/>
      <c r="Y471" s="12"/>
      <c r="Z471" s="359"/>
      <c r="AA471" s="12"/>
      <c r="AB471" s="12"/>
      <c r="AC471" s="12"/>
    </row>
    <row r="472" ht="15.75" customHeight="1">
      <c r="A472" s="12"/>
      <c r="B472" s="12"/>
      <c r="C472" s="12"/>
      <c r="D472" s="12"/>
      <c r="E472" s="12"/>
      <c r="F472" s="12"/>
      <c r="G472" s="12"/>
      <c r="H472" s="12"/>
      <c r="I472" s="12"/>
      <c r="J472" s="359"/>
      <c r="K472" s="12"/>
      <c r="L472" s="12"/>
      <c r="M472" s="12"/>
      <c r="N472" s="12"/>
      <c r="O472" s="12"/>
      <c r="P472" s="12"/>
      <c r="Q472" s="12"/>
      <c r="R472" s="359"/>
      <c r="S472" s="12"/>
      <c r="T472" s="12"/>
      <c r="U472" s="12"/>
      <c r="V472" s="12"/>
      <c r="W472" s="12"/>
      <c r="X472" s="12"/>
      <c r="Y472" s="12"/>
      <c r="Z472" s="359"/>
      <c r="AA472" s="12"/>
      <c r="AB472" s="12"/>
      <c r="AC472" s="12"/>
    </row>
    <row r="473" ht="15.75" customHeight="1">
      <c r="A473" s="12"/>
      <c r="B473" s="12"/>
      <c r="C473" s="12"/>
      <c r="D473" s="12"/>
      <c r="E473" s="12"/>
      <c r="F473" s="12"/>
      <c r="G473" s="12"/>
      <c r="H473" s="12"/>
      <c r="I473" s="12"/>
      <c r="J473" s="359"/>
      <c r="K473" s="12"/>
      <c r="L473" s="12"/>
      <c r="M473" s="12"/>
      <c r="N473" s="12"/>
      <c r="O473" s="12"/>
      <c r="P473" s="12"/>
      <c r="Q473" s="12"/>
      <c r="R473" s="359"/>
      <c r="S473" s="12"/>
      <c r="T473" s="12"/>
      <c r="U473" s="12"/>
      <c r="V473" s="12"/>
      <c r="W473" s="12"/>
      <c r="X473" s="12"/>
      <c r="Y473" s="12"/>
      <c r="Z473" s="359"/>
      <c r="AA473" s="12"/>
      <c r="AB473" s="12"/>
      <c r="AC473" s="12"/>
    </row>
    <row r="474" ht="15.75" customHeight="1">
      <c r="A474" s="12"/>
      <c r="B474" s="12"/>
      <c r="C474" s="12"/>
      <c r="D474" s="12"/>
      <c r="E474" s="12"/>
      <c r="F474" s="12"/>
      <c r="G474" s="12"/>
      <c r="H474" s="12"/>
      <c r="I474" s="12"/>
      <c r="J474" s="359"/>
      <c r="K474" s="12"/>
      <c r="L474" s="12"/>
      <c r="M474" s="12"/>
      <c r="N474" s="12"/>
      <c r="O474" s="12"/>
      <c r="P474" s="12"/>
      <c r="Q474" s="12"/>
      <c r="R474" s="359"/>
      <c r="S474" s="12"/>
      <c r="T474" s="12"/>
      <c r="U474" s="12"/>
      <c r="V474" s="12"/>
      <c r="W474" s="12"/>
      <c r="X474" s="12"/>
      <c r="Y474" s="12"/>
      <c r="Z474" s="359"/>
      <c r="AA474" s="12"/>
      <c r="AB474" s="12"/>
      <c r="AC474" s="12"/>
    </row>
    <row r="475" ht="15.75" customHeight="1">
      <c r="A475" s="12"/>
      <c r="B475" s="12"/>
      <c r="C475" s="12"/>
      <c r="D475" s="12"/>
      <c r="E475" s="12"/>
      <c r="F475" s="12"/>
      <c r="G475" s="12"/>
      <c r="H475" s="12"/>
      <c r="I475" s="12"/>
      <c r="J475" s="359"/>
      <c r="K475" s="12"/>
      <c r="L475" s="12"/>
      <c r="M475" s="12"/>
      <c r="N475" s="12"/>
      <c r="O475" s="12"/>
      <c r="P475" s="12"/>
      <c r="Q475" s="12"/>
      <c r="R475" s="359"/>
      <c r="S475" s="12"/>
      <c r="T475" s="12"/>
      <c r="U475" s="12"/>
      <c r="V475" s="12"/>
      <c r="W475" s="12"/>
      <c r="X475" s="12"/>
      <c r="Y475" s="12"/>
      <c r="Z475" s="359"/>
      <c r="AA475" s="12"/>
      <c r="AB475" s="12"/>
      <c r="AC475" s="12"/>
    </row>
    <row r="476" ht="15.75" customHeight="1">
      <c r="A476" s="12"/>
      <c r="B476" s="12"/>
      <c r="C476" s="12"/>
      <c r="D476" s="12"/>
      <c r="E476" s="12"/>
      <c r="F476" s="12"/>
      <c r="G476" s="12"/>
      <c r="H476" s="12"/>
      <c r="I476" s="12"/>
      <c r="J476" s="359"/>
      <c r="K476" s="12"/>
      <c r="L476" s="12"/>
      <c r="M476" s="12"/>
      <c r="N476" s="12"/>
      <c r="O476" s="12"/>
      <c r="P476" s="12"/>
      <c r="Q476" s="12"/>
      <c r="R476" s="359"/>
      <c r="S476" s="12"/>
      <c r="T476" s="12"/>
      <c r="U476" s="12"/>
      <c r="V476" s="12"/>
      <c r="W476" s="12"/>
      <c r="X476" s="12"/>
      <c r="Y476" s="12"/>
      <c r="Z476" s="359"/>
      <c r="AA476" s="12"/>
      <c r="AB476" s="12"/>
      <c r="AC476" s="12"/>
    </row>
    <row r="477" ht="15.75" customHeight="1">
      <c r="A477" s="12"/>
      <c r="B477" s="12"/>
      <c r="C477" s="12"/>
      <c r="D477" s="12"/>
      <c r="E477" s="12"/>
      <c r="F477" s="12"/>
      <c r="G477" s="12"/>
      <c r="H477" s="12"/>
      <c r="I477" s="12"/>
      <c r="J477" s="359"/>
      <c r="K477" s="12"/>
      <c r="L477" s="12"/>
      <c r="M477" s="12"/>
      <c r="N477" s="12"/>
      <c r="O477" s="12"/>
      <c r="P477" s="12"/>
      <c r="Q477" s="12"/>
      <c r="R477" s="359"/>
      <c r="S477" s="12"/>
      <c r="T477" s="12"/>
      <c r="U477" s="12"/>
      <c r="V477" s="12"/>
      <c r="W477" s="12"/>
      <c r="X477" s="12"/>
      <c r="Y477" s="12"/>
      <c r="Z477" s="359"/>
      <c r="AA477" s="12"/>
      <c r="AB477" s="12"/>
      <c r="AC477" s="12"/>
    </row>
    <row r="478" ht="15.75" customHeight="1">
      <c r="A478" s="12"/>
      <c r="B478" s="12"/>
      <c r="C478" s="12"/>
      <c r="D478" s="12"/>
      <c r="E478" s="12"/>
      <c r="F478" s="12"/>
      <c r="G478" s="12"/>
      <c r="H478" s="12"/>
      <c r="I478" s="12"/>
      <c r="J478" s="359"/>
      <c r="K478" s="12"/>
      <c r="L478" s="12"/>
      <c r="M478" s="12"/>
      <c r="N478" s="12"/>
      <c r="O478" s="12"/>
      <c r="P478" s="12"/>
      <c r="Q478" s="12"/>
      <c r="R478" s="359"/>
      <c r="S478" s="12"/>
      <c r="T478" s="12"/>
      <c r="U478" s="12"/>
      <c r="V478" s="12"/>
      <c r="W478" s="12"/>
      <c r="X478" s="12"/>
      <c r="Y478" s="12"/>
      <c r="Z478" s="359"/>
      <c r="AA478" s="12"/>
      <c r="AB478" s="12"/>
      <c r="AC478" s="12"/>
    </row>
    <row r="479" ht="15.75" customHeight="1">
      <c r="A479" s="12"/>
      <c r="B479" s="12"/>
      <c r="C479" s="12"/>
      <c r="D479" s="12"/>
      <c r="E479" s="12"/>
      <c r="F479" s="12"/>
      <c r="G479" s="12"/>
      <c r="H479" s="12"/>
      <c r="I479" s="12"/>
      <c r="J479" s="359"/>
      <c r="K479" s="12"/>
      <c r="L479" s="12"/>
      <c r="M479" s="12"/>
      <c r="N479" s="12"/>
      <c r="O479" s="12"/>
      <c r="P479" s="12"/>
      <c r="Q479" s="12"/>
      <c r="R479" s="359"/>
      <c r="S479" s="12"/>
      <c r="T479" s="12"/>
      <c r="U479" s="12"/>
      <c r="V479" s="12"/>
      <c r="W479" s="12"/>
      <c r="X479" s="12"/>
      <c r="Y479" s="12"/>
      <c r="Z479" s="359"/>
      <c r="AA479" s="12"/>
      <c r="AB479" s="12"/>
      <c r="AC479" s="12"/>
    </row>
    <row r="480" ht="15.75" customHeight="1">
      <c r="A480" s="12"/>
      <c r="B480" s="12"/>
      <c r="C480" s="12"/>
      <c r="D480" s="12"/>
      <c r="E480" s="12"/>
      <c r="F480" s="12"/>
      <c r="G480" s="12"/>
      <c r="H480" s="12"/>
      <c r="I480" s="12"/>
      <c r="J480" s="359"/>
      <c r="K480" s="12"/>
      <c r="L480" s="12"/>
      <c r="M480" s="12"/>
      <c r="N480" s="12"/>
      <c r="O480" s="12"/>
      <c r="P480" s="12"/>
      <c r="Q480" s="12"/>
      <c r="R480" s="359"/>
      <c r="S480" s="12"/>
      <c r="T480" s="12"/>
      <c r="U480" s="12"/>
      <c r="V480" s="12"/>
      <c r="W480" s="12"/>
      <c r="X480" s="12"/>
      <c r="Y480" s="12"/>
      <c r="Z480" s="359"/>
      <c r="AA480" s="12"/>
      <c r="AB480" s="12"/>
      <c r="AC480" s="12"/>
    </row>
    <row r="481" ht="15.75" customHeight="1">
      <c r="A481" s="12"/>
      <c r="B481" s="12"/>
      <c r="C481" s="12"/>
      <c r="D481" s="12"/>
      <c r="E481" s="12"/>
      <c r="F481" s="12"/>
      <c r="G481" s="12"/>
      <c r="H481" s="12"/>
      <c r="I481" s="12"/>
      <c r="J481" s="359"/>
      <c r="K481" s="12"/>
      <c r="L481" s="12"/>
      <c r="M481" s="12"/>
      <c r="N481" s="12"/>
      <c r="O481" s="12"/>
      <c r="P481" s="12"/>
      <c r="Q481" s="12"/>
      <c r="R481" s="359"/>
      <c r="S481" s="12"/>
      <c r="T481" s="12"/>
      <c r="U481" s="12"/>
      <c r="V481" s="12"/>
      <c r="W481" s="12"/>
      <c r="X481" s="12"/>
      <c r="Y481" s="12"/>
      <c r="Z481" s="359"/>
      <c r="AA481" s="12"/>
      <c r="AB481" s="12"/>
      <c r="AC481" s="12"/>
    </row>
    <row r="482" ht="15.75" customHeight="1">
      <c r="A482" s="12"/>
      <c r="B482" s="12"/>
      <c r="C482" s="12"/>
      <c r="D482" s="12"/>
      <c r="E482" s="12"/>
      <c r="F482" s="12"/>
      <c r="G482" s="12"/>
      <c r="H482" s="12"/>
      <c r="I482" s="12"/>
      <c r="J482" s="359"/>
      <c r="K482" s="12"/>
      <c r="L482" s="12"/>
      <c r="M482" s="12"/>
      <c r="N482" s="12"/>
      <c r="O482" s="12"/>
      <c r="P482" s="12"/>
      <c r="Q482" s="12"/>
      <c r="R482" s="359"/>
      <c r="S482" s="12"/>
      <c r="T482" s="12"/>
      <c r="U482" s="12"/>
      <c r="V482" s="12"/>
      <c r="W482" s="12"/>
      <c r="X482" s="12"/>
      <c r="Y482" s="12"/>
      <c r="Z482" s="359"/>
      <c r="AA482" s="12"/>
      <c r="AB482" s="12"/>
      <c r="AC482" s="12"/>
    </row>
    <row r="483" ht="15.75" customHeight="1">
      <c r="A483" s="12"/>
      <c r="B483" s="12"/>
      <c r="C483" s="12"/>
      <c r="D483" s="12"/>
      <c r="E483" s="12"/>
      <c r="F483" s="12"/>
      <c r="G483" s="12"/>
      <c r="H483" s="12"/>
      <c r="I483" s="12"/>
      <c r="J483" s="359"/>
      <c r="K483" s="12"/>
      <c r="L483" s="12"/>
      <c r="M483" s="12"/>
      <c r="N483" s="12"/>
      <c r="O483" s="12"/>
      <c r="P483" s="12"/>
      <c r="Q483" s="12"/>
      <c r="R483" s="359"/>
      <c r="S483" s="12"/>
      <c r="T483" s="12"/>
      <c r="U483" s="12"/>
      <c r="V483" s="12"/>
      <c r="W483" s="12"/>
      <c r="X483" s="12"/>
      <c r="Y483" s="12"/>
      <c r="Z483" s="359"/>
      <c r="AA483" s="12"/>
      <c r="AB483" s="12"/>
      <c r="AC483" s="12"/>
    </row>
    <row r="484" ht="15.75" customHeight="1">
      <c r="A484" s="12"/>
      <c r="B484" s="12"/>
      <c r="C484" s="12"/>
      <c r="D484" s="12"/>
      <c r="E484" s="12"/>
      <c r="F484" s="12"/>
      <c r="G484" s="12"/>
      <c r="H484" s="12"/>
      <c r="I484" s="12"/>
      <c r="J484" s="359"/>
      <c r="K484" s="12"/>
      <c r="L484" s="12"/>
      <c r="M484" s="12"/>
      <c r="N484" s="12"/>
      <c r="O484" s="12"/>
      <c r="P484" s="12"/>
      <c r="Q484" s="12"/>
      <c r="R484" s="359"/>
      <c r="S484" s="12"/>
      <c r="T484" s="12"/>
      <c r="U484" s="12"/>
      <c r="V484" s="12"/>
      <c r="W484" s="12"/>
      <c r="X484" s="12"/>
      <c r="Y484" s="12"/>
      <c r="Z484" s="359"/>
      <c r="AA484" s="12"/>
      <c r="AB484" s="12"/>
      <c r="AC484" s="12"/>
    </row>
    <row r="485" ht="15.75" customHeight="1">
      <c r="A485" s="12"/>
      <c r="B485" s="12"/>
      <c r="C485" s="12"/>
      <c r="D485" s="12"/>
      <c r="E485" s="12"/>
      <c r="F485" s="12"/>
      <c r="G485" s="12"/>
      <c r="H485" s="12"/>
      <c r="I485" s="12"/>
      <c r="J485" s="359"/>
      <c r="K485" s="12"/>
      <c r="L485" s="12"/>
      <c r="M485" s="12"/>
      <c r="N485" s="12"/>
      <c r="O485" s="12"/>
      <c r="P485" s="12"/>
      <c r="Q485" s="12"/>
      <c r="R485" s="359"/>
      <c r="S485" s="12"/>
      <c r="T485" s="12"/>
      <c r="U485" s="12"/>
      <c r="V485" s="12"/>
      <c r="W485" s="12"/>
      <c r="X485" s="12"/>
      <c r="Y485" s="12"/>
      <c r="Z485" s="359"/>
      <c r="AA485" s="12"/>
      <c r="AB485" s="12"/>
      <c r="AC485" s="12"/>
    </row>
    <row r="486" ht="15.75" customHeight="1">
      <c r="A486" s="12"/>
      <c r="B486" s="12"/>
      <c r="C486" s="12"/>
      <c r="D486" s="12"/>
      <c r="E486" s="12"/>
      <c r="F486" s="12"/>
      <c r="G486" s="12"/>
      <c r="H486" s="12"/>
      <c r="I486" s="12"/>
      <c r="J486" s="359"/>
      <c r="K486" s="12"/>
      <c r="L486" s="12"/>
      <c r="M486" s="12"/>
      <c r="N486" s="12"/>
      <c r="O486" s="12"/>
      <c r="P486" s="12"/>
      <c r="Q486" s="12"/>
      <c r="R486" s="359"/>
      <c r="S486" s="12"/>
      <c r="T486" s="12"/>
      <c r="U486" s="12"/>
      <c r="V486" s="12"/>
      <c r="W486" s="12"/>
      <c r="X486" s="12"/>
      <c r="Y486" s="12"/>
      <c r="Z486" s="359"/>
      <c r="AA486" s="12"/>
      <c r="AB486" s="12"/>
      <c r="AC486" s="12"/>
    </row>
    <row r="487" ht="15.75" customHeight="1">
      <c r="A487" s="12"/>
      <c r="B487" s="12"/>
      <c r="C487" s="12"/>
      <c r="D487" s="12"/>
      <c r="E487" s="12"/>
      <c r="F487" s="12"/>
      <c r="G487" s="12"/>
      <c r="H487" s="12"/>
      <c r="I487" s="12"/>
      <c r="J487" s="359"/>
      <c r="K487" s="12"/>
      <c r="L487" s="12"/>
      <c r="M487" s="12"/>
      <c r="N487" s="12"/>
      <c r="O487" s="12"/>
      <c r="P487" s="12"/>
      <c r="Q487" s="12"/>
      <c r="R487" s="359"/>
      <c r="S487" s="12"/>
      <c r="T487" s="12"/>
      <c r="U487" s="12"/>
      <c r="V487" s="12"/>
      <c r="W487" s="12"/>
      <c r="X487" s="12"/>
      <c r="Y487" s="12"/>
      <c r="Z487" s="359"/>
      <c r="AA487" s="12"/>
      <c r="AB487" s="12"/>
      <c r="AC487" s="12"/>
    </row>
    <row r="488" ht="15.75" customHeight="1">
      <c r="A488" s="12"/>
      <c r="B488" s="12"/>
      <c r="C488" s="12"/>
      <c r="D488" s="12"/>
      <c r="E488" s="12"/>
      <c r="F488" s="12"/>
      <c r="G488" s="12"/>
      <c r="H488" s="12"/>
      <c r="I488" s="12"/>
      <c r="J488" s="359"/>
      <c r="K488" s="12"/>
      <c r="L488" s="12"/>
      <c r="M488" s="12"/>
      <c r="N488" s="12"/>
      <c r="O488" s="12"/>
      <c r="P488" s="12"/>
      <c r="Q488" s="12"/>
      <c r="R488" s="359"/>
      <c r="S488" s="12"/>
      <c r="T488" s="12"/>
      <c r="U488" s="12"/>
      <c r="V488" s="12"/>
      <c r="W488" s="12"/>
      <c r="X488" s="12"/>
      <c r="Y488" s="12"/>
      <c r="Z488" s="359"/>
      <c r="AA488" s="12"/>
      <c r="AB488" s="12"/>
      <c r="AC488" s="12"/>
    </row>
    <row r="489" ht="15.75" customHeight="1">
      <c r="A489" s="12"/>
      <c r="B489" s="12"/>
      <c r="C489" s="12"/>
      <c r="D489" s="12"/>
      <c r="E489" s="12"/>
      <c r="F489" s="12"/>
      <c r="G489" s="12"/>
      <c r="H489" s="12"/>
      <c r="I489" s="12"/>
      <c r="J489" s="359"/>
      <c r="K489" s="12"/>
      <c r="L489" s="12"/>
      <c r="M489" s="12"/>
      <c r="N489" s="12"/>
      <c r="O489" s="12"/>
      <c r="P489" s="12"/>
      <c r="Q489" s="12"/>
      <c r="R489" s="359"/>
      <c r="S489" s="12"/>
      <c r="T489" s="12"/>
      <c r="U489" s="12"/>
      <c r="V489" s="12"/>
      <c r="W489" s="12"/>
      <c r="X489" s="12"/>
      <c r="Y489" s="12"/>
      <c r="Z489" s="359"/>
      <c r="AA489" s="12"/>
      <c r="AB489" s="12"/>
      <c r="AC489" s="12"/>
    </row>
    <row r="490" ht="15.75" customHeight="1">
      <c r="A490" s="12"/>
      <c r="B490" s="12"/>
      <c r="C490" s="12"/>
      <c r="D490" s="12"/>
      <c r="E490" s="12"/>
      <c r="F490" s="12"/>
      <c r="G490" s="12"/>
      <c r="H490" s="12"/>
      <c r="I490" s="12"/>
      <c r="J490" s="359"/>
      <c r="K490" s="12"/>
      <c r="L490" s="12"/>
      <c r="M490" s="12"/>
      <c r="N490" s="12"/>
      <c r="O490" s="12"/>
      <c r="P490" s="12"/>
      <c r="Q490" s="12"/>
      <c r="R490" s="359"/>
      <c r="S490" s="12"/>
      <c r="T490" s="12"/>
      <c r="U490" s="12"/>
      <c r="V490" s="12"/>
      <c r="W490" s="12"/>
      <c r="X490" s="12"/>
      <c r="Y490" s="12"/>
      <c r="Z490" s="359"/>
      <c r="AA490" s="12"/>
      <c r="AB490" s="12"/>
      <c r="AC490" s="12"/>
    </row>
    <row r="491" ht="15.75" customHeight="1">
      <c r="A491" s="12"/>
      <c r="B491" s="12"/>
      <c r="C491" s="12"/>
      <c r="D491" s="12"/>
      <c r="E491" s="12"/>
      <c r="F491" s="12"/>
      <c r="G491" s="12"/>
      <c r="H491" s="12"/>
      <c r="I491" s="12"/>
      <c r="J491" s="359"/>
      <c r="K491" s="12"/>
      <c r="L491" s="12"/>
      <c r="M491" s="12"/>
      <c r="N491" s="12"/>
      <c r="O491" s="12"/>
      <c r="P491" s="12"/>
      <c r="Q491" s="12"/>
      <c r="R491" s="359"/>
      <c r="S491" s="12"/>
      <c r="T491" s="12"/>
      <c r="U491" s="12"/>
      <c r="V491" s="12"/>
      <c r="W491" s="12"/>
      <c r="X491" s="12"/>
      <c r="Y491" s="12"/>
      <c r="Z491" s="359"/>
      <c r="AA491" s="12"/>
      <c r="AB491" s="12"/>
      <c r="AC491" s="12"/>
    </row>
    <row r="492" ht="15.75" customHeight="1">
      <c r="A492" s="12"/>
      <c r="B492" s="12"/>
      <c r="C492" s="12"/>
      <c r="D492" s="12"/>
      <c r="E492" s="12"/>
      <c r="F492" s="12"/>
      <c r="G492" s="12"/>
      <c r="H492" s="12"/>
      <c r="I492" s="12"/>
      <c r="J492" s="359"/>
      <c r="K492" s="12"/>
      <c r="L492" s="12"/>
      <c r="M492" s="12"/>
      <c r="N492" s="12"/>
      <c r="O492" s="12"/>
      <c r="P492" s="12"/>
      <c r="Q492" s="12"/>
      <c r="R492" s="359"/>
      <c r="S492" s="12"/>
      <c r="T492" s="12"/>
      <c r="U492" s="12"/>
      <c r="V492" s="12"/>
      <c r="W492" s="12"/>
      <c r="X492" s="12"/>
      <c r="Y492" s="12"/>
      <c r="Z492" s="359"/>
      <c r="AA492" s="12"/>
      <c r="AB492" s="12"/>
      <c r="AC492" s="12"/>
    </row>
    <row r="493" ht="15.75" customHeight="1">
      <c r="A493" s="12"/>
      <c r="B493" s="12"/>
      <c r="C493" s="12"/>
      <c r="D493" s="12"/>
      <c r="E493" s="12"/>
      <c r="F493" s="12"/>
      <c r="G493" s="12"/>
      <c r="H493" s="12"/>
      <c r="I493" s="12"/>
      <c r="J493" s="359"/>
      <c r="K493" s="12"/>
      <c r="L493" s="12"/>
      <c r="M493" s="12"/>
      <c r="N493" s="12"/>
      <c r="O493" s="12"/>
      <c r="P493" s="12"/>
      <c r="Q493" s="12"/>
      <c r="R493" s="359"/>
      <c r="S493" s="12"/>
      <c r="T493" s="12"/>
      <c r="U493" s="12"/>
      <c r="V493" s="12"/>
      <c r="W493" s="12"/>
      <c r="X493" s="12"/>
      <c r="Y493" s="12"/>
      <c r="Z493" s="359"/>
      <c r="AA493" s="12"/>
      <c r="AB493" s="12"/>
      <c r="AC493" s="12"/>
    </row>
    <row r="494" ht="15.75" customHeight="1">
      <c r="A494" s="12"/>
      <c r="B494" s="12"/>
      <c r="C494" s="12"/>
      <c r="D494" s="12"/>
      <c r="E494" s="12"/>
      <c r="F494" s="12"/>
      <c r="G494" s="12"/>
      <c r="H494" s="12"/>
      <c r="I494" s="12"/>
      <c r="J494" s="359"/>
      <c r="K494" s="12"/>
      <c r="L494" s="12"/>
      <c r="M494" s="12"/>
      <c r="N494" s="12"/>
      <c r="O494" s="12"/>
      <c r="P494" s="12"/>
      <c r="Q494" s="12"/>
      <c r="R494" s="359"/>
      <c r="S494" s="12"/>
      <c r="T494" s="12"/>
      <c r="U494" s="12"/>
      <c r="V494" s="12"/>
      <c r="W494" s="12"/>
      <c r="X494" s="12"/>
      <c r="Y494" s="12"/>
      <c r="Z494" s="359"/>
      <c r="AA494" s="12"/>
      <c r="AB494" s="12"/>
      <c r="AC494" s="12"/>
    </row>
    <row r="495" ht="15.75" customHeight="1">
      <c r="A495" s="12"/>
      <c r="B495" s="12"/>
      <c r="C495" s="12"/>
      <c r="D495" s="12"/>
      <c r="E495" s="12"/>
      <c r="F495" s="12"/>
      <c r="G495" s="12"/>
      <c r="H495" s="12"/>
      <c r="I495" s="12"/>
      <c r="J495" s="359"/>
      <c r="K495" s="12"/>
      <c r="L495" s="12"/>
      <c r="M495" s="12"/>
      <c r="N495" s="12"/>
      <c r="O495" s="12"/>
      <c r="P495" s="12"/>
      <c r="Q495" s="12"/>
      <c r="R495" s="359"/>
      <c r="S495" s="12"/>
      <c r="T495" s="12"/>
      <c r="U495" s="12"/>
      <c r="V495" s="12"/>
      <c r="W495" s="12"/>
      <c r="X495" s="12"/>
      <c r="Y495" s="12"/>
      <c r="Z495" s="359"/>
      <c r="AA495" s="12"/>
      <c r="AB495" s="12"/>
      <c r="AC495" s="12"/>
    </row>
    <row r="496" ht="15.75" customHeight="1">
      <c r="A496" s="12"/>
      <c r="B496" s="12"/>
      <c r="C496" s="12"/>
      <c r="D496" s="12"/>
      <c r="E496" s="12"/>
      <c r="F496" s="12"/>
      <c r="G496" s="12"/>
      <c r="H496" s="12"/>
      <c r="I496" s="12"/>
      <c r="J496" s="359"/>
      <c r="K496" s="12"/>
      <c r="L496" s="12"/>
      <c r="M496" s="12"/>
      <c r="N496" s="12"/>
      <c r="O496" s="12"/>
      <c r="P496" s="12"/>
      <c r="Q496" s="12"/>
      <c r="R496" s="359"/>
      <c r="S496" s="12"/>
      <c r="T496" s="12"/>
      <c r="U496" s="12"/>
      <c r="V496" s="12"/>
      <c r="W496" s="12"/>
      <c r="X496" s="12"/>
      <c r="Y496" s="12"/>
      <c r="Z496" s="359"/>
      <c r="AA496" s="12"/>
      <c r="AB496" s="12"/>
      <c r="AC496" s="12"/>
    </row>
    <row r="497" ht="15.75" customHeight="1">
      <c r="A497" s="12"/>
      <c r="B497" s="12"/>
      <c r="C497" s="12"/>
      <c r="D497" s="12"/>
      <c r="E497" s="12"/>
      <c r="F497" s="12"/>
      <c r="G497" s="12"/>
      <c r="H497" s="12"/>
      <c r="I497" s="12"/>
      <c r="J497" s="359"/>
      <c r="K497" s="12"/>
      <c r="L497" s="12"/>
      <c r="M497" s="12"/>
      <c r="N497" s="12"/>
      <c r="O497" s="12"/>
      <c r="P497" s="12"/>
      <c r="Q497" s="12"/>
      <c r="R497" s="359"/>
      <c r="S497" s="12"/>
      <c r="T497" s="12"/>
      <c r="U497" s="12"/>
      <c r="V497" s="12"/>
      <c r="W497" s="12"/>
      <c r="X497" s="12"/>
      <c r="Y497" s="12"/>
      <c r="Z497" s="359"/>
      <c r="AA497" s="12"/>
      <c r="AB497" s="12"/>
      <c r="AC497" s="12"/>
    </row>
    <row r="498" ht="15.75" customHeight="1">
      <c r="A498" s="12"/>
      <c r="B498" s="12"/>
      <c r="C498" s="12"/>
      <c r="D498" s="12"/>
      <c r="E498" s="12"/>
      <c r="F498" s="12"/>
      <c r="G498" s="12"/>
      <c r="H498" s="12"/>
      <c r="I498" s="12"/>
      <c r="J498" s="359"/>
      <c r="K498" s="12"/>
      <c r="L498" s="12"/>
      <c r="M498" s="12"/>
      <c r="N498" s="12"/>
      <c r="O498" s="12"/>
      <c r="P498" s="12"/>
      <c r="Q498" s="12"/>
      <c r="R498" s="359"/>
      <c r="S498" s="12"/>
      <c r="T498" s="12"/>
      <c r="U498" s="12"/>
      <c r="V498" s="12"/>
      <c r="W498" s="12"/>
      <c r="X498" s="12"/>
      <c r="Y498" s="12"/>
      <c r="Z498" s="359"/>
      <c r="AA498" s="12"/>
      <c r="AB498" s="12"/>
      <c r="AC498" s="12"/>
    </row>
    <row r="499" ht="15.75" customHeight="1">
      <c r="A499" s="12"/>
      <c r="B499" s="12"/>
      <c r="C499" s="12"/>
      <c r="D499" s="12"/>
      <c r="E499" s="12"/>
      <c r="F499" s="12"/>
      <c r="G499" s="12"/>
      <c r="H499" s="12"/>
      <c r="I499" s="12"/>
      <c r="J499" s="359"/>
      <c r="K499" s="12"/>
      <c r="L499" s="12"/>
      <c r="M499" s="12"/>
      <c r="N499" s="12"/>
      <c r="O499" s="12"/>
      <c r="P499" s="12"/>
      <c r="Q499" s="12"/>
      <c r="R499" s="359"/>
      <c r="S499" s="12"/>
      <c r="T499" s="12"/>
      <c r="U499" s="12"/>
      <c r="V499" s="12"/>
      <c r="W499" s="12"/>
      <c r="X499" s="12"/>
      <c r="Y499" s="12"/>
      <c r="Z499" s="359"/>
      <c r="AA499" s="12"/>
      <c r="AB499" s="12"/>
      <c r="AC499" s="12"/>
    </row>
    <row r="500" ht="15.75" customHeight="1">
      <c r="A500" s="12"/>
      <c r="B500" s="12"/>
      <c r="C500" s="12"/>
      <c r="D500" s="12"/>
      <c r="E500" s="12"/>
      <c r="F500" s="12"/>
      <c r="G500" s="12"/>
      <c r="H500" s="12"/>
      <c r="I500" s="12"/>
      <c r="J500" s="359"/>
      <c r="K500" s="12"/>
      <c r="L500" s="12"/>
      <c r="M500" s="12"/>
      <c r="N500" s="12"/>
      <c r="O500" s="12"/>
      <c r="P500" s="12"/>
      <c r="Q500" s="12"/>
      <c r="R500" s="359"/>
      <c r="S500" s="12"/>
      <c r="T500" s="12"/>
      <c r="U500" s="12"/>
      <c r="V500" s="12"/>
      <c r="W500" s="12"/>
      <c r="X500" s="12"/>
      <c r="Y500" s="12"/>
      <c r="Z500" s="359"/>
      <c r="AA500" s="12"/>
      <c r="AB500" s="12"/>
      <c r="AC500" s="12"/>
    </row>
    <row r="501" ht="15.75" customHeight="1">
      <c r="A501" s="12"/>
      <c r="B501" s="12"/>
      <c r="C501" s="12"/>
      <c r="D501" s="12"/>
      <c r="E501" s="12"/>
      <c r="F501" s="12"/>
      <c r="G501" s="12"/>
      <c r="H501" s="12"/>
      <c r="I501" s="12"/>
      <c r="J501" s="359"/>
      <c r="K501" s="12"/>
      <c r="L501" s="12"/>
      <c r="M501" s="12"/>
      <c r="N501" s="12"/>
      <c r="O501" s="12"/>
      <c r="P501" s="12"/>
      <c r="Q501" s="12"/>
      <c r="R501" s="359"/>
      <c r="S501" s="12"/>
      <c r="T501" s="12"/>
      <c r="U501" s="12"/>
      <c r="V501" s="12"/>
      <c r="W501" s="12"/>
      <c r="X501" s="12"/>
      <c r="Y501" s="12"/>
      <c r="Z501" s="359"/>
      <c r="AA501" s="12"/>
      <c r="AB501" s="12"/>
      <c r="AC501" s="12"/>
    </row>
    <row r="502" ht="15.75" customHeight="1">
      <c r="A502" s="12"/>
      <c r="B502" s="12"/>
      <c r="C502" s="12"/>
      <c r="D502" s="12"/>
      <c r="E502" s="12"/>
      <c r="F502" s="12"/>
      <c r="G502" s="12"/>
      <c r="H502" s="12"/>
      <c r="I502" s="12"/>
      <c r="J502" s="359"/>
      <c r="K502" s="12"/>
      <c r="L502" s="12"/>
      <c r="M502" s="12"/>
      <c r="N502" s="12"/>
      <c r="O502" s="12"/>
      <c r="P502" s="12"/>
      <c r="Q502" s="12"/>
      <c r="R502" s="359"/>
      <c r="S502" s="12"/>
      <c r="T502" s="12"/>
      <c r="U502" s="12"/>
      <c r="V502" s="12"/>
      <c r="W502" s="12"/>
      <c r="X502" s="12"/>
      <c r="Y502" s="12"/>
      <c r="Z502" s="359"/>
      <c r="AA502" s="12"/>
      <c r="AB502" s="12"/>
      <c r="AC502" s="12"/>
    </row>
    <row r="503" ht="15.75" customHeight="1">
      <c r="A503" s="12"/>
      <c r="B503" s="12"/>
      <c r="C503" s="12"/>
      <c r="D503" s="12"/>
      <c r="E503" s="12"/>
      <c r="F503" s="12"/>
      <c r="G503" s="12"/>
      <c r="H503" s="12"/>
      <c r="I503" s="12"/>
      <c r="J503" s="359"/>
      <c r="K503" s="12"/>
      <c r="L503" s="12"/>
      <c r="M503" s="12"/>
      <c r="N503" s="12"/>
      <c r="O503" s="12"/>
      <c r="P503" s="12"/>
      <c r="Q503" s="12"/>
      <c r="R503" s="359"/>
      <c r="S503" s="12"/>
      <c r="T503" s="12"/>
      <c r="U503" s="12"/>
      <c r="V503" s="12"/>
      <c r="W503" s="12"/>
      <c r="X503" s="12"/>
      <c r="Y503" s="12"/>
      <c r="Z503" s="359"/>
      <c r="AA503" s="12"/>
      <c r="AB503" s="12"/>
      <c r="AC503" s="12"/>
    </row>
    <row r="504" ht="15.75" customHeight="1">
      <c r="A504" s="12"/>
      <c r="B504" s="12"/>
      <c r="C504" s="12"/>
      <c r="D504" s="12"/>
      <c r="E504" s="12"/>
      <c r="F504" s="12"/>
      <c r="G504" s="12"/>
      <c r="H504" s="12"/>
      <c r="I504" s="12"/>
      <c r="J504" s="359"/>
      <c r="K504" s="12"/>
      <c r="L504" s="12"/>
      <c r="M504" s="12"/>
      <c r="N504" s="12"/>
      <c r="O504" s="12"/>
      <c r="P504" s="12"/>
      <c r="Q504" s="12"/>
      <c r="R504" s="359"/>
      <c r="S504" s="12"/>
      <c r="T504" s="12"/>
      <c r="U504" s="12"/>
      <c r="V504" s="12"/>
      <c r="W504" s="12"/>
      <c r="X504" s="12"/>
      <c r="Y504" s="12"/>
      <c r="Z504" s="359"/>
      <c r="AA504" s="12"/>
      <c r="AB504" s="12"/>
      <c r="AC504" s="12"/>
    </row>
    <row r="505" ht="15.75" customHeight="1">
      <c r="A505" s="12"/>
      <c r="B505" s="12"/>
      <c r="C505" s="12"/>
      <c r="D505" s="12"/>
      <c r="E505" s="12"/>
      <c r="F505" s="12"/>
      <c r="G505" s="12"/>
      <c r="H505" s="12"/>
      <c r="I505" s="12"/>
      <c r="J505" s="359"/>
      <c r="K505" s="12"/>
      <c r="L505" s="12"/>
      <c r="M505" s="12"/>
      <c r="N505" s="12"/>
      <c r="O505" s="12"/>
      <c r="P505" s="12"/>
      <c r="Q505" s="12"/>
      <c r="R505" s="359"/>
      <c r="S505" s="12"/>
      <c r="T505" s="12"/>
      <c r="U505" s="12"/>
      <c r="V505" s="12"/>
      <c r="W505" s="12"/>
      <c r="X505" s="12"/>
      <c r="Y505" s="12"/>
      <c r="Z505" s="359"/>
      <c r="AA505" s="12"/>
      <c r="AB505" s="12"/>
      <c r="AC505" s="12"/>
    </row>
    <row r="506" ht="15.75" customHeight="1">
      <c r="A506" s="12"/>
      <c r="B506" s="12"/>
      <c r="C506" s="12"/>
      <c r="D506" s="12"/>
      <c r="E506" s="12"/>
      <c r="F506" s="12"/>
      <c r="G506" s="12"/>
      <c r="H506" s="12"/>
      <c r="I506" s="12"/>
      <c r="J506" s="359"/>
      <c r="K506" s="12"/>
      <c r="L506" s="12"/>
      <c r="M506" s="12"/>
      <c r="N506" s="12"/>
      <c r="O506" s="12"/>
      <c r="P506" s="12"/>
      <c r="Q506" s="12"/>
      <c r="R506" s="359"/>
      <c r="S506" s="12"/>
      <c r="T506" s="12"/>
      <c r="U506" s="12"/>
      <c r="V506" s="12"/>
      <c r="W506" s="12"/>
      <c r="X506" s="12"/>
      <c r="Y506" s="12"/>
      <c r="Z506" s="359"/>
      <c r="AA506" s="12"/>
      <c r="AB506" s="12"/>
      <c r="AC506" s="12"/>
    </row>
    <row r="507" ht="15.75" customHeight="1">
      <c r="A507" s="12"/>
      <c r="B507" s="12"/>
      <c r="C507" s="12"/>
      <c r="D507" s="12"/>
      <c r="E507" s="12"/>
      <c r="F507" s="12"/>
      <c r="G507" s="12"/>
      <c r="H507" s="12"/>
      <c r="I507" s="12"/>
      <c r="J507" s="359"/>
      <c r="K507" s="12"/>
      <c r="L507" s="12"/>
      <c r="M507" s="12"/>
      <c r="N507" s="12"/>
      <c r="O507" s="12"/>
      <c r="P507" s="12"/>
      <c r="Q507" s="12"/>
      <c r="R507" s="359"/>
      <c r="S507" s="12"/>
      <c r="T507" s="12"/>
      <c r="U507" s="12"/>
      <c r="V507" s="12"/>
      <c r="W507" s="12"/>
      <c r="X507" s="12"/>
      <c r="Y507" s="12"/>
      <c r="Z507" s="359"/>
      <c r="AA507" s="12"/>
      <c r="AB507" s="12"/>
      <c r="AC507" s="12"/>
    </row>
    <row r="508" ht="15.75" customHeight="1">
      <c r="A508" s="12"/>
      <c r="B508" s="12"/>
      <c r="C508" s="12"/>
      <c r="D508" s="12"/>
      <c r="E508" s="12"/>
      <c r="F508" s="12"/>
      <c r="G508" s="12"/>
      <c r="H508" s="12"/>
      <c r="I508" s="12"/>
      <c r="J508" s="359"/>
      <c r="K508" s="12"/>
      <c r="L508" s="12"/>
      <c r="M508" s="12"/>
      <c r="N508" s="12"/>
      <c r="O508" s="12"/>
      <c r="P508" s="12"/>
      <c r="Q508" s="12"/>
      <c r="R508" s="359"/>
      <c r="S508" s="12"/>
      <c r="T508" s="12"/>
      <c r="U508" s="12"/>
      <c r="V508" s="12"/>
      <c r="W508" s="12"/>
      <c r="X508" s="12"/>
      <c r="Y508" s="12"/>
      <c r="Z508" s="359"/>
      <c r="AA508" s="12"/>
      <c r="AB508" s="12"/>
      <c r="AC508" s="12"/>
    </row>
    <row r="509" ht="15.75" customHeight="1">
      <c r="A509" s="12"/>
      <c r="B509" s="12"/>
      <c r="C509" s="12"/>
      <c r="D509" s="12"/>
      <c r="E509" s="12"/>
      <c r="F509" s="12"/>
      <c r="G509" s="12"/>
      <c r="H509" s="12"/>
      <c r="I509" s="12"/>
      <c r="J509" s="359"/>
      <c r="K509" s="12"/>
      <c r="L509" s="12"/>
      <c r="M509" s="12"/>
      <c r="N509" s="12"/>
      <c r="O509" s="12"/>
      <c r="P509" s="12"/>
      <c r="Q509" s="12"/>
      <c r="R509" s="359"/>
      <c r="S509" s="12"/>
      <c r="T509" s="12"/>
      <c r="U509" s="12"/>
      <c r="V509" s="12"/>
      <c r="W509" s="12"/>
      <c r="X509" s="12"/>
      <c r="Y509" s="12"/>
      <c r="Z509" s="359"/>
      <c r="AA509" s="12"/>
      <c r="AB509" s="12"/>
      <c r="AC509" s="12"/>
    </row>
    <row r="510" ht="15.75" customHeight="1">
      <c r="A510" s="12"/>
      <c r="B510" s="12"/>
      <c r="C510" s="12"/>
      <c r="D510" s="12"/>
      <c r="E510" s="12"/>
      <c r="F510" s="12"/>
      <c r="G510" s="12"/>
      <c r="H510" s="12"/>
      <c r="I510" s="12"/>
      <c r="J510" s="359"/>
      <c r="K510" s="12"/>
      <c r="L510" s="12"/>
      <c r="M510" s="12"/>
      <c r="N510" s="12"/>
      <c r="O510" s="12"/>
      <c r="P510" s="12"/>
      <c r="Q510" s="12"/>
      <c r="R510" s="359"/>
      <c r="S510" s="12"/>
      <c r="T510" s="12"/>
      <c r="U510" s="12"/>
      <c r="V510" s="12"/>
      <c r="W510" s="12"/>
      <c r="X510" s="12"/>
      <c r="Y510" s="12"/>
      <c r="Z510" s="359"/>
      <c r="AA510" s="12"/>
      <c r="AB510" s="12"/>
      <c r="AC510" s="12"/>
    </row>
    <row r="511" ht="15.75" customHeight="1">
      <c r="A511" s="12"/>
      <c r="B511" s="12"/>
      <c r="C511" s="12"/>
      <c r="D511" s="12"/>
      <c r="E511" s="12"/>
      <c r="F511" s="12"/>
      <c r="G511" s="12"/>
      <c r="H511" s="12"/>
      <c r="I511" s="12"/>
      <c r="J511" s="359"/>
      <c r="K511" s="12"/>
      <c r="L511" s="12"/>
      <c r="M511" s="12"/>
      <c r="N511" s="12"/>
      <c r="O511" s="12"/>
      <c r="P511" s="12"/>
      <c r="Q511" s="12"/>
      <c r="R511" s="359"/>
      <c r="S511" s="12"/>
      <c r="T511" s="12"/>
      <c r="U511" s="12"/>
      <c r="V511" s="12"/>
      <c r="W511" s="12"/>
      <c r="X511" s="12"/>
      <c r="Y511" s="12"/>
      <c r="Z511" s="359"/>
      <c r="AA511" s="12"/>
      <c r="AB511" s="12"/>
      <c r="AC511" s="12"/>
    </row>
    <row r="512" ht="15.75" customHeight="1">
      <c r="A512" s="12"/>
      <c r="B512" s="12"/>
      <c r="C512" s="12"/>
      <c r="D512" s="12"/>
      <c r="E512" s="12"/>
      <c r="F512" s="12"/>
      <c r="G512" s="12"/>
      <c r="H512" s="12"/>
      <c r="I512" s="12"/>
      <c r="J512" s="359"/>
      <c r="K512" s="12"/>
      <c r="L512" s="12"/>
      <c r="M512" s="12"/>
      <c r="N512" s="12"/>
      <c r="O512" s="12"/>
      <c r="P512" s="12"/>
      <c r="Q512" s="12"/>
      <c r="R512" s="359"/>
      <c r="S512" s="12"/>
      <c r="T512" s="12"/>
      <c r="U512" s="12"/>
      <c r="V512" s="12"/>
      <c r="W512" s="12"/>
      <c r="X512" s="12"/>
      <c r="Y512" s="12"/>
      <c r="Z512" s="359"/>
      <c r="AA512" s="12"/>
      <c r="AB512" s="12"/>
      <c r="AC512" s="12"/>
    </row>
    <row r="513" ht="15.75" customHeight="1">
      <c r="A513" s="12"/>
      <c r="B513" s="12"/>
      <c r="C513" s="12"/>
      <c r="D513" s="12"/>
      <c r="E513" s="12"/>
      <c r="F513" s="12"/>
      <c r="G513" s="12"/>
      <c r="H513" s="12"/>
      <c r="I513" s="12"/>
      <c r="J513" s="359"/>
      <c r="K513" s="12"/>
      <c r="L513" s="12"/>
      <c r="M513" s="12"/>
      <c r="N513" s="12"/>
      <c r="O513" s="12"/>
      <c r="P513" s="12"/>
      <c r="Q513" s="12"/>
      <c r="R513" s="359"/>
      <c r="S513" s="12"/>
      <c r="T513" s="12"/>
      <c r="U513" s="12"/>
      <c r="V513" s="12"/>
      <c r="W513" s="12"/>
      <c r="X513" s="12"/>
      <c r="Y513" s="12"/>
      <c r="Z513" s="359"/>
      <c r="AA513" s="12"/>
      <c r="AB513" s="12"/>
      <c r="AC513" s="12"/>
    </row>
    <row r="514" ht="15.75" customHeight="1">
      <c r="A514" s="12"/>
      <c r="B514" s="12"/>
      <c r="C514" s="12"/>
      <c r="D514" s="12"/>
      <c r="E514" s="12"/>
      <c r="F514" s="12"/>
      <c r="G514" s="12"/>
      <c r="H514" s="12"/>
      <c r="I514" s="12"/>
      <c r="J514" s="359"/>
      <c r="K514" s="12"/>
      <c r="L514" s="12"/>
      <c r="M514" s="12"/>
      <c r="N514" s="12"/>
      <c r="O514" s="12"/>
      <c r="P514" s="12"/>
      <c r="Q514" s="12"/>
      <c r="R514" s="359"/>
      <c r="S514" s="12"/>
      <c r="T514" s="12"/>
      <c r="U514" s="12"/>
      <c r="V514" s="12"/>
      <c r="W514" s="12"/>
      <c r="X514" s="12"/>
      <c r="Y514" s="12"/>
      <c r="Z514" s="359"/>
      <c r="AA514" s="12"/>
      <c r="AB514" s="12"/>
      <c r="AC514" s="12"/>
    </row>
    <row r="515" ht="15.75" customHeight="1">
      <c r="A515" s="12"/>
      <c r="B515" s="12"/>
      <c r="C515" s="12"/>
      <c r="D515" s="12"/>
      <c r="E515" s="12"/>
      <c r="F515" s="12"/>
      <c r="G515" s="12"/>
      <c r="H515" s="12"/>
      <c r="I515" s="12"/>
      <c r="J515" s="359"/>
      <c r="K515" s="12"/>
      <c r="L515" s="12"/>
      <c r="M515" s="12"/>
      <c r="N515" s="12"/>
      <c r="O515" s="12"/>
      <c r="P515" s="12"/>
      <c r="Q515" s="12"/>
      <c r="R515" s="359"/>
      <c r="S515" s="12"/>
      <c r="T515" s="12"/>
      <c r="U515" s="12"/>
      <c r="V515" s="12"/>
      <c r="W515" s="12"/>
      <c r="X515" s="12"/>
      <c r="Y515" s="12"/>
      <c r="Z515" s="359"/>
      <c r="AA515" s="12"/>
      <c r="AB515" s="12"/>
      <c r="AC515" s="12"/>
    </row>
    <row r="516" ht="15.75" customHeight="1">
      <c r="A516" s="12"/>
      <c r="B516" s="12"/>
      <c r="C516" s="12"/>
      <c r="D516" s="12"/>
      <c r="E516" s="12"/>
      <c r="F516" s="12"/>
      <c r="G516" s="12"/>
      <c r="H516" s="12"/>
      <c r="I516" s="12"/>
      <c r="J516" s="359"/>
      <c r="K516" s="12"/>
      <c r="L516" s="12"/>
      <c r="M516" s="12"/>
      <c r="N516" s="12"/>
      <c r="O516" s="12"/>
      <c r="P516" s="12"/>
      <c r="Q516" s="12"/>
      <c r="R516" s="359"/>
      <c r="S516" s="12"/>
      <c r="T516" s="12"/>
      <c r="U516" s="12"/>
      <c r="V516" s="12"/>
      <c r="W516" s="12"/>
      <c r="X516" s="12"/>
      <c r="Y516" s="12"/>
      <c r="Z516" s="359"/>
      <c r="AA516" s="12"/>
      <c r="AB516" s="12"/>
      <c r="AC516" s="12"/>
    </row>
    <row r="517" ht="15.75" customHeight="1">
      <c r="A517" s="12"/>
      <c r="B517" s="12"/>
      <c r="C517" s="12"/>
      <c r="D517" s="12"/>
      <c r="E517" s="12"/>
      <c r="F517" s="12"/>
      <c r="G517" s="12"/>
      <c r="H517" s="12"/>
      <c r="I517" s="12"/>
      <c r="J517" s="359"/>
      <c r="K517" s="12"/>
      <c r="L517" s="12"/>
      <c r="M517" s="12"/>
      <c r="N517" s="12"/>
      <c r="O517" s="12"/>
      <c r="P517" s="12"/>
      <c r="Q517" s="12"/>
      <c r="R517" s="359"/>
      <c r="S517" s="12"/>
      <c r="T517" s="12"/>
      <c r="U517" s="12"/>
      <c r="V517" s="12"/>
      <c r="W517" s="12"/>
      <c r="X517" s="12"/>
      <c r="Y517" s="12"/>
      <c r="Z517" s="359"/>
      <c r="AA517" s="12"/>
      <c r="AB517" s="12"/>
      <c r="AC517" s="12"/>
    </row>
    <row r="518" ht="15.75" customHeight="1">
      <c r="A518" s="12"/>
      <c r="B518" s="12"/>
      <c r="C518" s="12"/>
      <c r="D518" s="12"/>
      <c r="E518" s="12"/>
      <c r="F518" s="12"/>
      <c r="G518" s="12"/>
      <c r="H518" s="12"/>
      <c r="I518" s="12"/>
      <c r="J518" s="359"/>
      <c r="K518" s="12"/>
      <c r="L518" s="12"/>
      <c r="M518" s="12"/>
      <c r="N518" s="12"/>
      <c r="O518" s="12"/>
      <c r="P518" s="12"/>
      <c r="Q518" s="12"/>
      <c r="R518" s="359"/>
      <c r="S518" s="12"/>
      <c r="T518" s="12"/>
      <c r="U518" s="12"/>
      <c r="V518" s="12"/>
      <c r="W518" s="12"/>
      <c r="X518" s="12"/>
      <c r="Y518" s="12"/>
      <c r="Z518" s="359"/>
      <c r="AA518" s="12"/>
      <c r="AB518" s="12"/>
      <c r="AC518" s="12"/>
    </row>
    <row r="519" ht="15.75" customHeight="1">
      <c r="A519" s="12"/>
      <c r="B519" s="12"/>
      <c r="C519" s="12"/>
      <c r="D519" s="12"/>
      <c r="E519" s="12"/>
      <c r="F519" s="12"/>
      <c r="G519" s="12"/>
      <c r="H519" s="12"/>
      <c r="I519" s="12"/>
      <c r="J519" s="359"/>
      <c r="K519" s="12"/>
      <c r="L519" s="12"/>
      <c r="M519" s="12"/>
      <c r="N519" s="12"/>
      <c r="O519" s="12"/>
      <c r="P519" s="12"/>
      <c r="Q519" s="12"/>
      <c r="R519" s="359"/>
      <c r="S519" s="12"/>
      <c r="T519" s="12"/>
      <c r="U519" s="12"/>
      <c r="V519" s="12"/>
      <c r="W519" s="12"/>
      <c r="X519" s="12"/>
      <c r="Y519" s="12"/>
      <c r="Z519" s="359"/>
      <c r="AA519" s="12"/>
      <c r="AB519" s="12"/>
      <c r="AC519" s="12"/>
    </row>
    <row r="520" ht="15.75" customHeight="1">
      <c r="A520" s="12"/>
      <c r="B520" s="12"/>
      <c r="C520" s="12"/>
      <c r="D520" s="12"/>
      <c r="E520" s="12"/>
      <c r="F520" s="12"/>
      <c r="G520" s="12"/>
      <c r="H520" s="12"/>
      <c r="I520" s="12"/>
      <c r="J520" s="359"/>
      <c r="K520" s="12"/>
      <c r="L520" s="12"/>
      <c r="M520" s="12"/>
      <c r="N520" s="12"/>
      <c r="O520" s="12"/>
      <c r="P520" s="12"/>
      <c r="Q520" s="12"/>
      <c r="R520" s="359"/>
      <c r="S520" s="12"/>
      <c r="T520" s="12"/>
      <c r="U520" s="12"/>
      <c r="V520" s="12"/>
      <c r="W520" s="12"/>
      <c r="X520" s="12"/>
      <c r="Y520" s="12"/>
      <c r="Z520" s="359"/>
      <c r="AA520" s="12"/>
      <c r="AB520" s="12"/>
      <c r="AC520" s="12"/>
    </row>
    <row r="521" ht="15.75" customHeight="1">
      <c r="A521" s="12"/>
      <c r="B521" s="12"/>
      <c r="C521" s="12"/>
      <c r="D521" s="12"/>
      <c r="E521" s="12"/>
      <c r="F521" s="12"/>
      <c r="G521" s="12"/>
      <c r="H521" s="12"/>
      <c r="I521" s="12"/>
      <c r="J521" s="359"/>
      <c r="K521" s="12"/>
      <c r="L521" s="12"/>
      <c r="M521" s="12"/>
      <c r="N521" s="12"/>
      <c r="O521" s="12"/>
      <c r="P521" s="12"/>
      <c r="Q521" s="12"/>
      <c r="R521" s="359"/>
      <c r="S521" s="12"/>
      <c r="T521" s="12"/>
      <c r="U521" s="12"/>
      <c r="V521" s="12"/>
      <c r="W521" s="12"/>
      <c r="X521" s="12"/>
      <c r="Y521" s="12"/>
      <c r="Z521" s="359"/>
      <c r="AA521" s="12"/>
      <c r="AB521" s="12"/>
      <c r="AC521" s="12"/>
    </row>
    <row r="522" ht="15.75" customHeight="1">
      <c r="A522" s="12"/>
      <c r="B522" s="12"/>
      <c r="C522" s="12"/>
      <c r="D522" s="12"/>
      <c r="E522" s="12"/>
      <c r="F522" s="12"/>
      <c r="G522" s="12"/>
      <c r="H522" s="12"/>
      <c r="I522" s="12"/>
      <c r="J522" s="359"/>
      <c r="K522" s="12"/>
      <c r="L522" s="12"/>
      <c r="M522" s="12"/>
      <c r="N522" s="12"/>
      <c r="O522" s="12"/>
      <c r="P522" s="12"/>
      <c r="Q522" s="12"/>
      <c r="R522" s="359"/>
      <c r="S522" s="12"/>
      <c r="T522" s="12"/>
      <c r="U522" s="12"/>
      <c r="V522" s="12"/>
      <c r="W522" s="12"/>
      <c r="X522" s="12"/>
      <c r="Y522" s="12"/>
      <c r="Z522" s="359"/>
      <c r="AA522" s="12"/>
      <c r="AB522" s="12"/>
      <c r="AC522" s="12"/>
    </row>
    <row r="523" ht="15.75" customHeight="1">
      <c r="A523" s="12"/>
      <c r="B523" s="12"/>
      <c r="C523" s="12"/>
      <c r="D523" s="12"/>
      <c r="E523" s="12"/>
      <c r="F523" s="12"/>
      <c r="G523" s="12"/>
      <c r="H523" s="12"/>
      <c r="I523" s="12"/>
      <c r="J523" s="359"/>
      <c r="K523" s="12"/>
      <c r="L523" s="12"/>
      <c r="M523" s="12"/>
      <c r="N523" s="12"/>
      <c r="O523" s="12"/>
      <c r="P523" s="12"/>
      <c r="Q523" s="12"/>
      <c r="R523" s="359"/>
      <c r="S523" s="12"/>
      <c r="T523" s="12"/>
      <c r="U523" s="12"/>
      <c r="V523" s="12"/>
      <c r="W523" s="12"/>
      <c r="X523" s="12"/>
      <c r="Y523" s="12"/>
      <c r="Z523" s="359"/>
      <c r="AA523" s="12"/>
      <c r="AB523" s="12"/>
      <c r="AC523" s="12"/>
    </row>
    <row r="524" ht="15.75" customHeight="1">
      <c r="A524" s="12"/>
      <c r="B524" s="12"/>
      <c r="C524" s="12"/>
      <c r="D524" s="12"/>
      <c r="E524" s="12"/>
      <c r="F524" s="12"/>
      <c r="G524" s="12"/>
      <c r="H524" s="12"/>
      <c r="I524" s="12"/>
      <c r="J524" s="359"/>
      <c r="K524" s="12"/>
      <c r="L524" s="12"/>
      <c r="M524" s="12"/>
      <c r="N524" s="12"/>
      <c r="O524" s="12"/>
      <c r="P524" s="12"/>
      <c r="Q524" s="12"/>
      <c r="R524" s="359"/>
      <c r="S524" s="12"/>
      <c r="T524" s="12"/>
      <c r="U524" s="12"/>
      <c r="V524" s="12"/>
      <c r="W524" s="12"/>
      <c r="X524" s="12"/>
      <c r="Y524" s="12"/>
      <c r="Z524" s="359"/>
      <c r="AA524" s="12"/>
      <c r="AB524" s="12"/>
      <c r="AC524" s="12"/>
    </row>
    <row r="525" ht="15.75" customHeight="1">
      <c r="A525" s="12"/>
      <c r="B525" s="12"/>
      <c r="C525" s="12"/>
      <c r="D525" s="12"/>
      <c r="E525" s="12"/>
      <c r="F525" s="12"/>
      <c r="G525" s="12"/>
      <c r="H525" s="12"/>
      <c r="I525" s="12"/>
      <c r="J525" s="359"/>
      <c r="K525" s="12"/>
      <c r="L525" s="12"/>
      <c r="M525" s="12"/>
      <c r="N525" s="12"/>
      <c r="O525" s="12"/>
      <c r="P525" s="12"/>
      <c r="Q525" s="12"/>
      <c r="R525" s="359"/>
      <c r="S525" s="12"/>
      <c r="T525" s="12"/>
      <c r="U525" s="12"/>
      <c r="V525" s="12"/>
      <c r="W525" s="12"/>
      <c r="X525" s="12"/>
      <c r="Y525" s="12"/>
      <c r="Z525" s="359"/>
      <c r="AA525" s="12"/>
      <c r="AB525" s="12"/>
      <c r="AC525" s="12"/>
    </row>
    <row r="526" ht="15.75" customHeight="1">
      <c r="A526" s="12"/>
      <c r="B526" s="12"/>
      <c r="C526" s="12"/>
      <c r="D526" s="12"/>
      <c r="E526" s="12"/>
      <c r="F526" s="12"/>
      <c r="G526" s="12"/>
      <c r="H526" s="12"/>
      <c r="I526" s="12"/>
      <c r="J526" s="359"/>
      <c r="K526" s="12"/>
      <c r="L526" s="12"/>
      <c r="M526" s="12"/>
      <c r="N526" s="12"/>
      <c r="O526" s="12"/>
      <c r="P526" s="12"/>
      <c r="Q526" s="12"/>
      <c r="R526" s="359"/>
      <c r="S526" s="12"/>
      <c r="T526" s="12"/>
      <c r="U526" s="12"/>
      <c r="V526" s="12"/>
      <c r="W526" s="12"/>
      <c r="X526" s="12"/>
      <c r="Y526" s="12"/>
      <c r="Z526" s="359"/>
      <c r="AA526" s="12"/>
      <c r="AB526" s="12"/>
      <c r="AC526" s="12"/>
    </row>
    <row r="527" ht="15.75" customHeight="1">
      <c r="A527" s="12"/>
      <c r="B527" s="12"/>
      <c r="C527" s="12"/>
      <c r="D527" s="12"/>
      <c r="E527" s="12"/>
      <c r="F527" s="12"/>
      <c r="G527" s="12"/>
      <c r="H527" s="12"/>
      <c r="I527" s="12"/>
      <c r="J527" s="359"/>
      <c r="K527" s="12"/>
      <c r="L527" s="12"/>
      <c r="M527" s="12"/>
      <c r="N527" s="12"/>
      <c r="O527" s="12"/>
      <c r="P527" s="12"/>
      <c r="Q527" s="12"/>
      <c r="R527" s="359"/>
      <c r="S527" s="12"/>
      <c r="T527" s="12"/>
      <c r="U527" s="12"/>
      <c r="V527" s="12"/>
      <c r="W527" s="12"/>
      <c r="X527" s="12"/>
      <c r="Y527" s="12"/>
      <c r="Z527" s="359"/>
      <c r="AA527" s="12"/>
      <c r="AB527" s="12"/>
      <c r="AC527" s="12"/>
    </row>
    <row r="528" ht="15.75" customHeight="1">
      <c r="A528" s="12"/>
      <c r="B528" s="12"/>
      <c r="C528" s="12"/>
      <c r="D528" s="12"/>
      <c r="E528" s="12"/>
      <c r="F528" s="12"/>
      <c r="G528" s="12"/>
      <c r="H528" s="12"/>
      <c r="I528" s="12"/>
      <c r="J528" s="359"/>
      <c r="K528" s="12"/>
      <c r="L528" s="12"/>
      <c r="M528" s="12"/>
      <c r="N528" s="12"/>
      <c r="O528" s="12"/>
      <c r="P528" s="12"/>
      <c r="Q528" s="12"/>
      <c r="R528" s="359"/>
      <c r="S528" s="12"/>
      <c r="T528" s="12"/>
      <c r="U528" s="12"/>
      <c r="V528" s="12"/>
      <c r="W528" s="12"/>
      <c r="X528" s="12"/>
      <c r="Y528" s="12"/>
      <c r="Z528" s="359"/>
      <c r="AA528" s="12"/>
      <c r="AB528" s="12"/>
      <c r="AC528" s="12"/>
    </row>
    <row r="529" ht="15.75" customHeight="1">
      <c r="A529" s="12"/>
      <c r="B529" s="12"/>
      <c r="C529" s="12"/>
      <c r="D529" s="12"/>
      <c r="E529" s="12"/>
      <c r="F529" s="12"/>
      <c r="G529" s="12"/>
      <c r="H529" s="12"/>
      <c r="I529" s="12"/>
      <c r="J529" s="359"/>
      <c r="K529" s="12"/>
      <c r="L529" s="12"/>
      <c r="M529" s="12"/>
      <c r="N529" s="12"/>
      <c r="O529" s="12"/>
      <c r="P529" s="12"/>
      <c r="Q529" s="12"/>
      <c r="R529" s="359"/>
      <c r="S529" s="12"/>
      <c r="T529" s="12"/>
      <c r="U529" s="12"/>
      <c r="V529" s="12"/>
      <c r="W529" s="12"/>
      <c r="X529" s="12"/>
      <c r="Y529" s="12"/>
      <c r="Z529" s="359"/>
      <c r="AA529" s="12"/>
      <c r="AB529" s="12"/>
      <c r="AC529" s="12"/>
    </row>
    <row r="530" ht="15.75" customHeight="1">
      <c r="A530" s="12"/>
      <c r="B530" s="12"/>
      <c r="C530" s="12"/>
      <c r="D530" s="12"/>
      <c r="E530" s="12"/>
      <c r="F530" s="12"/>
      <c r="G530" s="12"/>
      <c r="H530" s="12"/>
      <c r="I530" s="12"/>
      <c r="J530" s="359"/>
      <c r="K530" s="12"/>
      <c r="L530" s="12"/>
      <c r="M530" s="12"/>
      <c r="N530" s="12"/>
      <c r="O530" s="12"/>
      <c r="P530" s="12"/>
      <c r="Q530" s="12"/>
      <c r="R530" s="359"/>
      <c r="S530" s="12"/>
      <c r="T530" s="12"/>
      <c r="U530" s="12"/>
      <c r="V530" s="12"/>
      <c r="W530" s="12"/>
      <c r="X530" s="12"/>
      <c r="Y530" s="12"/>
      <c r="Z530" s="359"/>
      <c r="AA530" s="12"/>
      <c r="AB530" s="12"/>
      <c r="AC530" s="12"/>
    </row>
    <row r="531" ht="15.75" customHeight="1">
      <c r="A531" s="12"/>
      <c r="B531" s="12"/>
      <c r="C531" s="12"/>
      <c r="D531" s="12"/>
      <c r="E531" s="12"/>
      <c r="F531" s="12"/>
      <c r="G531" s="12"/>
      <c r="H531" s="12"/>
      <c r="I531" s="12"/>
      <c r="J531" s="359"/>
      <c r="K531" s="12"/>
      <c r="L531" s="12"/>
      <c r="M531" s="12"/>
      <c r="N531" s="12"/>
      <c r="O531" s="12"/>
      <c r="P531" s="12"/>
      <c r="Q531" s="12"/>
      <c r="R531" s="359"/>
      <c r="S531" s="12"/>
      <c r="T531" s="12"/>
      <c r="U531" s="12"/>
      <c r="V531" s="12"/>
      <c r="W531" s="12"/>
      <c r="X531" s="12"/>
      <c r="Y531" s="12"/>
      <c r="Z531" s="359"/>
      <c r="AA531" s="12"/>
      <c r="AB531" s="12"/>
      <c r="AC531" s="12"/>
    </row>
    <row r="532" ht="15.75" customHeight="1">
      <c r="A532" s="12"/>
      <c r="B532" s="12"/>
      <c r="C532" s="12"/>
      <c r="D532" s="12"/>
      <c r="E532" s="12"/>
      <c r="F532" s="12"/>
      <c r="G532" s="12"/>
      <c r="H532" s="12"/>
      <c r="I532" s="12"/>
      <c r="J532" s="359"/>
      <c r="K532" s="12"/>
      <c r="L532" s="12"/>
      <c r="M532" s="12"/>
      <c r="N532" s="12"/>
      <c r="O532" s="12"/>
      <c r="P532" s="12"/>
      <c r="Q532" s="12"/>
      <c r="R532" s="359"/>
      <c r="S532" s="12"/>
      <c r="T532" s="12"/>
      <c r="U532" s="12"/>
      <c r="V532" s="12"/>
      <c r="W532" s="12"/>
      <c r="X532" s="12"/>
      <c r="Y532" s="12"/>
      <c r="Z532" s="359"/>
      <c r="AA532" s="12"/>
      <c r="AB532" s="12"/>
      <c r="AC532" s="12"/>
    </row>
    <row r="533" ht="15.75" customHeight="1">
      <c r="A533" s="12"/>
      <c r="B533" s="12"/>
      <c r="C533" s="12"/>
      <c r="D533" s="12"/>
      <c r="E533" s="12"/>
      <c r="F533" s="12"/>
      <c r="G533" s="12"/>
      <c r="H533" s="12"/>
      <c r="I533" s="12"/>
      <c r="J533" s="359"/>
      <c r="K533" s="12"/>
      <c r="L533" s="12"/>
      <c r="M533" s="12"/>
      <c r="N533" s="12"/>
      <c r="O533" s="12"/>
      <c r="P533" s="12"/>
      <c r="Q533" s="12"/>
      <c r="R533" s="359"/>
      <c r="S533" s="12"/>
      <c r="T533" s="12"/>
      <c r="U533" s="12"/>
      <c r="V533" s="12"/>
      <c r="W533" s="12"/>
      <c r="X533" s="12"/>
      <c r="Y533" s="12"/>
      <c r="Z533" s="359"/>
      <c r="AA533" s="12"/>
      <c r="AB533" s="12"/>
      <c r="AC533" s="12"/>
    </row>
    <row r="534" ht="15.75" customHeight="1">
      <c r="A534" s="12"/>
      <c r="B534" s="12"/>
      <c r="C534" s="12"/>
      <c r="D534" s="12"/>
      <c r="E534" s="12"/>
      <c r="F534" s="12"/>
      <c r="G534" s="12"/>
      <c r="H534" s="12"/>
      <c r="I534" s="12"/>
      <c r="J534" s="359"/>
      <c r="K534" s="12"/>
      <c r="L534" s="12"/>
      <c r="M534" s="12"/>
      <c r="N534" s="12"/>
      <c r="O534" s="12"/>
      <c r="P534" s="12"/>
      <c r="Q534" s="12"/>
      <c r="R534" s="359"/>
      <c r="S534" s="12"/>
      <c r="T534" s="12"/>
      <c r="U534" s="12"/>
      <c r="V534" s="12"/>
      <c r="W534" s="12"/>
      <c r="X534" s="12"/>
      <c r="Y534" s="12"/>
      <c r="Z534" s="359"/>
      <c r="AA534" s="12"/>
      <c r="AB534" s="12"/>
      <c r="AC534" s="12"/>
    </row>
    <row r="535" ht="15.75" customHeight="1">
      <c r="A535" s="12"/>
      <c r="B535" s="12"/>
      <c r="C535" s="12"/>
      <c r="D535" s="12"/>
      <c r="E535" s="12"/>
      <c r="F535" s="12"/>
      <c r="G535" s="12"/>
      <c r="H535" s="12"/>
      <c r="I535" s="12"/>
      <c r="J535" s="359"/>
      <c r="K535" s="12"/>
      <c r="L535" s="12"/>
      <c r="M535" s="12"/>
      <c r="N535" s="12"/>
      <c r="O535" s="12"/>
      <c r="P535" s="12"/>
      <c r="Q535" s="12"/>
      <c r="R535" s="359"/>
      <c r="S535" s="12"/>
      <c r="T535" s="12"/>
      <c r="U535" s="12"/>
      <c r="V535" s="12"/>
      <c r="W535" s="12"/>
      <c r="X535" s="12"/>
      <c r="Y535" s="12"/>
      <c r="Z535" s="359"/>
      <c r="AA535" s="12"/>
      <c r="AB535" s="12"/>
      <c r="AC535" s="12"/>
    </row>
    <row r="536" ht="15.75" customHeight="1">
      <c r="A536" s="12"/>
      <c r="B536" s="12"/>
      <c r="C536" s="12"/>
      <c r="D536" s="12"/>
      <c r="E536" s="12"/>
      <c r="F536" s="12"/>
      <c r="G536" s="12"/>
      <c r="H536" s="12"/>
      <c r="I536" s="12"/>
      <c r="J536" s="359"/>
      <c r="K536" s="12"/>
      <c r="L536" s="12"/>
      <c r="M536" s="12"/>
      <c r="N536" s="12"/>
      <c r="O536" s="12"/>
      <c r="P536" s="12"/>
      <c r="Q536" s="12"/>
      <c r="R536" s="359"/>
      <c r="S536" s="12"/>
      <c r="T536" s="12"/>
      <c r="U536" s="12"/>
      <c r="V536" s="12"/>
      <c r="W536" s="12"/>
      <c r="X536" s="12"/>
      <c r="Y536" s="12"/>
      <c r="Z536" s="359"/>
      <c r="AA536" s="12"/>
      <c r="AB536" s="12"/>
      <c r="AC536" s="12"/>
    </row>
    <row r="537" ht="15.75" customHeight="1">
      <c r="A537" s="12"/>
      <c r="B537" s="12"/>
      <c r="C537" s="12"/>
      <c r="D537" s="12"/>
      <c r="E537" s="12"/>
      <c r="F537" s="12"/>
      <c r="G537" s="12"/>
      <c r="H537" s="12"/>
      <c r="I537" s="12"/>
      <c r="J537" s="359"/>
      <c r="K537" s="12"/>
      <c r="L537" s="12"/>
      <c r="M537" s="12"/>
      <c r="N537" s="12"/>
      <c r="O537" s="12"/>
      <c r="P537" s="12"/>
      <c r="Q537" s="12"/>
      <c r="R537" s="359"/>
      <c r="S537" s="12"/>
      <c r="T537" s="12"/>
      <c r="U537" s="12"/>
      <c r="V537" s="12"/>
      <c r="W537" s="12"/>
      <c r="X537" s="12"/>
      <c r="Y537" s="12"/>
      <c r="Z537" s="359"/>
      <c r="AA537" s="12"/>
      <c r="AB537" s="12"/>
      <c r="AC537" s="12"/>
    </row>
    <row r="538" ht="15.75" customHeight="1">
      <c r="A538" s="12"/>
      <c r="B538" s="12"/>
      <c r="C538" s="12"/>
      <c r="D538" s="12"/>
      <c r="E538" s="12"/>
      <c r="F538" s="12"/>
      <c r="G538" s="12"/>
      <c r="H538" s="12"/>
      <c r="I538" s="12"/>
      <c r="J538" s="359"/>
      <c r="K538" s="12"/>
      <c r="L538" s="12"/>
      <c r="M538" s="12"/>
      <c r="N538" s="12"/>
      <c r="O538" s="12"/>
      <c r="P538" s="12"/>
      <c r="Q538" s="12"/>
      <c r="R538" s="359"/>
      <c r="S538" s="12"/>
      <c r="T538" s="12"/>
      <c r="U538" s="12"/>
      <c r="V538" s="12"/>
      <c r="W538" s="12"/>
      <c r="X538" s="12"/>
      <c r="Y538" s="12"/>
      <c r="Z538" s="359"/>
      <c r="AA538" s="12"/>
      <c r="AB538" s="12"/>
      <c r="AC538" s="12"/>
    </row>
    <row r="539" ht="15.75" customHeight="1">
      <c r="A539" s="12"/>
      <c r="B539" s="12"/>
      <c r="C539" s="12"/>
      <c r="D539" s="12"/>
      <c r="E539" s="12"/>
      <c r="F539" s="12"/>
      <c r="G539" s="12"/>
      <c r="H539" s="12"/>
      <c r="I539" s="12"/>
      <c r="J539" s="359"/>
      <c r="K539" s="12"/>
      <c r="L539" s="12"/>
      <c r="M539" s="12"/>
      <c r="N539" s="12"/>
      <c r="O539" s="12"/>
      <c r="P539" s="12"/>
      <c r="Q539" s="12"/>
      <c r="R539" s="359"/>
      <c r="S539" s="12"/>
      <c r="T539" s="12"/>
      <c r="U539" s="12"/>
      <c r="V539" s="12"/>
      <c r="W539" s="12"/>
      <c r="X539" s="12"/>
      <c r="Y539" s="12"/>
      <c r="Z539" s="359"/>
      <c r="AA539" s="12"/>
      <c r="AB539" s="12"/>
      <c r="AC539" s="12"/>
    </row>
    <row r="540" ht="15.75" customHeight="1">
      <c r="A540" s="12"/>
      <c r="B540" s="12"/>
      <c r="C540" s="12"/>
      <c r="D540" s="12"/>
      <c r="E540" s="12"/>
      <c r="F540" s="12"/>
      <c r="G540" s="12"/>
      <c r="H540" s="12"/>
      <c r="I540" s="12"/>
      <c r="J540" s="359"/>
      <c r="K540" s="12"/>
      <c r="L540" s="12"/>
      <c r="M540" s="12"/>
      <c r="N540" s="12"/>
      <c r="O540" s="12"/>
      <c r="P540" s="12"/>
      <c r="Q540" s="12"/>
      <c r="R540" s="359"/>
      <c r="S540" s="12"/>
      <c r="T540" s="12"/>
      <c r="U540" s="12"/>
      <c r="V540" s="12"/>
      <c r="W540" s="12"/>
      <c r="X540" s="12"/>
      <c r="Y540" s="12"/>
      <c r="Z540" s="359"/>
      <c r="AA540" s="12"/>
      <c r="AB540" s="12"/>
      <c r="AC540" s="12"/>
    </row>
    <row r="541" ht="15.75" customHeight="1">
      <c r="A541" s="12"/>
      <c r="B541" s="12"/>
      <c r="C541" s="12"/>
      <c r="D541" s="12"/>
      <c r="E541" s="12"/>
      <c r="F541" s="12"/>
      <c r="G541" s="12"/>
      <c r="H541" s="12"/>
      <c r="I541" s="12"/>
      <c r="J541" s="359"/>
      <c r="K541" s="12"/>
      <c r="L541" s="12"/>
      <c r="M541" s="12"/>
      <c r="N541" s="12"/>
      <c r="O541" s="12"/>
      <c r="P541" s="12"/>
      <c r="Q541" s="12"/>
      <c r="R541" s="359"/>
      <c r="S541" s="12"/>
      <c r="T541" s="12"/>
      <c r="U541" s="12"/>
      <c r="V541" s="12"/>
      <c r="W541" s="12"/>
      <c r="X541" s="12"/>
      <c r="Y541" s="12"/>
      <c r="Z541" s="359"/>
      <c r="AA541" s="12"/>
      <c r="AB541" s="12"/>
      <c r="AC541" s="12"/>
    </row>
    <row r="542" ht="15.75" customHeight="1">
      <c r="A542" s="12"/>
      <c r="B542" s="12"/>
      <c r="C542" s="12"/>
      <c r="D542" s="12"/>
      <c r="E542" s="12"/>
      <c r="F542" s="12"/>
      <c r="G542" s="12"/>
      <c r="H542" s="12"/>
      <c r="I542" s="12"/>
      <c r="J542" s="359"/>
      <c r="K542" s="12"/>
      <c r="L542" s="12"/>
      <c r="M542" s="12"/>
      <c r="N542" s="12"/>
      <c r="O542" s="12"/>
      <c r="P542" s="12"/>
      <c r="Q542" s="12"/>
      <c r="R542" s="359"/>
      <c r="S542" s="12"/>
      <c r="T542" s="12"/>
      <c r="U542" s="12"/>
      <c r="V542" s="12"/>
      <c r="W542" s="12"/>
      <c r="X542" s="12"/>
      <c r="Y542" s="12"/>
      <c r="Z542" s="359"/>
      <c r="AA542" s="12"/>
      <c r="AB542" s="12"/>
      <c r="AC542" s="12"/>
    </row>
    <row r="543" ht="15.75" customHeight="1">
      <c r="A543" s="12"/>
      <c r="B543" s="12"/>
      <c r="C543" s="12"/>
      <c r="D543" s="12"/>
      <c r="E543" s="12"/>
      <c r="F543" s="12"/>
      <c r="G543" s="12"/>
      <c r="H543" s="12"/>
      <c r="I543" s="12"/>
      <c r="J543" s="359"/>
      <c r="K543" s="12"/>
      <c r="L543" s="12"/>
      <c r="M543" s="12"/>
      <c r="N543" s="12"/>
      <c r="O543" s="12"/>
      <c r="P543" s="12"/>
      <c r="Q543" s="12"/>
      <c r="R543" s="359"/>
      <c r="S543" s="12"/>
      <c r="T543" s="12"/>
      <c r="U543" s="12"/>
      <c r="V543" s="12"/>
      <c r="W543" s="12"/>
      <c r="X543" s="12"/>
      <c r="Y543" s="12"/>
      <c r="Z543" s="359"/>
      <c r="AA543" s="12"/>
      <c r="AB543" s="12"/>
      <c r="AC543" s="12"/>
    </row>
    <row r="544" ht="15.75" customHeight="1">
      <c r="A544" s="12"/>
      <c r="B544" s="12"/>
      <c r="C544" s="12"/>
      <c r="D544" s="12"/>
      <c r="E544" s="12"/>
      <c r="F544" s="12"/>
      <c r="G544" s="12"/>
      <c r="H544" s="12"/>
      <c r="I544" s="12"/>
      <c r="J544" s="359"/>
      <c r="K544" s="12"/>
      <c r="L544" s="12"/>
      <c r="M544" s="12"/>
      <c r="N544" s="12"/>
      <c r="O544" s="12"/>
      <c r="P544" s="12"/>
      <c r="Q544" s="12"/>
      <c r="R544" s="359"/>
      <c r="S544" s="12"/>
      <c r="T544" s="12"/>
      <c r="U544" s="12"/>
      <c r="V544" s="12"/>
      <c r="W544" s="12"/>
      <c r="X544" s="12"/>
      <c r="Y544" s="12"/>
      <c r="Z544" s="359"/>
      <c r="AA544" s="12"/>
      <c r="AB544" s="12"/>
      <c r="AC544" s="12"/>
    </row>
    <row r="545" ht="15.75" customHeight="1">
      <c r="A545" s="12"/>
      <c r="B545" s="12"/>
      <c r="C545" s="12"/>
      <c r="D545" s="12"/>
      <c r="E545" s="12"/>
      <c r="F545" s="12"/>
      <c r="G545" s="12"/>
      <c r="H545" s="12"/>
      <c r="I545" s="12"/>
      <c r="J545" s="359"/>
      <c r="K545" s="12"/>
      <c r="L545" s="12"/>
      <c r="M545" s="12"/>
      <c r="N545" s="12"/>
      <c r="O545" s="12"/>
      <c r="P545" s="12"/>
      <c r="Q545" s="12"/>
      <c r="R545" s="359"/>
      <c r="S545" s="12"/>
      <c r="T545" s="12"/>
      <c r="U545" s="12"/>
      <c r="V545" s="12"/>
      <c r="W545" s="12"/>
      <c r="X545" s="12"/>
      <c r="Y545" s="12"/>
      <c r="Z545" s="359"/>
      <c r="AA545" s="12"/>
      <c r="AB545" s="12"/>
      <c r="AC545" s="12"/>
    </row>
    <row r="546" ht="15.75" customHeight="1">
      <c r="A546" s="12"/>
      <c r="B546" s="12"/>
      <c r="C546" s="12"/>
      <c r="D546" s="12"/>
      <c r="E546" s="12"/>
      <c r="F546" s="12"/>
      <c r="G546" s="12"/>
      <c r="H546" s="12"/>
      <c r="I546" s="12"/>
      <c r="J546" s="359"/>
      <c r="K546" s="12"/>
      <c r="L546" s="12"/>
      <c r="M546" s="12"/>
      <c r="N546" s="12"/>
      <c r="O546" s="12"/>
      <c r="P546" s="12"/>
      <c r="Q546" s="12"/>
      <c r="R546" s="359"/>
      <c r="S546" s="12"/>
      <c r="T546" s="12"/>
      <c r="U546" s="12"/>
      <c r="V546" s="12"/>
      <c r="W546" s="12"/>
      <c r="X546" s="12"/>
      <c r="Y546" s="12"/>
      <c r="Z546" s="359"/>
      <c r="AA546" s="12"/>
      <c r="AB546" s="12"/>
      <c r="AC546" s="12"/>
    </row>
    <row r="547" ht="15.75" customHeight="1">
      <c r="A547" s="12"/>
      <c r="B547" s="12"/>
      <c r="C547" s="12"/>
      <c r="D547" s="12"/>
      <c r="E547" s="12"/>
      <c r="F547" s="12"/>
      <c r="G547" s="12"/>
      <c r="H547" s="12"/>
      <c r="I547" s="12"/>
      <c r="J547" s="359"/>
      <c r="K547" s="12"/>
      <c r="L547" s="12"/>
      <c r="M547" s="12"/>
      <c r="N547" s="12"/>
      <c r="O547" s="12"/>
      <c r="P547" s="12"/>
      <c r="Q547" s="12"/>
      <c r="R547" s="359"/>
      <c r="S547" s="12"/>
      <c r="T547" s="12"/>
      <c r="U547" s="12"/>
      <c r="V547" s="12"/>
      <c r="W547" s="12"/>
      <c r="X547" s="12"/>
      <c r="Y547" s="12"/>
      <c r="Z547" s="359"/>
      <c r="AA547" s="12"/>
      <c r="AB547" s="12"/>
      <c r="AC547" s="12"/>
    </row>
    <row r="548" ht="15.75" customHeight="1">
      <c r="A548" s="12"/>
      <c r="B548" s="12"/>
      <c r="C548" s="12"/>
      <c r="D548" s="12"/>
      <c r="E548" s="12"/>
      <c r="F548" s="12"/>
      <c r="G548" s="12"/>
      <c r="H548" s="12"/>
      <c r="I548" s="12"/>
      <c r="J548" s="359"/>
      <c r="K548" s="12"/>
      <c r="L548" s="12"/>
      <c r="M548" s="12"/>
      <c r="N548" s="12"/>
      <c r="O548" s="12"/>
      <c r="P548" s="12"/>
      <c r="Q548" s="12"/>
      <c r="R548" s="359"/>
      <c r="S548" s="12"/>
      <c r="T548" s="12"/>
      <c r="U548" s="12"/>
      <c r="V548" s="12"/>
      <c r="W548" s="12"/>
      <c r="X548" s="12"/>
      <c r="Y548" s="12"/>
      <c r="Z548" s="359"/>
      <c r="AA548" s="12"/>
      <c r="AB548" s="12"/>
      <c r="AC548" s="12"/>
    </row>
    <row r="549" ht="15.75" customHeight="1">
      <c r="A549" s="12"/>
      <c r="B549" s="12"/>
      <c r="C549" s="12"/>
      <c r="D549" s="12"/>
      <c r="E549" s="12"/>
      <c r="F549" s="12"/>
      <c r="G549" s="12"/>
      <c r="H549" s="12"/>
      <c r="I549" s="12"/>
      <c r="J549" s="359"/>
      <c r="K549" s="12"/>
      <c r="L549" s="12"/>
      <c r="M549" s="12"/>
      <c r="N549" s="12"/>
      <c r="O549" s="12"/>
      <c r="P549" s="12"/>
      <c r="Q549" s="12"/>
      <c r="R549" s="359"/>
      <c r="S549" s="12"/>
      <c r="T549" s="12"/>
      <c r="U549" s="12"/>
      <c r="V549" s="12"/>
      <c r="W549" s="12"/>
      <c r="X549" s="12"/>
      <c r="Y549" s="12"/>
      <c r="Z549" s="359"/>
      <c r="AA549" s="12"/>
      <c r="AB549" s="12"/>
      <c r="AC549" s="12"/>
    </row>
    <row r="550" ht="15.75" customHeight="1">
      <c r="A550" s="12"/>
      <c r="B550" s="12"/>
      <c r="C550" s="12"/>
      <c r="D550" s="12"/>
      <c r="E550" s="12"/>
      <c r="F550" s="12"/>
      <c r="G550" s="12"/>
      <c r="H550" s="12"/>
      <c r="I550" s="12"/>
      <c r="J550" s="359"/>
      <c r="K550" s="12"/>
      <c r="L550" s="12"/>
      <c r="M550" s="12"/>
      <c r="N550" s="12"/>
      <c r="O550" s="12"/>
      <c r="P550" s="12"/>
      <c r="Q550" s="12"/>
      <c r="R550" s="359"/>
      <c r="S550" s="12"/>
      <c r="T550" s="12"/>
      <c r="U550" s="12"/>
      <c r="V550" s="12"/>
      <c r="W550" s="12"/>
      <c r="X550" s="12"/>
      <c r="Y550" s="12"/>
      <c r="Z550" s="359"/>
      <c r="AA550" s="12"/>
      <c r="AB550" s="12"/>
      <c r="AC550" s="12"/>
    </row>
    <row r="551" ht="15.75" customHeight="1">
      <c r="A551" s="12"/>
      <c r="B551" s="12"/>
      <c r="C551" s="12"/>
      <c r="D551" s="12"/>
      <c r="E551" s="12"/>
      <c r="F551" s="12"/>
      <c r="G551" s="12"/>
      <c r="H551" s="12"/>
      <c r="I551" s="12"/>
      <c r="J551" s="359"/>
      <c r="K551" s="12"/>
      <c r="L551" s="12"/>
      <c r="M551" s="12"/>
      <c r="N551" s="12"/>
      <c r="O551" s="12"/>
      <c r="P551" s="12"/>
      <c r="Q551" s="12"/>
      <c r="R551" s="359"/>
      <c r="S551" s="12"/>
      <c r="T551" s="12"/>
      <c r="U551" s="12"/>
      <c r="V551" s="12"/>
      <c r="W551" s="12"/>
      <c r="X551" s="12"/>
      <c r="Y551" s="12"/>
      <c r="Z551" s="359"/>
      <c r="AA551" s="12"/>
      <c r="AB551" s="12"/>
      <c r="AC551" s="12"/>
    </row>
    <row r="552" ht="15.75" customHeight="1">
      <c r="A552" s="12"/>
      <c r="B552" s="12"/>
      <c r="C552" s="12"/>
      <c r="D552" s="12"/>
      <c r="E552" s="12"/>
      <c r="F552" s="12"/>
      <c r="G552" s="12"/>
      <c r="H552" s="12"/>
      <c r="I552" s="12"/>
      <c r="J552" s="359"/>
      <c r="K552" s="12"/>
      <c r="L552" s="12"/>
      <c r="M552" s="12"/>
      <c r="N552" s="12"/>
      <c r="O552" s="12"/>
      <c r="P552" s="12"/>
      <c r="Q552" s="12"/>
      <c r="R552" s="359"/>
      <c r="S552" s="12"/>
      <c r="T552" s="12"/>
      <c r="U552" s="12"/>
      <c r="V552" s="12"/>
      <c r="W552" s="12"/>
      <c r="X552" s="12"/>
      <c r="Y552" s="12"/>
      <c r="Z552" s="359"/>
      <c r="AA552" s="12"/>
      <c r="AB552" s="12"/>
      <c r="AC552" s="12"/>
    </row>
    <row r="553" ht="15.75" customHeight="1">
      <c r="A553" s="12"/>
      <c r="B553" s="12"/>
      <c r="C553" s="12"/>
      <c r="D553" s="12"/>
      <c r="E553" s="12"/>
      <c r="F553" s="12"/>
      <c r="G553" s="12"/>
      <c r="H553" s="12"/>
      <c r="I553" s="12"/>
      <c r="J553" s="359"/>
      <c r="K553" s="12"/>
      <c r="L553" s="12"/>
      <c r="M553" s="12"/>
      <c r="N553" s="12"/>
      <c r="O553" s="12"/>
      <c r="P553" s="12"/>
      <c r="Q553" s="12"/>
      <c r="R553" s="359"/>
      <c r="S553" s="12"/>
      <c r="T553" s="12"/>
      <c r="U553" s="12"/>
      <c r="V553" s="12"/>
      <c r="W553" s="12"/>
      <c r="X553" s="12"/>
      <c r="Y553" s="12"/>
      <c r="Z553" s="359"/>
      <c r="AA553" s="12"/>
      <c r="AB553" s="12"/>
      <c r="AC553" s="12"/>
    </row>
    <row r="554" ht="15.75" customHeight="1">
      <c r="A554" s="12"/>
      <c r="B554" s="12"/>
      <c r="C554" s="12"/>
      <c r="D554" s="12"/>
      <c r="E554" s="12"/>
      <c r="F554" s="12"/>
      <c r="G554" s="12"/>
      <c r="H554" s="12"/>
      <c r="I554" s="12"/>
      <c r="J554" s="359"/>
      <c r="K554" s="12"/>
      <c r="L554" s="12"/>
      <c r="M554" s="12"/>
      <c r="N554" s="12"/>
      <c r="O554" s="12"/>
      <c r="P554" s="12"/>
      <c r="Q554" s="12"/>
      <c r="R554" s="359"/>
      <c r="S554" s="12"/>
      <c r="T554" s="12"/>
      <c r="U554" s="12"/>
      <c r="V554" s="12"/>
      <c r="W554" s="12"/>
      <c r="X554" s="12"/>
      <c r="Y554" s="12"/>
      <c r="Z554" s="359"/>
      <c r="AA554" s="12"/>
      <c r="AB554" s="12"/>
      <c r="AC554" s="12"/>
    </row>
    <row r="555" ht="15.75" customHeight="1">
      <c r="A555" s="12"/>
      <c r="B555" s="12"/>
      <c r="C555" s="12"/>
      <c r="D555" s="12"/>
      <c r="E555" s="12"/>
      <c r="F555" s="12"/>
      <c r="G555" s="12"/>
      <c r="H555" s="12"/>
      <c r="I555" s="12"/>
      <c r="J555" s="359"/>
      <c r="K555" s="12"/>
      <c r="L555" s="12"/>
      <c r="M555" s="12"/>
      <c r="N555" s="12"/>
      <c r="O555" s="12"/>
      <c r="P555" s="12"/>
      <c r="Q555" s="12"/>
      <c r="R555" s="359"/>
      <c r="S555" s="12"/>
      <c r="T555" s="12"/>
      <c r="U555" s="12"/>
      <c r="V555" s="12"/>
      <c r="W555" s="12"/>
      <c r="X555" s="12"/>
      <c r="Y555" s="12"/>
      <c r="Z555" s="359"/>
      <c r="AA555" s="12"/>
      <c r="AB555" s="12"/>
      <c r="AC555" s="12"/>
    </row>
    <row r="556" ht="15.75" customHeight="1">
      <c r="A556" s="12"/>
      <c r="B556" s="12"/>
      <c r="C556" s="12"/>
      <c r="D556" s="12"/>
      <c r="E556" s="12"/>
      <c r="F556" s="12"/>
      <c r="G556" s="12"/>
      <c r="H556" s="12"/>
      <c r="I556" s="12"/>
      <c r="J556" s="359"/>
      <c r="K556" s="12"/>
      <c r="L556" s="12"/>
      <c r="M556" s="12"/>
      <c r="N556" s="12"/>
      <c r="O556" s="12"/>
      <c r="P556" s="12"/>
      <c r="Q556" s="12"/>
      <c r="R556" s="359"/>
      <c r="S556" s="12"/>
      <c r="T556" s="12"/>
      <c r="U556" s="12"/>
      <c r="V556" s="12"/>
      <c r="W556" s="12"/>
      <c r="X556" s="12"/>
      <c r="Y556" s="12"/>
      <c r="Z556" s="359"/>
      <c r="AA556" s="12"/>
      <c r="AB556" s="12"/>
      <c r="AC556" s="12"/>
    </row>
    <row r="557" ht="15.75" customHeight="1">
      <c r="A557" s="12"/>
      <c r="B557" s="12"/>
      <c r="C557" s="12"/>
      <c r="D557" s="12"/>
      <c r="E557" s="12"/>
      <c r="F557" s="12"/>
      <c r="G557" s="12"/>
      <c r="H557" s="12"/>
      <c r="I557" s="12"/>
      <c r="J557" s="359"/>
      <c r="K557" s="12"/>
      <c r="L557" s="12"/>
      <c r="M557" s="12"/>
      <c r="N557" s="12"/>
      <c r="O557" s="12"/>
      <c r="P557" s="12"/>
      <c r="Q557" s="12"/>
      <c r="R557" s="359"/>
      <c r="S557" s="12"/>
      <c r="T557" s="12"/>
      <c r="U557" s="12"/>
      <c r="V557" s="12"/>
      <c r="W557" s="12"/>
      <c r="X557" s="12"/>
      <c r="Y557" s="12"/>
      <c r="Z557" s="359"/>
      <c r="AA557" s="12"/>
      <c r="AB557" s="12"/>
      <c r="AC557" s="12"/>
    </row>
    <row r="558" ht="15.75" customHeight="1">
      <c r="A558" s="12"/>
      <c r="B558" s="12"/>
      <c r="C558" s="12"/>
      <c r="D558" s="12"/>
      <c r="E558" s="12"/>
      <c r="F558" s="12"/>
      <c r="G558" s="12"/>
      <c r="H558" s="12"/>
      <c r="I558" s="12"/>
      <c r="J558" s="359"/>
      <c r="K558" s="12"/>
      <c r="L558" s="12"/>
      <c r="M558" s="12"/>
      <c r="N558" s="12"/>
      <c r="O558" s="12"/>
      <c r="P558" s="12"/>
      <c r="Q558" s="12"/>
      <c r="R558" s="359"/>
      <c r="S558" s="12"/>
      <c r="T558" s="12"/>
      <c r="U558" s="12"/>
      <c r="V558" s="12"/>
      <c r="W558" s="12"/>
      <c r="X558" s="12"/>
      <c r="Y558" s="12"/>
      <c r="Z558" s="359"/>
      <c r="AA558" s="12"/>
      <c r="AB558" s="12"/>
      <c r="AC558" s="12"/>
    </row>
    <row r="559" ht="15.75" customHeight="1">
      <c r="A559" s="12"/>
      <c r="B559" s="12"/>
      <c r="C559" s="12"/>
      <c r="D559" s="12"/>
      <c r="E559" s="12"/>
      <c r="F559" s="12"/>
      <c r="G559" s="12"/>
      <c r="H559" s="12"/>
      <c r="I559" s="12"/>
      <c r="J559" s="359"/>
      <c r="K559" s="12"/>
      <c r="L559" s="12"/>
      <c r="M559" s="12"/>
      <c r="N559" s="12"/>
      <c r="O559" s="12"/>
      <c r="P559" s="12"/>
      <c r="Q559" s="12"/>
      <c r="R559" s="359"/>
      <c r="S559" s="12"/>
      <c r="T559" s="12"/>
      <c r="U559" s="12"/>
      <c r="V559" s="12"/>
      <c r="W559" s="12"/>
      <c r="X559" s="12"/>
      <c r="Y559" s="12"/>
      <c r="Z559" s="359"/>
      <c r="AA559" s="12"/>
      <c r="AB559" s="12"/>
      <c r="AC559" s="12"/>
    </row>
    <row r="560" ht="15.75" customHeight="1">
      <c r="A560" s="12"/>
      <c r="B560" s="12"/>
      <c r="C560" s="12"/>
      <c r="D560" s="12"/>
      <c r="E560" s="12"/>
      <c r="F560" s="12"/>
      <c r="G560" s="12"/>
      <c r="H560" s="12"/>
      <c r="I560" s="12"/>
      <c r="J560" s="359"/>
      <c r="K560" s="12"/>
      <c r="L560" s="12"/>
      <c r="M560" s="12"/>
      <c r="N560" s="12"/>
      <c r="O560" s="12"/>
      <c r="P560" s="12"/>
      <c r="Q560" s="12"/>
      <c r="R560" s="359"/>
      <c r="S560" s="12"/>
      <c r="T560" s="12"/>
      <c r="U560" s="12"/>
      <c r="V560" s="12"/>
      <c r="W560" s="12"/>
      <c r="X560" s="12"/>
      <c r="Y560" s="12"/>
      <c r="Z560" s="359"/>
      <c r="AA560" s="12"/>
      <c r="AB560" s="12"/>
      <c r="AC560" s="12"/>
    </row>
    <row r="561" ht="15.75" customHeight="1">
      <c r="A561" s="12"/>
      <c r="B561" s="12"/>
      <c r="C561" s="12"/>
      <c r="D561" s="12"/>
      <c r="E561" s="12"/>
      <c r="F561" s="12"/>
      <c r="G561" s="12"/>
      <c r="H561" s="12"/>
      <c r="I561" s="12"/>
      <c r="J561" s="359"/>
      <c r="K561" s="12"/>
      <c r="L561" s="12"/>
      <c r="M561" s="12"/>
      <c r="N561" s="12"/>
      <c r="O561" s="12"/>
      <c r="P561" s="12"/>
      <c r="Q561" s="12"/>
      <c r="R561" s="359"/>
      <c r="S561" s="12"/>
      <c r="T561" s="12"/>
      <c r="U561" s="12"/>
      <c r="V561" s="12"/>
      <c r="W561" s="12"/>
      <c r="X561" s="12"/>
      <c r="Y561" s="12"/>
      <c r="Z561" s="359"/>
      <c r="AA561" s="12"/>
      <c r="AB561" s="12"/>
      <c r="AC561" s="12"/>
    </row>
    <row r="562" ht="15.75" customHeight="1">
      <c r="A562" s="12"/>
      <c r="B562" s="12"/>
      <c r="C562" s="12"/>
      <c r="D562" s="12"/>
      <c r="E562" s="12"/>
      <c r="F562" s="12"/>
      <c r="G562" s="12"/>
      <c r="H562" s="12"/>
      <c r="I562" s="12"/>
      <c r="J562" s="359"/>
      <c r="K562" s="12"/>
      <c r="L562" s="12"/>
      <c r="M562" s="12"/>
      <c r="N562" s="12"/>
      <c r="O562" s="12"/>
      <c r="P562" s="12"/>
      <c r="Q562" s="12"/>
      <c r="R562" s="359"/>
      <c r="S562" s="12"/>
      <c r="T562" s="12"/>
      <c r="U562" s="12"/>
      <c r="V562" s="12"/>
      <c r="W562" s="12"/>
      <c r="X562" s="12"/>
      <c r="Y562" s="12"/>
      <c r="Z562" s="359"/>
      <c r="AA562" s="12"/>
      <c r="AB562" s="12"/>
      <c r="AC562" s="12"/>
    </row>
    <row r="563" ht="15.75" customHeight="1">
      <c r="A563" s="12"/>
      <c r="B563" s="12"/>
      <c r="C563" s="12"/>
      <c r="D563" s="12"/>
      <c r="E563" s="12"/>
      <c r="F563" s="12"/>
      <c r="G563" s="12"/>
      <c r="H563" s="12"/>
      <c r="I563" s="12"/>
      <c r="J563" s="359"/>
      <c r="K563" s="12"/>
      <c r="L563" s="12"/>
      <c r="M563" s="12"/>
      <c r="N563" s="12"/>
      <c r="O563" s="12"/>
      <c r="P563" s="12"/>
      <c r="Q563" s="12"/>
      <c r="R563" s="359"/>
      <c r="S563" s="12"/>
      <c r="T563" s="12"/>
      <c r="U563" s="12"/>
      <c r="V563" s="12"/>
      <c r="W563" s="12"/>
      <c r="X563" s="12"/>
      <c r="Y563" s="12"/>
      <c r="Z563" s="359"/>
      <c r="AA563" s="12"/>
      <c r="AB563" s="12"/>
      <c r="AC563" s="12"/>
    </row>
    <row r="564" ht="15.75" customHeight="1">
      <c r="A564" s="12"/>
      <c r="B564" s="12"/>
      <c r="C564" s="12"/>
      <c r="D564" s="12"/>
      <c r="E564" s="12"/>
      <c r="F564" s="12"/>
      <c r="G564" s="12"/>
      <c r="H564" s="12"/>
      <c r="I564" s="12"/>
      <c r="J564" s="359"/>
      <c r="K564" s="12"/>
      <c r="L564" s="12"/>
      <c r="M564" s="12"/>
      <c r="N564" s="12"/>
      <c r="O564" s="12"/>
      <c r="P564" s="12"/>
      <c r="Q564" s="12"/>
      <c r="R564" s="359"/>
      <c r="S564" s="12"/>
      <c r="T564" s="12"/>
      <c r="U564" s="12"/>
      <c r="V564" s="12"/>
      <c r="W564" s="12"/>
      <c r="X564" s="12"/>
      <c r="Y564" s="12"/>
      <c r="Z564" s="359"/>
      <c r="AA564" s="12"/>
      <c r="AB564" s="12"/>
      <c r="AC564" s="12"/>
    </row>
    <row r="565" ht="15.75" customHeight="1">
      <c r="A565" s="12"/>
      <c r="B565" s="12"/>
      <c r="C565" s="12"/>
      <c r="D565" s="12"/>
      <c r="E565" s="12"/>
      <c r="F565" s="12"/>
      <c r="G565" s="12"/>
      <c r="H565" s="12"/>
      <c r="I565" s="12"/>
      <c r="J565" s="359"/>
      <c r="K565" s="12"/>
      <c r="L565" s="12"/>
      <c r="M565" s="12"/>
      <c r="N565" s="12"/>
      <c r="O565" s="12"/>
      <c r="P565" s="12"/>
      <c r="Q565" s="12"/>
      <c r="R565" s="359"/>
      <c r="S565" s="12"/>
      <c r="T565" s="12"/>
      <c r="U565" s="12"/>
      <c r="V565" s="12"/>
      <c r="W565" s="12"/>
      <c r="X565" s="12"/>
      <c r="Y565" s="12"/>
      <c r="Z565" s="359"/>
      <c r="AA565" s="12"/>
      <c r="AB565" s="12"/>
      <c r="AC565" s="12"/>
    </row>
    <row r="566" ht="15.75" customHeight="1">
      <c r="A566" s="12"/>
      <c r="B566" s="12"/>
      <c r="C566" s="12"/>
      <c r="D566" s="12"/>
      <c r="E566" s="12"/>
      <c r="F566" s="12"/>
      <c r="G566" s="12"/>
      <c r="H566" s="12"/>
      <c r="I566" s="12"/>
      <c r="J566" s="359"/>
      <c r="K566" s="12"/>
      <c r="L566" s="12"/>
      <c r="M566" s="12"/>
      <c r="N566" s="12"/>
      <c r="O566" s="12"/>
      <c r="P566" s="12"/>
      <c r="Q566" s="12"/>
      <c r="R566" s="359"/>
      <c r="S566" s="12"/>
      <c r="T566" s="12"/>
      <c r="U566" s="12"/>
      <c r="V566" s="12"/>
      <c r="W566" s="12"/>
      <c r="X566" s="12"/>
      <c r="Y566" s="12"/>
      <c r="Z566" s="359"/>
      <c r="AA566" s="12"/>
      <c r="AB566" s="12"/>
      <c r="AC566" s="12"/>
    </row>
    <row r="567" ht="15.75" customHeight="1">
      <c r="A567" s="12"/>
      <c r="B567" s="12"/>
      <c r="C567" s="12"/>
      <c r="D567" s="12"/>
      <c r="E567" s="12"/>
      <c r="F567" s="12"/>
      <c r="G567" s="12"/>
      <c r="H567" s="12"/>
      <c r="I567" s="12"/>
      <c r="J567" s="359"/>
      <c r="K567" s="12"/>
      <c r="L567" s="12"/>
      <c r="M567" s="12"/>
      <c r="N567" s="12"/>
      <c r="O567" s="12"/>
      <c r="P567" s="12"/>
      <c r="Q567" s="12"/>
      <c r="R567" s="359"/>
      <c r="S567" s="12"/>
      <c r="T567" s="12"/>
      <c r="U567" s="12"/>
      <c r="V567" s="12"/>
      <c r="W567" s="12"/>
      <c r="X567" s="12"/>
      <c r="Y567" s="12"/>
      <c r="Z567" s="359"/>
      <c r="AA567" s="12"/>
      <c r="AB567" s="12"/>
      <c r="AC567" s="12"/>
    </row>
    <row r="568" ht="15.75" customHeight="1">
      <c r="A568" s="12"/>
      <c r="B568" s="12"/>
      <c r="C568" s="12"/>
      <c r="D568" s="12"/>
      <c r="E568" s="12"/>
      <c r="F568" s="12"/>
      <c r="G568" s="12"/>
      <c r="H568" s="12"/>
      <c r="I568" s="12"/>
      <c r="J568" s="359"/>
      <c r="K568" s="12"/>
      <c r="L568" s="12"/>
      <c r="M568" s="12"/>
      <c r="N568" s="12"/>
      <c r="O568" s="12"/>
      <c r="P568" s="12"/>
      <c r="Q568" s="12"/>
      <c r="R568" s="359"/>
      <c r="S568" s="12"/>
      <c r="T568" s="12"/>
      <c r="U568" s="12"/>
      <c r="V568" s="12"/>
      <c r="W568" s="12"/>
      <c r="X568" s="12"/>
      <c r="Y568" s="12"/>
      <c r="Z568" s="359"/>
      <c r="AA568" s="12"/>
      <c r="AB568" s="12"/>
      <c r="AC568" s="12"/>
    </row>
    <row r="569" ht="15.75" customHeight="1">
      <c r="A569" s="12"/>
      <c r="B569" s="12"/>
      <c r="C569" s="12"/>
      <c r="D569" s="12"/>
      <c r="E569" s="12"/>
      <c r="F569" s="12"/>
      <c r="G569" s="12"/>
      <c r="H569" s="12"/>
      <c r="I569" s="12"/>
      <c r="J569" s="359"/>
      <c r="K569" s="12"/>
      <c r="L569" s="12"/>
      <c r="M569" s="12"/>
      <c r="N569" s="12"/>
      <c r="O569" s="12"/>
      <c r="P569" s="12"/>
      <c r="Q569" s="12"/>
      <c r="R569" s="359"/>
      <c r="S569" s="12"/>
      <c r="T569" s="12"/>
      <c r="U569" s="12"/>
      <c r="V569" s="12"/>
      <c r="W569" s="12"/>
      <c r="X569" s="12"/>
      <c r="Y569" s="12"/>
      <c r="Z569" s="359"/>
      <c r="AA569" s="12"/>
      <c r="AB569" s="12"/>
      <c r="AC569" s="12"/>
    </row>
    <row r="570" ht="15.75" customHeight="1">
      <c r="A570" s="12"/>
      <c r="B570" s="12"/>
      <c r="C570" s="12"/>
      <c r="D570" s="12"/>
      <c r="E570" s="12"/>
      <c r="F570" s="12"/>
      <c r="G570" s="12"/>
      <c r="H570" s="12"/>
      <c r="I570" s="12"/>
      <c r="J570" s="359"/>
      <c r="K570" s="12"/>
      <c r="L570" s="12"/>
      <c r="M570" s="12"/>
      <c r="N570" s="12"/>
      <c r="O570" s="12"/>
      <c r="P570" s="12"/>
      <c r="Q570" s="12"/>
      <c r="R570" s="359"/>
      <c r="S570" s="12"/>
      <c r="T570" s="12"/>
      <c r="U570" s="12"/>
      <c r="V570" s="12"/>
      <c r="W570" s="12"/>
      <c r="X570" s="12"/>
      <c r="Y570" s="12"/>
      <c r="Z570" s="359"/>
      <c r="AA570" s="12"/>
      <c r="AB570" s="12"/>
      <c r="AC570" s="12"/>
    </row>
    <row r="571" ht="15.75" customHeight="1">
      <c r="A571" s="12"/>
      <c r="B571" s="12"/>
      <c r="C571" s="12"/>
      <c r="D571" s="12"/>
      <c r="E571" s="12"/>
      <c r="F571" s="12"/>
      <c r="G571" s="12"/>
      <c r="H571" s="12"/>
      <c r="I571" s="12"/>
      <c r="J571" s="359"/>
      <c r="K571" s="12"/>
      <c r="L571" s="12"/>
      <c r="M571" s="12"/>
      <c r="N571" s="12"/>
      <c r="O571" s="12"/>
      <c r="P571" s="12"/>
      <c r="Q571" s="12"/>
      <c r="R571" s="359"/>
      <c r="S571" s="12"/>
      <c r="T571" s="12"/>
      <c r="U571" s="12"/>
      <c r="V571" s="12"/>
      <c r="W571" s="12"/>
      <c r="X571" s="12"/>
      <c r="Y571" s="12"/>
      <c r="Z571" s="359"/>
      <c r="AA571" s="12"/>
      <c r="AB571" s="12"/>
      <c r="AC571" s="12"/>
    </row>
    <row r="572" ht="15.75" customHeight="1">
      <c r="A572" s="12"/>
      <c r="B572" s="12"/>
      <c r="C572" s="12"/>
      <c r="D572" s="12"/>
      <c r="E572" s="12"/>
      <c r="F572" s="12"/>
      <c r="G572" s="12"/>
      <c r="H572" s="12"/>
      <c r="I572" s="12"/>
      <c r="J572" s="359"/>
      <c r="K572" s="12"/>
      <c r="L572" s="12"/>
      <c r="M572" s="12"/>
      <c r="N572" s="12"/>
      <c r="O572" s="12"/>
      <c r="P572" s="12"/>
      <c r="Q572" s="12"/>
      <c r="R572" s="359"/>
      <c r="S572" s="12"/>
      <c r="T572" s="12"/>
      <c r="U572" s="12"/>
      <c r="V572" s="12"/>
      <c r="W572" s="12"/>
      <c r="X572" s="12"/>
      <c r="Y572" s="12"/>
      <c r="Z572" s="359"/>
      <c r="AA572" s="12"/>
      <c r="AB572" s="12"/>
      <c r="AC572" s="12"/>
    </row>
    <row r="573" ht="15.75" customHeight="1">
      <c r="A573" s="12"/>
      <c r="B573" s="12"/>
      <c r="C573" s="12"/>
      <c r="D573" s="12"/>
      <c r="E573" s="12"/>
      <c r="F573" s="12"/>
      <c r="G573" s="12"/>
      <c r="H573" s="12"/>
      <c r="I573" s="12"/>
      <c r="J573" s="359"/>
      <c r="K573" s="12"/>
      <c r="L573" s="12"/>
      <c r="M573" s="12"/>
      <c r="N573" s="12"/>
      <c r="O573" s="12"/>
      <c r="P573" s="12"/>
      <c r="Q573" s="12"/>
      <c r="R573" s="359"/>
      <c r="S573" s="12"/>
      <c r="T573" s="12"/>
      <c r="U573" s="12"/>
      <c r="V573" s="12"/>
      <c r="W573" s="12"/>
      <c r="X573" s="12"/>
      <c r="Y573" s="12"/>
      <c r="Z573" s="359"/>
      <c r="AA573" s="12"/>
      <c r="AB573" s="12"/>
      <c r="AC573" s="12"/>
    </row>
    <row r="574" ht="15.75" customHeight="1">
      <c r="A574" s="12"/>
      <c r="B574" s="12"/>
      <c r="C574" s="12"/>
      <c r="D574" s="12"/>
      <c r="E574" s="12"/>
      <c r="F574" s="12"/>
      <c r="G574" s="12"/>
      <c r="H574" s="12"/>
      <c r="I574" s="12"/>
      <c r="J574" s="359"/>
      <c r="K574" s="12"/>
      <c r="L574" s="12"/>
      <c r="M574" s="12"/>
      <c r="N574" s="12"/>
      <c r="O574" s="12"/>
      <c r="P574" s="12"/>
      <c r="Q574" s="12"/>
      <c r="R574" s="359"/>
      <c r="S574" s="12"/>
      <c r="T574" s="12"/>
      <c r="U574" s="12"/>
      <c r="V574" s="12"/>
      <c r="W574" s="12"/>
      <c r="X574" s="12"/>
      <c r="Y574" s="12"/>
      <c r="Z574" s="359"/>
      <c r="AA574" s="12"/>
      <c r="AB574" s="12"/>
      <c r="AC574" s="12"/>
    </row>
    <row r="575" ht="15.75" customHeight="1">
      <c r="A575" s="12"/>
      <c r="B575" s="12"/>
      <c r="C575" s="12"/>
      <c r="D575" s="12"/>
      <c r="E575" s="12"/>
      <c r="F575" s="12"/>
      <c r="G575" s="12"/>
      <c r="H575" s="12"/>
      <c r="I575" s="12"/>
      <c r="J575" s="359"/>
      <c r="K575" s="12"/>
      <c r="L575" s="12"/>
      <c r="M575" s="12"/>
      <c r="N575" s="12"/>
      <c r="O575" s="12"/>
      <c r="P575" s="12"/>
      <c r="Q575" s="12"/>
      <c r="R575" s="359"/>
      <c r="S575" s="12"/>
      <c r="T575" s="12"/>
      <c r="U575" s="12"/>
      <c r="V575" s="12"/>
      <c r="W575" s="12"/>
      <c r="X575" s="12"/>
      <c r="Y575" s="12"/>
      <c r="Z575" s="359"/>
      <c r="AA575" s="12"/>
      <c r="AB575" s="12"/>
      <c r="AC575" s="12"/>
    </row>
    <row r="576" ht="15.75" customHeight="1">
      <c r="A576" s="12"/>
      <c r="B576" s="12"/>
      <c r="C576" s="12"/>
      <c r="D576" s="12"/>
      <c r="E576" s="12"/>
      <c r="F576" s="12"/>
      <c r="G576" s="12"/>
      <c r="H576" s="12"/>
      <c r="I576" s="12"/>
      <c r="J576" s="359"/>
      <c r="K576" s="12"/>
      <c r="L576" s="12"/>
      <c r="M576" s="12"/>
      <c r="N576" s="12"/>
      <c r="O576" s="12"/>
      <c r="P576" s="12"/>
      <c r="Q576" s="12"/>
      <c r="R576" s="359"/>
      <c r="S576" s="12"/>
      <c r="T576" s="12"/>
      <c r="U576" s="12"/>
      <c r="V576" s="12"/>
      <c r="W576" s="12"/>
      <c r="X576" s="12"/>
      <c r="Y576" s="12"/>
      <c r="Z576" s="359"/>
      <c r="AA576" s="12"/>
      <c r="AB576" s="12"/>
      <c r="AC576" s="12"/>
    </row>
    <row r="577" ht="15.75" customHeight="1">
      <c r="A577" s="12"/>
      <c r="B577" s="12"/>
      <c r="C577" s="12"/>
      <c r="D577" s="12"/>
      <c r="E577" s="12"/>
      <c r="F577" s="12"/>
      <c r="G577" s="12"/>
      <c r="H577" s="12"/>
      <c r="I577" s="12"/>
      <c r="J577" s="359"/>
      <c r="K577" s="12"/>
      <c r="L577" s="12"/>
      <c r="M577" s="12"/>
      <c r="N577" s="12"/>
      <c r="O577" s="12"/>
      <c r="P577" s="12"/>
      <c r="Q577" s="12"/>
      <c r="R577" s="359"/>
      <c r="S577" s="12"/>
      <c r="T577" s="12"/>
      <c r="U577" s="12"/>
      <c r="V577" s="12"/>
      <c r="W577" s="12"/>
      <c r="X577" s="12"/>
      <c r="Y577" s="12"/>
      <c r="Z577" s="359"/>
      <c r="AA577" s="12"/>
      <c r="AB577" s="12"/>
      <c r="AC577" s="12"/>
    </row>
    <row r="578" ht="15.75" customHeight="1">
      <c r="A578" s="12"/>
      <c r="B578" s="12"/>
      <c r="C578" s="12"/>
      <c r="D578" s="12"/>
      <c r="E578" s="12"/>
      <c r="F578" s="12"/>
      <c r="G578" s="12"/>
      <c r="H578" s="12"/>
      <c r="I578" s="12"/>
      <c r="J578" s="359"/>
      <c r="K578" s="12"/>
      <c r="L578" s="12"/>
      <c r="M578" s="12"/>
      <c r="N578" s="12"/>
      <c r="O578" s="12"/>
      <c r="P578" s="12"/>
      <c r="Q578" s="12"/>
      <c r="R578" s="359"/>
      <c r="S578" s="12"/>
      <c r="T578" s="12"/>
      <c r="U578" s="12"/>
      <c r="V578" s="12"/>
      <c r="W578" s="12"/>
      <c r="X578" s="12"/>
      <c r="Y578" s="12"/>
      <c r="Z578" s="359"/>
      <c r="AA578" s="12"/>
      <c r="AB578" s="12"/>
      <c r="AC578" s="12"/>
    </row>
    <row r="579" ht="15.75" customHeight="1">
      <c r="A579" s="12"/>
      <c r="B579" s="12"/>
      <c r="C579" s="12"/>
      <c r="D579" s="12"/>
      <c r="E579" s="12"/>
      <c r="F579" s="12"/>
      <c r="G579" s="12"/>
      <c r="H579" s="12"/>
      <c r="I579" s="12"/>
      <c r="J579" s="359"/>
      <c r="K579" s="12"/>
      <c r="L579" s="12"/>
      <c r="M579" s="12"/>
      <c r="N579" s="12"/>
      <c r="O579" s="12"/>
      <c r="P579" s="12"/>
      <c r="Q579" s="12"/>
      <c r="R579" s="359"/>
      <c r="S579" s="12"/>
      <c r="T579" s="12"/>
      <c r="U579" s="12"/>
      <c r="V579" s="12"/>
      <c r="W579" s="12"/>
      <c r="X579" s="12"/>
      <c r="Y579" s="12"/>
      <c r="Z579" s="359"/>
      <c r="AA579" s="12"/>
      <c r="AB579" s="12"/>
      <c r="AC579" s="12"/>
    </row>
    <row r="580" ht="15.75" customHeight="1">
      <c r="A580" s="12"/>
      <c r="B580" s="12"/>
      <c r="C580" s="12"/>
      <c r="D580" s="12"/>
      <c r="E580" s="12"/>
      <c r="F580" s="12"/>
      <c r="G580" s="12"/>
      <c r="H580" s="12"/>
      <c r="I580" s="12"/>
      <c r="J580" s="359"/>
      <c r="K580" s="12"/>
      <c r="L580" s="12"/>
      <c r="M580" s="12"/>
      <c r="N580" s="12"/>
      <c r="O580" s="12"/>
      <c r="P580" s="12"/>
      <c r="Q580" s="12"/>
      <c r="R580" s="359"/>
      <c r="S580" s="12"/>
      <c r="T580" s="12"/>
      <c r="U580" s="12"/>
      <c r="V580" s="12"/>
      <c r="W580" s="12"/>
      <c r="X580" s="12"/>
      <c r="Y580" s="12"/>
      <c r="Z580" s="359"/>
      <c r="AA580" s="12"/>
      <c r="AB580" s="12"/>
      <c r="AC580" s="12"/>
    </row>
    <row r="581" ht="15.75" customHeight="1">
      <c r="A581" s="12"/>
      <c r="B581" s="12"/>
      <c r="C581" s="12"/>
      <c r="D581" s="12"/>
      <c r="E581" s="12"/>
      <c r="F581" s="12"/>
      <c r="G581" s="12"/>
      <c r="H581" s="12"/>
      <c r="I581" s="12"/>
      <c r="J581" s="359"/>
      <c r="K581" s="12"/>
      <c r="L581" s="12"/>
      <c r="M581" s="12"/>
      <c r="N581" s="12"/>
      <c r="O581" s="12"/>
      <c r="P581" s="12"/>
      <c r="Q581" s="12"/>
      <c r="R581" s="359"/>
      <c r="S581" s="12"/>
      <c r="T581" s="12"/>
      <c r="U581" s="12"/>
      <c r="V581" s="12"/>
      <c r="W581" s="12"/>
      <c r="X581" s="12"/>
      <c r="Y581" s="12"/>
      <c r="Z581" s="359"/>
      <c r="AA581" s="12"/>
      <c r="AB581" s="12"/>
      <c r="AC581" s="12"/>
    </row>
    <row r="582" ht="15.75" customHeight="1">
      <c r="A582" s="12"/>
      <c r="B582" s="12"/>
      <c r="C582" s="12"/>
      <c r="D582" s="12"/>
      <c r="E582" s="12"/>
      <c r="F582" s="12"/>
      <c r="G582" s="12"/>
      <c r="H582" s="12"/>
      <c r="I582" s="12"/>
      <c r="J582" s="359"/>
      <c r="K582" s="12"/>
      <c r="L582" s="12"/>
      <c r="M582" s="12"/>
      <c r="N582" s="12"/>
      <c r="O582" s="12"/>
      <c r="P582" s="12"/>
      <c r="Q582" s="12"/>
      <c r="R582" s="359"/>
      <c r="S582" s="12"/>
      <c r="T582" s="12"/>
      <c r="U582" s="12"/>
      <c r="V582" s="12"/>
      <c r="W582" s="12"/>
      <c r="X582" s="12"/>
      <c r="Y582" s="12"/>
      <c r="Z582" s="359"/>
      <c r="AA582" s="12"/>
      <c r="AB582" s="12"/>
      <c r="AC582" s="12"/>
    </row>
    <row r="583" ht="15.75" customHeight="1">
      <c r="A583" s="12"/>
      <c r="B583" s="12"/>
      <c r="C583" s="12"/>
      <c r="D583" s="12"/>
      <c r="E583" s="12"/>
      <c r="F583" s="12"/>
      <c r="G583" s="12"/>
      <c r="H583" s="12"/>
      <c r="I583" s="12"/>
      <c r="J583" s="359"/>
      <c r="K583" s="12"/>
      <c r="L583" s="12"/>
      <c r="M583" s="12"/>
      <c r="N583" s="12"/>
      <c r="O583" s="12"/>
      <c r="P583" s="12"/>
      <c r="Q583" s="12"/>
      <c r="R583" s="359"/>
      <c r="S583" s="12"/>
      <c r="T583" s="12"/>
      <c r="U583" s="12"/>
      <c r="V583" s="12"/>
      <c r="W583" s="12"/>
      <c r="X583" s="12"/>
      <c r="Y583" s="12"/>
      <c r="Z583" s="359"/>
      <c r="AA583" s="12"/>
      <c r="AB583" s="12"/>
      <c r="AC583" s="12"/>
    </row>
    <row r="584" ht="15.75" customHeight="1">
      <c r="A584" s="12"/>
      <c r="B584" s="12"/>
      <c r="C584" s="12"/>
      <c r="D584" s="12"/>
      <c r="E584" s="12"/>
      <c r="F584" s="12"/>
      <c r="G584" s="12"/>
      <c r="H584" s="12"/>
      <c r="I584" s="12"/>
      <c r="J584" s="359"/>
      <c r="K584" s="12"/>
      <c r="L584" s="12"/>
      <c r="M584" s="12"/>
      <c r="N584" s="12"/>
      <c r="O584" s="12"/>
      <c r="P584" s="12"/>
      <c r="Q584" s="12"/>
      <c r="R584" s="359"/>
      <c r="S584" s="12"/>
      <c r="T584" s="12"/>
      <c r="U584" s="12"/>
      <c r="V584" s="12"/>
      <c r="W584" s="12"/>
      <c r="X584" s="12"/>
      <c r="Y584" s="12"/>
      <c r="Z584" s="359"/>
      <c r="AA584" s="12"/>
      <c r="AB584" s="12"/>
      <c r="AC584" s="12"/>
    </row>
    <row r="585" ht="15.75" customHeight="1">
      <c r="A585" s="12"/>
      <c r="B585" s="12"/>
      <c r="C585" s="12"/>
      <c r="D585" s="12"/>
      <c r="E585" s="12"/>
      <c r="F585" s="12"/>
      <c r="G585" s="12"/>
      <c r="H585" s="12"/>
      <c r="I585" s="12"/>
      <c r="J585" s="359"/>
      <c r="K585" s="12"/>
      <c r="L585" s="12"/>
      <c r="M585" s="12"/>
      <c r="N585" s="12"/>
      <c r="O585" s="12"/>
      <c r="P585" s="12"/>
      <c r="Q585" s="12"/>
      <c r="R585" s="359"/>
      <c r="S585" s="12"/>
      <c r="T585" s="12"/>
      <c r="U585" s="12"/>
      <c r="V585" s="12"/>
      <c r="W585" s="12"/>
      <c r="X585" s="12"/>
      <c r="Y585" s="12"/>
      <c r="Z585" s="359"/>
      <c r="AA585" s="12"/>
      <c r="AB585" s="12"/>
      <c r="AC585" s="12"/>
    </row>
    <row r="586" ht="15.75" customHeight="1">
      <c r="A586" s="12"/>
      <c r="B586" s="12"/>
      <c r="C586" s="12"/>
      <c r="D586" s="12"/>
      <c r="E586" s="12"/>
      <c r="F586" s="12"/>
      <c r="G586" s="12"/>
      <c r="H586" s="12"/>
      <c r="I586" s="12"/>
      <c r="J586" s="359"/>
      <c r="K586" s="12"/>
      <c r="L586" s="12"/>
      <c r="M586" s="12"/>
      <c r="N586" s="12"/>
      <c r="O586" s="12"/>
      <c r="P586" s="12"/>
      <c r="Q586" s="12"/>
      <c r="R586" s="359"/>
      <c r="S586" s="12"/>
      <c r="T586" s="12"/>
      <c r="U586" s="12"/>
      <c r="V586" s="12"/>
      <c r="W586" s="12"/>
      <c r="X586" s="12"/>
      <c r="Y586" s="12"/>
      <c r="Z586" s="359"/>
      <c r="AA586" s="12"/>
      <c r="AB586" s="12"/>
      <c r="AC586" s="12"/>
    </row>
    <row r="587" ht="15.75" customHeight="1">
      <c r="A587" s="12"/>
      <c r="B587" s="12"/>
      <c r="C587" s="12"/>
      <c r="D587" s="12"/>
      <c r="E587" s="12"/>
      <c r="F587" s="12"/>
      <c r="G587" s="12"/>
      <c r="H587" s="12"/>
      <c r="I587" s="12"/>
      <c r="J587" s="359"/>
      <c r="K587" s="12"/>
      <c r="L587" s="12"/>
      <c r="M587" s="12"/>
      <c r="N587" s="12"/>
      <c r="O587" s="12"/>
      <c r="P587" s="12"/>
      <c r="Q587" s="12"/>
      <c r="R587" s="359"/>
      <c r="S587" s="12"/>
      <c r="T587" s="12"/>
      <c r="U587" s="12"/>
      <c r="V587" s="12"/>
      <c r="W587" s="12"/>
      <c r="X587" s="12"/>
      <c r="Y587" s="12"/>
      <c r="Z587" s="359"/>
      <c r="AA587" s="12"/>
      <c r="AB587" s="12"/>
      <c r="AC587" s="12"/>
    </row>
    <row r="588" ht="15.75" customHeight="1">
      <c r="A588" s="12"/>
      <c r="B588" s="12"/>
      <c r="C588" s="12"/>
      <c r="D588" s="12"/>
      <c r="E588" s="12"/>
      <c r="F588" s="12"/>
      <c r="G588" s="12"/>
      <c r="H588" s="12"/>
      <c r="I588" s="12"/>
      <c r="J588" s="359"/>
      <c r="K588" s="12"/>
      <c r="L588" s="12"/>
      <c r="M588" s="12"/>
      <c r="N588" s="12"/>
      <c r="O588" s="12"/>
      <c r="P588" s="12"/>
      <c r="Q588" s="12"/>
      <c r="R588" s="359"/>
      <c r="S588" s="12"/>
      <c r="T588" s="12"/>
      <c r="U588" s="12"/>
      <c r="V588" s="12"/>
      <c r="W588" s="12"/>
      <c r="X588" s="12"/>
      <c r="Y588" s="12"/>
      <c r="Z588" s="359"/>
      <c r="AA588" s="12"/>
      <c r="AB588" s="12"/>
      <c r="AC588" s="12"/>
    </row>
    <row r="589" ht="15.75" customHeight="1">
      <c r="A589" s="12"/>
      <c r="B589" s="12"/>
      <c r="C589" s="12"/>
      <c r="D589" s="12"/>
      <c r="E589" s="12"/>
      <c r="F589" s="12"/>
      <c r="G589" s="12"/>
      <c r="H589" s="12"/>
      <c r="I589" s="12"/>
      <c r="J589" s="359"/>
      <c r="K589" s="12"/>
      <c r="L589" s="12"/>
      <c r="M589" s="12"/>
      <c r="N589" s="12"/>
      <c r="O589" s="12"/>
      <c r="P589" s="12"/>
      <c r="Q589" s="12"/>
      <c r="R589" s="359"/>
      <c r="S589" s="12"/>
      <c r="T589" s="12"/>
      <c r="U589" s="12"/>
      <c r="V589" s="12"/>
      <c r="W589" s="12"/>
      <c r="X589" s="12"/>
      <c r="Y589" s="12"/>
      <c r="Z589" s="359"/>
      <c r="AA589" s="12"/>
      <c r="AB589" s="12"/>
      <c r="AC589" s="12"/>
    </row>
    <row r="590" ht="15.75" customHeight="1">
      <c r="A590" s="12"/>
      <c r="B590" s="12"/>
      <c r="C590" s="12"/>
      <c r="D590" s="12"/>
      <c r="E590" s="12"/>
      <c r="F590" s="12"/>
      <c r="G590" s="12"/>
      <c r="H590" s="12"/>
      <c r="I590" s="12"/>
      <c r="J590" s="359"/>
      <c r="K590" s="12"/>
      <c r="L590" s="12"/>
      <c r="M590" s="12"/>
      <c r="N590" s="12"/>
      <c r="O590" s="12"/>
      <c r="P590" s="12"/>
      <c r="Q590" s="12"/>
      <c r="R590" s="359"/>
      <c r="S590" s="12"/>
      <c r="T590" s="12"/>
      <c r="U590" s="12"/>
      <c r="V590" s="12"/>
      <c r="W590" s="12"/>
      <c r="X590" s="12"/>
      <c r="Y590" s="12"/>
      <c r="Z590" s="359"/>
      <c r="AA590" s="12"/>
      <c r="AB590" s="12"/>
      <c r="AC590" s="12"/>
    </row>
    <row r="591" ht="15.75" customHeight="1">
      <c r="A591" s="12"/>
      <c r="B591" s="12"/>
      <c r="C591" s="12"/>
      <c r="D591" s="12"/>
      <c r="E591" s="12"/>
      <c r="F591" s="12"/>
      <c r="G591" s="12"/>
      <c r="H591" s="12"/>
      <c r="I591" s="12"/>
      <c r="J591" s="359"/>
      <c r="K591" s="12"/>
      <c r="L591" s="12"/>
      <c r="M591" s="12"/>
      <c r="N591" s="12"/>
      <c r="O591" s="12"/>
      <c r="P591" s="12"/>
      <c r="Q591" s="12"/>
      <c r="R591" s="359"/>
      <c r="S591" s="12"/>
      <c r="T591" s="12"/>
      <c r="U591" s="12"/>
      <c r="V591" s="12"/>
      <c r="W591" s="12"/>
      <c r="X591" s="12"/>
      <c r="Y591" s="12"/>
      <c r="Z591" s="359"/>
      <c r="AA591" s="12"/>
      <c r="AB591" s="12"/>
      <c r="AC591" s="12"/>
    </row>
    <row r="592" ht="15.75" customHeight="1">
      <c r="A592" s="12"/>
      <c r="B592" s="12"/>
      <c r="C592" s="12"/>
      <c r="D592" s="12"/>
      <c r="E592" s="12"/>
      <c r="F592" s="12"/>
      <c r="G592" s="12"/>
      <c r="H592" s="12"/>
      <c r="I592" s="12"/>
      <c r="J592" s="359"/>
      <c r="K592" s="12"/>
      <c r="L592" s="12"/>
      <c r="M592" s="12"/>
      <c r="N592" s="12"/>
      <c r="O592" s="12"/>
      <c r="P592" s="12"/>
      <c r="Q592" s="12"/>
      <c r="R592" s="359"/>
      <c r="S592" s="12"/>
      <c r="T592" s="12"/>
      <c r="U592" s="12"/>
      <c r="V592" s="12"/>
      <c r="W592" s="12"/>
      <c r="X592" s="12"/>
      <c r="Y592" s="12"/>
      <c r="Z592" s="359"/>
      <c r="AA592" s="12"/>
      <c r="AB592" s="12"/>
      <c r="AC592" s="12"/>
    </row>
    <row r="593" ht="15.75" customHeight="1">
      <c r="A593" s="12"/>
      <c r="B593" s="12"/>
      <c r="C593" s="12"/>
      <c r="D593" s="12"/>
      <c r="E593" s="12"/>
      <c r="F593" s="12"/>
      <c r="G593" s="12"/>
      <c r="H593" s="12"/>
      <c r="I593" s="12"/>
      <c r="J593" s="359"/>
      <c r="K593" s="12"/>
      <c r="L593" s="12"/>
      <c r="M593" s="12"/>
      <c r="N593" s="12"/>
      <c r="O593" s="12"/>
      <c r="P593" s="12"/>
      <c r="Q593" s="12"/>
      <c r="R593" s="359"/>
      <c r="S593" s="12"/>
      <c r="T593" s="12"/>
      <c r="U593" s="12"/>
      <c r="V593" s="12"/>
      <c r="W593" s="12"/>
      <c r="X593" s="12"/>
      <c r="Y593" s="12"/>
      <c r="Z593" s="359"/>
      <c r="AA593" s="12"/>
      <c r="AB593" s="12"/>
      <c r="AC593" s="12"/>
    </row>
    <row r="594" ht="15.75" customHeight="1">
      <c r="A594" s="12"/>
      <c r="B594" s="12"/>
      <c r="C594" s="12"/>
      <c r="D594" s="12"/>
      <c r="E594" s="12"/>
      <c r="F594" s="12"/>
      <c r="G594" s="12"/>
      <c r="H594" s="12"/>
      <c r="I594" s="12"/>
      <c r="J594" s="359"/>
      <c r="K594" s="12"/>
      <c r="L594" s="12"/>
      <c r="M594" s="12"/>
      <c r="N594" s="12"/>
      <c r="O594" s="12"/>
      <c r="P594" s="12"/>
      <c r="Q594" s="12"/>
      <c r="R594" s="359"/>
      <c r="S594" s="12"/>
      <c r="T594" s="12"/>
      <c r="U594" s="12"/>
      <c r="V594" s="12"/>
      <c r="W594" s="12"/>
      <c r="X594" s="12"/>
      <c r="Y594" s="12"/>
      <c r="Z594" s="359"/>
      <c r="AA594" s="12"/>
      <c r="AB594" s="12"/>
      <c r="AC594" s="12"/>
    </row>
    <row r="595" ht="15.75" customHeight="1">
      <c r="A595" s="12"/>
      <c r="B595" s="12"/>
      <c r="C595" s="12"/>
      <c r="D595" s="12"/>
      <c r="E595" s="12"/>
      <c r="F595" s="12"/>
      <c r="G595" s="12"/>
      <c r="H595" s="12"/>
      <c r="I595" s="12"/>
      <c r="J595" s="359"/>
      <c r="K595" s="12"/>
      <c r="L595" s="12"/>
      <c r="M595" s="12"/>
      <c r="N595" s="12"/>
      <c r="O595" s="12"/>
      <c r="P595" s="12"/>
      <c r="Q595" s="12"/>
      <c r="R595" s="359"/>
      <c r="S595" s="12"/>
      <c r="T595" s="12"/>
      <c r="U595" s="12"/>
      <c r="V595" s="12"/>
      <c r="W595" s="12"/>
      <c r="X595" s="12"/>
      <c r="Y595" s="12"/>
      <c r="Z595" s="359"/>
      <c r="AA595" s="12"/>
      <c r="AB595" s="12"/>
      <c r="AC595" s="12"/>
    </row>
    <row r="596" ht="15.75" customHeight="1">
      <c r="A596" s="12"/>
      <c r="B596" s="12"/>
      <c r="C596" s="12"/>
      <c r="D596" s="12"/>
      <c r="E596" s="12"/>
      <c r="F596" s="12"/>
      <c r="G596" s="12"/>
      <c r="H596" s="12"/>
      <c r="I596" s="12"/>
      <c r="J596" s="359"/>
      <c r="K596" s="12"/>
      <c r="L596" s="12"/>
      <c r="M596" s="12"/>
      <c r="N596" s="12"/>
      <c r="O596" s="12"/>
      <c r="P596" s="12"/>
      <c r="Q596" s="12"/>
      <c r="R596" s="359"/>
      <c r="S596" s="12"/>
      <c r="T596" s="12"/>
      <c r="U596" s="12"/>
      <c r="V596" s="12"/>
      <c r="W596" s="12"/>
      <c r="X596" s="12"/>
      <c r="Y596" s="12"/>
      <c r="Z596" s="359"/>
      <c r="AA596" s="12"/>
      <c r="AB596" s="12"/>
      <c r="AC596" s="12"/>
    </row>
    <row r="597" ht="15.75" customHeight="1">
      <c r="A597" s="12"/>
      <c r="B597" s="12"/>
      <c r="C597" s="12"/>
      <c r="D597" s="12"/>
      <c r="E597" s="12"/>
      <c r="F597" s="12"/>
      <c r="G597" s="12"/>
      <c r="H597" s="12"/>
      <c r="I597" s="12"/>
      <c r="J597" s="359"/>
      <c r="K597" s="12"/>
      <c r="L597" s="12"/>
      <c r="M597" s="12"/>
      <c r="N597" s="12"/>
      <c r="O597" s="12"/>
      <c r="P597" s="12"/>
      <c r="Q597" s="12"/>
      <c r="R597" s="359"/>
      <c r="S597" s="12"/>
      <c r="T597" s="12"/>
      <c r="U597" s="12"/>
      <c r="V597" s="12"/>
      <c r="W597" s="12"/>
      <c r="X597" s="12"/>
      <c r="Y597" s="12"/>
      <c r="Z597" s="359"/>
      <c r="AA597" s="12"/>
      <c r="AB597" s="12"/>
      <c r="AC597" s="12"/>
    </row>
    <row r="598" ht="15.75" customHeight="1">
      <c r="A598" s="12"/>
      <c r="B598" s="12"/>
      <c r="C598" s="12"/>
      <c r="D598" s="12"/>
      <c r="E598" s="12"/>
      <c r="F598" s="12"/>
      <c r="G598" s="12"/>
      <c r="H598" s="12"/>
      <c r="I598" s="12"/>
      <c r="J598" s="359"/>
      <c r="K598" s="12"/>
      <c r="L598" s="12"/>
      <c r="M598" s="12"/>
      <c r="N598" s="12"/>
      <c r="O598" s="12"/>
      <c r="P598" s="12"/>
      <c r="Q598" s="12"/>
      <c r="R598" s="359"/>
      <c r="S598" s="12"/>
      <c r="T598" s="12"/>
      <c r="U598" s="12"/>
      <c r="V598" s="12"/>
      <c r="W598" s="12"/>
      <c r="X598" s="12"/>
      <c r="Y598" s="12"/>
      <c r="Z598" s="359"/>
      <c r="AA598" s="12"/>
      <c r="AB598" s="12"/>
      <c r="AC598" s="12"/>
    </row>
    <row r="599" ht="15.75" customHeight="1">
      <c r="A599" s="12"/>
      <c r="B599" s="12"/>
      <c r="C599" s="12"/>
      <c r="D599" s="12"/>
      <c r="E599" s="12"/>
      <c r="F599" s="12"/>
      <c r="G599" s="12"/>
      <c r="H599" s="12"/>
      <c r="I599" s="12"/>
      <c r="J599" s="359"/>
      <c r="K599" s="12"/>
      <c r="L599" s="12"/>
      <c r="M599" s="12"/>
      <c r="N599" s="12"/>
      <c r="O599" s="12"/>
      <c r="P599" s="12"/>
      <c r="Q599" s="12"/>
      <c r="R599" s="359"/>
      <c r="S599" s="12"/>
      <c r="T599" s="12"/>
      <c r="U599" s="12"/>
      <c r="V599" s="12"/>
      <c r="W599" s="12"/>
      <c r="X599" s="12"/>
      <c r="Y599" s="12"/>
      <c r="Z599" s="359"/>
      <c r="AA599" s="12"/>
      <c r="AB599" s="12"/>
      <c r="AC599" s="12"/>
    </row>
    <row r="600" ht="15.75" customHeight="1">
      <c r="A600" s="12"/>
      <c r="B600" s="12"/>
      <c r="C600" s="12"/>
      <c r="D600" s="12"/>
      <c r="E600" s="12"/>
      <c r="F600" s="12"/>
      <c r="G600" s="12"/>
      <c r="H600" s="12"/>
      <c r="I600" s="12"/>
      <c r="J600" s="359"/>
      <c r="K600" s="12"/>
      <c r="L600" s="12"/>
      <c r="M600" s="12"/>
      <c r="N600" s="12"/>
      <c r="O600" s="12"/>
      <c r="P600" s="12"/>
      <c r="Q600" s="12"/>
      <c r="R600" s="359"/>
      <c r="S600" s="12"/>
      <c r="T600" s="12"/>
      <c r="U600" s="12"/>
      <c r="V600" s="12"/>
      <c r="W600" s="12"/>
      <c r="X600" s="12"/>
      <c r="Y600" s="12"/>
      <c r="Z600" s="359"/>
      <c r="AA600" s="12"/>
      <c r="AB600" s="12"/>
      <c r="AC600" s="12"/>
    </row>
    <row r="601" ht="15.75" customHeight="1">
      <c r="A601" s="12"/>
      <c r="B601" s="12"/>
      <c r="C601" s="12"/>
      <c r="D601" s="12"/>
      <c r="E601" s="12"/>
      <c r="F601" s="12"/>
      <c r="G601" s="12"/>
      <c r="H601" s="12"/>
      <c r="I601" s="12"/>
      <c r="J601" s="359"/>
      <c r="K601" s="12"/>
      <c r="L601" s="12"/>
      <c r="M601" s="12"/>
      <c r="N601" s="12"/>
      <c r="O601" s="12"/>
      <c r="P601" s="12"/>
      <c r="Q601" s="12"/>
      <c r="R601" s="359"/>
      <c r="S601" s="12"/>
      <c r="T601" s="12"/>
      <c r="U601" s="12"/>
      <c r="V601" s="12"/>
      <c r="W601" s="12"/>
      <c r="X601" s="12"/>
      <c r="Y601" s="12"/>
      <c r="Z601" s="359"/>
      <c r="AA601" s="12"/>
      <c r="AB601" s="12"/>
      <c r="AC601" s="12"/>
    </row>
    <row r="602" ht="15.75" customHeight="1">
      <c r="A602" s="12"/>
      <c r="B602" s="12"/>
      <c r="C602" s="12"/>
      <c r="D602" s="12"/>
      <c r="E602" s="12"/>
      <c r="F602" s="12"/>
      <c r="G602" s="12"/>
      <c r="H602" s="12"/>
      <c r="I602" s="12"/>
      <c r="J602" s="359"/>
      <c r="K602" s="12"/>
      <c r="L602" s="12"/>
      <c r="M602" s="12"/>
      <c r="N602" s="12"/>
      <c r="O602" s="12"/>
      <c r="P602" s="12"/>
      <c r="Q602" s="12"/>
      <c r="R602" s="359"/>
      <c r="S602" s="12"/>
      <c r="T602" s="12"/>
      <c r="U602" s="12"/>
      <c r="V602" s="12"/>
      <c r="W602" s="12"/>
      <c r="X602" s="12"/>
      <c r="Y602" s="12"/>
      <c r="Z602" s="359"/>
      <c r="AA602" s="12"/>
      <c r="AB602" s="12"/>
      <c r="AC602" s="12"/>
    </row>
    <row r="603" ht="15.75" customHeight="1">
      <c r="A603" s="12"/>
      <c r="B603" s="12"/>
      <c r="C603" s="12"/>
      <c r="D603" s="12"/>
      <c r="E603" s="12"/>
      <c r="F603" s="12"/>
      <c r="G603" s="12"/>
      <c r="H603" s="12"/>
      <c r="I603" s="12"/>
      <c r="J603" s="359"/>
      <c r="K603" s="12"/>
      <c r="L603" s="12"/>
      <c r="M603" s="12"/>
      <c r="N603" s="12"/>
      <c r="O603" s="12"/>
      <c r="P603" s="12"/>
      <c r="Q603" s="12"/>
      <c r="R603" s="359"/>
      <c r="S603" s="12"/>
      <c r="T603" s="12"/>
      <c r="U603" s="12"/>
      <c r="V603" s="12"/>
      <c r="W603" s="12"/>
      <c r="X603" s="12"/>
      <c r="Y603" s="12"/>
      <c r="Z603" s="359"/>
      <c r="AA603" s="12"/>
      <c r="AB603" s="12"/>
      <c r="AC603" s="12"/>
    </row>
    <row r="604" ht="15.75" customHeight="1">
      <c r="A604" s="12"/>
      <c r="B604" s="12"/>
      <c r="C604" s="12"/>
      <c r="D604" s="12"/>
      <c r="E604" s="12"/>
      <c r="F604" s="12"/>
      <c r="G604" s="12"/>
      <c r="H604" s="12"/>
      <c r="I604" s="12"/>
      <c r="J604" s="359"/>
      <c r="K604" s="12"/>
      <c r="L604" s="12"/>
      <c r="M604" s="12"/>
      <c r="N604" s="12"/>
      <c r="O604" s="12"/>
      <c r="P604" s="12"/>
      <c r="Q604" s="12"/>
      <c r="R604" s="359"/>
      <c r="S604" s="12"/>
      <c r="T604" s="12"/>
      <c r="U604" s="12"/>
      <c r="V604" s="12"/>
      <c r="W604" s="12"/>
      <c r="X604" s="12"/>
      <c r="Y604" s="12"/>
      <c r="Z604" s="359"/>
      <c r="AA604" s="12"/>
      <c r="AB604" s="12"/>
      <c r="AC604" s="12"/>
    </row>
    <row r="605" ht="15.75" customHeight="1">
      <c r="A605" s="12"/>
      <c r="B605" s="12"/>
      <c r="C605" s="12"/>
      <c r="D605" s="12"/>
      <c r="E605" s="12"/>
      <c r="F605" s="12"/>
      <c r="G605" s="12"/>
      <c r="H605" s="12"/>
      <c r="I605" s="12"/>
      <c r="J605" s="359"/>
      <c r="K605" s="12"/>
      <c r="L605" s="12"/>
      <c r="M605" s="12"/>
      <c r="N605" s="12"/>
      <c r="O605" s="12"/>
      <c r="P605" s="12"/>
      <c r="Q605" s="12"/>
      <c r="R605" s="359"/>
      <c r="S605" s="12"/>
      <c r="T605" s="12"/>
      <c r="U605" s="12"/>
      <c r="V605" s="12"/>
      <c r="W605" s="12"/>
      <c r="X605" s="12"/>
      <c r="Y605" s="12"/>
      <c r="Z605" s="359"/>
      <c r="AA605" s="12"/>
      <c r="AB605" s="12"/>
      <c r="AC605" s="12"/>
    </row>
    <row r="606" ht="15.75" customHeight="1">
      <c r="A606" s="12"/>
      <c r="B606" s="12"/>
      <c r="C606" s="12"/>
      <c r="D606" s="12"/>
      <c r="E606" s="12"/>
      <c r="F606" s="12"/>
      <c r="G606" s="12"/>
      <c r="H606" s="12"/>
      <c r="I606" s="12"/>
      <c r="J606" s="359"/>
      <c r="K606" s="12"/>
      <c r="L606" s="12"/>
      <c r="M606" s="12"/>
      <c r="N606" s="12"/>
      <c r="O606" s="12"/>
      <c r="P606" s="12"/>
      <c r="Q606" s="12"/>
      <c r="R606" s="359"/>
      <c r="S606" s="12"/>
      <c r="T606" s="12"/>
      <c r="U606" s="12"/>
      <c r="V606" s="12"/>
      <c r="W606" s="12"/>
      <c r="X606" s="12"/>
      <c r="Y606" s="12"/>
      <c r="Z606" s="359"/>
      <c r="AA606" s="12"/>
      <c r="AB606" s="12"/>
      <c r="AC606" s="12"/>
    </row>
    <row r="607" ht="15.75" customHeight="1">
      <c r="A607" s="12"/>
      <c r="B607" s="12"/>
      <c r="C607" s="12"/>
      <c r="D607" s="12"/>
      <c r="E607" s="12"/>
      <c r="F607" s="12"/>
      <c r="G607" s="12"/>
      <c r="H607" s="12"/>
      <c r="I607" s="12"/>
      <c r="J607" s="359"/>
      <c r="K607" s="12"/>
      <c r="L607" s="12"/>
      <c r="M607" s="12"/>
      <c r="N607" s="12"/>
      <c r="O607" s="12"/>
      <c r="P607" s="12"/>
      <c r="Q607" s="12"/>
      <c r="R607" s="359"/>
      <c r="S607" s="12"/>
      <c r="T607" s="12"/>
      <c r="U607" s="12"/>
      <c r="V607" s="12"/>
      <c r="W607" s="12"/>
      <c r="X607" s="12"/>
      <c r="Y607" s="12"/>
      <c r="Z607" s="359"/>
      <c r="AA607" s="12"/>
      <c r="AB607" s="12"/>
      <c r="AC607" s="12"/>
    </row>
    <row r="608" ht="15.75" customHeight="1">
      <c r="A608" s="12"/>
      <c r="B608" s="12"/>
      <c r="C608" s="12"/>
      <c r="D608" s="12"/>
      <c r="E608" s="12"/>
      <c r="F608" s="12"/>
      <c r="G608" s="12"/>
      <c r="H608" s="12"/>
      <c r="I608" s="12"/>
      <c r="J608" s="359"/>
      <c r="K608" s="12"/>
      <c r="L608" s="12"/>
      <c r="M608" s="12"/>
      <c r="N608" s="12"/>
      <c r="O608" s="12"/>
      <c r="P608" s="12"/>
      <c r="Q608" s="12"/>
      <c r="R608" s="359"/>
      <c r="S608" s="12"/>
      <c r="T608" s="12"/>
      <c r="U608" s="12"/>
      <c r="V608" s="12"/>
      <c r="W608" s="12"/>
      <c r="X608" s="12"/>
      <c r="Y608" s="12"/>
      <c r="Z608" s="359"/>
      <c r="AA608" s="12"/>
      <c r="AB608" s="12"/>
      <c r="AC608" s="12"/>
    </row>
    <row r="609" ht="15.75" customHeight="1">
      <c r="A609" s="12"/>
      <c r="B609" s="12"/>
      <c r="C609" s="12"/>
      <c r="D609" s="12"/>
      <c r="E609" s="12"/>
      <c r="F609" s="12"/>
      <c r="G609" s="12"/>
      <c r="H609" s="12"/>
      <c r="I609" s="12"/>
      <c r="J609" s="359"/>
      <c r="K609" s="12"/>
      <c r="L609" s="12"/>
      <c r="M609" s="12"/>
      <c r="N609" s="12"/>
      <c r="O609" s="12"/>
      <c r="P609" s="12"/>
      <c r="Q609" s="12"/>
      <c r="R609" s="359"/>
      <c r="S609" s="12"/>
      <c r="T609" s="12"/>
      <c r="U609" s="12"/>
      <c r="V609" s="12"/>
      <c r="W609" s="12"/>
      <c r="X609" s="12"/>
      <c r="Y609" s="12"/>
      <c r="Z609" s="359"/>
      <c r="AA609" s="12"/>
      <c r="AB609" s="12"/>
      <c r="AC609" s="12"/>
    </row>
    <row r="610" ht="15.75" customHeight="1">
      <c r="A610" s="12"/>
      <c r="B610" s="12"/>
      <c r="C610" s="12"/>
      <c r="D610" s="12"/>
      <c r="E610" s="12"/>
      <c r="F610" s="12"/>
      <c r="G610" s="12"/>
      <c r="H610" s="12"/>
      <c r="I610" s="12"/>
      <c r="J610" s="359"/>
      <c r="K610" s="12"/>
      <c r="L610" s="12"/>
      <c r="M610" s="12"/>
      <c r="N610" s="12"/>
      <c r="O610" s="12"/>
      <c r="P610" s="12"/>
      <c r="Q610" s="12"/>
      <c r="R610" s="359"/>
      <c r="S610" s="12"/>
      <c r="T610" s="12"/>
      <c r="U610" s="12"/>
      <c r="V610" s="12"/>
      <c r="W610" s="12"/>
      <c r="X610" s="12"/>
      <c r="Y610" s="12"/>
      <c r="Z610" s="359"/>
      <c r="AA610" s="12"/>
      <c r="AB610" s="12"/>
      <c r="AC610" s="12"/>
    </row>
    <row r="611" ht="15.75" customHeight="1">
      <c r="A611" s="12"/>
      <c r="B611" s="12"/>
      <c r="C611" s="12"/>
      <c r="D611" s="12"/>
      <c r="E611" s="12"/>
      <c r="F611" s="12"/>
      <c r="G611" s="12"/>
      <c r="H611" s="12"/>
      <c r="I611" s="12"/>
      <c r="J611" s="359"/>
      <c r="K611" s="12"/>
      <c r="L611" s="12"/>
      <c r="M611" s="12"/>
      <c r="N611" s="12"/>
      <c r="O611" s="12"/>
      <c r="P611" s="12"/>
      <c r="Q611" s="12"/>
      <c r="R611" s="359"/>
      <c r="S611" s="12"/>
      <c r="T611" s="12"/>
      <c r="U611" s="12"/>
      <c r="V611" s="12"/>
      <c r="W611" s="12"/>
      <c r="X611" s="12"/>
      <c r="Y611" s="12"/>
      <c r="Z611" s="359"/>
      <c r="AA611" s="12"/>
      <c r="AB611" s="12"/>
      <c r="AC611" s="12"/>
    </row>
    <row r="612" ht="15.75" customHeight="1">
      <c r="A612" s="12"/>
      <c r="B612" s="12"/>
      <c r="C612" s="12"/>
      <c r="D612" s="12"/>
      <c r="E612" s="12"/>
      <c r="F612" s="12"/>
      <c r="G612" s="12"/>
      <c r="H612" s="12"/>
      <c r="I612" s="12"/>
      <c r="J612" s="359"/>
      <c r="K612" s="12"/>
      <c r="L612" s="12"/>
      <c r="M612" s="12"/>
      <c r="N612" s="12"/>
      <c r="O612" s="12"/>
      <c r="P612" s="12"/>
      <c r="Q612" s="12"/>
      <c r="R612" s="359"/>
      <c r="S612" s="12"/>
      <c r="T612" s="12"/>
      <c r="U612" s="12"/>
      <c r="V612" s="12"/>
      <c r="W612" s="12"/>
      <c r="X612" s="12"/>
      <c r="Y612" s="12"/>
      <c r="Z612" s="359"/>
      <c r="AA612" s="12"/>
      <c r="AB612" s="12"/>
      <c r="AC612" s="12"/>
    </row>
    <row r="613" ht="15.75" customHeight="1">
      <c r="A613" s="12"/>
      <c r="B613" s="12"/>
      <c r="C613" s="12"/>
      <c r="D613" s="12"/>
      <c r="E613" s="12"/>
      <c r="F613" s="12"/>
      <c r="G613" s="12"/>
      <c r="H613" s="12"/>
      <c r="I613" s="12"/>
      <c r="J613" s="359"/>
      <c r="K613" s="12"/>
      <c r="L613" s="12"/>
      <c r="M613" s="12"/>
      <c r="N613" s="12"/>
      <c r="O613" s="12"/>
      <c r="P613" s="12"/>
      <c r="Q613" s="12"/>
      <c r="R613" s="359"/>
      <c r="S613" s="12"/>
      <c r="T613" s="12"/>
      <c r="U613" s="12"/>
      <c r="V613" s="12"/>
      <c r="W613" s="12"/>
      <c r="X613" s="12"/>
      <c r="Y613" s="12"/>
      <c r="Z613" s="359"/>
      <c r="AA613" s="12"/>
      <c r="AB613" s="12"/>
      <c r="AC613" s="12"/>
    </row>
    <row r="614" ht="15.75" customHeight="1">
      <c r="A614" s="12"/>
      <c r="B614" s="12"/>
      <c r="C614" s="12"/>
      <c r="D614" s="12"/>
      <c r="E614" s="12"/>
      <c r="F614" s="12"/>
      <c r="G614" s="12"/>
      <c r="H614" s="12"/>
      <c r="I614" s="12"/>
      <c r="J614" s="359"/>
      <c r="K614" s="12"/>
      <c r="L614" s="12"/>
      <c r="M614" s="12"/>
      <c r="N614" s="12"/>
      <c r="O614" s="12"/>
      <c r="P614" s="12"/>
      <c r="Q614" s="12"/>
      <c r="R614" s="359"/>
      <c r="S614" s="12"/>
      <c r="T614" s="12"/>
      <c r="U614" s="12"/>
      <c r="V614" s="12"/>
      <c r="W614" s="12"/>
      <c r="X614" s="12"/>
      <c r="Y614" s="12"/>
      <c r="Z614" s="359"/>
      <c r="AA614" s="12"/>
      <c r="AB614" s="12"/>
      <c r="AC614" s="12"/>
    </row>
    <row r="615" ht="15.75" customHeight="1">
      <c r="A615" s="12"/>
      <c r="B615" s="12"/>
      <c r="C615" s="12"/>
      <c r="D615" s="12"/>
      <c r="E615" s="12"/>
      <c r="F615" s="12"/>
      <c r="G615" s="12"/>
      <c r="H615" s="12"/>
      <c r="I615" s="12"/>
      <c r="J615" s="359"/>
      <c r="K615" s="12"/>
      <c r="L615" s="12"/>
      <c r="M615" s="12"/>
      <c r="N615" s="12"/>
      <c r="O615" s="12"/>
      <c r="P615" s="12"/>
      <c r="Q615" s="12"/>
      <c r="R615" s="359"/>
      <c r="S615" s="12"/>
      <c r="T615" s="12"/>
      <c r="U615" s="12"/>
      <c r="V615" s="12"/>
      <c r="W615" s="12"/>
      <c r="X615" s="12"/>
      <c r="Y615" s="12"/>
      <c r="Z615" s="359"/>
      <c r="AA615" s="12"/>
      <c r="AB615" s="12"/>
      <c r="AC615" s="12"/>
    </row>
    <row r="616" ht="15.75" customHeight="1">
      <c r="A616" s="12"/>
      <c r="B616" s="12"/>
      <c r="C616" s="12"/>
      <c r="D616" s="12"/>
      <c r="E616" s="12"/>
      <c r="F616" s="12"/>
      <c r="G616" s="12"/>
      <c r="H616" s="12"/>
      <c r="I616" s="12"/>
      <c r="J616" s="359"/>
      <c r="K616" s="12"/>
      <c r="L616" s="12"/>
      <c r="M616" s="12"/>
      <c r="N616" s="12"/>
      <c r="O616" s="12"/>
      <c r="P616" s="12"/>
      <c r="Q616" s="12"/>
      <c r="R616" s="359"/>
      <c r="S616" s="12"/>
      <c r="T616" s="12"/>
      <c r="U616" s="12"/>
      <c r="V616" s="12"/>
      <c r="W616" s="12"/>
      <c r="X616" s="12"/>
      <c r="Y616" s="12"/>
      <c r="Z616" s="359"/>
      <c r="AA616" s="12"/>
      <c r="AB616" s="12"/>
      <c r="AC616" s="12"/>
    </row>
    <row r="617" ht="15.75" customHeight="1">
      <c r="A617" s="12"/>
      <c r="B617" s="12"/>
      <c r="C617" s="12"/>
      <c r="D617" s="12"/>
      <c r="E617" s="12"/>
      <c r="F617" s="12"/>
      <c r="G617" s="12"/>
      <c r="H617" s="12"/>
      <c r="I617" s="12"/>
      <c r="J617" s="359"/>
      <c r="K617" s="12"/>
      <c r="L617" s="12"/>
      <c r="M617" s="12"/>
      <c r="N617" s="12"/>
      <c r="O617" s="12"/>
      <c r="P617" s="12"/>
      <c r="Q617" s="12"/>
      <c r="R617" s="359"/>
      <c r="S617" s="12"/>
      <c r="T617" s="12"/>
      <c r="U617" s="12"/>
      <c r="V617" s="12"/>
      <c r="W617" s="12"/>
      <c r="X617" s="12"/>
      <c r="Y617" s="12"/>
      <c r="Z617" s="359"/>
      <c r="AA617" s="12"/>
      <c r="AB617" s="12"/>
      <c r="AC617" s="12"/>
    </row>
    <row r="618" ht="15.75" customHeight="1">
      <c r="A618" s="12"/>
      <c r="B618" s="12"/>
      <c r="C618" s="12"/>
      <c r="D618" s="12"/>
      <c r="E618" s="12"/>
      <c r="F618" s="12"/>
      <c r="G618" s="12"/>
      <c r="H618" s="12"/>
      <c r="I618" s="12"/>
      <c r="J618" s="359"/>
      <c r="K618" s="12"/>
      <c r="L618" s="12"/>
      <c r="M618" s="12"/>
      <c r="N618" s="12"/>
      <c r="O618" s="12"/>
      <c r="P618" s="12"/>
      <c r="Q618" s="12"/>
      <c r="R618" s="359"/>
      <c r="S618" s="12"/>
      <c r="T618" s="12"/>
      <c r="U618" s="12"/>
      <c r="V618" s="12"/>
      <c r="W618" s="12"/>
      <c r="X618" s="12"/>
      <c r="Y618" s="12"/>
      <c r="Z618" s="359"/>
      <c r="AA618" s="12"/>
      <c r="AB618" s="12"/>
      <c r="AC618" s="12"/>
    </row>
    <row r="619" ht="15.75" customHeight="1">
      <c r="A619" s="12"/>
      <c r="B619" s="12"/>
      <c r="C619" s="12"/>
      <c r="D619" s="12"/>
      <c r="E619" s="12"/>
      <c r="F619" s="12"/>
      <c r="G619" s="12"/>
      <c r="H619" s="12"/>
      <c r="I619" s="12"/>
      <c r="J619" s="359"/>
      <c r="K619" s="12"/>
      <c r="L619" s="12"/>
      <c r="M619" s="12"/>
      <c r="N619" s="12"/>
      <c r="O619" s="12"/>
      <c r="P619" s="12"/>
      <c r="Q619" s="12"/>
      <c r="R619" s="359"/>
      <c r="S619" s="12"/>
      <c r="T619" s="12"/>
      <c r="U619" s="12"/>
      <c r="V619" s="12"/>
      <c r="W619" s="12"/>
      <c r="X619" s="12"/>
      <c r="Y619" s="12"/>
      <c r="Z619" s="359"/>
      <c r="AA619" s="12"/>
      <c r="AB619" s="12"/>
      <c r="AC619" s="12"/>
    </row>
    <row r="620" ht="15.75" customHeight="1">
      <c r="A620" s="12"/>
      <c r="B620" s="12"/>
      <c r="C620" s="12"/>
      <c r="D620" s="12"/>
      <c r="E620" s="12"/>
      <c r="F620" s="12"/>
      <c r="G620" s="12"/>
      <c r="H620" s="12"/>
      <c r="I620" s="12"/>
      <c r="J620" s="359"/>
      <c r="K620" s="12"/>
      <c r="L620" s="12"/>
      <c r="M620" s="12"/>
      <c r="N620" s="12"/>
      <c r="O620" s="12"/>
      <c r="P620" s="12"/>
      <c r="Q620" s="12"/>
      <c r="R620" s="359"/>
      <c r="S620" s="12"/>
      <c r="T620" s="12"/>
      <c r="U620" s="12"/>
      <c r="V620" s="12"/>
      <c r="W620" s="12"/>
      <c r="X620" s="12"/>
      <c r="Y620" s="12"/>
      <c r="Z620" s="359"/>
      <c r="AA620" s="12"/>
      <c r="AB620" s="12"/>
      <c r="AC620" s="12"/>
    </row>
    <row r="621" ht="15.75" customHeight="1">
      <c r="A621" s="12"/>
      <c r="B621" s="12"/>
      <c r="C621" s="12"/>
      <c r="D621" s="12"/>
      <c r="E621" s="12"/>
      <c r="F621" s="12"/>
      <c r="G621" s="12"/>
      <c r="H621" s="12"/>
      <c r="I621" s="12"/>
      <c r="J621" s="359"/>
      <c r="K621" s="12"/>
      <c r="L621" s="12"/>
      <c r="M621" s="12"/>
      <c r="N621" s="12"/>
      <c r="O621" s="12"/>
      <c r="P621" s="12"/>
      <c r="Q621" s="12"/>
      <c r="R621" s="359"/>
      <c r="S621" s="12"/>
      <c r="T621" s="12"/>
      <c r="U621" s="12"/>
      <c r="V621" s="12"/>
      <c r="W621" s="12"/>
      <c r="X621" s="12"/>
      <c r="Y621" s="12"/>
      <c r="Z621" s="359"/>
      <c r="AA621" s="12"/>
      <c r="AB621" s="12"/>
      <c r="AC621" s="12"/>
    </row>
    <row r="622" ht="15.75" customHeight="1">
      <c r="A622" s="12"/>
      <c r="B622" s="12"/>
      <c r="C622" s="12"/>
      <c r="D622" s="12"/>
      <c r="E622" s="12"/>
      <c r="F622" s="12"/>
      <c r="G622" s="12"/>
      <c r="H622" s="12"/>
      <c r="I622" s="12"/>
      <c r="J622" s="359"/>
      <c r="K622" s="12"/>
      <c r="L622" s="12"/>
      <c r="M622" s="12"/>
      <c r="N622" s="12"/>
      <c r="O622" s="12"/>
      <c r="P622" s="12"/>
      <c r="Q622" s="12"/>
      <c r="R622" s="359"/>
      <c r="S622" s="12"/>
      <c r="T622" s="12"/>
      <c r="U622" s="12"/>
      <c r="V622" s="12"/>
      <c r="W622" s="12"/>
      <c r="X622" s="12"/>
      <c r="Y622" s="12"/>
      <c r="Z622" s="359"/>
      <c r="AA622" s="12"/>
      <c r="AB622" s="12"/>
      <c r="AC622" s="12"/>
    </row>
    <row r="623" ht="15.75" customHeight="1">
      <c r="A623" s="12"/>
      <c r="B623" s="12"/>
      <c r="C623" s="12"/>
      <c r="D623" s="12"/>
      <c r="E623" s="12"/>
      <c r="F623" s="12"/>
      <c r="G623" s="12"/>
      <c r="H623" s="12"/>
      <c r="I623" s="12"/>
      <c r="J623" s="359"/>
      <c r="K623" s="12"/>
      <c r="L623" s="12"/>
      <c r="M623" s="12"/>
      <c r="N623" s="12"/>
      <c r="O623" s="12"/>
      <c r="P623" s="12"/>
      <c r="Q623" s="12"/>
      <c r="R623" s="359"/>
      <c r="S623" s="12"/>
      <c r="T623" s="12"/>
      <c r="U623" s="12"/>
      <c r="V623" s="12"/>
      <c r="W623" s="12"/>
      <c r="X623" s="12"/>
      <c r="Y623" s="12"/>
      <c r="Z623" s="359"/>
      <c r="AA623" s="12"/>
      <c r="AB623" s="12"/>
      <c r="AC623" s="12"/>
    </row>
    <row r="624" ht="15.75" customHeight="1">
      <c r="A624" s="12"/>
      <c r="B624" s="12"/>
      <c r="C624" s="12"/>
      <c r="D624" s="12"/>
      <c r="E624" s="12"/>
      <c r="F624" s="12"/>
      <c r="G624" s="12"/>
      <c r="H624" s="12"/>
      <c r="I624" s="12"/>
      <c r="J624" s="359"/>
      <c r="K624" s="12"/>
      <c r="L624" s="12"/>
      <c r="M624" s="12"/>
      <c r="N624" s="12"/>
      <c r="O624" s="12"/>
      <c r="P624" s="12"/>
      <c r="Q624" s="12"/>
      <c r="R624" s="359"/>
      <c r="S624" s="12"/>
      <c r="T624" s="12"/>
      <c r="U624" s="12"/>
      <c r="V624" s="12"/>
      <c r="W624" s="12"/>
      <c r="X624" s="12"/>
      <c r="Y624" s="12"/>
      <c r="Z624" s="359"/>
      <c r="AA624" s="12"/>
      <c r="AB624" s="12"/>
      <c r="AC624" s="12"/>
    </row>
    <row r="625" ht="15.75" customHeight="1">
      <c r="A625" s="12"/>
      <c r="B625" s="12"/>
      <c r="C625" s="12"/>
      <c r="D625" s="12"/>
      <c r="E625" s="12"/>
      <c r="F625" s="12"/>
      <c r="G625" s="12"/>
      <c r="H625" s="12"/>
      <c r="I625" s="12"/>
      <c r="J625" s="359"/>
      <c r="K625" s="12"/>
      <c r="L625" s="12"/>
      <c r="M625" s="12"/>
      <c r="N625" s="12"/>
      <c r="O625" s="12"/>
      <c r="P625" s="12"/>
      <c r="Q625" s="12"/>
      <c r="R625" s="359"/>
      <c r="S625" s="12"/>
      <c r="T625" s="12"/>
      <c r="U625" s="12"/>
      <c r="V625" s="12"/>
      <c r="W625" s="12"/>
      <c r="X625" s="12"/>
      <c r="Y625" s="12"/>
      <c r="Z625" s="359"/>
      <c r="AA625" s="12"/>
      <c r="AB625" s="12"/>
      <c r="AC625" s="12"/>
    </row>
    <row r="626" ht="15.75" customHeight="1">
      <c r="A626" s="12"/>
      <c r="B626" s="12"/>
      <c r="C626" s="12"/>
      <c r="D626" s="12"/>
      <c r="E626" s="12"/>
      <c r="F626" s="12"/>
      <c r="G626" s="12"/>
      <c r="H626" s="12"/>
      <c r="I626" s="12"/>
      <c r="J626" s="359"/>
      <c r="K626" s="12"/>
      <c r="L626" s="12"/>
      <c r="M626" s="12"/>
      <c r="N626" s="12"/>
      <c r="O626" s="12"/>
      <c r="P626" s="12"/>
      <c r="Q626" s="12"/>
      <c r="R626" s="359"/>
      <c r="S626" s="12"/>
      <c r="T626" s="12"/>
      <c r="U626" s="12"/>
      <c r="V626" s="12"/>
      <c r="W626" s="12"/>
      <c r="X626" s="12"/>
      <c r="Y626" s="12"/>
      <c r="Z626" s="359"/>
      <c r="AA626" s="12"/>
      <c r="AB626" s="12"/>
      <c r="AC626" s="12"/>
    </row>
    <row r="627" ht="15.75" customHeight="1">
      <c r="A627" s="12"/>
      <c r="B627" s="12"/>
      <c r="C627" s="12"/>
      <c r="D627" s="12"/>
      <c r="E627" s="12"/>
      <c r="F627" s="12"/>
      <c r="G627" s="12"/>
      <c r="H627" s="12"/>
      <c r="I627" s="12"/>
      <c r="J627" s="359"/>
      <c r="K627" s="12"/>
      <c r="L627" s="12"/>
      <c r="M627" s="12"/>
      <c r="N627" s="12"/>
      <c r="O627" s="12"/>
      <c r="P627" s="12"/>
      <c r="Q627" s="12"/>
      <c r="R627" s="359"/>
      <c r="S627" s="12"/>
      <c r="T627" s="12"/>
      <c r="U627" s="12"/>
      <c r="V627" s="12"/>
      <c r="W627" s="12"/>
      <c r="X627" s="12"/>
      <c r="Y627" s="12"/>
      <c r="Z627" s="359"/>
      <c r="AA627" s="12"/>
      <c r="AB627" s="12"/>
      <c r="AC627" s="12"/>
    </row>
    <row r="628" ht="15.75" customHeight="1">
      <c r="A628" s="12"/>
      <c r="B628" s="12"/>
      <c r="C628" s="12"/>
      <c r="D628" s="12"/>
      <c r="E628" s="12"/>
      <c r="F628" s="12"/>
      <c r="G628" s="12"/>
      <c r="H628" s="12"/>
      <c r="I628" s="12"/>
      <c r="J628" s="359"/>
      <c r="K628" s="12"/>
      <c r="L628" s="12"/>
      <c r="M628" s="12"/>
      <c r="N628" s="12"/>
      <c r="O628" s="12"/>
      <c r="P628" s="12"/>
      <c r="Q628" s="12"/>
      <c r="R628" s="359"/>
      <c r="S628" s="12"/>
      <c r="T628" s="12"/>
      <c r="U628" s="12"/>
      <c r="V628" s="12"/>
      <c r="W628" s="12"/>
      <c r="X628" s="12"/>
      <c r="Y628" s="12"/>
      <c r="Z628" s="359"/>
      <c r="AA628" s="12"/>
      <c r="AB628" s="12"/>
      <c r="AC628" s="12"/>
    </row>
    <row r="629" ht="15.75" customHeight="1">
      <c r="A629" s="12"/>
      <c r="B629" s="12"/>
      <c r="C629" s="12"/>
      <c r="D629" s="12"/>
      <c r="E629" s="12"/>
      <c r="F629" s="12"/>
      <c r="G629" s="12"/>
      <c r="H629" s="12"/>
      <c r="I629" s="12"/>
      <c r="J629" s="359"/>
      <c r="K629" s="12"/>
      <c r="L629" s="12"/>
      <c r="M629" s="12"/>
      <c r="N629" s="12"/>
      <c r="O629" s="12"/>
      <c r="P629" s="12"/>
      <c r="Q629" s="12"/>
      <c r="R629" s="359"/>
      <c r="S629" s="12"/>
      <c r="T629" s="12"/>
      <c r="U629" s="12"/>
      <c r="V629" s="12"/>
      <c r="W629" s="12"/>
      <c r="X629" s="12"/>
      <c r="Y629" s="12"/>
      <c r="Z629" s="359"/>
      <c r="AA629" s="12"/>
      <c r="AB629" s="12"/>
      <c r="AC629" s="12"/>
    </row>
    <row r="630" ht="15.75" customHeight="1">
      <c r="A630" s="12"/>
      <c r="B630" s="12"/>
      <c r="C630" s="12"/>
      <c r="D630" s="12"/>
      <c r="E630" s="12"/>
      <c r="F630" s="12"/>
      <c r="G630" s="12"/>
      <c r="H630" s="12"/>
      <c r="I630" s="12"/>
      <c r="J630" s="359"/>
      <c r="K630" s="12"/>
      <c r="L630" s="12"/>
      <c r="M630" s="12"/>
      <c r="N630" s="12"/>
      <c r="O630" s="12"/>
      <c r="P630" s="12"/>
      <c r="Q630" s="12"/>
      <c r="R630" s="359"/>
      <c r="S630" s="12"/>
      <c r="T630" s="12"/>
      <c r="U630" s="12"/>
      <c r="V630" s="12"/>
      <c r="W630" s="12"/>
      <c r="X630" s="12"/>
      <c r="Y630" s="12"/>
      <c r="Z630" s="359"/>
      <c r="AA630" s="12"/>
      <c r="AB630" s="12"/>
      <c r="AC630" s="12"/>
    </row>
    <row r="631" ht="15.75" customHeight="1">
      <c r="A631" s="12"/>
      <c r="B631" s="12"/>
      <c r="C631" s="12"/>
      <c r="D631" s="12"/>
      <c r="E631" s="12"/>
      <c r="F631" s="12"/>
      <c r="G631" s="12"/>
      <c r="H631" s="12"/>
      <c r="I631" s="12"/>
      <c r="J631" s="359"/>
      <c r="K631" s="12"/>
      <c r="L631" s="12"/>
      <c r="M631" s="12"/>
      <c r="N631" s="12"/>
      <c r="O631" s="12"/>
      <c r="P631" s="12"/>
      <c r="Q631" s="12"/>
      <c r="R631" s="359"/>
      <c r="S631" s="12"/>
      <c r="T631" s="12"/>
      <c r="U631" s="12"/>
      <c r="V631" s="12"/>
      <c r="W631" s="12"/>
      <c r="X631" s="12"/>
      <c r="Y631" s="12"/>
      <c r="Z631" s="359"/>
      <c r="AA631" s="12"/>
      <c r="AB631" s="12"/>
      <c r="AC631" s="12"/>
    </row>
    <row r="632" ht="15.75" customHeight="1">
      <c r="A632" s="12"/>
      <c r="B632" s="12"/>
      <c r="C632" s="12"/>
      <c r="D632" s="12"/>
      <c r="E632" s="12"/>
      <c r="F632" s="12"/>
      <c r="G632" s="12"/>
      <c r="H632" s="12"/>
      <c r="I632" s="12"/>
      <c r="J632" s="359"/>
      <c r="K632" s="12"/>
      <c r="L632" s="12"/>
      <c r="M632" s="12"/>
      <c r="N632" s="12"/>
      <c r="O632" s="12"/>
      <c r="P632" s="12"/>
      <c r="Q632" s="12"/>
      <c r="R632" s="359"/>
      <c r="S632" s="12"/>
      <c r="T632" s="12"/>
      <c r="U632" s="12"/>
      <c r="V632" s="12"/>
      <c r="W632" s="12"/>
      <c r="X632" s="12"/>
      <c r="Y632" s="12"/>
      <c r="Z632" s="359"/>
      <c r="AA632" s="12"/>
      <c r="AB632" s="12"/>
      <c r="AC632" s="12"/>
    </row>
    <row r="633" ht="15.75" customHeight="1">
      <c r="A633" s="12"/>
      <c r="B633" s="12"/>
      <c r="C633" s="12"/>
      <c r="D633" s="12"/>
      <c r="E633" s="12"/>
      <c r="F633" s="12"/>
      <c r="G633" s="12"/>
      <c r="H633" s="12"/>
      <c r="I633" s="12"/>
      <c r="J633" s="359"/>
      <c r="K633" s="12"/>
      <c r="L633" s="12"/>
      <c r="M633" s="12"/>
      <c r="N633" s="12"/>
      <c r="O633" s="12"/>
      <c r="P633" s="12"/>
      <c r="Q633" s="12"/>
      <c r="R633" s="359"/>
      <c r="S633" s="12"/>
      <c r="T633" s="12"/>
      <c r="U633" s="12"/>
      <c r="V633" s="12"/>
      <c r="W633" s="12"/>
      <c r="X633" s="12"/>
      <c r="Y633" s="12"/>
      <c r="Z633" s="359"/>
      <c r="AA633" s="12"/>
      <c r="AB633" s="12"/>
      <c r="AC633" s="12"/>
    </row>
    <row r="634" ht="15.75" customHeight="1">
      <c r="A634" s="12"/>
      <c r="B634" s="12"/>
      <c r="C634" s="12"/>
      <c r="D634" s="12"/>
      <c r="E634" s="12"/>
      <c r="F634" s="12"/>
      <c r="G634" s="12"/>
      <c r="H634" s="12"/>
      <c r="I634" s="12"/>
      <c r="J634" s="359"/>
      <c r="K634" s="12"/>
      <c r="L634" s="12"/>
      <c r="M634" s="12"/>
      <c r="N634" s="12"/>
      <c r="O634" s="12"/>
      <c r="P634" s="12"/>
      <c r="Q634" s="12"/>
      <c r="R634" s="359"/>
      <c r="S634" s="12"/>
      <c r="T634" s="12"/>
      <c r="U634" s="12"/>
      <c r="V634" s="12"/>
      <c r="W634" s="12"/>
      <c r="X634" s="12"/>
      <c r="Y634" s="12"/>
      <c r="Z634" s="359"/>
      <c r="AA634" s="12"/>
      <c r="AB634" s="12"/>
      <c r="AC634" s="12"/>
    </row>
    <row r="635" ht="15.75" customHeight="1">
      <c r="A635" s="12"/>
      <c r="B635" s="12"/>
      <c r="C635" s="12"/>
      <c r="D635" s="12"/>
      <c r="E635" s="12"/>
      <c r="F635" s="12"/>
      <c r="G635" s="12"/>
      <c r="H635" s="12"/>
      <c r="I635" s="12"/>
      <c r="J635" s="359"/>
      <c r="K635" s="12"/>
      <c r="L635" s="12"/>
      <c r="M635" s="12"/>
      <c r="N635" s="12"/>
      <c r="O635" s="12"/>
      <c r="P635" s="12"/>
      <c r="Q635" s="12"/>
      <c r="R635" s="359"/>
      <c r="S635" s="12"/>
      <c r="T635" s="12"/>
      <c r="U635" s="12"/>
      <c r="V635" s="12"/>
      <c r="W635" s="12"/>
      <c r="X635" s="12"/>
      <c r="Y635" s="12"/>
      <c r="Z635" s="359"/>
      <c r="AA635" s="12"/>
      <c r="AB635" s="12"/>
      <c r="AC635" s="12"/>
    </row>
    <row r="636" ht="15.75" customHeight="1">
      <c r="A636" s="12"/>
      <c r="B636" s="12"/>
      <c r="C636" s="12"/>
      <c r="D636" s="12"/>
      <c r="E636" s="12"/>
      <c r="F636" s="12"/>
      <c r="G636" s="12"/>
      <c r="H636" s="12"/>
      <c r="I636" s="12"/>
      <c r="J636" s="359"/>
      <c r="K636" s="12"/>
      <c r="L636" s="12"/>
      <c r="M636" s="12"/>
      <c r="N636" s="12"/>
      <c r="O636" s="12"/>
      <c r="P636" s="12"/>
      <c r="Q636" s="12"/>
      <c r="R636" s="359"/>
      <c r="S636" s="12"/>
      <c r="T636" s="12"/>
      <c r="U636" s="12"/>
      <c r="V636" s="12"/>
      <c r="W636" s="12"/>
      <c r="X636" s="12"/>
      <c r="Y636" s="12"/>
      <c r="Z636" s="359"/>
      <c r="AA636" s="12"/>
      <c r="AB636" s="12"/>
      <c r="AC636" s="12"/>
    </row>
    <row r="637" ht="15.75" customHeight="1">
      <c r="A637" s="12"/>
      <c r="B637" s="12"/>
      <c r="C637" s="12"/>
      <c r="D637" s="12"/>
      <c r="E637" s="12"/>
      <c r="F637" s="12"/>
      <c r="G637" s="12"/>
      <c r="H637" s="12"/>
      <c r="I637" s="12"/>
      <c r="J637" s="359"/>
      <c r="K637" s="12"/>
      <c r="L637" s="12"/>
      <c r="M637" s="12"/>
      <c r="N637" s="12"/>
      <c r="O637" s="12"/>
      <c r="P637" s="12"/>
      <c r="Q637" s="12"/>
      <c r="R637" s="359"/>
      <c r="S637" s="12"/>
      <c r="T637" s="12"/>
      <c r="U637" s="12"/>
      <c r="V637" s="12"/>
      <c r="W637" s="12"/>
      <c r="X637" s="12"/>
      <c r="Y637" s="12"/>
      <c r="Z637" s="359"/>
      <c r="AA637" s="12"/>
      <c r="AB637" s="12"/>
      <c r="AC637" s="12"/>
    </row>
    <row r="638" ht="15.75" customHeight="1">
      <c r="A638" s="12"/>
      <c r="B638" s="12"/>
      <c r="C638" s="12"/>
      <c r="D638" s="12"/>
      <c r="E638" s="12"/>
      <c r="F638" s="12"/>
      <c r="G638" s="12"/>
      <c r="H638" s="12"/>
      <c r="I638" s="12"/>
      <c r="J638" s="359"/>
      <c r="K638" s="12"/>
      <c r="L638" s="12"/>
      <c r="M638" s="12"/>
      <c r="N638" s="12"/>
      <c r="O638" s="12"/>
      <c r="P638" s="12"/>
      <c r="Q638" s="12"/>
      <c r="R638" s="359"/>
      <c r="S638" s="12"/>
      <c r="T638" s="12"/>
      <c r="U638" s="12"/>
      <c r="V638" s="12"/>
      <c r="W638" s="12"/>
      <c r="X638" s="12"/>
      <c r="Y638" s="12"/>
      <c r="Z638" s="359"/>
      <c r="AA638" s="12"/>
      <c r="AB638" s="12"/>
      <c r="AC638" s="12"/>
    </row>
    <row r="639" ht="15.75" customHeight="1">
      <c r="A639" s="12"/>
      <c r="B639" s="12"/>
      <c r="C639" s="12"/>
      <c r="D639" s="12"/>
      <c r="E639" s="12"/>
      <c r="F639" s="12"/>
      <c r="G639" s="12"/>
      <c r="H639" s="12"/>
      <c r="I639" s="12"/>
      <c r="J639" s="359"/>
      <c r="K639" s="12"/>
      <c r="L639" s="12"/>
      <c r="M639" s="12"/>
      <c r="N639" s="12"/>
      <c r="O639" s="12"/>
      <c r="P639" s="12"/>
      <c r="Q639" s="12"/>
      <c r="R639" s="359"/>
      <c r="S639" s="12"/>
      <c r="T639" s="12"/>
      <c r="U639" s="12"/>
      <c r="V639" s="12"/>
      <c r="W639" s="12"/>
      <c r="X639" s="12"/>
      <c r="Y639" s="12"/>
      <c r="Z639" s="359"/>
      <c r="AA639" s="12"/>
      <c r="AB639" s="12"/>
      <c r="AC639" s="12"/>
    </row>
    <row r="640" ht="15.75" customHeight="1">
      <c r="A640" s="12"/>
      <c r="B640" s="12"/>
      <c r="C640" s="12"/>
      <c r="D640" s="12"/>
      <c r="E640" s="12"/>
      <c r="F640" s="12"/>
      <c r="G640" s="12"/>
      <c r="H640" s="12"/>
      <c r="I640" s="12"/>
      <c r="J640" s="359"/>
      <c r="K640" s="12"/>
      <c r="L640" s="12"/>
      <c r="M640" s="12"/>
      <c r="N640" s="12"/>
      <c r="O640" s="12"/>
      <c r="P640" s="12"/>
      <c r="Q640" s="12"/>
      <c r="R640" s="359"/>
      <c r="S640" s="12"/>
      <c r="T640" s="12"/>
      <c r="U640" s="12"/>
      <c r="V640" s="12"/>
      <c r="W640" s="12"/>
      <c r="X640" s="12"/>
      <c r="Y640" s="12"/>
      <c r="Z640" s="359"/>
      <c r="AA640" s="12"/>
      <c r="AB640" s="12"/>
      <c r="AC640" s="12"/>
    </row>
    <row r="641" ht="15.75" customHeight="1">
      <c r="A641" s="12"/>
      <c r="B641" s="12"/>
      <c r="C641" s="12"/>
      <c r="D641" s="12"/>
      <c r="E641" s="12"/>
      <c r="F641" s="12"/>
      <c r="G641" s="12"/>
      <c r="H641" s="12"/>
      <c r="I641" s="12"/>
      <c r="J641" s="359"/>
      <c r="K641" s="12"/>
      <c r="L641" s="12"/>
      <c r="M641" s="12"/>
      <c r="N641" s="12"/>
      <c r="O641" s="12"/>
      <c r="P641" s="12"/>
      <c r="Q641" s="12"/>
      <c r="R641" s="359"/>
      <c r="S641" s="12"/>
      <c r="T641" s="12"/>
      <c r="U641" s="12"/>
      <c r="V641" s="12"/>
      <c r="W641" s="12"/>
      <c r="X641" s="12"/>
      <c r="Y641" s="12"/>
      <c r="Z641" s="359"/>
      <c r="AA641" s="12"/>
      <c r="AB641" s="12"/>
      <c r="AC641" s="12"/>
    </row>
    <row r="642" ht="15.75" customHeight="1">
      <c r="A642" s="12"/>
      <c r="B642" s="12"/>
      <c r="C642" s="12"/>
      <c r="D642" s="12"/>
      <c r="E642" s="12"/>
      <c r="F642" s="12"/>
      <c r="G642" s="12"/>
      <c r="H642" s="12"/>
      <c r="I642" s="12"/>
      <c r="J642" s="359"/>
      <c r="K642" s="12"/>
      <c r="L642" s="12"/>
      <c r="M642" s="12"/>
      <c r="N642" s="12"/>
      <c r="O642" s="12"/>
      <c r="P642" s="12"/>
      <c r="Q642" s="12"/>
      <c r="R642" s="359"/>
      <c r="S642" s="12"/>
      <c r="T642" s="12"/>
      <c r="U642" s="12"/>
      <c r="V642" s="12"/>
      <c r="W642" s="12"/>
      <c r="X642" s="12"/>
      <c r="Y642" s="12"/>
      <c r="Z642" s="359"/>
      <c r="AA642" s="12"/>
      <c r="AB642" s="12"/>
      <c r="AC642" s="12"/>
    </row>
    <row r="643" ht="15.75" customHeight="1">
      <c r="A643" s="12"/>
      <c r="B643" s="12"/>
      <c r="C643" s="12"/>
      <c r="D643" s="12"/>
      <c r="E643" s="12"/>
      <c r="F643" s="12"/>
      <c r="G643" s="12"/>
      <c r="H643" s="12"/>
      <c r="I643" s="12"/>
      <c r="J643" s="359"/>
      <c r="K643" s="12"/>
      <c r="L643" s="12"/>
      <c r="M643" s="12"/>
      <c r="N643" s="12"/>
      <c r="O643" s="12"/>
      <c r="P643" s="12"/>
      <c r="Q643" s="12"/>
      <c r="R643" s="359"/>
      <c r="S643" s="12"/>
      <c r="T643" s="12"/>
      <c r="U643" s="12"/>
      <c r="V643" s="12"/>
      <c r="W643" s="12"/>
      <c r="X643" s="12"/>
      <c r="Y643" s="12"/>
      <c r="Z643" s="359"/>
      <c r="AA643" s="12"/>
      <c r="AB643" s="12"/>
      <c r="AC643" s="12"/>
    </row>
    <row r="644" ht="15.75" customHeight="1">
      <c r="A644" s="12"/>
      <c r="B644" s="12"/>
      <c r="C644" s="12"/>
      <c r="D644" s="12"/>
      <c r="E644" s="12"/>
      <c r="F644" s="12"/>
      <c r="G644" s="12"/>
      <c r="H644" s="12"/>
      <c r="I644" s="12"/>
      <c r="J644" s="359"/>
      <c r="K644" s="12"/>
      <c r="L644" s="12"/>
      <c r="M644" s="12"/>
      <c r="N644" s="12"/>
      <c r="O644" s="12"/>
      <c r="P644" s="12"/>
      <c r="Q644" s="12"/>
      <c r="R644" s="359"/>
      <c r="S644" s="12"/>
      <c r="T644" s="12"/>
      <c r="U644" s="12"/>
      <c r="V644" s="12"/>
      <c r="W644" s="12"/>
      <c r="X644" s="12"/>
      <c r="Y644" s="12"/>
      <c r="Z644" s="359"/>
      <c r="AA644" s="12"/>
      <c r="AB644" s="12"/>
      <c r="AC644" s="12"/>
    </row>
    <row r="645" ht="15.75" customHeight="1">
      <c r="A645" s="12"/>
      <c r="B645" s="12"/>
      <c r="C645" s="12"/>
      <c r="D645" s="12"/>
      <c r="E645" s="12"/>
      <c r="F645" s="12"/>
      <c r="G645" s="12"/>
      <c r="H645" s="12"/>
      <c r="I645" s="12"/>
      <c r="J645" s="359"/>
      <c r="K645" s="12"/>
      <c r="L645" s="12"/>
      <c r="M645" s="12"/>
      <c r="N645" s="12"/>
      <c r="O645" s="12"/>
      <c r="P645" s="12"/>
      <c r="Q645" s="12"/>
      <c r="R645" s="359"/>
      <c r="S645" s="12"/>
      <c r="T645" s="12"/>
      <c r="U645" s="12"/>
      <c r="V645" s="12"/>
      <c r="W645" s="12"/>
      <c r="X645" s="12"/>
      <c r="Y645" s="12"/>
      <c r="Z645" s="359"/>
      <c r="AA645" s="12"/>
      <c r="AB645" s="12"/>
      <c r="AC645" s="12"/>
    </row>
    <row r="646" ht="15.75" customHeight="1">
      <c r="A646" s="12"/>
      <c r="B646" s="12"/>
      <c r="C646" s="12"/>
      <c r="D646" s="12"/>
      <c r="E646" s="12"/>
      <c r="F646" s="12"/>
      <c r="G646" s="12"/>
      <c r="H646" s="12"/>
      <c r="I646" s="12"/>
      <c r="J646" s="359"/>
      <c r="K646" s="12"/>
      <c r="L646" s="12"/>
      <c r="M646" s="12"/>
      <c r="N646" s="12"/>
      <c r="O646" s="12"/>
      <c r="P646" s="12"/>
      <c r="Q646" s="12"/>
      <c r="R646" s="359"/>
      <c r="S646" s="12"/>
      <c r="T646" s="12"/>
      <c r="U646" s="12"/>
      <c r="V646" s="12"/>
      <c r="W646" s="12"/>
      <c r="X646" s="12"/>
      <c r="Y646" s="12"/>
      <c r="Z646" s="359"/>
      <c r="AA646" s="12"/>
      <c r="AB646" s="12"/>
      <c r="AC646" s="12"/>
    </row>
    <row r="647" ht="15.75" customHeight="1">
      <c r="A647" s="12"/>
      <c r="B647" s="12"/>
      <c r="C647" s="12"/>
      <c r="D647" s="12"/>
      <c r="E647" s="12"/>
      <c r="F647" s="12"/>
      <c r="G647" s="12"/>
      <c r="H647" s="12"/>
      <c r="I647" s="12"/>
      <c r="J647" s="359"/>
      <c r="K647" s="12"/>
      <c r="L647" s="12"/>
      <c r="M647" s="12"/>
      <c r="N647" s="12"/>
      <c r="O647" s="12"/>
      <c r="P647" s="12"/>
      <c r="Q647" s="12"/>
      <c r="R647" s="359"/>
      <c r="S647" s="12"/>
      <c r="T647" s="12"/>
      <c r="U647" s="12"/>
      <c r="V647" s="12"/>
      <c r="W647" s="12"/>
      <c r="X647" s="12"/>
      <c r="Y647" s="12"/>
      <c r="Z647" s="359"/>
      <c r="AA647" s="12"/>
      <c r="AB647" s="12"/>
      <c r="AC647" s="12"/>
    </row>
    <row r="648" ht="15.75" customHeight="1">
      <c r="A648" s="12"/>
      <c r="B648" s="12"/>
      <c r="C648" s="12"/>
      <c r="D648" s="12"/>
      <c r="E648" s="12"/>
      <c r="F648" s="12"/>
      <c r="G648" s="12"/>
      <c r="H648" s="12"/>
      <c r="I648" s="12"/>
      <c r="J648" s="359"/>
      <c r="K648" s="12"/>
      <c r="L648" s="12"/>
      <c r="M648" s="12"/>
      <c r="N648" s="12"/>
      <c r="O648" s="12"/>
      <c r="P648" s="12"/>
      <c r="Q648" s="12"/>
      <c r="R648" s="359"/>
      <c r="S648" s="12"/>
      <c r="T648" s="12"/>
      <c r="U648" s="12"/>
      <c r="V648" s="12"/>
      <c r="W648" s="12"/>
      <c r="X648" s="12"/>
      <c r="Y648" s="12"/>
      <c r="Z648" s="359"/>
      <c r="AA648" s="12"/>
      <c r="AB648" s="12"/>
      <c r="AC648" s="12"/>
    </row>
    <row r="649" ht="15.75" customHeight="1">
      <c r="A649" s="12"/>
      <c r="B649" s="12"/>
      <c r="C649" s="12"/>
      <c r="D649" s="12"/>
      <c r="E649" s="12"/>
      <c r="F649" s="12"/>
      <c r="G649" s="12"/>
      <c r="H649" s="12"/>
      <c r="I649" s="12"/>
      <c r="J649" s="359"/>
      <c r="K649" s="12"/>
      <c r="L649" s="12"/>
      <c r="M649" s="12"/>
      <c r="N649" s="12"/>
      <c r="O649" s="12"/>
      <c r="P649" s="12"/>
      <c r="Q649" s="12"/>
      <c r="R649" s="359"/>
      <c r="S649" s="12"/>
      <c r="T649" s="12"/>
      <c r="U649" s="12"/>
      <c r="V649" s="12"/>
      <c r="W649" s="12"/>
      <c r="X649" s="12"/>
      <c r="Y649" s="12"/>
      <c r="Z649" s="359"/>
      <c r="AA649" s="12"/>
      <c r="AB649" s="12"/>
      <c r="AC649" s="12"/>
    </row>
    <row r="650" ht="15.75" customHeight="1">
      <c r="A650" s="12"/>
      <c r="B650" s="12"/>
      <c r="C650" s="12"/>
      <c r="D650" s="12"/>
      <c r="E650" s="12"/>
      <c r="F650" s="12"/>
      <c r="G650" s="12"/>
      <c r="H650" s="12"/>
      <c r="I650" s="12"/>
      <c r="J650" s="359"/>
      <c r="K650" s="12"/>
      <c r="L650" s="12"/>
      <c r="M650" s="12"/>
      <c r="N650" s="12"/>
      <c r="O650" s="12"/>
      <c r="P650" s="12"/>
      <c r="Q650" s="12"/>
      <c r="R650" s="359"/>
      <c r="S650" s="12"/>
      <c r="T650" s="12"/>
      <c r="U650" s="12"/>
      <c r="V650" s="12"/>
      <c r="W650" s="12"/>
      <c r="X650" s="12"/>
      <c r="Y650" s="12"/>
      <c r="Z650" s="359"/>
      <c r="AA650" s="12"/>
      <c r="AB650" s="12"/>
      <c r="AC650" s="12"/>
    </row>
    <row r="651" ht="15.75" customHeight="1">
      <c r="A651" s="12"/>
      <c r="B651" s="12"/>
      <c r="C651" s="12"/>
      <c r="D651" s="12"/>
      <c r="E651" s="12"/>
      <c r="F651" s="12"/>
      <c r="G651" s="12"/>
      <c r="H651" s="12"/>
      <c r="I651" s="12"/>
      <c r="J651" s="359"/>
      <c r="K651" s="12"/>
      <c r="L651" s="12"/>
      <c r="M651" s="12"/>
      <c r="N651" s="12"/>
      <c r="O651" s="12"/>
      <c r="P651" s="12"/>
      <c r="Q651" s="12"/>
      <c r="R651" s="359"/>
      <c r="S651" s="12"/>
      <c r="T651" s="12"/>
      <c r="U651" s="12"/>
      <c r="V651" s="12"/>
      <c r="W651" s="12"/>
      <c r="X651" s="12"/>
      <c r="Y651" s="12"/>
      <c r="Z651" s="359"/>
      <c r="AA651" s="12"/>
      <c r="AB651" s="12"/>
      <c r="AC651" s="12"/>
    </row>
    <row r="652" ht="15.75" customHeight="1">
      <c r="A652" s="12"/>
      <c r="B652" s="12"/>
      <c r="C652" s="12"/>
      <c r="D652" s="12"/>
      <c r="E652" s="12"/>
      <c r="F652" s="12"/>
      <c r="G652" s="12"/>
      <c r="H652" s="12"/>
      <c r="I652" s="12"/>
      <c r="J652" s="359"/>
      <c r="K652" s="12"/>
      <c r="L652" s="12"/>
      <c r="M652" s="12"/>
      <c r="N652" s="12"/>
      <c r="O652" s="12"/>
      <c r="P652" s="12"/>
      <c r="Q652" s="12"/>
      <c r="R652" s="359"/>
      <c r="S652" s="12"/>
      <c r="T652" s="12"/>
      <c r="U652" s="12"/>
      <c r="V652" s="12"/>
      <c r="W652" s="12"/>
      <c r="X652" s="12"/>
      <c r="Y652" s="12"/>
      <c r="Z652" s="359"/>
      <c r="AA652" s="12"/>
      <c r="AB652" s="12"/>
      <c r="AC652" s="12"/>
    </row>
    <row r="653" ht="15.75" customHeight="1">
      <c r="A653" s="12"/>
      <c r="B653" s="12"/>
      <c r="C653" s="12"/>
      <c r="D653" s="12"/>
      <c r="E653" s="12"/>
      <c r="F653" s="12"/>
      <c r="G653" s="12"/>
      <c r="H653" s="12"/>
      <c r="I653" s="12"/>
      <c r="J653" s="359"/>
      <c r="K653" s="12"/>
      <c r="L653" s="12"/>
      <c r="M653" s="12"/>
      <c r="N653" s="12"/>
      <c r="O653" s="12"/>
      <c r="P653" s="12"/>
      <c r="Q653" s="12"/>
      <c r="R653" s="359"/>
      <c r="S653" s="12"/>
      <c r="T653" s="12"/>
      <c r="U653" s="12"/>
      <c r="V653" s="12"/>
      <c r="W653" s="12"/>
      <c r="X653" s="12"/>
      <c r="Y653" s="12"/>
      <c r="Z653" s="359"/>
      <c r="AA653" s="12"/>
      <c r="AB653" s="12"/>
      <c r="AC653" s="12"/>
    </row>
    <row r="654" ht="15.75" customHeight="1">
      <c r="A654" s="12"/>
      <c r="B654" s="12"/>
      <c r="C654" s="12"/>
      <c r="D654" s="12"/>
      <c r="E654" s="12"/>
      <c r="F654" s="12"/>
      <c r="G654" s="12"/>
      <c r="H654" s="12"/>
      <c r="I654" s="12"/>
      <c r="J654" s="359"/>
      <c r="K654" s="12"/>
      <c r="L654" s="12"/>
      <c r="M654" s="12"/>
      <c r="N654" s="12"/>
      <c r="O654" s="12"/>
      <c r="P654" s="12"/>
      <c r="Q654" s="12"/>
      <c r="R654" s="359"/>
      <c r="S654" s="12"/>
      <c r="T654" s="12"/>
      <c r="U654" s="12"/>
      <c r="V654" s="12"/>
      <c r="W654" s="12"/>
      <c r="X654" s="12"/>
      <c r="Y654" s="12"/>
      <c r="Z654" s="359"/>
      <c r="AA654" s="12"/>
      <c r="AB654" s="12"/>
      <c r="AC654" s="12"/>
    </row>
    <row r="655" ht="15.75" customHeight="1">
      <c r="A655" s="12"/>
      <c r="B655" s="12"/>
      <c r="C655" s="12"/>
      <c r="D655" s="12"/>
      <c r="E655" s="12"/>
      <c r="F655" s="12"/>
      <c r="G655" s="12"/>
      <c r="H655" s="12"/>
      <c r="I655" s="12"/>
      <c r="J655" s="359"/>
      <c r="K655" s="12"/>
      <c r="L655" s="12"/>
      <c r="M655" s="12"/>
      <c r="N655" s="12"/>
      <c r="O655" s="12"/>
      <c r="P655" s="12"/>
      <c r="Q655" s="12"/>
      <c r="R655" s="359"/>
      <c r="S655" s="12"/>
      <c r="T655" s="12"/>
      <c r="U655" s="12"/>
      <c r="V655" s="12"/>
      <c r="W655" s="12"/>
      <c r="X655" s="12"/>
      <c r="Y655" s="12"/>
      <c r="Z655" s="359"/>
      <c r="AA655" s="12"/>
      <c r="AB655" s="12"/>
      <c r="AC655" s="12"/>
    </row>
    <row r="656" ht="15.75" customHeight="1">
      <c r="A656" s="12"/>
      <c r="B656" s="12"/>
      <c r="C656" s="12"/>
      <c r="D656" s="12"/>
      <c r="E656" s="12"/>
      <c r="F656" s="12"/>
      <c r="G656" s="12"/>
      <c r="H656" s="12"/>
      <c r="I656" s="12"/>
      <c r="J656" s="359"/>
      <c r="K656" s="12"/>
      <c r="L656" s="12"/>
      <c r="M656" s="12"/>
      <c r="N656" s="12"/>
      <c r="O656" s="12"/>
      <c r="P656" s="12"/>
      <c r="Q656" s="12"/>
      <c r="R656" s="359"/>
      <c r="S656" s="12"/>
      <c r="T656" s="12"/>
      <c r="U656" s="12"/>
      <c r="V656" s="12"/>
      <c r="W656" s="12"/>
      <c r="X656" s="12"/>
      <c r="Y656" s="12"/>
      <c r="Z656" s="359"/>
      <c r="AA656" s="12"/>
      <c r="AB656" s="12"/>
      <c r="AC656" s="12"/>
    </row>
    <row r="657" ht="15.75" customHeight="1">
      <c r="A657" s="12"/>
      <c r="B657" s="12"/>
      <c r="C657" s="12"/>
      <c r="D657" s="12"/>
      <c r="E657" s="12"/>
      <c r="F657" s="12"/>
      <c r="G657" s="12"/>
      <c r="H657" s="12"/>
      <c r="I657" s="12"/>
      <c r="J657" s="359"/>
      <c r="K657" s="12"/>
      <c r="L657" s="12"/>
      <c r="M657" s="12"/>
      <c r="N657" s="12"/>
      <c r="O657" s="12"/>
      <c r="P657" s="12"/>
      <c r="Q657" s="12"/>
      <c r="R657" s="359"/>
      <c r="S657" s="12"/>
      <c r="T657" s="12"/>
      <c r="U657" s="12"/>
      <c r="V657" s="12"/>
      <c r="W657" s="12"/>
      <c r="X657" s="12"/>
      <c r="Y657" s="12"/>
      <c r="Z657" s="359"/>
      <c r="AA657" s="12"/>
      <c r="AB657" s="12"/>
      <c r="AC657" s="12"/>
    </row>
    <row r="658" ht="15.75" customHeight="1">
      <c r="A658" s="12"/>
      <c r="B658" s="12"/>
      <c r="C658" s="12"/>
      <c r="D658" s="12"/>
      <c r="E658" s="12"/>
      <c r="F658" s="12"/>
      <c r="G658" s="12"/>
      <c r="H658" s="12"/>
      <c r="I658" s="12"/>
      <c r="J658" s="359"/>
      <c r="K658" s="12"/>
      <c r="L658" s="12"/>
      <c r="M658" s="12"/>
      <c r="N658" s="12"/>
      <c r="O658" s="12"/>
      <c r="P658" s="12"/>
      <c r="Q658" s="12"/>
      <c r="R658" s="359"/>
      <c r="S658" s="12"/>
      <c r="T658" s="12"/>
      <c r="U658" s="12"/>
      <c r="V658" s="12"/>
      <c r="W658" s="12"/>
      <c r="X658" s="12"/>
      <c r="Y658" s="12"/>
      <c r="Z658" s="359"/>
      <c r="AA658" s="12"/>
      <c r="AB658" s="12"/>
      <c r="AC658" s="12"/>
    </row>
    <row r="659" ht="15.75" customHeight="1">
      <c r="A659" s="12"/>
      <c r="B659" s="12"/>
      <c r="C659" s="12"/>
      <c r="D659" s="12"/>
      <c r="E659" s="12"/>
      <c r="F659" s="12"/>
      <c r="G659" s="12"/>
      <c r="H659" s="12"/>
      <c r="I659" s="12"/>
      <c r="J659" s="359"/>
      <c r="K659" s="12"/>
      <c r="L659" s="12"/>
      <c r="M659" s="12"/>
      <c r="N659" s="12"/>
      <c r="O659" s="12"/>
      <c r="P659" s="12"/>
      <c r="Q659" s="12"/>
      <c r="R659" s="359"/>
      <c r="S659" s="12"/>
      <c r="T659" s="12"/>
      <c r="U659" s="12"/>
      <c r="V659" s="12"/>
      <c r="W659" s="12"/>
      <c r="X659" s="12"/>
      <c r="Y659" s="12"/>
      <c r="Z659" s="359"/>
      <c r="AA659" s="12"/>
      <c r="AB659" s="12"/>
      <c r="AC659" s="12"/>
    </row>
    <row r="660" ht="15.75" customHeight="1">
      <c r="A660" s="12"/>
      <c r="B660" s="12"/>
      <c r="C660" s="12"/>
      <c r="D660" s="12"/>
      <c r="E660" s="12"/>
      <c r="F660" s="12"/>
      <c r="G660" s="12"/>
      <c r="H660" s="12"/>
      <c r="I660" s="12"/>
      <c r="J660" s="359"/>
      <c r="K660" s="12"/>
      <c r="L660" s="12"/>
      <c r="M660" s="12"/>
      <c r="N660" s="12"/>
      <c r="O660" s="12"/>
      <c r="P660" s="12"/>
      <c r="Q660" s="12"/>
      <c r="R660" s="359"/>
      <c r="S660" s="12"/>
      <c r="T660" s="12"/>
      <c r="U660" s="12"/>
      <c r="V660" s="12"/>
      <c r="W660" s="12"/>
      <c r="X660" s="12"/>
      <c r="Y660" s="12"/>
      <c r="Z660" s="359"/>
      <c r="AA660" s="12"/>
      <c r="AB660" s="12"/>
      <c r="AC660" s="12"/>
    </row>
    <row r="661" ht="15.75" customHeight="1">
      <c r="A661" s="12"/>
      <c r="B661" s="12"/>
      <c r="C661" s="12"/>
      <c r="D661" s="12"/>
      <c r="E661" s="12"/>
      <c r="F661" s="12"/>
      <c r="G661" s="12"/>
      <c r="H661" s="12"/>
      <c r="I661" s="12"/>
      <c r="J661" s="359"/>
      <c r="K661" s="12"/>
      <c r="L661" s="12"/>
      <c r="M661" s="12"/>
      <c r="N661" s="12"/>
      <c r="O661" s="12"/>
      <c r="P661" s="12"/>
      <c r="Q661" s="12"/>
      <c r="R661" s="359"/>
      <c r="S661" s="12"/>
      <c r="T661" s="12"/>
      <c r="U661" s="12"/>
      <c r="V661" s="12"/>
      <c r="W661" s="12"/>
      <c r="X661" s="12"/>
      <c r="Y661" s="12"/>
      <c r="Z661" s="359"/>
      <c r="AA661" s="12"/>
      <c r="AB661" s="12"/>
      <c r="AC661" s="12"/>
    </row>
    <row r="662" ht="15.75" customHeight="1">
      <c r="A662" s="12"/>
      <c r="B662" s="12"/>
      <c r="C662" s="12"/>
      <c r="D662" s="12"/>
      <c r="E662" s="12"/>
      <c r="F662" s="12"/>
      <c r="G662" s="12"/>
      <c r="H662" s="12"/>
      <c r="I662" s="12"/>
      <c r="J662" s="359"/>
      <c r="K662" s="12"/>
      <c r="L662" s="12"/>
      <c r="M662" s="12"/>
      <c r="N662" s="12"/>
      <c r="O662" s="12"/>
      <c r="P662" s="12"/>
      <c r="Q662" s="12"/>
      <c r="R662" s="359"/>
      <c r="S662" s="12"/>
      <c r="T662" s="12"/>
      <c r="U662" s="12"/>
      <c r="V662" s="12"/>
      <c r="W662" s="12"/>
      <c r="X662" s="12"/>
      <c r="Y662" s="12"/>
      <c r="Z662" s="359"/>
      <c r="AA662" s="12"/>
      <c r="AB662" s="12"/>
      <c r="AC662" s="12"/>
    </row>
    <row r="663" ht="15.75" customHeight="1">
      <c r="A663" s="12"/>
      <c r="B663" s="12"/>
      <c r="C663" s="12"/>
      <c r="D663" s="12"/>
      <c r="E663" s="12"/>
      <c r="F663" s="12"/>
      <c r="G663" s="12"/>
      <c r="H663" s="12"/>
      <c r="I663" s="12"/>
      <c r="J663" s="359"/>
      <c r="K663" s="12"/>
      <c r="L663" s="12"/>
      <c r="M663" s="12"/>
      <c r="N663" s="12"/>
      <c r="O663" s="12"/>
      <c r="P663" s="12"/>
      <c r="Q663" s="12"/>
      <c r="R663" s="359"/>
      <c r="S663" s="12"/>
      <c r="T663" s="12"/>
      <c r="U663" s="12"/>
      <c r="V663" s="12"/>
      <c r="W663" s="12"/>
      <c r="X663" s="12"/>
      <c r="Y663" s="12"/>
      <c r="Z663" s="359"/>
      <c r="AA663" s="12"/>
      <c r="AB663" s="12"/>
      <c r="AC663" s="12"/>
    </row>
    <row r="664" ht="15.75" customHeight="1">
      <c r="A664" s="12"/>
      <c r="B664" s="12"/>
      <c r="C664" s="12"/>
      <c r="D664" s="12"/>
      <c r="E664" s="12"/>
      <c r="F664" s="12"/>
      <c r="G664" s="12"/>
      <c r="H664" s="12"/>
      <c r="I664" s="12"/>
      <c r="J664" s="359"/>
      <c r="K664" s="12"/>
      <c r="L664" s="12"/>
      <c r="M664" s="12"/>
      <c r="N664" s="12"/>
      <c r="O664" s="12"/>
      <c r="P664" s="12"/>
      <c r="Q664" s="12"/>
      <c r="R664" s="359"/>
      <c r="S664" s="12"/>
      <c r="T664" s="12"/>
      <c r="U664" s="12"/>
      <c r="V664" s="12"/>
      <c r="W664" s="12"/>
      <c r="X664" s="12"/>
      <c r="Y664" s="12"/>
      <c r="Z664" s="359"/>
      <c r="AA664" s="12"/>
      <c r="AB664" s="12"/>
      <c r="AC664" s="12"/>
    </row>
    <row r="665" ht="15.75" customHeight="1">
      <c r="A665" s="12"/>
      <c r="B665" s="12"/>
      <c r="C665" s="12"/>
      <c r="D665" s="12"/>
      <c r="E665" s="12"/>
      <c r="F665" s="12"/>
      <c r="G665" s="12"/>
      <c r="H665" s="12"/>
      <c r="I665" s="12"/>
      <c r="J665" s="359"/>
      <c r="K665" s="12"/>
      <c r="L665" s="12"/>
      <c r="M665" s="12"/>
      <c r="N665" s="12"/>
      <c r="O665" s="12"/>
      <c r="P665" s="12"/>
      <c r="Q665" s="12"/>
      <c r="R665" s="359"/>
      <c r="S665" s="12"/>
      <c r="T665" s="12"/>
      <c r="U665" s="12"/>
      <c r="V665" s="12"/>
      <c r="W665" s="12"/>
      <c r="X665" s="12"/>
      <c r="Y665" s="12"/>
      <c r="Z665" s="359"/>
      <c r="AA665" s="12"/>
      <c r="AB665" s="12"/>
      <c r="AC665" s="12"/>
    </row>
    <row r="666" ht="15.75" customHeight="1">
      <c r="A666" s="12"/>
      <c r="B666" s="12"/>
      <c r="C666" s="12"/>
      <c r="D666" s="12"/>
      <c r="E666" s="12"/>
      <c r="F666" s="12"/>
      <c r="G666" s="12"/>
      <c r="H666" s="12"/>
      <c r="I666" s="12"/>
      <c r="J666" s="359"/>
      <c r="K666" s="12"/>
      <c r="L666" s="12"/>
      <c r="M666" s="12"/>
      <c r="N666" s="12"/>
      <c r="O666" s="12"/>
      <c r="P666" s="12"/>
      <c r="Q666" s="12"/>
      <c r="R666" s="359"/>
      <c r="S666" s="12"/>
      <c r="T666" s="12"/>
      <c r="U666" s="12"/>
      <c r="V666" s="12"/>
      <c r="W666" s="12"/>
      <c r="X666" s="12"/>
      <c r="Y666" s="12"/>
      <c r="Z666" s="359"/>
      <c r="AA666" s="12"/>
      <c r="AB666" s="12"/>
      <c r="AC666" s="12"/>
    </row>
    <row r="667" ht="15.75" customHeight="1">
      <c r="A667" s="12"/>
      <c r="B667" s="12"/>
      <c r="C667" s="12"/>
      <c r="D667" s="12"/>
      <c r="E667" s="12"/>
      <c r="F667" s="12"/>
      <c r="G667" s="12"/>
      <c r="H667" s="12"/>
      <c r="I667" s="12"/>
      <c r="J667" s="359"/>
      <c r="K667" s="12"/>
      <c r="L667" s="12"/>
      <c r="M667" s="12"/>
      <c r="N667" s="12"/>
      <c r="O667" s="12"/>
      <c r="P667" s="12"/>
      <c r="Q667" s="12"/>
      <c r="R667" s="359"/>
      <c r="S667" s="12"/>
      <c r="T667" s="12"/>
      <c r="U667" s="12"/>
      <c r="V667" s="12"/>
      <c r="W667" s="12"/>
      <c r="X667" s="12"/>
      <c r="Y667" s="12"/>
      <c r="Z667" s="359"/>
      <c r="AA667" s="12"/>
      <c r="AB667" s="12"/>
      <c r="AC667" s="12"/>
    </row>
    <row r="668" ht="15.75" customHeight="1">
      <c r="A668" s="12"/>
      <c r="B668" s="12"/>
      <c r="C668" s="12"/>
      <c r="D668" s="12"/>
      <c r="E668" s="12"/>
      <c r="F668" s="12"/>
      <c r="G668" s="12"/>
      <c r="H668" s="12"/>
      <c r="I668" s="12"/>
      <c r="J668" s="359"/>
      <c r="K668" s="12"/>
      <c r="L668" s="12"/>
      <c r="M668" s="12"/>
      <c r="N668" s="12"/>
      <c r="O668" s="12"/>
      <c r="P668" s="12"/>
      <c r="Q668" s="12"/>
      <c r="R668" s="359"/>
      <c r="S668" s="12"/>
      <c r="T668" s="12"/>
      <c r="U668" s="12"/>
      <c r="V668" s="12"/>
      <c r="W668" s="12"/>
      <c r="X668" s="12"/>
      <c r="Y668" s="12"/>
      <c r="Z668" s="359"/>
      <c r="AA668" s="12"/>
      <c r="AB668" s="12"/>
      <c r="AC668" s="12"/>
    </row>
    <row r="669" ht="15.75" customHeight="1">
      <c r="A669" s="12"/>
      <c r="B669" s="12"/>
      <c r="C669" s="12"/>
      <c r="D669" s="12"/>
      <c r="E669" s="12"/>
      <c r="F669" s="12"/>
      <c r="G669" s="12"/>
      <c r="H669" s="12"/>
      <c r="I669" s="12"/>
      <c r="J669" s="359"/>
      <c r="K669" s="12"/>
      <c r="L669" s="12"/>
      <c r="M669" s="12"/>
      <c r="N669" s="12"/>
      <c r="O669" s="12"/>
      <c r="P669" s="12"/>
      <c r="Q669" s="12"/>
      <c r="R669" s="359"/>
      <c r="S669" s="12"/>
      <c r="T669" s="12"/>
      <c r="U669" s="12"/>
      <c r="V669" s="12"/>
      <c r="W669" s="12"/>
      <c r="X669" s="12"/>
      <c r="Y669" s="12"/>
      <c r="Z669" s="359"/>
      <c r="AA669" s="12"/>
      <c r="AB669" s="12"/>
      <c r="AC669" s="12"/>
    </row>
    <row r="670" ht="15.75" customHeight="1">
      <c r="A670" s="12"/>
      <c r="B670" s="12"/>
      <c r="C670" s="12"/>
      <c r="D670" s="12"/>
      <c r="E670" s="12"/>
      <c r="F670" s="12"/>
      <c r="G670" s="12"/>
      <c r="H670" s="12"/>
      <c r="I670" s="12"/>
      <c r="J670" s="359"/>
      <c r="K670" s="12"/>
      <c r="L670" s="12"/>
      <c r="M670" s="12"/>
      <c r="N670" s="12"/>
      <c r="O670" s="12"/>
      <c r="P670" s="12"/>
      <c r="Q670" s="12"/>
      <c r="R670" s="359"/>
      <c r="S670" s="12"/>
      <c r="T670" s="12"/>
      <c r="U670" s="12"/>
      <c r="V670" s="12"/>
      <c r="W670" s="12"/>
      <c r="X670" s="12"/>
      <c r="Y670" s="12"/>
      <c r="Z670" s="359"/>
      <c r="AA670" s="12"/>
      <c r="AB670" s="12"/>
      <c r="AC670" s="12"/>
    </row>
    <row r="671" ht="15.75" customHeight="1">
      <c r="A671" s="12"/>
      <c r="B671" s="12"/>
      <c r="C671" s="12"/>
      <c r="D671" s="12"/>
      <c r="E671" s="12"/>
      <c r="F671" s="12"/>
      <c r="G671" s="12"/>
      <c r="H671" s="12"/>
      <c r="I671" s="12"/>
      <c r="J671" s="359"/>
      <c r="K671" s="12"/>
      <c r="L671" s="12"/>
      <c r="M671" s="12"/>
      <c r="N671" s="12"/>
      <c r="O671" s="12"/>
      <c r="P671" s="12"/>
      <c r="Q671" s="12"/>
      <c r="R671" s="359"/>
      <c r="S671" s="12"/>
      <c r="T671" s="12"/>
      <c r="U671" s="12"/>
      <c r="V671" s="12"/>
      <c r="W671" s="12"/>
      <c r="X671" s="12"/>
      <c r="Y671" s="12"/>
      <c r="Z671" s="359"/>
      <c r="AA671" s="12"/>
      <c r="AB671" s="12"/>
      <c r="AC671" s="12"/>
    </row>
    <row r="672" ht="15.75" customHeight="1">
      <c r="A672" s="12"/>
      <c r="B672" s="12"/>
      <c r="C672" s="12"/>
      <c r="D672" s="12"/>
      <c r="E672" s="12"/>
      <c r="F672" s="12"/>
      <c r="G672" s="12"/>
      <c r="H672" s="12"/>
      <c r="I672" s="12"/>
      <c r="J672" s="359"/>
      <c r="K672" s="12"/>
      <c r="L672" s="12"/>
      <c r="M672" s="12"/>
      <c r="N672" s="12"/>
      <c r="O672" s="12"/>
      <c r="P672" s="12"/>
      <c r="Q672" s="12"/>
      <c r="R672" s="359"/>
      <c r="S672" s="12"/>
      <c r="T672" s="12"/>
      <c r="U672" s="12"/>
      <c r="V672" s="12"/>
      <c r="W672" s="12"/>
      <c r="X672" s="12"/>
      <c r="Y672" s="12"/>
      <c r="Z672" s="359"/>
      <c r="AA672" s="12"/>
      <c r="AB672" s="12"/>
      <c r="AC672" s="12"/>
    </row>
    <row r="673" ht="15.75" customHeight="1">
      <c r="A673" s="12"/>
      <c r="B673" s="12"/>
      <c r="C673" s="12"/>
      <c r="D673" s="12"/>
      <c r="E673" s="12"/>
      <c r="F673" s="12"/>
      <c r="G673" s="12"/>
      <c r="H673" s="12"/>
      <c r="I673" s="12"/>
      <c r="J673" s="359"/>
      <c r="K673" s="12"/>
      <c r="L673" s="12"/>
      <c r="M673" s="12"/>
      <c r="N673" s="12"/>
      <c r="O673" s="12"/>
      <c r="P673" s="12"/>
      <c r="Q673" s="12"/>
      <c r="R673" s="359"/>
      <c r="S673" s="12"/>
      <c r="T673" s="12"/>
      <c r="U673" s="12"/>
      <c r="V673" s="12"/>
      <c r="W673" s="12"/>
      <c r="X673" s="12"/>
      <c r="Y673" s="12"/>
      <c r="Z673" s="359"/>
      <c r="AA673" s="12"/>
      <c r="AB673" s="12"/>
      <c r="AC673" s="12"/>
    </row>
    <row r="674" ht="15.75" customHeight="1">
      <c r="A674" s="12"/>
      <c r="B674" s="12"/>
      <c r="C674" s="12"/>
      <c r="D674" s="12"/>
      <c r="E674" s="12"/>
      <c r="F674" s="12"/>
      <c r="G674" s="12"/>
      <c r="H674" s="12"/>
      <c r="I674" s="12"/>
      <c r="J674" s="359"/>
      <c r="K674" s="12"/>
      <c r="L674" s="12"/>
      <c r="M674" s="12"/>
      <c r="N674" s="12"/>
      <c r="O674" s="12"/>
      <c r="P674" s="12"/>
      <c r="Q674" s="12"/>
      <c r="R674" s="359"/>
      <c r="S674" s="12"/>
      <c r="T674" s="12"/>
      <c r="U674" s="12"/>
      <c r="V674" s="12"/>
      <c r="W674" s="12"/>
      <c r="X674" s="12"/>
      <c r="Y674" s="12"/>
      <c r="Z674" s="359"/>
      <c r="AA674" s="12"/>
      <c r="AB674" s="12"/>
      <c r="AC674" s="12"/>
    </row>
    <row r="675" ht="15.75" customHeight="1">
      <c r="A675" s="12"/>
      <c r="B675" s="12"/>
      <c r="C675" s="12"/>
      <c r="D675" s="12"/>
      <c r="E675" s="12"/>
      <c r="F675" s="12"/>
      <c r="G675" s="12"/>
      <c r="H675" s="12"/>
      <c r="I675" s="12"/>
      <c r="J675" s="359"/>
      <c r="K675" s="12"/>
      <c r="L675" s="12"/>
      <c r="M675" s="12"/>
      <c r="N675" s="12"/>
      <c r="O675" s="12"/>
      <c r="P675" s="12"/>
      <c r="Q675" s="12"/>
      <c r="R675" s="359"/>
      <c r="S675" s="12"/>
      <c r="T675" s="12"/>
      <c r="U675" s="12"/>
      <c r="V675" s="12"/>
      <c r="W675" s="12"/>
      <c r="X675" s="12"/>
      <c r="Y675" s="12"/>
      <c r="Z675" s="359"/>
      <c r="AA675" s="12"/>
      <c r="AB675" s="12"/>
      <c r="AC675" s="12"/>
    </row>
    <row r="676" ht="15.75" customHeight="1">
      <c r="A676" s="12"/>
      <c r="B676" s="12"/>
      <c r="C676" s="12"/>
      <c r="D676" s="12"/>
      <c r="E676" s="12"/>
      <c r="F676" s="12"/>
      <c r="G676" s="12"/>
      <c r="H676" s="12"/>
      <c r="I676" s="12"/>
      <c r="J676" s="359"/>
      <c r="K676" s="12"/>
      <c r="L676" s="12"/>
      <c r="M676" s="12"/>
      <c r="N676" s="12"/>
      <c r="O676" s="12"/>
      <c r="P676" s="12"/>
      <c r="Q676" s="12"/>
      <c r="R676" s="359"/>
      <c r="S676" s="12"/>
      <c r="T676" s="12"/>
      <c r="U676" s="12"/>
      <c r="V676" s="12"/>
      <c r="W676" s="12"/>
      <c r="X676" s="12"/>
      <c r="Y676" s="12"/>
      <c r="Z676" s="359"/>
      <c r="AA676" s="12"/>
      <c r="AB676" s="12"/>
      <c r="AC676" s="12"/>
    </row>
    <row r="677" ht="15.75" customHeight="1">
      <c r="A677" s="12"/>
      <c r="B677" s="12"/>
      <c r="C677" s="12"/>
      <c r="D677" s="12"/>
      <c r="E677" s="12"/>
      <c r="F677" s="12"/>
      <c r="G677" s="12"/>
      <c r="H677" s="12"/>
      <c r="I677" s="12"/>
      <c r="J677" s="359"/>
      <c r="K677" s="12"/>
      <c r="L677" s="12"/>
      <c r="M677" s="12"/>
      <c r="N677" s="12"/>
      <c r="O677" s="12"/>
      <c r="P677" s="12"/>
      <c r="Q677" s="12"/>
      <c r="R677" s="359"/>
      <c r="S677" s="12"/>
      <c r="T677" s="12"/>
      <c r="U677" s="12"/>
      <c r="V677" s="12"/>
      <c r="W677" s="12"/>
      <c r="X677" s="12"/>
      <c r="Y677" s="12"/>
      <c r="Z677" s="359"/>
      <c r="AA677" s="12"/>
      <c r="AB677" s="12"/>
      <c r="AC677" s="12"/>
    </row>
    <row r="678" ht="15.75" customHeight="1">
      <c r="A678" s="12"/>
      <c r="B678" s="12"/>
      <c r="C678" s="12"/>
      <c r="D678" s="12"/>
      <c r="E678" s="12"/>
      <c r="F678" s="12"/>
      <c r="G678" s="12"/>
      <c r="H678" s="12"/>
      <c r="I678" s="12"/>
      <c r="J678" s="359"/>
      <c r="K678" s="12"/>
      <c r="L678" s="12"/>
      <c r="M678" s="12"/>
      <c r="N678" s="12"/>
      <c r="O678" s="12"/>
      <c r="P678" s="12"/>
      <c r="Q678" s="12"/>
      <c r="R678" s="359"/>
      <c r="S678" s="12"/>
      <c r="T678" s="12"/>
      <c r="U678" s="12"/>
      <c r="V678" s="12"/>
      <c r="W678" s="12"/>
      <c r="X678" s="12"/>
      <c r="Y678" s="12"/>
      <c r="Z678" s="359"/>
      <c r="AA678" s="12"/>
      <c r="AB678" s="12"/>
      <c r="AC678" s="12"/>
    </row>
    <row r="679" ht="15.75" customHeight="1">
      <c r="A679" s="12"/>
      <c r="B679" s="12"/>
      <c r="C679" s="12"/>
      <c r="D679" s="12"/>
      <c r="E679" s="12"/>
      <c r="F679" s="12"/>
      <c r="G679" s="12"/>
      <c r="H679" s="12"/>
      <c r="I679" s="12"/>
      <c r="J679" s="359"/>
      <c r="K679" s="12"/>
      <c r="L679" s="12"/>
      <c r="M679" s="12"/>
      <c r="N679" s="12"/>
      <c r="O679" s="12"/>
      <c r="P679" s="12"/>
      <c r="Q679" s="12"/>
      <c r="R679" s="359"/>
      <c r="S679" s="12"/>
      <c r="T679" s="12"/>
      <c r="U679" s="12"/>
      <c r="V679" s="12"/>
      <c r="W679" s="12"/>
      <c r="X679" s="12"/>
      <c r="Y679" s="12"/>
      <c r="Z679" s="359"/>
      <c r="AA679" s="12"/>
      <c r="AB679" s="12"/>
      <c r="AC679" s="12"/>
    </row>
    <row r="680" ht="15.75" customHeight="1">
      <c r="A680" s="12"/>
      <c r="B680" s="12"/>
      <c r="C680" s="12"/>
      <c r="D680" s="12"/>
      <c r="E680" s="12"/>
      <c r="F680" s="12"/>
      <c r="G680" s="12"/>
      <c r="H680" s="12"/>
      <c r="I680" s="12"/>
      <c r="J680" s="359"/>
      <c r="K680" s="12"/>
      <c r="L680" s="12"/>
      <c r="M680" s="12"/>
      <c r="N680" s="12"/>
      <c r="O680" s="12"/>
      <c r="P680" s="12"/>
      <c r="Q680" s="12"/>
      <c r="R680" s="359"/>
      <c r="S680" s="12"/>
      <c r="T680" s="12"/>
      <c r="U680" s="12"/>
      <c r="V680" s="12"/>
      <c r="W680" s="12"/>
      <c r="X680" s="12"/>
      <c r="Y680" s="12"/>
      <c r="Z680" s="359"/>
      <c r="AA680" s="12"/>
      <c r="AB680" s="12"/>
      <c r="AC680" s="12"/>
    </row>
    <row r="681" ht="15.75" customHeight="1">
      <c r="A681" s="12"/>
      <c r="B681" s="12"/>
      <c r="C681" s="12"/>
      <c r="D681" s="12"/>
      <c r="E681" s="12"/>
      <c r="F681" s="12"/>
      <c r="G681" s="12"/>
      <c r="H681" s="12"/>
      <c r="I681" s="12"/>
      <c r="J681" s="359"/>
      <c r="K681" s="12"/>
      <c r="L681" s="12"/>
      <c r="M681" s="12"/>
      <c r="N681" s="12"/>
      <c r="O681" s="12"/>
      <c r="P681" s="12"/>
      <c r="Q681" s="12"/>
      <c r="R681" s="359"/>
      <c r="S681" s="12"/>
      <c r="T681" s="12"/>
      <c r="U681" s="12"/>
      <c r="V681" s="12"/>
      <c r="W681" s="12"/>
      <c r="X681" s="12"/>
      <c r="Y681" s="12"/>
      <c r="Z681" s="359"/>
      <c r="AA681" s="12"/>
      <c r="AB681" s="12"/>
      <c r="AC681" s="12"/>
    </row>
    <row r="682" ht="15.75" customHeight="1">
      <c r="A682" s="12"/>
      <c r="B682" s="12"/>
      <c r="C682" s="12"/>
      <c r="D682" s="12"/>
      <c r="E682" s="12"/>
      <c r="F682" s="12"/>
      <c r="G682" s="12"/>
      <c r="H682" s="12"/>
      <c r="I682" s="12"/>
      <c r="J682" s="359"/>
      <c r="K682" s="12"/>
      <c r="L682" s="12"/>
      <c r="M682" s="12"/>
      <c r="N682" s="12"/>
      <c r="O682" s="12"/>
      <c r="P682" s="12"/>
      <c r="Q682" s="12"/>
      <c r="R682" s="359"/>
      <c r="S682" s="12"/>
      <c r="T682" s="12"/>
      <c r="U682" s="12"/>
      <c r="V682" s="12"/>
      <c r="W682" s="12"/>
      <c r="X682" s="12"/>
      <c r="Y682" s="12"/>
      <c r="Z682" s="359"/>
      <c r="AA682" s="12"/>
      <c r="AB682" s="12"/>
      <c r="AC682" s="12"/>
    </row>
    <row r="683" ht="15.75" customHeight="1">
      <c r="A683" s="12"/>
      <c r="B683" s="12"/>
      <c r="C683" s="12"/>
      <c r="D683" s="12"/>
      <c r="E683" s="12"/>
      <c r="F683" s="12"/>
      <c r="G683" s="12"/>
      <c r="H683" s="12"/>
      <c r="I683" s="12"/>
      <c r="J683" s="359"/>
      <c r="K683" s="12"/>
      <c r="L683" s="12"/>
      <c r="M683" s="12"/>
      <c r="N683" s="12"/>
      <c r="O683" s="12"/>
      <c r="P683" s="12"/>
      <c r="Q683" s="12"/>
      <c r="R683" s="359"/>
      <c r="S683" s="12"/>
      <c r="T683" s="12"/>
      <c r="U683" s="12"/>
      <c r="V683" s="12"/>
      <c r="W683" s="12"/>
      <c r="X683" s="12"/>
      <c r="Y683" s="12"/>
      <c r="Z683" s="359"/>
      <c r="AA683" s="12"/>
      <c r="AB683" s="12"/>
      <c r="AC683" s="12"/>
    </row>
    <row r="684" ht="15.75" customHeight="1">
      <c r="A684" s="12"/>
      <c r="B684" s="12"/>
      <c r="C684" s="12"/>
      <c r="D684" s="12"/>
      <c r="E684" s="12"/>
      <c r="F684" s="12"/>
      <c r="G684" s="12"/>
      <c r="H684" s="12"/>
      <c r="I684" s="12"/>
      <c r="J684" s="359"/>
      <c r="K684" s="12"/>
      <c r="L684" s="12"/>
      <c r="M684" s="12"/>
      <c r="N684" s="12"/>
      <c r="O684" s="12"/>
      <c r="P684" s="12"/>
      <c r="Q684" s="12"/>
      <c r="R684" s="359"/>
      <c r="S684" s="12"/>
      <c r="T684" s="12"/>
      <c r="U684" s="12"/>
      <c r="V684" s="12"/>
      <c r="W684" s="12"/>
      <c r="X684" s="12"/>
      <c r="Y684" s="12"/>
      <c r="Z684" s="359"/>
      <c r="AA684" s="12"/>
      <c r="AB684" s="12"/>
      <c r="AC684" s="12"/>
    </row>
    <row r="685" ht="15.75" customHeight="1">
      <c r="A685" s="12"/>
      <c r="B685" s="12"/>
      <c r="C685" s="12"/>
      <c r="D685" s="12"/>
      <c r="E685" s="12"/>
      <c r="F685" s="12"/>
      <c r="G685" s="12"/>
      <c r="H685" s="12"/>
      <c r="I685" s="12"/>
      <c r="J685" s="359"/>
      <c r="K685" s="12"/>
      <c r="L685" s="12"/>
      <c r="M685" s="12"/>
      <c r="N685" s="12"/>
      <c r="O685" s="12"/>
      <c r="P685" s="12"/>
      <c r="Q685" s="12"/>
      <c r="R685" s="359"/>
      <c r="S685" s="12"/>
      <c r="T685" s="12"/>
      <c r="U685" s="12"/>
      <c r="V685" s="12"/>
      <c r="W685" s="12"/>
      <c r="X685" s="12"/>
      <c r="Y685" s="12"/>
      <c r="Z685" s="359"/>
      <c r="AA685" s="12"/>
      <c r="AB685" s="12"/>
      <c r="AC685" s="12"/>
    </row>
    <row r="686" ht="15.75" customHeight="1">
      <c r="A686" s="12"/>
      <c r="B686" s="12"/>
      <c r="C686" s="12"/>
      <c r="D686" s="12"/>
      <c r="E686" s="12"/>
      <c r="F686" s="12"/>
      <c r="G686" s="12"/>
      <c r="H686" s="12"/>
      <c r="I686" s="12"/>
      <c r="J686" s="359"/>
      <c r="K686" s="12"/>
      <c r="L686" s="12"/>
      <c r="M686" s="12"/>
      <c r="N686" s="12"/>
      <c r="O686" s="12"/>
      <c r="P686" s="12"/>
      <c r="Q686" s="12"/>
      <c r="R686" s="359"/>
      <c r="S686" s="12"/>
      <c r="T686" s="12"/>
      <c r="U686" s="12"/>
      <c r="V686" s="12"/>
      <c r="W686" s="12"/>
      <c r="X686" s="12"/>
      <c r="Y686" s="12"/>
      <c r="Z686" s="359"/>
      <c r="AA686" s="12"/>
      <c r="AB686" s="12"/>
      <c r="AC686" s="12"/>
    </row>
    <row r="687" ht="15.75" customHeight="1">
      <c r="A687" s="12"/>
      <c r="B687" s="12"/>
      <c r="C687" s="12"/>
      <c r="D687" s="12"/>
      <c r="E687" s="12"/>
      <c r="F687" s="12"/>
      <c r="G687" s="12"/>
      <c r="H687" s="12"/>
      <c r="I687" s="12"/>
      <c r="J687" s="359"/>
      <c r="K687" s="12"/>
      <c r="L687" s="12"/>
      <c r="M687" s="12"/>
      <c r="N687" s="12"/>
      <c r="O687" s="12"/>
      <c r="P687" s="12"/>
      <c r="Q687" s="12"/>
      <c r="R687" s="359"/>
      <c r="S687" s="12"/>
      <c r="T687" s="12"/>
      <c r="U687" s="12"/>
      <c r="V687" s="12"/>
      <c r="W687" s="12"/>
      <c r="X687" s="12"/>
      <c r="Y687" s="12"/>
      <c r="Z687" s="359"/>
      <c r="AA687" s="12"/>
      <c r="AB687" s="12"/>
      <c r="AC687" s="12"/>
    </row>
    <row r="688" ht="15.75" customHeight="1">
      <c r="A688" s="12"/>
      <c r="B688" s="12"/>
      <c r="C688" s="12"/>
      <c r="D688" s="12"/>
      <c r="E688" s="12"/>
      <c r="F688" s="12"/>
      <c r="G688" s="12"/>
      <c r="H688" s="12"/>
      <c r="I688" s="12"/>
      <c r="J688" s="359"/>
      <c r="K688" s="12"/>
      <c r="L688" s="12"/>
      <c r="M688" s="12"/>
      <c r="N688" s="12"/>
      <c r="O688" s="12"/>
      <c r="P688" s="12"/>
      <c r="Q688" s="12"/>
      <c r="R688" s="359"/>
      <c r="S688" s="12"/>
      <c r="T688" s="12"/>
      <c r="U688" s="12"/>
      <c r="V688" s="12"/>
      <c r="W688" s="12"/>
      <c r="X688" s="12"/>
      <c r="Y688" s="12"/>
      <c r="Z688" s="359"/>
      <c r="AA688" s="12"/>
      <c r="AB688" s="12"/>
      <c r="AC688" s="12"/>
    </row>
    <row r="689" ht="15.75" customHeight="1">
      <c r="A689" s="12"/>
      <c r="B689" s="12"/>
      <c r="C689" s="12"/>
      <c r="D689" s="12"/>
      <c r="E689" s="12"/>
      <c r="F689" s="12"/>
      <c r="G689" s="12"/>
      <c r="H689" s="12"/>
      <c r="I689" s="12"/>
      <c r="J689" s="359"/>
      <c r="K689" s="12"/>
      <c r="L689" s="12"/>
      <c r="M689" s="12"/>
      <c r="N689" s="12"/>
      <c r="O689" s="12"/>
      <c r="P689" s="12"/>
      <c r="Q689" s="12"/>
      <c r="R689" s="359"/>
      <c r="S689" s="12"/>
      <c r="T689" s="12"/>
      <c r="U689" s="12"/>
      <c r="V689" s="12"/>
      <c r="W689" s="12"/>
      <c r="X689" s="12"/>
      <c r="Y689" s="12"/>
      <c r="Z689" s="359"/>
      <c r="AA689" s="12"/>
      <c r="AB689" s="12"/>
      <c r="AC689" s="12"/>
    </row>
    <row r="690" ht="15.75" customHeight="1">
      <c r="A690" s="12"/>
      <c r="B690" s="12"/>
      <c r="C690" s="12"/>
      <c r="D690" s="12"/>
      <c r="E690" s="12"/>
      <c r="F690" s="12"/>
      <c r="G690" s="12"/>
      <c r="H690" s="12"/>
      <c r="I690" s="12"/>
      <c r="J690" s="359"/>
      <c r="K690" s="12"/>
      <c r="L690" s="12"/>
      <c r="M690" s="12"/>
      <c r="N690" s="12"/>
      <c r="O690" s="12"/>
      <c r="P690" s="12"/>
      <c r="Q690" s="12"/>
      <c r="R690" s="359"/>
      <c r="S690" s="12"/>
      <c r="T690" s="12"/>
      <c r="U690" s="12"/>
      <c r="V690" s="12"/>
      <c r="W690" s="12"/>
      <c r="X690" s="12"/>
      <c r="Y690" s="12"/>
      <c r="Z690" s="359"/>
      <c r="AA690" s="12"/>
      <c r="AB690" s="12"/>
      <c r="AC690" s="12"/>
    </row>
    <row r="691" ht="15.75" customHeight="1">
      <c r="A691" s="12"/>
      <c r="B691" s="12"/>
      <c r="C691" s="12"/>
      <c r="D691" s="12"/>
      <c r="E691" s="12"/>
      <c r="F691" s="12"/>
      <c r="G691" s="12"/>
      <c r="H691" s="12"/>
      <c r="I691" s="12"/>
      <c r="J691" s="359"/>
      <c r="K691" s="12"/>
      <c r="L691" s="12"/>
      <c r="M691" s="12"/>
      <c r="N691" s="12"/>
      <c r="O691" s="12"/>
      <c r="P691" s="12"/>
      <c r="Q691" s="12"/>
      <c r="R691" s="359"/>
      <c r="S691" s="12"/>
      <c r="T691" s="12"/>
      <c r="U691" s="12"/>
      <c r="V691" s="12"/>
      <c r="W691" s="12"/>
      <c r="X691" s="12"/>
      <c r="Y691" s="12"/>
      <c r="Z691" s="359"/>
      <c r="AA691" s="12"/>
      <c r="AB691" s="12"/>
      <c r="AC691" s="12"/>
    </row>
    <row r="692" ht="15.75" customHeight="1">
      <c r="A692" s="12"/>
      <c r="B692" s="12"/>
      <c r="C692" s="12"/>
      <c r="D692" s="12"/>
      <c r="E692" s="12"/>
      <c r="F692" s="12"/>
      <c r="G692" s="12"/>
      <c r="H692" s="12"/>
      <c r="I692" s="12"/>
      <c r="J692" s="359"/>
      <c r="K692" s="12"/>
      <c r="L692" s="12"/>
      <c r="M692" s="12"/>
      <c r="N692" s="12"/>
      <c r="O692" s="12"/>
      <c r="P692" s="12"/>
      <c r="Q692" s="12"/>
      <c r="R692" s="359"/>
      <c r="S692" s="12"/>
      <c r="T692" s="12"/>
      <c r="U692" s="12"/>
      <c r="V692" s="12"/>
      <c r="W692" s="12"/>
      <c r="X692" s="12"/>
      <c r="Y692" s="12"/>
      <c r="Z692" s="359"/>
      <c r="AA692" s="12"/>
      <c r="AB692" s="12"/>
      <c r="AC692" s="12"/>
    </row>
    <row r="693" ht="15.75" customHeight="1">
      <c r="A693" s="12"/>
      <c r="B693" s="12"/>
      <c r="C693" s="12"/>
      <c r="D693" s="12"/>
      <c r="E693" s="12"/>
      <c r="F693" s="12"/>
      <c r="G693" s="12"/>
      <c r="H693" s="12"/>
      <c r="I693" s="12"/>
      <c r="J693" s="359"/>
      <c r="K693" s="12"/>
      <c r="L693" s="12"/>
      <c r="M693" s="12"/>
      <c r="N693" s="12"/>
      <c r="O693" s="12"/>
      <c r="P693" s="12"/>
      <c r="Q693" s="12"/>
      <c r="R693" s="359"/>
      <c r="S693" s="12"/>
      <c r="T693" s="12"/>
      <c r="U693" s="12"/>
      <c r="V693" s="12"/>
      <c r="W693" s="12"/>
      <c r="X693" s="12"/>
      <c r="Y693" s="12"/>
      <c r="Z693" s="359"/>
      <c r="AA693" s="12"/>
      <c r="AB693" s="12"/>
      <c r="AC693" s="12"/>
    </row>
    <row r="694" ht="15.75" customHeight="1">
      <c r="A694" s="12"/>
      <c r="B694" s="12"/>
      <c r="C694" s="12"/>
      <c r="D694" s="12"/>
      <c r="E694" s="12"/>
      <c r="F694" s="12"/>
      <c r="G694" s="12"/>
      <c r="H694" s="12"/>
      <c r="I694" s="12"/>
      <c r="J694" s="359"/>
      <c r="K694" s="12"/>
      <c r="L694" s="12"/>
      <c r="M694" s="12"/>
      <c r="N694" s="12"/>
      <c r="O694" s="12"/>
      <c r="P694" s="12"/>
      <c r="Q694" s="12"/>
      <c r="R694" s="359"/>
      <c r="S694" s="12"/>
      <c r="T694" s="12"/>
      <c r="U694" s="12"/>
      <c r="V694" s="12"/>
      <c r="W694" s="12"/>
      <c r="X694" s="12"/>
      <c r="Y694" s="12"/>
      <c r="Z694" s="359"/>
      <c r="AA694" s="12"/>
      <c r="AB694" s="12"/>
      <c r="AC694" s="12"/>
    </row>
    <row r="695" ht="15.75" customHeight="1">
      <c r="A695" s="12"/>
      <c r="B695" s="12"/>
      <c r="C695" s="12"/>
      <c r="D695" s="12"/>
      <c r="E695" s="12"/>
      <c r="F695" s="12"/>
      <c r="G695" s="12"/>
      <c r="H695" s="12"/>
      <c r="I695" s="12"/>
      <c r="J695" s="359"/>
      <c r="K695" s="12"/>
      <c r="L695" s="12"/>
      <c r="M695" s="12"/>
      <c r="N695" s="12"/>
      <c r="O695" s="12"/>
      <c r="P695" s="12"/>
      <c r="Q695" s="12"/>
      <c r="R695" s="359"/>
      <c r="S695" s="12"/>
      <c r="T695" s="12"/>
      <c r="U695" s="12"/>
      <c r="V695" s="12"/>
      <c r="W695" s="12"/>
      <c r="X695" s="12"/>
      <c r="Y695" s="12"/>
      <c r="Z695" s="359"/>
      <c r="AA695" s="12"/>
      <c r="AB695" s="12"/>
      <c r="AC695" s="12"/>
    </row>
    <row r="696" ht="15.75" customHeight="1">
      <c r="A696" s="12"/>
      <c r="B696" s="12"/>
      <c r="C696" s="12"/>
      <c r="D696" s="12"/>
      <c r="E696" s="12"/>
      <c r="F696" s="12"/>
      <c r="G696" s="12"/>
      <c r="H696" s="12"/>
      <c r="I696" s="12"/>
      <c r="J696" s="359"/>
      <c r="K696" s="12"/>
      <c r="L696" s="12"/>
      <c r="M696" s="12"/>
      <c r="N696" s="12"/>
      <c r="O696" s="12"/>
      <c r="P696" s="12"/>
      <c r="Q696" s="12"/>
      <c r="R696" s="359"/>
      <c r="S696" s="12"/>
      <c r="T696" s="12"/>
      <c r="U696" s="12"/>
      <c r="V696" s="12"/>
      <c r="W696" s="12"/>
      <c r="X696" s="12"/>
      <c r="Y696" s="12"/>
      <c r="Z696" s="359"/>
      <c r="AA696" s="12"/>
      <c r="AB696" s="12"/>
      <c r="AC696" s="12"/>
    </row>
    <row r="697" ht="15.75" customHeight="1">
      <c r="A697" s="12"/>
      <c r="B697" s="12"/>
      <c r="C697" s="12"/>
      <c r="D697" s="12"/>
      <c r="E697" s="12"/>
      <c r="F697" s="12"/>
      <c r="G697" s="12"/>
      <c r="H697" s="12"/>
      <c r="I697" s="12"/>
      <c r="J697" s="359"/>
      <c r="K697" s="12"/>
      <c r="L697" s="12"/>
      <c r="M697" s="12"/>
      <c r="N697" s="12"/>
      <c r="O697" s="12"/>
      <c r="P697" s="12"/>
      <c r="Q697" s="12"/>
      <c r="R697" s="359"/>
      <c r="S697" s="12"/>
      <c r="T697" s="12"/>
      <c r="U697" s="12"/>
      <c r="V697" s="12"/>
      <c r="W697" s="12"/>
      <c r="X697" s="12"/>
      <c r="Y697" s="12"/>
      <c r="Z697" s="359"/>
      <c r="AA697" s="12"/>
      <c r="AB697" s="12"/>
      <c r="AC697" s="12"/>
    </row>
    <row r="698" ht="15.75" customHeight="1">
      <c r="A698" s="12"/>
      <c r="B698" s="12"/>
      <c r="C698" s="12"/>
      <c r="D698" s="12"/>
      <c r="E698" s="12"/>
      <c r="F698" s="12"/>
      <c r="G698" s="12"/>
      <c r="H698" s="12"/>
      <c r="I698" s="12"/>
      <c r="J698" s="359"/>
      <c r="K698" s="12"/>
      <c r="L698" s="12"/>
      <c r="M698" s="12"/>
      <c r="N698" s="12"/>
      <c r="O698" s="12"/>
      <c r="P698" s="12"/>
      <c r="Q698" s="12"/>
      <c r="R698" s="359"/>
      <c r="S698" s="12"/>
      <c r="T698" s="12"/>
      <c r="U698" s="12"/>
      <c r="V698" s="12"/>
      <c r="W698" s="12"/>
      <c r="X698" s="12"/>
      <c r="Y698" s="12"/>
      <c r="Z698" s="359"/>
      <c r="AA698" s="12"/>
      <c r="AB698" s="12"/>
      <c r="AC698" s="12"/>
    </row>
    <row r="699" ht="15.75" customHeight="1">
      <c r="A699" s="12"/>
      <c r="B699" s="12"/>
      <c r="C699" s="12"/>
      <c r="D699" s="12"/>
      <c r="E699" s="12"/>
      <c r="F699" s="12"/>
      <c r="G699" s="12"/>
      <c r="H699" s="12"/>
      <c r="I699" s="12"/>
      <c r="J699" s="359"/>
      <c r="K699" s="12"/>
      <c r="L699" s="12"/>
      <c r="M699" s="12"/>
      <c r="N699" s="12"/>
      <c r="O699" s="12"/>
      <c r="P699" s="12"/>
      <c r="Q699" s="12"/>
      <c r="R699" s="359"/>
      <c r="S699" s="12"/>
      <c r="T699" s="12"/>
      <c r="U699" s="12"/>
      <c r="V699" s="12"/>
      <c r="W699" s="12"/>
      <c r="X699" s="12"/>
      <c r="Y699" s="12"/>
      <c r="Z699" s="359"/>
      <c r="AA699" s="12"/>
      <c r="AB699" s="12"/>
      <c r="AC699" s="12"/>
    </row>
    <row r="700" ht="15.75" customHeight="1">
      <c r="A700" s="12"/>
      <c r="B700" s="12"/>
      <c r="C700" s="12"/>
      <c r="D700" s="12"/>
      <c r="E700" s="12"/>
      <c r="F700" s="12"/>
      <c r="G700" s="12"/>
      <c r="H700" s="12"/>
      <c r="I700" s="12"/>
      <c r="J700" s="359"/>
      <c r="K700" s="12"/>
      <c r="L700" s="12"/>
      <c r="M700" s="12"/>
      <c r="N700" s="12"/>
      <c r="O700" s="12"/>
      <c r="P700" s="12"/>
      <c r="Q700" s="12"/>
      <c r="R700" s="359"/>
      <c r="S700" s="12"/>
      <c r="T700" s="12"/>
      <c r="U700" s="12"/>
      <c r="V700" s="12"/>
      <c r="W700" s="12"/>
      <c r="X700" s="12"/>
      <c r="Y700" s="12"/>
      <c r="Z700" s="359"/>
      <c r="AA700" s="12"/>
      <c r="AB700" s="12"/>
      <c r="AC700" s="12"/>
    </row>
    <row r="701" ht="15.75" customHeight="1">
      <c r="A701" s="12"/>
      <c r="B701" s="12"/>
      <c r="C701" s="12"/>
      <c r="D701" s="12"/>
      <c r="E701" s="12"/>
      <c r="F701" s="12"/>
      <c r="G701" s="12"/>
      <c r="H701" s="12"/>
      <c r="I701" s="12"/>
      <c r="J701" s="359"/>
      <c r="K701" s="12"/>
      <c r="L701" s="12"/>
      <c r="M701" s="12"/>
      <c r="N701" s="12"/>
      <c r="O701" s="12"/>
      <c r="P701" s="12"/>
      <c r="Q701" s="12"/>
      <c r="R701" s="359"/>
      <c r="S701" s="12"/>
      <c r="T701" s="12"/>
      <c r="U701" s="12"/>
      <c r="V701" s="12"/>
      <c r="W701" s="12"/>
      <c r="X701" s="12"/>
      <c r="Y701" s="12"/>
      <c r="Z701" s="359"/>
      <c r="AA701" s="12"/>
      <c r="AB701" s="12"/>
      <c r="AC701" s="12"/>
    </row>
    <row r="702" ht="15.75" customHeight="1">
      <c r="A702" s="12"/>
      <c r="B702" s="12"/>
      <c r="C702" s="12"/>
      <c r="D702" s="12"/>
      <c r="E702" s="12"/>
      <c r="F702" s="12"/>
      <c r="G702" s="12"/>
      <c r="H702" s="12"/>
      <c r="I702" s="12"/>
      <c r="J702" s="359"/>
      <c r="K702" s="12"/>
      <c r="L702" s="12"/>
      <c r="M702" s="12"/>
      <c r="N702" s="12"/>
      <c r="O702" s="12"/>
      <c r="P702" s="12"/>
      <c r="Q702" s="12"/>
      <c r="R702" s="359"/>
      <c r="S702" s="12"/>
      <c r="T702" s="12"/>
      <c r="U702" s="12"/>
      <c r="V702" s="12"/>
      <c r="W702" s="12"/>
      <c r="X702" s="12"/>
      <c r="Y702" s="12"/>
      <c r="Z702" s="359"/>
      <c r="AA702" s="12"/>
      <c r="AB702" s="12"/>
      <c r="AC702" s="12"/>
    </row>
    <row r="703" ht="15.75" customHeight="1">
      <c r="A703" s="12"/>
      <c r="B703" s="12"/>
      <c r="C703" s="12"/>
      <c r="D703" s="12"/>
      <c r="E703" s="12"/>
      <c r="F703" s="12"/>
      <c r="G703" s="12"/>
      <c r="H703" s="12"/>
      <c r="I703" s="12"/>
      <c r="J703" s="359"/>
      <c r="K703" s="12"/>
      <c r="L703" s="12"/>
      <c r="M703" s="12"/>
      <c r="N703" s="12"/>
      <c r="O703" s="12"/>
      <c r="P703" s="12"/>
      <c r="Q703" s="12"/>
      <c r="R703" s="359"/>
      <c r="S703" s="12"/>
      <c r="T703" s="12"/>
      <c r="U703" s="12"/>
      <c r="V703" s="12"/>
      <c r="W703" s="12"/>
      <c r="X703" s="12"/>
      <c r="Y703" s="12"/>
      <c r="Z703" s="359"/>
      <c r="AA703" s="12"/>
      <c r="AB703" s="12"/>
      <c r="AC703" s="12"/>
    </row>
    <row r="704" ht="15.75" customHeight="1">
      <c r="A704" s="12"/>
      <c r="B704" s="12"/>
      <c r="C704" s="12"/>
      <c r="D704" s="12"/>
      <c r="E704" s="12"/>
      <c r="F704" s="12"/>
      <c r="G704" s="12"/>
      <c r="H704" s="12"/>
      <c r="I704" s="12"/>
      <c r="J704" s="359"/>
      <c r="K704" s="12"/>
      <c r="L704" s="12"/>
      <c r="M704" s="12"/>
      <c r="N704" s="12"/>
      <c r="O704" s="12"/>
      <c r="P704" s="12"/>
      <c r="Q704" s="12"/>
      <c r="R704" s="359"/>
      <c r="S704" s="12"/>
      <c r="T704" s="12"/>
      <c r="U704" s="12"/>
      <c r="V704" s="12"/>
      <c r="W704" s="12"/>
      <c r="X704" s="12"/>
      <c r="Y704" s="12"/>
      <c r="Z704" s="359"/>
      <c r="AA704" s="12"/>
      <c r="AB704" s="12"/>
      <c r="AC704" s="12"/>
    </row>
    <row r="705" ht="15.75" customHeight="1">
      <c r="A705" s="12"/>
      <c r="B705" s="12"/>
      <c r="C705" s="12"/>
      <c r="D705" s="12"/>
      <c r="E705" s="12"/>
      <c r="F705" s="12"/>
      <c r="G705" s="12"/>
      <c r="H705" s="12"/>
      <c r="I705" s="12"/>
      <c r="J705" s="359"/>
      <c r="K705" s="12"/>
      <c r="L705" s="12"/>
      <c r="M705" s="12"/>
      <c r="N705" s="12"/>
      <c r="O705" s="12"/>
      <c r="P705" s="12"/>
      <c r="Q705" s="12"/>
      <c r="R705" s="359"/>
      <c r="S705" s="12"/>
      <c r="T705" s="12"/>
      <c r="U705" s="12"/>
      <c r="V705" s="12"/>
      <c r="W705" s="12"/>
      <c r="X705" s="12"/>
      <c r="Y705" s="12"/>
      <c r="Z705" s="359"/>
      <c r="AA705" s="12"/>
      <c r="AB705" s="12"/>
      <c r="AC705" s="12"/>
    </row>
    <row r="706" ht="15.75" customHeight="1">
      <c r="A706" s="12"/>
      <c r="B706" s="12"/>
      <c r="C706" s="12"/>
      <c r="D706" s="12"/>
      <c r="E706" s="12"/>
      <c r="F706" s="12"/>
      <c r="G706" s="12"/>
      <c r="H706" s="12"/>
      <c r="I706" s="12"/>
      <c r="J706" s="359"/>
      <c r="K706" s="12"/>
      <c r="L706" s="12"/>
      <c r="M706" s="12"/>
      <c r="N706" s="12"/>
      <c r="O706" s="12"/>
      <c r="P706" s="12"/>
      <c r="Q706" s="12"/>
      <c r="R706" s="359"/>
      <c r="S706" s="12"/>
      <c r="T706" s="12"/>
      <c r="U706" s="12"/>
      <c r="V706" s="12"/>
      <c r="W706" s="12"/>
      <c r="X706" s="12"/>
      <c r="Y706" s="12"/>
      <c r="Z706" s="359"/>
      <c r="AA706" s="12"/>
      <c r="AB706" s="12"/>
      <c r="AC706" s="12"/>
    </row>
    <row r="707" ht="15.75" customHeight="1">
      <c r="A707" s="12"/>
      <c r="B707" s="12"/>
      <c r="C707" s="12"/>
      <c r="D707" s="12"/>
      <c r="E707" s="12"/>
      <c r="F707" s="12"/>
      <c r="G707" s="12"/>
      <c r="H707" s="12"/>
      <c r="I707" s="12"/>
      <c r="J707" s="359"/>
      <c r="K707" s="12"/>
      <c r="L707" s="12"/>
      <c r="M707" s="12"/>
      <c r="N707" s="12"/>
      <c r="O707" s="12"/>
      <c r="P707" s="12"/>
      <c r="Q707" s="12"/>
      <c r="R707" s="359"/>
      <c r="S707" s="12"/>
      <c r="T707" s="12"/>
      <c r="U707" s="12"/>
      <c r="V707" s="12"/>
      <c r="W707" s="12"/>
      <c r="X707" s="12"/>
      <c r="Y707" s="12"/>
      <c r="Z707" s="359"/>
      <c r="AA707" s="12"/>
      <c r="AB707" s="12"/>
      <c r="AC707" s="12"/>
    </row>
    <row r="708" ht="15.75" customHeight="1">
      <c r="A708" s="12"/>
      <c r="B708" s="12"/>
      <c r="C708" s="12"/>
      <c r="D708" s="12"/>
      <c r="E708" s="12"/>
      <c r="F708" s="12"/>
      <c r="G708" s="12"/>
      <c r="H708" s="12"/>
      <c r="I708" s="12"/>
      <c r="J708" s="359"/>
      <c r="K708" s="12"/>
      <c r="L708" s="12"/>
      <c r="M708" s="12"/>
      <c r="N708" s="12"/>
      <c r="O708" s="12"/>
      <c r="P708" s="12"/>
      <c r="Q708" s="12"/>
      <c r="R708" s="359"/>
      <c r="S708" s="12"/>
      <c r="T708" s="12"/>
      <c r="U708" s="12"/>
      <c r="V708" s="12"/>
      <c r="W708" s="12"/>
      <c r="X708" s="12"/>
      <c r="Y708" s="12"/>
      <c r="Z708" s="359"/>
      <c r="AA708" s="12"/>
      <c r="AB708" s="12"/>
      <c r="AC708" s="12"/>
    </row>
    <row r="709" ht="15.75" customHeight="1">
      <c r="A709" s="12"/>
      <c r="B709" s="12"/>
      <c r="C709" s="12"/>
      <c r="D709" s="12"/>
      <c r="E709" s="12"/>
      <c r="F709" s="12"/>
      <c r="G709" s="12"/>
      <c r="H709" s="12"/>
      <c r="I709" s="12"/>
      <c r="J709" s="359"/>
      <c r="K709" s="12"/>
      <c r="L709" s="12"/>
      <c r="M709" s="12"/>
      <c r="N709" s="12"/>
      <c r="O709" s="12"/>
      <c r="P709" s="12"/>
      <c r="Q709" s="12"/>
      <c r="R709" s="359"/>
      <c r="S709" s="12"/>
      <c r="T709" s="12"/>
      <c r="U709" s="12"/>
      <c r="V709" s="12"/>
      <c r="W709" s="12"/>
      <c r="X709" s="12"/>
      <c r="Y709" s="12"/>
      <c r="Z709" s="359"/>
      <c r="AA709" s="12"/>
      <c r="AB709" s="12"/>
      <c r="AC709" s="12"/>
    </row>
    <row r="710" ht="15.75" customHeight="1">
      <c r="A710" s="12"/>
      <c r="B710" s="12"/>
      <c r="C710" s="12"/>
      <c r="D710" s="12"/>
      <c r="E710" s="12"/>
      <c r="F710" s="12"/>
      <c r="G710" s="12"/>
      <c r="H710" s="12"/>
      <c r="I710" s="12"/>
      <c r="J710" s="359"/>
      <c r="K710" s="12"/>
      <c r="L710" s="12"/>
      <c r="M710" s="12"/>
      <c r="N710" s="12"/>
      <c r="O710" s="12"/>
      <c r="P710" s="12"/>
      <c r="Q710" s="12"/>
      <c r="R710" s="359"/>
      <c r="S710" s="12"/>
      <c r="T710" s="12"/>
      <c r="U710" s="12"/>
      <c r="V710" s="12"/>
      <c r="W710" s="12"/>
      <c r="X710" s="12"/>
      <c r="Y710" s="12"/>
      <c r="Z710" s="359"/>
      <c r="AA710" s="12"/>
      <c r="AB710" s="12"/>
      <c r="AC710" s="12"/>
    </row>
    <row r="711" ht="15.75" customHeight="1">
      <c r="A711" s="12"/>
      <c r="B711" s="12"/>
      <c r="C711" s="12"/>
      <c r="D711" s="12"/>
      <c r="E711" s="12"/>
      <c r="F711" s="12"/>
      <c r="G711" s="12"/>
      <c r="H711" s="12"/>
      <c r="I711" s="12"/>
      <c r="J711" s="359"/>
      <c r="K711" s="12"/>
      <c r="L711" s="12"/>
      <c r="M711" s="12"/>
      <c r="N711" s="12"/>
      <c r="O711" s="12"/>
      <c r="P711" s="12"/>
      <c r="Q711" s="12"/>
      <c r="R711" s="359"/>
      <c r="S711" s="12"/>
      <c r="T711" s="12"/>
      <c r="U711" s="12"/>
      <c r="V711" s="12"/>
      <c r="W711" s="12"/>
      <c r="X711" s="12"/>
      <c r="Y711" s="12"/>
      <c r="Z711" s="359"/>
      <c r="AA711" s="12"/>
      <c r="AB711" s="12"/>
      <c r="AC711" s="12"/>
    </row>
    <row r="712" ht="15.75" customHeight="1">
      <c r="A712" s="12"/>
      <c r="B712" s="12"/>
      <c r="C712" s="12"/>
      <c r="D712" s="12"/>
      <c r="E712" s="12"/>
      <c r="F712" s="12"/>
      <c r="G712" s="12"/>
      <c r="H712" s="12"/>
      <c r="I712" s="12"/>
      <c r="J712" s="359"/>
      <c r="K712" s="12"/>
      <c r="L712" s="12"/>
      <c r="M712" s="12"/>
      <c r="N712" s="12"/>
      <c r="O712" s="12"/>
      <c r="P712" s="12"/>
      <c r="Q712" s="12"/>
      <c r="R712" s="359"/>
      <c r="S712" s="12"/>
      <c r="T712" s="12"/>
      <c r="U712" s="12"/>
      <c r="V712" s="12"/>
      <c r="W712" s="12"/>
      <c r="X712" s="12"/>
      <c r="Y712" s="12"/>
      <c r="Z712" s="359"/>
      <c r="AA712" s="12"/>
      <c r="AB712" s="12"/>
      <c r="AC712" s="12"/>
    </row>
    <row r="713" ht="15.75" customHeight="1">
      <c r="A713" s="12"/>
      <c r="B713" s="12"/>
      <c r="C713" s="12"/>
      <c r="D713" s="12"/>
      <c r="E713" s="12"/>
      <c r="F713" s="12"/>
      <c r="G713" s="12"/>
      <c r="H713" s="12"/>
      <c r="I713" s="12"/>
      <c r="J713" s="359"/>
      <c r="K713" s="12"/>
      <c r="L713" s="12"/>
      <c r="M713" s="12"/>
      <c r="N713" s="12"/>
      <c r="O713" s="12"/>
      <c r="P713" s="12"/>
      <c r="Q713" s="12"/>
      <c r="R713" s="359"/>
      <c r="S713" s="12"/>
      <c r="T713" s="12"/>
      <c r="U713" s="12"/>
      <c r="V713" s="12"/>
      <c r="W713" s="12"/>
      <c r="X713" s="12"/>
      <c r="Y713" s="12"/>
      <c r="Z713" s="359"/>
      <c r="AA713" s="12"/>
      <c r="AB713" s="12"/>
      <c r="AC713" s="12"/>
    </row>
    <row r="714" ht="15.75" customHeight="1">
      <c r="A714" s="12"/>
      <c r="B714" s="12"/>
      <c r="C714" s="12"/>
      <c r="D714" s="12"/>
      <c r="E714" s="12"/>
      <c r="F714" s="12"/>
      <c r="G714" s="12"/>
      <c r="H714" s="12"/>
      <c r="I714" s="12"/>
      <c r="J714" s="359"/>
      <c r="K714" s="12"/>
      <c r="L714" s="12"/>
      <c r="M714" s="12"/>
      <c r="N714" s="12"/>
      <c r="O714" s="12"/>
      <c r="P714" s="12"/>
      <c r="Q714" s="12"/>
      <c r="R714" s="359"/>
      <c r="S714" s="12"/>
      <c r="T714" s="12"/>
      <c r="U714" s="12"/>
      <c r="V714" s="12"/>
      <c r="W714" s="12"/>
      <c r="X714" s="12"/>
      <c r="Y714" s="12"/>
      <c r="Z714" s="359"/>
      <c r="AA714" s="12"/>
      <c r="AB714" s="12"/>
      <c r="AC714" s="12"/>
    </row>
    <row r="715" ht="15.75" customHeight="1">
      <c r="A715" s="12"/>
      <c r="B715" s="12"/>
      <c r="C715" s="12"/>
      <c r="D715" s="12"/>
      <c r="E715" s="12"/>
      <c r="F715" s="12"/>
      <c r="G715" s="12"/>
      <c r="H715" s="12"/>
      <c r="I715" s="12"/>
      <c r="J715" s="359"/>
      <c r="K715" s="12"/>
      <c r="L715" s="12"/>
      <c r="M715" s="12"/>
      <c r="N715" s="12"/>
      <c r="O715" s="12"/>
      <c r="P715" s="12"/>
      <c r="Q715" s="12"/>
      <c r="R715" s="359"/>
      <c r="S715" s="12"/>
      <c r="T715" s="12"/>
      <c r="U715" s="12"/>
      <c r="V715" s="12"/>
      <c r="W715" s="12"/>
      <c r="X715" s="12"/>
      <c r="Y715" s="12"/>
      <c r="Z715" s="359"/>
      <c r="AA715" s="12"/>
      <c r="AB715" s="12"/>
      <c r="AC715" s="12"/>
    </row>
    <row r="716" ht="15.75" customHeight="1">
      <c r="A716" s="12"/>
      <c r="B716" s="12"/>
      <c r="C716" s="12"/>
      <c r="D716" s="12"/>
      <c r="E716" s="12"/>
      <c r="F716" s="12"/>
      <c r="G716" s="12"/>
      <c r="H716" s="12"/>
      <c r="I716" s="12"/>
      <c r="J716" s="359"/>
      <c r="K716" s="12"/>
      <c r="L716" s="12"/>
      <c r="M716" s="12"/>
      <c r="N716" s="12"/>
      <c r="O716" s="12"/>
      <c r="P716" s="12"/>
      <c r="Q716" s="12"/>
      <c r="R716" s="359"/>
      <c r="S716" s="12"/>
      <c r="T716" s="12"/>
      <c r="U716" s="12"/>
      <c r="V716" s="12"/>
      <c r="W716" s="12"/>
      <c r="X716" s="12"/>
      <c r="Y716" s="12"/>
      <c r="Z716" s="359"/>
      <c r="AA716" s="12"/>
      <c r="AB716" s="12"/>
      <c r="AC716" s="12"/>
    </row>
    <row r="717" ht="15.75" customHeight="1">
      <c r="A717" s="12"/>
      <c r="B717" s="12"/>
      <c r="C717" s="12"/>
      <c r="D717" s="12"/>
      <c r="E717" s="12"/>
      <c r="F717" s="12"/>
      <c r="G717" s="12"/>
      <c r="H717" s="12"/>
      <c r="I717" s="12"/>
      <c r="J717" s="359"/>
      <c r="K717" s="12"/>
      <c r="L717" s="12"/>
      <c r="M717" s="12"/>
      <c r="N717" s="12"/>
      <c r="O717" s="12"/>
      <c r="P717" s="12"/>
      <c r="Q717" s="12"/>
      <c r="R717" s="359"/>
      <c r="S717" s="12"/>
      <c r="T717" s="12"/>
      <c r="U717" s="12"/>
      <c r="V717" s="12"/>
      <c r="W717" s="12"/>
      <c r="X717" s="12"/>
      <c r="Y717" s="12"/>
      <c r="Z717" s="359"/>
      <c r="AA717" s="12"/>
      <c r="AB717" s="12"/>
      <c r="AC717" s="12"/>
    </row>
    <row r="718" ht="15.75" customHeight="1">
      <c r="A718" s="12"/>
      <c r="B718" s="12"/>
      <c r="C718" s="12"/>
      <c r="D718" s="12"/>
      <c r="E718" s="12"/>
      <c r="F718" s="12"/>
      <c r="G718" s="12"/>
      <c r="H718" s="12"/>
      <c r="I718" s="12"/>
      <c r="J718" s="359"/>
      <c r="K718" s="12"/>
      <c r="L718" s="12"/>
      <c r="M718" s="12"/>
      <c r="N718" s="12"/>
      <c r="O718" s="12"/>
      <c r="P718" s="12"/>
      <c r="Q718" s="12"/>
      <c r="R718" s="359"/>
      <c r="S718" s="12"/>
      <c r="T718" s="12"/>
      <c r="U718" s="12"/>
      <c r="V718" s="12"/>
      <c r="W718" s="12"/>
      <c r="X718" s="12"/>
      <c r="Y718" s="12"/>
      <c r="Z718" s="359"/>
      <c r="AA718" s="12"/>
      <c r="AB718" s="12"/>
      <c r="AC718" s="12"/>
    </row>
    <row r="719" ht="15.75" customHeight="1">
      <c r="A719" s="12"/>
      <c r="B719" s="12"/>
      <c r="C719" s="12"/>
      <c r="D719" s="12"/>
      <c r="E719" s="12"/>
      <c r="F719" s="12"/>
      <c r="G719" s="12"/>
      <c r="H719" s="12"/>
      <c r="I719" s="12"/>
      <c r="J719" s="359"/>
      <c r="K719" s="12"/>
      <c r="L719" s="12"/>
      <c r="M719" s="12"/>
      <c r="N719" s="12"/>
      <c r="O719" s="12"/>
      <c r="P719" s="12"/>
      <c r="Q719" s="12"/>
      <c r="R719" s="359"/>
      <c r="S719" s="12"/>
      <c r="T719" s="12"/>
      <c r="U719" s="12"/>
      <c r="V719" s="12"/>
      <c r="W719" s="12"/>
      <c r="X719" s="12"/>
      <c r="Y719" s="12"/>
      <c r="Z719" s="359"/>
      <c r="AA719" s="12"/>
      <c r="AB719" s="12"/>
      <c r="AC719" s="12"/>
    </row>
    <row r="720" ht="15.75" customHeight="1">
      <c r="A720" s="12"/>
      <c r="B720" s="12"/>
      <c r="C720" s="12"/>
      <c r="D720" s="12"/>
      <c r="E720" s="12"/>
      <c r="F720" s="12"/>
      <c r="G720" s="12"/>
      <c r="H720" s="12"/>
      <c r="I720" s="12"/>
      <c r="J720" s="359"/>
      <c r="K720" s="12"/>
      <c r="L720" s="12"/>
      <c r="M720" s="12"/>
      <c r="N720" s="12"/>
      <c r="O720" s="12"/>
      <c r="P720" s="12"/>
      <c r="Q720" s="12"/>
      <c r="R720" s="359"/>
      <c r="S720" s="12"/>
      <c r="T720" s="12"/>
      <c r="U720" s="12"/>
      <c r="V720" s="12"/>
      <c r="W720" s="12"/>
      <c r="X720" s="12"/>
      <c r="Y720" s="12"/>
      <c r="Z720" s="359"/>
      <c r="AA720" s="12"/>
      <c r="AB720" s="12"/>
      <c r="AC720" s="12"/>
    </row>
    <row r="721" ht="15.75" customHeight="1">
      <c r="A721" s="12"/>
      <c r="B721" s="12"/>
      <c r="C721" s="12"/>
      <c r="D721" s="12"/>
      <c r="E721" s="12"/>
      <c r="F721" s="12"/>
      <c r="G721" s="12"/>
      <c r="H721" s="12"/>
      <c r="I721" s="12"/>
      <c r="J721" s="359"/>
      <c r="K721" s="12"/>
      <c r="L721" s="12"/>
      <c r="M721" s="12"/>
      <c r="N721" s="12"/>
      <c r="O721" s="12"/>
      <c r="P721" s="12"/>
      <c r="Q721" s="12"/>
      <c r="R721" s="359"/>
      <c r="S721" s="12"/>
      <c r="T721" s="12"/>
      <c r="U721" s="12"/>
      <c r="V721" s="12"/>
      <c r="W721" s="12"/>
      <c r="X721" s="12"/>
      <c r="Y721" s="12"/>
      <c r="Z721" s="359"/>
      <c r="AA721" s="12"/>
      <c r="AB721" s="12"/>
      <c r="AC721" s="12"/>
    </row>
    <row r="722" ht="15.75" customHeight="1">
      <c r="A722" s="12"/>
      <c r="B722" s="12"/>
      <c r="C722" s="12"/>
      <c r="D722" s="12"/>
      <c r="E722" s="12"/>
      <c r="F722" s="12"/>
      <c r="G722" s="12"/>
      <c r="H722" s="12"/>
      <c r="I722" s="12"/>
      <c r="J722" s="359"/>
      <c r="K722" s="12"/>
      <c r="L722" s="12"/>
      <c r="M722" s="12"/>
      <c r="N722" s="12"/>
      <c r="O722" s="12"/>
      <c r="P722" s="12"/>
      <c r="Q722" s="12"/>
      <c r="R722" s="359"/>
      <c r="S722" s="12"/>
      <c r="T722" s="12"/>
      <c r="U722" s="12"/>
      <c r="V722" s="12"/>
      <c r="W722" s="12"/>
      <c r="X722" s="12"/>
      <c r="Y722" s="12"/>
      <c r="Z722" s="359"/>
      <c r="AA722" s="12"/>
      <c r="AB722" s="12"/>
      <c r="AC722" s="12"/>
    </row>
    <row r="723" ht="15.75" customHeight="1">
      <c r="A723" s="12"/>
      <c r="B723" s="12"/>
      <c r="C723" s="12"/>
      <c r="D723" s="12"/>
      <c r="E723" s="12"/>
      <c r="F723" s="12"/>
      <c r="G723" s="12"/>
      <c r="H723" s="12"/>
      <c r="I723" s="12"/>
      <c r="J723" s="359"/>
      <c r="K723" s="12"/>
      <c r="L723" s="12"/>
      <c r="M723" s="12"/>
      <c r="N723" s="12"/>
      <c r="O723" s="12"/>
      <c r="P723" s="12"/>
      <c r="Q723" s="12"/>
      <c r="R723" s="359"/>
      <c r="S723" s="12"/>
      <c r="T723" s="12"/>
      <c r="U723" s="12"/>
      <c r="V723" s="12"/>
      <c r="W723" s="12"/>
      <c r="X723" s="12"/>
      <c r="Y723" s="12"/>
      <c r="Z723" s="359"/>
      <c r="AA723" s="12"/>
      <c r="AB723" s="12"/>
      <c r="AC723" s="12"/>
    </row>
    <row r="724" ht="15.75" customHeight="1">
      <c r="A724" s="12"/>
      <c r="B724" s="12"/>
      <c r="C724" s="12"/>
      <c r="D724" s="12"/>
      <c r="E724" s="12"/>
      <c r="F724" s="12"/>
      <c r="G724" s="12"/>
      <c r="H724" s="12"/>
      <c r="I724" s="12"/>
      <c r="J724" s="359"/>
      <c r="K724" s="12"/>
      <c r="L724" s="12"/>
      <c r="M724" s="12"/>
      <c r="N724" s="12"/>
      <c r="O724" s="12"/>
      <c r="P724" s="12"/>
      <c r="Q724" s="12"/>
      <c r="R724" s="359"/>
      <c r="S724" s="12"/>
      <c r="T724" s="12"/>
      <c r="U724" s="12"/>
      <c r="V724" s="12"/>
      <c r="W724" s="12"/>
      <c r="X724" s="12"/>
      <c r="Y724" s="12"/>
      <c r="Z724" s="359"/>
      <c r="AA724" s="12"/>
      <c r="AB724" s="12"/>
      <c r="AC724" s="12"/>
    </row>
    <row r="725" ht="15.75" customHeight="1">
      <c r="A725" s="12"/>
      <c r="B725" s="12"/>
      <c r="C725" s="12"/>
      <c r="D725" s="12"/>
      <c r="E725" s="12"/>
      <c r="F725" s="12"/>
      <c r="G725" s="12"/>
      <c r="H725" s="12"/>
      <c r="I725" s="12"/>
      <c r="J725" s="359"/>
      <c r="K725" s="12"/>
      <c r="L725" s="12"/>
      <c r="M725" s="12"/>
      <c r="N725" s="12"/>
      <c r="O725" s="12"/>
      <c r="P725" s="12"/>
      <c r="Q725" s="12"/>
      <c r="R725" s="359"/>
      <c r="S725" s="12"/>
      <c r="T725" s="12"/>
      <c r="U725" s="12"/>
      <c r="V725" s="12"/>
      <c r="W725" s="12"/>
      <c r="X725" s="12"/>
      <c r="Y725" s="12"/>
      <c r="Z725" s="359"/>
      <c r="AA725" s="12"/>
      <c r="AB725" s="12"/>
      <c r="AC725" s="12"/>
    </row>
    <row r="726" ht="15.75" customHeight="1">
      <c r="A726" s="12"/>
      <c r="B726" s="12"/>
      <c r="C726" s="12"/>
      <c r="D726" s="12"/>
      <c r="E726" s="12"/>
      <c r="F726" s="12"/>
      <c r="G726" s="12"/>
      <c r="H726" s="12"/>
      <c r="I726" s="12"/>
      <c r="J726" s="359"/>
      <c r="K726" s="12"/>
      <c r="L726" s="12"/>
      <c r="M726" s="12"/>
      <c r="N726" s="12"/>
      <c r="O726" s="12"/>
      <c r="P726" s="12"/>
      <c r="Q726" s="12"/>
      <c r="R726" s="359"/>
      <c r="S726" s="12"/>
      <c r="T726" s="12"/>
      <c r="U726" s="12"/>
      <c r="V726" s="12"/>
      <c r="W726" s="12"/>
      <c r="X726" s="12"/>
      <c r="Y726" s="12"/>
      <c r="Z726" s="359"/>
      <c r="AA726" s="12"/>
      <c r="AB726" s="12"/>
      <c r="AC726" s="12"/>
    </row>
    <row r="727" ht="15.75" customHeight="1">
      <c r="A727" s="12"/>
      <c r="B727" s="12"/>
      <c r="C727" s="12"/>
      <c r="D727" s="12"/>
      <c r="E727" s="12"/>
      <c r="F727" s="12"/>
      <c r="G727" s="12"/>
      <c r="H727" s="12"/>
      <c r="I727" s="12"/>
      <c r="J727" s="359"/>
      <c r="K727" s="12"/>
      <c r="L727" s="12"/>
      <c r="M727" s="12"/>
      <c r="N727" s="12"/>
      <c r="O727" s="12"/>
      <c r="P727" s="12"/>
      <c r="Q727" s="12"/>
      <c r="R727" s="359"/>
      <c r="S727" s="12"/>
      <c r="T727" s="12"/>
      <c r="U727" s="12"/>
      <c r="V727" s="12"/>
      <c r="W727" s="12"/>
      <c r="X727" s="12"/>
      <c r="Y727" s="12"/>
      <c r="Z727" s="359"/>
      <c r="AA727" s="12"/>
      <c r="AB727" s="12"/>
      <c r="AC727" s="12"/>
    </row>
    <row r="728" ht="15.75" customHeight="1">
      <c r="A728" s="12"/>
      <c r="B728" s="12"/>
      <c r="C728" s="12"/>
      <c r="D728" s="12"/>
      <c r="E728" s="12"/>
      <c r="F728" s="12"/>
      <c r="G728" s="12"/>
      <c r="H728" s="12"/>
      <c r="I728" s="12"/>
      <c r="J728" s="359"/>
      <c r="K728" s="12"/>
      <c r="L728" s="12"/>
      <c r="M728" s="12"/>
      <c r="N728" s="12"/>
      <c r="O728" s="12"/>
      <c r="P728" s="12"/>
      <c r="Q728" s="12"/>
      <c r="R728" s="359"/>
      <c r="S728" s="12"/>
      <c r="T728" s="12"/>
      <c r="U728" s="12"/>
      <c r="V728" s="12"/>
      <c r="W728" s="12"/>
      <c r="X728" s="12"/>
      <c r="Y728" s="12"/>
      <c r="Z728" s="359"/>
      <c r="AA728" s="12"/>
      <c r="AB728" s="12"/>
      <c r="AC728" s="12"/>
    </row>
    <row r="729" ht="15.75" customHeight="1">
      <c r="A729" s="12"/>
      <c r="B729" s="12"/>
      <c r="C729" s="12"/>
      <c r="D729" s="12"/>
      <c r="E729" s="12"/>
      <c r="F729" s="12"/>
      <c r="G729" s="12"/>
      <c r="H729" s="12"/>
      <c r="I729" s="12"/>
      <c r="J729" s="359"/>
      <c r="K729" s="12"/>
      <c r="L729" s="12"/>
      <c r="M729" s="12"/>
      <c r="N729" s="12"/>
      <c r="O729" s="12"/>
      <c r="P729" s="12"/>
      <c r="Q729" s="12"/>
      <c r="R729" s="359"/>
      <c r="S729" s="12"/>
      <c r="T729" s="12"/>
      <c r="U729" s="12"/>
      <c r="V729" s="12"/>
      <c r="W729" s="12"/>
      <c r="X729" s="12"/>
      <c r="Y729" s="12"/>
      <c r="Z729" s="359"/>
      <c r="AA729" s="12"/>
      <c r="AB729" s="12"/>
      <c r="AC729" s="12"/>
    </row>
    <row r="730" ht="15.75" customHeight="1">
      <c r="A730" s="12"/>
      <c r="B730" s="12"/>
      <c r="C730" s="12"/>
      <c r="D730" s="12"/>
      <c r="E730" s="12"/>
      <c r="F730" s="12"/>
      <c r="G730" s="12"/>
      <c r="H730" s="12"/>
      <c r="I730" s="12"/>
      <c r="J730" s="359"/>
      <c r="K730" s="12"/>
      <c r="L730" s="12"/>
      <c r="M730" s="12"/>
      <c r="N730" s="12"/>
      <c r="O730" s="12"/>
      <c r="P730" s="12"/>
      <c r="Q730" s="12"/>
      <c r="R730" s="359"/>
      <c r="S730" s="12"/>
      <c r="T730" s="12"/>
      <c r="U730" s="12"/>
      <c r="V730" s="12"/>
      <c r="W730" s="12"/>
      <c r="X730" s="12"/>
      <c r="Y730" s="12"/>
      <c r="Z730" s="359"/>
      <c r="AA730" s="12"/>
      <c r="AB730" s="12"/>
      <c r="AC730" s="12"/>
    </row>
    <row r="731" ht="15.75" customHeight="1">
      <c r="A731" s="12"/>
      <c r="B731" s="12"/>
      <c r="C731" s="12"/>
      <c r="D731" s="12"/>
      <c r="E731" s="12"/>
      <c r="F731" s="12"/>
      <c r="G731" s="12"/>
      <c r="H731" s="12"/>
      <c r="I731" s="12"/>
      <c r="J731" s="359"/>
      <c r="K731" s="12"/>
      <c r="L731" s="12"/>
      <c r="M731" s="12"/>
      <c r="N731" s="12"/>
      <c r="O731" s="12"/>
      <c r="P731" s="12"/>
      <c r="Q731" s="12"/>
      <c r="R731" s="359"/>
      <c r="S731" s="12"/>
      <c r="T731" s="12"/>
      <c r="U731" s="12"/>
      <c r="V731" s="12"/>
      <c r="W731" s="12"/>
      <c r="X731" s="12"/>
      <c r="Y731" s="12"/>
      <c r="Z731" s="359"/>
      <c r="AA731" s="12"/>
      <c r="AB731" s="12"/>
      <c r="AC731" s="12"/>
    </row>
    <row r="732" ht="15.75" customHeight="1">
      <c r="A732" s="12"/>
      <c r="B732" s="12"/>
      <c r="C732" s="12"/>
      <c r="D732" s="12"/>
      <c r="E732" s="12"/>
      <c r="F732" s="12"/>
      <c r="G732" s="12"/>
      <c r="H732" s="12"/>
      <c r="I732" s="12"/>
      <c r="J732" s="359"/>
      <c r="K732" s="12"/>
      <c r="L732" s="12"/>
      <c r="M732" s="12"/>
      <c r="N732" s="12"/>
      <c r="O732" s="12"/>
      <c r="P732" s="12"/>
      <c r="Q732" s="12"/>
      <c r="R732" s="359"/>
      <c r="S732" s="12"/>
      <c r="T732" s="12"/>
      <c r="U732" s="12"/>
      <c r="V732" s="12"/>
      <c r="W732" s="12"/>
      <c r="X732" s="12"/>
      <c r="Y732" s="12"/>
      <c r="Z732" s="359"/>
      <c r="AA732" s="12"/>
      <c r="AB732" s="12"/>
      <c r="AC732" s="12"/>
    </row>
    <row r="733" ht="15.75" customHeight="1">
      <c r="A733" s="12"/>
      <c r="B733" s="12"/>
      <c r="C733" s="12"/>
      <c r="D733" s="12"/>
      <c r="E733" s="12"/>
      <c r="F733" s="12"/>
      <c r="G733" s="12"/>
      <c r="H733" s="12"/>
      <c r="I733" s="12"/>
      <c r="J733" s="359"/>
      <c r="K733" s="12"/>
      <c r="L733" s="12"/>
      <c r="M733" s="12"/>
      <c r="N733" s="12"/>
      <c r="O733" s="12"/>
      <c r="P733" s="12"/>
      <c r="Q733" s="12"/>
      <c r="R733" s="359"/>
      <c r="S733" s="12"/>
      <c r="T733" s="12"/>
      <c r="U733" s="12"/>
      <c r="V733" s="12"/>
      <c r="W733" s="12"/>
      <c r="X733" s="12"/>
      <c r="Y733" s="12"/>
      <c r="Z733" s="359"/>
      <c r="AA733" s="12"/>
      <c r="AB733" s="12"/>
      <c r="AC733" s="12"/>
    </row>
    <row r="734" ht="15.75" customHeight="1">
      <c r="A734" s="12"/>
      <c r="B734" s="12"/>
      <c r="C734" s="12"/>
      <c r="D734" s="12"/>
      <c r="E734" s="12"/>
      <c r="F734" s="12"/>
      <c r="G734" s="12"/>
      <c r="H734" s="12"/>
      <c r="I734" s="12"/>
      <c r="J734" s="359"/>
      <c r="K734" s="12"/>
      <c r="L734" s="12"/>
      <c r="M734" s="12"/>
      <c r="N734" s="12"/>
      <c r="O734" s="12"/>
      <c r="P734" s="12"/>
      <c r="Q734" s="12"/>
      <c r="R734" s="359"/>
      <c r="S734" s="12"/>
      <c r="T734" s="12"/>
      <c r="U734" s="12"/>
      <c r="V734" s="12"/>
      <c r="W734" s="12"/>
      <c r="X734" s="12"/>
      <c r="Y734" s="12"/>
      <c r="Z734" s="359"/>
      <c r="AA734" s="12"/>
      <c r="AB734" s="12"/>
      <c r="AC734" s="12"/>
    </row>
    <row r="735" ht="15.75" customHeight="1">
      <c r="A735" s="12"/>
      <c r="B735" s="12"/>
      <c r="C735" s="12"/>
      <c r="D735" s="12"/>
      <c r="E735" s="12"/>
      <c r="F735" s="12"/>
      <c r="G735" s="12"/>
      <c r="H735" s="12"/>
      <c r="I735" s="12"/>
      <c r="J735" s="359"/>
      <c r="K735" s="12"/>
      <c r="L735" s="12"/>
      <c r="M735" s="12"/>
      <c r="N735" s="12"/>
      <c r="O735" s="12"/>
      <c r="P735" s="12"/>
      <c r="Q735" s="12"/>
      <c r="R735" s="359"/>
      <c r="S735" s="12"/>
      <c r="T735" s="12"/>
      <c r="U735" s="12"/>
      <c r="V735" s="12"/>
      <c r="W735" s="12"/>
      <c r="X735" s="12"/>
      <c r="Y735" s="12"/>
      <c r="Z735" s="359"/>
      <c r="AA735" s="12"/>
      <c r="AB735" s="12"/>
      <c r="AC735" s="12"/>
    </row>
    <row r="736" ht="15.75" customHeight="1">
      <c r="A736" s="12"/>
      <c r="B736" s="12"/>
      <c r="C736" s="12"/>
      <c r="D736" s="12"/>
      <c r="E736" s="12"/>
      <c r="F736" s="12"/>
      <c r="G736" s="12"/>
      <c r="H736" s="12"/>
      <c r="I736" s="12"/>
      <c r="J736" s="359"/>
      <c r="K736" s="12"/>
      <c r="L736" s="12"/>
      <c r="M736" s="12"/>
      <c r="N736" s="12"/>
      <c r="O736" s="12"/>
      <c r="P736" s="12"/>
      <c r="Q736" s="12"/>
      <c r="R736" s="359"/>
      <c r="S736" s="12"/>
      <c r="T736" s="12"/>
      <c r="U736" s="12"/>
      <c r="V736" s="12"/>
      <c r="W736" s="12"/>
      <c r="X736" s="12"/>
      <c r="Y736" s="12"/>
      <c r="Z736" s="359"/>
      <c r="AA736" s="12"/>
      <c r="AB736" s="12"/>
      <c r="AC736" s="12"/>
    </row>
    <row r="737" ht="15.75" customHeight="1">
      <c r="A737" s="12"/>
      <c r="B737" s="12"/>
      <c r="C737" s="12"/>
      <c r="D737" s="12"/>
      <c r="E737" s="12"/>
      <c r="F737" s="12"/>
      <c r="G737" s="12"/>
      <c r="H737" s="12"/>
      <c r="I737" s="12"/>
      <c r="J737" s="359"/>
      <c r="K737" s="12"/>
      <c r="L737" s="12"/>
      <c r="M737" s="12"/>
      <c r="N737" s="12"/>
      <c r="O737" s="12"/>
      <c r="P737" s="12"/>
      <c r="Q737" s="12"/>
      <c r="R737" s="359"/>
      <c r="S737" s="12"/>
      <c r="T737" s="12"/>
      <c r="U737" s="12"/>
      <c r="V737" s="12"/>
      <c r="W737" s="12"/>
      <c r="X737" s="12"/>
      <c r="Y737" s="12"/>
      <c r="Z737" s="359"/>
      <c r="AA737" s="12"/>
      <c r="AB737" s="12"/>
      <c r="AC737" s="12"/>
    </row>
    <row r="738" ht="15.75" customHeight="1">
      <c r="A738" s="12"/>
      <c r="B738" s="12"/>
      <c r="C738" s="12"/>
      <c r="D738" s="12"/>
      <c r="E738" s="12"/>
      <c r="F738" s="12"/>
      <c r="G738" s="12"/>
      <c r="H738" s="12"/>
      <c r="I738" s="12"/>
      <c r="J738" s="359"/>
      <c r="K738" s="12"/>
      <c r="L738" s="12"/>
      <c r="M738" s="12"/>
      <c r="N738" s="12"/>
      <c r="O738" s="12"/>
      <c r="P738" s="12"/>
      <c r="Q738" s="12"/>
      <c r="R738" s="359"/>
      <c r="S738" s="12"/>
      <c r="T738" s="12"/>
      <c r="U738" s="12"/>
      <c r="V738" s="12"/>
      <c r="W738" s="12"/>
      <c r="X738" s="12"/>
      <c r="Y738" s="12"/>
      <c r="Z738" s="359"/>
      <c r="AA738" s="12"/>
      <c r="AB738" s="12"/>
      <c r="AC738" s="12"/>
    </row>
    <row r="739" ht="15.75" customHeight="1">
      <c r="A739" s="12"/>
      <c r="B739" s="12"/>
      <c r="C739" s="12"/>
      <c r="D739" s="12"/>
      <c r="E739" s="12"/>
      <c r="F739" s="12"/>
      <c r="G739" s="12"/>
      <c r="H739" s="12"/>
      <c r="I739" s="12"/>
      <c r="J739" s="359"/>
      <c r="K739" s="12"/>
      <c r="L739" s="12"/>
      <c r="M739" s="12"/>
      <c r="N739" s="12"/>
      <c r="O739" s="12"/>
      <c r="P739" s="12"/>
      <c r="Q739" s="12"/>
      <c r="R739" s="359"/>
      <c r="S739" s="12"/>
      <c r="T739" s="12"/>
      <c r="U739" s="12"/>
      <c r="V739" s="12"/>
      <c r="W739" s="12"/>
      <c r="X739" s="12"/>
      <c r="Y739" s="12"/>
      <c r="Z739" s="359"/>
      <c r="AA739" s="12"/>
      <c r="AB739" s="12"/>
      <c r="AC739" s="12"/>
    </row>
    <row r="740" ht="15.75" customHeight="1">
      <c r="A740" s="12"/>
      <c r="B740" s="12"/>
      <c r="C740" s="12"/>
      <c r="D740" s="12"/>
      <c r="E740" s="12"/>
      <c r="F740" s="12"/>
      <c r="G740" s="12"/>
      <c r="H740" s="12"/>
      <c r="I740" s="12"/>
      <c r="J740" s="359"/>
      <c r="K740" s="12"/>
      <c r="L740" s="12"/>
      <c r="M740" s="12"/>
      <c r="N740" s="12"/>
      <c r="O740" s="12"/>
      <c r="P740" s="12"/>
      <c r="Q740" s="12"/>
      <c r="R740" s="359"/>
      <c r="S740" s="12"/>
      <c r="T740" s="12"/>
      <c r="U740" s="12"/>
      <c r="V740" s="12"/>
      <c r="W740" s="12"/>
      <c r="X740" s="12"/>
      <c r="Y740" s="12"/>
      <c r="Z740" s="359"/>
      <c r="AA740" s="12"/>
      <c r="AB740" s="12"/>
      <c r="AC740" s="12"/>
    </row>
    <row r="741" ht="15.75" customHeight="1">
      <c r="A741" s="12"/>
      <c r="B741" s="12"/>
      <c r="C741" s="12"/>
      <c r="D741" s="12"/>
      <c r="E741" s="12"/>
      <c r="F741" s="12"/>
      <c r="G741" s="12"/>
      <c r="H741" s="12"/>
      <c r="I741" s="12"/>
      <c r="J741" s="359"/>
      <c r="K741" s="12"/>
      <c r="L741" s="12"/>
      <c r="M741" s="12"/>
      <c r="N741" s="12"/>
      <c r="O741" s="12"/>
      <c r="P741" s="12"/>
      <c r="Q741" s="12"/>
      <c r="R741" s="359"/>
      <c r="S741" s="12"/>
      <c r="T741" s="12"/>
      <c r="U741" s="12"/>
      <c r="V741" s="12"/>
      <c r="W741" s="12"/>
      <c r="X741" s="12"/>
      <c r="Y741" s="12"/>
      <c r="Z741" s="359"/>
      <c r="AA741" s="12"/>
      <c r="AB741" s="12"/>
      <c r="AC741" s="12"/>
    </row>
    <row r="742" ht="15.75" customHeight="1">
      <c r="A742" s="12"/>
      <c r="B742" s="12"/>
      <c r="C742" s="12"/>
      <c r="D742" s="12"/>
      <c r="E742" s="12"/>
      <c r="F742" s="12"/>
      <c r="G742" s="12"/>
      <c r="H742" s="12"/>
      <c r="I742" s="12"/>
      <c r="J742" s="359"/>
      <c r="K742" s="12"/>
      <c r="L742" s="12"/>
      <c r="M742" s="12"/>
      <c r="N742" s="12"/>
      <c r="O742" s="12"/>
      <c r="P742" s="12"/>
      <c r="Q742" s="12"/>
      <c r="R742" s="359"/>
      <c r="S742" s="12"/>
      <c r="T742" s="12"/>
      <c r="U742" s="12"/>
      <c r="V742" s="12"/>
      <c r="W742" s="12"/>
      <c r="X742" s="12"/>
      <c r="Y742" s="12"/>
      <c r="Z742" s="359"/>
      <c r="AA742" s="12"/>
      <c r="AB742" s="12"/>
      <c r="AC742" s="12"/>
    </row>
    <row r="743" ht="15.75" customHeight="1">
      <c r="A743" s="12"/>
      <c r="B743" s="12"/>
      <c r="C743" s="12"/>
      <c r="D743" s="12"/>
      <c r="E743" s="12"/>
      <c r="F743" s="12"/>
      <c r="G743" s="12"/>
      <c r="H743" s="12"/>
      <c r="I743" s="12"/>
      <c r="J743" s="359"/>
      <c r="K743" s="12"/>
      <c r="L743" s="12"/>
      <c r="M743" s="12"/>
      <c r="N743" s="12"/>
      <c r="O743" s="12"/>
      <c r="P743" s="12"/>
      <c r="Q743" s="12"/>
      <c r="R743" s="359"/>
      <c r="S743" s="12"/>
      <c r="T743" s="12"/>
      <c r="U743" s="12"/>
      <c r="V743" s="12"/>
      <c r="W743" s="12"/>
      <c r="X743" s="12"/>
      <c r="Y743" s="12"/>
      <c r="Z743" s="359"/>
      <c r="AA743" s="12"/>
      <c r="AB743" s="12"/>
      <c r="AC743" s="12"/>
    </row>
    <row r="744" ht="15.75" customHeight="1">
      <c r="A744" s="12"/>
      <c r="B744" s="12"/>
      <c r="C744" s="12"/>
      <c r="D744" s="12"/>
      <c r="E744" s="12"/>
      <c r="F744" s="12"/>
      <c r="G744" s="12"/>
      <c r="H744" s="12"/>
      <c r="I744" s="12"/>
      <c r="J744" s="359"/>
      <c r="K744" s="12"/>
      <c r="L744" s="12"/>
      <c r="M744" s="12"/>
      <c r="N744" s="12"/>
      <c r="O744" s="12"/>
      <c r="P744" s="12"/>
      <c r="Q744" s="12"/>
      <c r="R744" s="359"/>
      <c r="S744" s="12"/>
      <c r="T744" s="12"/>
      <c r="U744" s="12"/>
      <c r="V744" s="12"/>
      <c r="W744" s="12"/>
      <c r="X744" s="12"/>
      <c r="Y744" s="12"/>
      <c r="Z744" s="359"/>
      <c r="AA744" s="12"/>
      <c r="AB744" s="12"/>
      <c r="AC744" s="12"/>
    </row>
    <row r="745" ht="15.75" customHeight="1">
      <c r="A745" s="12"/>
      <c r="B745" s="12"/>
      <c r="C745" s="12"/>
      <c r="D745" s="12"/>
      <c r="E745" s="12"/>
      <c r="F745" s="12"/>
      <c r="G745" s="12"/>
      <c r="H745" s="12"/>
      <c r="I745" s="12"/>
      <c r="J745" s="359"/>
      <c r="K745" s="12"/>
      <c r="L745" s="12"/>
      <c r="M745" s="12"/>
      <c r="N745" s="12"/>
      <c r="O745" s="12"/>
      <c r="P745" s="12"/>
      <c r="Q745" s="12"/>
      <c r="R745" s="359"/>
      <c r="S745" s="12"/>
      <c r="T745" s="12"/>
      <c r="U745" s="12"/>
      <c r="V745" s="12"/>
      <c r="W745" s="12"/>
      <c r="X745" s="12"/>
      <c r="Y745" s="12"/>
      <c r="Z745" s="359"/>
      <c r="AA745" s="12"/>
      <c r="AB745" s="12"/>
      <c r="AC745" s="12"/>
    </row>
    <row r="746" ht="15.75" customHeight="1">
      <c r="A746" s="12"/>
      <c r="B746" s="12"/>
      <c r="C746" s="12"/>
      <c r="D746" s="12"/>
      <c r="E746" s="12"/>
      <c r="F746" s="12"/>
      <c r="G746" s="12"/>
      <c r="H746" s="12"/>
      <c r="I746" s="12"/>
      <c r="J746" s="359"/>
      <c r="K746" s="12"/>
      <c r="L746" s="12"/>
      <c r="M746" s="12"/>
      <c r="N746" s="12"/>
      <c r="O746" s="12"/>
      <c r="P746" s="12"/>
      <c r="Q746" s="12"/>
      <c r="R746" s="359"/>
      <c r="S746" s="12"/>
      <c r="T746" s="12"/>
      <c r="U746" s="12"/>
      <c r="V746" s="12"/>
      <c r="W746" s="12"/>
      <c r="X746" s="12"/>
      <c r="Y746" s="12"/>
      <c r="Z746" s="359"/>
      <c r="AA746" s="12"/>
      <c r="AB746" s="12"/>
      <c r="AC746" s="12"/>
    </row>
    <row r="747" ht="15.75" customHeight="1">
      <c r="A747" s="12"/>
      <c r="B747" s="12"/>
      <c r="C747" s="12"/>
      <c r="D747" s="12"/>
      <c r="E747" s="12"/>
      <c r="F747" s="12"/>
      <c r="G747" s="12"/>
      <c r="H747" s="12"/>
      <c r="I747" s="12"/>
      <c r="J747" s="359"/>
      <c r="K747" s="12"/>
      <c r="L747" s="12"/>
      <c r="M747" s="12"/>
      <c r="N747" s="12"/>
      <c r="O747" s="12"/>
      <c r="P747" s="12"/>
      <c r="Q747" s="12"/>
      <c r="R747" s="359"/>
      <c r="S747" s="12"/>
      <c r="T747" s="12"/>
      <c r="U747" s="12"/>
      <c r="V747" s="12"/>
      <c r="W747" s="12"/>
      <c r="X747" s="12"/>
      <c r="Y747" s="12"/>
      <c r="Z747" s="359"/>
      <c r="AA747" s="12"/>
      <c r="AB747" s="12"/>
      <c r="AC747" s="12"/>
    </row>
    <row r="748" ht="15.75" customHeight="1">
      <c r="A748" s="12"/>
      <c r="B748" s="12"/>
      <c r="C748" s="12"/>
      <c r="D748" s="12"/>
      <c r="E748" s="12"/>
      <c r="F748" s="12"/>
      <c r="G748" s="12"/>
      <c r="H748" s="12"/>
      <c r="I748" s="12"/>
      <c r="J748" s="359"/>
      <c r="K748" s="12"/>
      <c r="L748" s="12"/>
      <c r="M748" s="12"/>
      <c r="N748" s="12"/>
      <c r="O748" s="12"/>
      <c r="P748" s="12"/>
      <c r="Q748" s="12"/>
      <c r="R748" s="359"/>
      <c r="S748" s="12"/>
      <c r="T748" s="12"/>
      <c r="U748" s="12"/>
      <c r="V748" s="12"/>
      <c r="W748" s="12"/>
      <c r="X748" s="12"/>
      <c r="Y748" s="12"/>
      <c r="Z748" s="359"/>
      <c r="AA748" s="12"/>
      <c r="AB748" s="12"/>
      <c r="AC748" s="12"/>
    </row>
    <row r="749" ht="15.75" customHeight="1">
      <c r="A749" s="12"/>
      <c r="B749" s="12"/>
      <c r="C749" s="12"/>
      <c r="D749" s="12"/>
      <c r="E749" s="12"/>
      <c r="F749" s="12"/>
      <c r="G749" s="12"/>
      <c r="H749" s="12"/>
      <c r="I749" s="12"/>
      <c r="J749" s="359"/>
      <c r="K749" s="12"/>
      <c r="L749" s="12"/>
      <c r="M749" s="12"/>
      <c r="N749" s="12"/>
      <c r="O749" s="12"/>
      <c r="P749" s="12"/>
      <c r="Q749" s="12"/>
      <c r="R749" s="359"/>
      <c r="S749" s="12"/>
      <c r="T749" s="12"/>
      <c r="U749" s="12"/>
      <c r="V749" s="12"/>
      <c r="W749" s="12"/>
      <c r="X749" s="12"/>
      <c r="Y749" s="12"/>
      <c r="Z749" s="359"/>
      <c r="AA749" s="12"/>
      <c r="AB749" s="12"/>
      <c r="AC749" s="12"/>
    </row>
    <row r="750" ht="15.75" customHeight="1">
      <c r="A750" s="12"/>
      <c r="B750" s="12"/>
      <c r="C750" s="12"/>
      <c r="D750" s="12"/>
      <c r="E750" s="12"/>
      <c r="F750" s="12"/>
      <c r="G750" s="12"/>
      <c r="H750" s="12"/>
      <c r="I750" s="12"/>
      <c r="J750" s="359"/>
      <c r="K750" s="12"/>
      <c r="L750" s="12"/>
      <c r="M750" s="12"/>
      <c r="N750" s="12"/>
      <c r="O750" s="12"/>
      <c r="P750" s="12"/>
      <c r="Q750" s="12"/>
      <c r="R750" s="359"/>
      <c r="S750" s="12"/>
      <c r="T750" s="12"/>
      <c r="U750" s="12"/>
      <c r="V750" s="12"/>
      <c r="W750" s="12"/>
      <c r="X750" s="12"/>
      <c r="Y750" s="12"/>
      <c r="Z750" s="359"/>
      <c r="AA750" s="12"/>
      <c r="AB750" s="12"/>
      <c r="AC750" s="12"/>
    </row>
    <row r="751" ht="15.75" customHeight="1">
      <c r="A751" s="12"/>
      <c r="B751" s="12"/>
      <c r="C751" s="12"/>
      <c r="D751" s="12"/>
      <c r="E751" s="12"/>
      <c r="F751" s="12"/>
      <c r="G751" s="12"/>
      <c r="H751" s="12"/>
      <c r="I751" s="12"/>
      <c r="J751" s="359"/>
      <c r="K751" s="12"/>
      <c r="L751" s="12"/>
      <c r="M751" s="12"/>
      <c r="N751" s="12"/>
      <c r="O751" s="12"/>
      <c r="P751" s="12"/>
      <c r="Q751" s="12"/>
      <c r="R751" s="359"/>
      <c r="S751" s="12"/>
      <c r="T751" s="12"/>
      <c r="U751" s="12"/>
      <c r="V751" s="12"/>
      <c r="W751" s="12"/>
      <c r="X751" s="12"/>
      <c r="Y751" s="12"/>
      <c r="Z751" s="359"/>
      <c r="AA751" s="12"/>
      <c r="AB751" s="12"/>
      <c r="AC751" s="12"/>
    </row>
    <row r="752" ht="15.75" customHeight="1">
      <c r="A752" s="12"/>
      <c r="B752" s="12"/>
      <c r="C752" s="12"/>
      <c r="D752" s="12"/>
      <c r="E752" s="12"/>
      <c r="F752" s="12"/>
      <c r="G752" s="12"/>
      <c r="H752" s="12"/>
      <c r="I752" s="12"/>
      <c r="J752" s="359"/>
      <c r="K752" s="12"/>
      <c r="L752" s="12"/>
      <c r="M752" s="12"/>
      <c r="N752" s="12"/>
      <c r="O752" s="12"/>
      <c r="P752" s="12"/>
      <c r="Q752" s="12"/>
      <c r="R752" s="359"/>
      <c r="S752" s="12"/>
      <c r="T752" s="12"/>
      <c r="U752" s="12"/>
      <c r="V752" s="12"/>
      <c r="W752" s="12"/>
      <c r="X752" s="12"/>
      <c r="Y752" s="12"/>
      <c r="Z752" s="359"/>
      <c r="AA752" s="12"/>
      <c r="AB752" s="12"/>
      <c r="AC752" s="12"/>
    </row>
    <row r="753" ht="15.75" customHeight="1">
      <c r="A753" s="12"/>
      <c r="B753" s="12"/>
      <c r="C753" s="12"/>
      <c r="D753" s="12"/>
      <c r="E753" s="12"/>
      <c r="F753" s="12"/>
      <c r="G753" s="12"/>
      <c r="H753" s="12"/>
      <c r="I753" s="12"/>
      <c r="J753" s="359"/>
      <c r="K753" s="12"/>
      <c r="L753" s="12"/>
      <c r="M753" s="12"/>
      <c r="N753" s="12"/>
      <c r="O753" s="12"/>
      <c r="P753" s="12"/>
      <c r="Q753" s="12"/>
      <c r="R753" s="359"/>
      <c r="S753" s="12"/>
      <c r="T753" s="12"/>
      <c r="U753" s="12"/>
      <c r="V753" s="12"/>
      <c r="W753" s="12"/>
      <c r="X753" s="12"/>
      <c r="Y753" s="12"/>
      <c r="Z753" s="359"/>
      <c r="AA753" s="12"/>
      <c r="AB753" s="12"/>
      <c r="AC753" s="12"/>
    </row>
    <row r="754" ht="15.75" customHeight="1">
      <c r="A754" s="12"/>
      <c r="B754" s="12"/>
      <c r="C754" s="12"/>
      <c r="D754" s="12"/>
      <c r="E754" s="12"/>
      <c r="F754" s="12"/>
      <c r="G754" s="12"/>
      <c r="H754" s="12"/>
      <c r="I754" s="12"/>
      <c r="J754" s="359"/>
      <c r="K754" s="12"/>
      <c r="L754" s="12"/>
      <c r="M754" s="12"/>
      <c r="N754" s="12"/>
      <c r="O754" s="12"/>
      <c r="P754" s="12"/>
      <c r="Q754" s="12"/>
      <c r="R754" s="359"/>
      <c r="S754" s="12"/>
      <c r="T754" s="12"/>
      <c r="U754" s="12"/>
      <c r="V754" s="12"/>
      <c r="W754" s="12"/>
      <c r="X754" s="12"/>
      <c r="Y754" s="12"/>
      <c r="Z754" s="359"/>
      <c r="AA754" s="12"/>
      <c r="AB754" s="12"/>
      <c r="AC754" s="12"/>
    </row>
    <row r="755" ht="15.75" customHeight="1">
      <c r="A755" s="12"/>
      <c r="B755" s="12"/>
      <c r="C755" s="12"/>
      <c r="D755" s="12"/>
      <c r="E755" s="12"/>
      <c r="F755" s="12"/>
      <c r="G755" s="12"/>
      <c r="H755" s="12"/>
      <c r="I755" s="12"/>
      <c r="J755" s="359"/>
      <c r="K755" s="12"/>
      <c r="L755" s="12"/>
      <c r="M755" s="12"/>
      <c r="N755" s="12"/>
      <c r="O755" s="12"/>
      <c r="P755" s="12"/>
      <c r="Q755" s="12"/>
      <c r="R755" s="359"/>
      <c r="S755" s="12"/>
      <c r="T755" s="12"/>
      <c r="U755" s="12"/>
      <c r="V755" s="12"/>
      <c r="W755" s="12"/>
      <c r="X755" s="12"/>
      <c r="Y755" s="12"/>
      <c r="Z755" s="359"/>
      <c r="AA755" s="12"/>
      <c r="AB755" s="12"/>
      <c r="AC755" s="12"/>
    </row>
    <row r="756" ht="15.75" customHeight="1">
      <c r="A756" s="12"/>
      <c r="B756" s="12"/>
      <c r="C756" s="12"/>
      <c r="D756" s="12"/>
      <c r="E756" s="12"/>
      <c r="F756" s="12"/>
      <c r="G756" s="12"/>
      <c r="H756" s="12"/>
      <c r="I756" s="12"/>
      <c r="J756" s="359"/>
      <c r="K756" s="12"/>
      <c r="L756" s="12"/>
      <c r="M756" s="12"/>
      <c r="N756" s="12"/>
      <c r="O756" s="12"/>
      <c r="P756" s="12"/>
      <c r="Q756" s="12"/>
      <c r="R756" s="359"/>
      <c r="S756" s="12"/>
      <c r="T756" s="12"/>
      <c r="U756" s="12"/>
      <c r="V756" s="12"/>
      <c r="W756" s="12"/>
      <c r="X756" s="12"/>
      <c r="Y756" s="12"/>
      <c r="Z756" s="359"/>
      <c r="AA756" s="12"/>
      <c r="AB756" s="12"/>
      <c r="AC756" s="12"/>
    </row>
    <row r="757" ht="15.75" customHeight="1">
      <c r="A757" s="12"/>
      <c r="B757" s="12"/>
      <c r="C757" s="12"/>
      <c r="D757" s="12"/>
      <c r="E757" s="12"/>
      <c r="F757" s="12"/>
      <c r="G757" s="12"/>
      <c r="H757" s="12"/>
      <c r="I757" s="12"/>
      <c r="J757" s="359"/>
      <c r="K757" s="12"/>
      <c r="L757" s="12"/>
      <c r="M757" s="12"/>
      <c r="N757" s="12"/>
      <c r="O757" s="12"/>
      <c r="P757" s="12"/>
      <c r="Q757" s="12"/>
      <c r="R757" s="359"/>
      <c r="S757" s="12"/>
      <c r="T757" s="12"/>
      <c r="U757" s="12"/>
      <c r="V757" s="12"/>
      <c r="W757" s="12"/>
      <c r="X757" s="12"/>
      <c r="Y757" s="12"/>
      <c r="Z757" s="359"/>
      <c r="AA757" s="12"/>
      <c r="AB757" s="12"/>
      <c r="AC757" s="12"/>
    </row>
    <row r="758" ht="15.75" customHeight="1">
      <c r="A758" s="12"/>
      <c r="B758" s="12"/>
      <c r="C758" s="12"/>
      <c r="D758" s="12"/>
      <c r="E758" s="12"/>
      <c r="F758" s="12"/>
      <c r="G758" s="12"/>
      <c r="H758" s="12"/>
      <c r="I758" s="12"/>
      <c r="J758" s="359"/>
      <c r="K758" s="12"/>
      <c r="L758" s="12"/>
      <c r="M758" s="12"/>
      <c r="N758" s="12"/>
      <c r="O758" s="12"/>
      <c r="P758" s="12"/>
      <c r="Q758" s="12"/>
      <c r="R758" s="359"/>
      <c r="S758" s="12"/>
      <c r="T758" s="12"/>
      <c r="U758" s="12"/>
      <c r="V758" s="12"/>
      <c r="W758" s="12"/>
      <c r="X758" s="12"/>
      <c r="Y758" s="12"/>
      <c r="Z758" s="359"/>
      <c r="AA758" s="12"/>
      <c r="AB758" s="12"/>
      <c r="AC758" s="12"/>
    </row>
    <row r="759" ht="15.75" customHeight="1">
      <c r="A759" s="12"/>
      <c r="B759" s="12"/>
      <c r="C759" s="12"/>
      <c r="D759" s="12"/>
      <c r="E759" s="12"/>
      <c r="F759" s="12"/>
      <c r="G759" s="12"/>
      <c r="H759" s="12"/>
      <c r="I759" s="12"/>
      <c r="J759" s="359"/>
      <c r="K759" s="12"/>
      <c r="L759" s="12"/>
      <c r="M759" s="12"/>
      <c r="N759" s="12"/>
      <c r="O759" s="12"/>
      <c r="P759" s="12"/>
      <c r="Q759" s="12"/>
      <c r="R759" s="359"/>
      <c r="S759" s="12"/>
      <c r="T759" s="12"/>
      <c r="U759" s="12"/>
      <c r="V759" s="12"/>
      <c r="W759" s="12"/>
      <c r="X759" s="12"/>
      <c r="Y759" s="12"/>
      <c r="Z759" s="359"/>
      <c r="AA759" s="12"/>
      <c r="AB759" s="12"/>
      <c r="AC759" s="12"/>
    </row>
    <row r="760" ht="15.75" customHeight="1">
      <c r="A760" s="12"/>
      <c r="B760" s="12"/>
      <c r="C760" s="12"/>
      <c r="D760" s="12"/>
      <c r="E760" s="12"/>
      <c r="F760" s="12"/>
      <c r="G760" s="12"/>
      <c r="H760" s="12"/>
      <c r="I760" s="12"/>
      <c r="J760" s="359"/>
      <c r="K760" s="12"/>
      <c r="L760" s="12"/>
      <c r="M760" s="12"/>
      <c r="N760" s="12"/>
      <c r="O760" s="12"/>
      <c r="P760" s="12"/>
      <c r="Q760" s="12"/>
      <c r="R760" s="359"/>
      <c r="S760" s="12"/>
      <c r="T760" s="12"/>
      <c r="U760" s="12"/>
      <c r="V760" s="12"/>
      <c r="W760" s="12"/>
      <c r="X760" s="12"/>
      <c r="Y760" s="12"/>
      <c r="Z760" s="359"/>
      <c r="AA760" s="12"/>
      <c r="AB760" s="12"/>
      <c r="AC760" s="12"/>
    </row>
    <row r="761" ht="15.75" customHeight="1">
      <c r="A761" s="12"/>
      <c r="B761" s="12"/>
      <c r="C761" s="12"/>
      <c r="D761" s="12"/>
      <c r="E761" s="12"/>
      <c r="F761" s="12"/>
      <c r="G761" s="12"/>
      <c r="H761" s="12"/>
      <c r="I761" s="12"/>
      <c r="J761" s="359"/>
      <c r="K761" s="12"/>
      <c r="L761" s="12"/>
      <c r="M761" s="12"/>
      <c r="N761" s="12"/>
      <c r="O761" s="12"/>
      <c r="P761" s="12"/>
      <c r="Q761" s="12"/>
      <c r="R761" s="359"/>
      <c r="S761" s="12"/>
      <c r="T761" s="12"/>
      <c r="U761" s="12"/>
      <c r="V761" s="12"/>
      <c r="W761" s="12"/>
      <c r="X761" s="12"/>
      <c r="Y761" s="12"/>
      <c r="Z761" s="359"/>
      <c r="AA761" s="12"/>
      <c r="AB761" s="12"/>
      <c r="AC761" s="12"/>
    </row>
    <row r="762" ht="15.75" customHeight="1">
      <c r="A762" s="12"/>
      <c r="B762" s="12"/>
      <c r="C762" s="12"/>
      <c r="D762" s="12"/>
      <c r="E762" s="12"/>
      <c r="F762" s="12"/>
      <c r="G762" s="12"/>
      <c r="H762" s="12"/>
      <c r="I762" s="12"/>
      <c r="J762" s="359"/>
      <c r="K762" s="12"/>
      <c r="L762" s="12"/>
      <c r="M762" s="12"/>
      <c r="N762" s="12"/>
      <c r="O762" s="12"/>
      <c r="P762" s="12"/>
      <c r="Q762" s="12"/>
      <c r="R762" s="359"/>
      <c r="S762" s="12"/>
      <c r="T762" s="12"/>
      <c r="U762" s="12"/>
      <c r="V762" s="12"/>
      <c r="W762" s="12"/>
      <c r="X762" s="12"/>
      <c r="Y762" s="12"/>
      <c r="Z762" s="359"/>
      <c r="AA762" s="12"/>
      <c r="AB762" s="12"/>
      <c r="AC762" s="12"/>
    </row>
    <row r="763" ht="15.75" customHeight="1">
      <c r="A763" s="12"/>
      <c r="B763" s="12"/>
      <c r="C763" s="12"/>
      <c r="D763" s="12"/>
      <c r="E763" s="12"/>
      <c r="F763" s="12"/>
      <c r="G763" s="12"/>
      <c r="H763" s="12"/>
      <c r="I763" s="12"/>
      <c r="J763" s="359"/>
      <c r="K763" s="12"/>
      <c r="L763" s="12"/>
      <c r="M763" s="12"/>
      <c r="N763" s="12"/>
      <c r="O763" s="12"/>
      <c r="P763" s="12"/>
      <c r="Q763" s="12"/>
      <c r="R763" s="359"/>
      <c r="S763" s="12"/>
      <c r="T763" s="12"/>
      <c r="U763" s="12"/>
      <c r="V763" s="12"/>
      <c r="W763" s="12"/>
      <c r="X763" s="12"/>
      <c r="Y763" s="12"/>
      <c r="Z763" s="359"/>
      <c r="AA763" s="12"/>
      <c r="AB763" s="12"/>
      <c r="AC763" s="12"/>
    </row>
    <row r="764" ht="15.75" customHeight="1">
      <c r="A764" s="12"/>
      <c r="B764" s="12"/>
      <c r="C764" s="12"/>
      <c r="D764" s="12"/>
      <c r="E764" s="12"/>
      <c r="F764" s="12"/>
      <c r="G764" s="12"/>
      <c r="H764" s="12"/>
      <c r="I764" s="12"/>
      <c r="J764" s="359"/>
      <c r="K764" s="12"/>
      <c r="L764" s="12"/>
      <c r="M764" s="12"/>
      <c r="N764" s="12"/>
      <c r="O764" s="12"/>
      <c r="P764" s="12"/>
      <c r="Q764" s="12"/>
      <c r="R764" s="359"/>
      <c r="S764" s="12"/>
      <c r="T764" s="12"/>
      <c r="U764" s="12"/>
      <c r="V764" s="12"/>
      <c r="W764" s="12"/>
      <c r="X764" s="12"/>
      <c r="Y764" s="12"/>
      <c r="Z764" s="359"/>
      <c r="AA764" s="12"/>
      <c r="AB764" s="12"/>
      <c r="AC764" s="12"/>
    </row>
    <row r="765" ht="15.75" customHeight="1">
      <c r="A765" s="12"/>
      <c r="B765" s="12"/>
      <c r="C765" s="12"/>
      <c r="D765" s="12"/>
      <c r="E765" s="12"/>
      <c r="F765" s="12"/>
      <c r="G765" s="12"/>
      <c r="H765" s="12"/>
      <c r="I765" s="12"/>
      <c r="J765" s="359"/>
      <c r="K765" s="12"/>
      <c r="L765" s="12"/>
      <c r="M765" s="12"/>
      <c r="N765" s="12"/>
      <c r="O765" s="12"/>
      <c r="P765" s="12"/>
      <c r="Q765" s="12"/>
      <c r="R765" s="359"/>
      <c r="S765" s="12"/>
      <c r="T765" s="12"/>
      <c r="U765" s="12"/>
      <c r="V765" s="12"/>
      <c r="W765" s="12"/>
      <c r="X765" s="12"/>
      <c r="Y765" s="12"/>
      <c r="Z765" s="359"/>
      <c r="AA765" s="12"/>
      <c r="AB765" s="12"/>
      <c r="AC765" s="12"/>
    </row>
    <row r="766" ht="15.75" customHeight="1">
      <c r="A766" s="12"/>
      <c r="B766" s="12"/>
      <c r="C766" s="12"/>
      <c r="D766" s="12"/>
      <c r="E766" s="12"/>
      <c r="F766" s="12"/>
      <c r="G766" s="12"/>
      <c r="H766" s="12"/>
      <c r="I766" s="12"/>
      <c r="J766" s="359"/>
      <c r="K766" s="12"/>
      <c r="L766" s="12"/>
      <c r="M766" s="12"/>
      <c r="N766" s="12"/>
      <c r="O766" s="12"/>
      <c r="P766" s="12"/>
      <c r="Q766" s="12"/>
      <c r="R766" s="359"/>
      <c r="S766" s="12"/>
      <c r="T766" s="12"/>
      <c r="U766" s="12"/>
      <c r="V766" s="12"/>
      <c r="W766" s="12"/>
      <c r="X766" s="12"/>
      <c r="Y766" s="12"/>
      <c r="Z766" s="359"/>
      <c r="AA766" s="12"/>
      <c r="AB766" s="12"/>
      <c r="AC766" s="12"/>
    </row>
    <row r="767" ht="15.75" customHeight="1">
      <c r="A767" s="12"/>
      <c r="B767" s="12"/>
      <c r="C767" s="12"/>
      <c r="D767" s="12"/>
      <c r="E767" s="12"/>
      <c r="F767" s="12"/>
      <c r="G767" s="12"/>
      <c r="H767" s="12"/>
      <c r="I767" s="12"/>
      <c r="J767" s="359"/>
      <c r="K767" s="12"/>
      <c r="L767" s="12"/>
      <c r="M767" s="12"/>
      <c r="N767" s="12"/>
      <c r="O767" s="12"/>
      <c r="P767" s="12"/>
      <c r="Q767" s="12"/>
      <c r="R767" s="359"/>
      <c r="S767" s="12"/>
      <c r="T767" s="12"/>
      <c r="U767" s="12"/>
      <c r="V767" s="12"/>
      <c r="W767" s="12"/>
      <c r="X767" s="12"/>
      <c r="Y767" s="12"/>
      <c r="Z767" s="359"/>
      <c r="AA767" s="12"/>
      <c r="AB767" s="12"/>
      <c r="AC767" s="12"/>
    </row>
    <row r="768" ht="15.75" customHeight="1">
      <c r="A768" s="12"/>
      <c r="B768" s="12"/>
      <c r="C768" s="12"/>
      <c r="D768" s="12"/>
      <c r="E768" s="12"/>
      <c r="F768" s="12"/>
      <c r="G768" s="12"/>
      <c r="H768" s="12"/>
      <c r="I768" s="12"/>
      <c r="J768" s="359"/>
      <c r="K768" s="12"/>
      <c r="L768" s="12"/>
      <c r="M768" s="12"/>
      <c r="N768" s="12"/>
      <c r="O768" s="12"/>
      <c r="P768" s="12"/>
      <c r="Q768" s="12"/>
      <c r="R768" s="359"/>
      <c r="S768" s="12"/>
      <c r="T768" s="12"/>
      <c r="U768" s="12"/>
      <c r="V768" s="12"/>
      <c r="W768" s="12"/>
      <c r="X768" s="12"/>
      <c r="Y768" s="12"/>
      <c r="Z768" s="359"/>
      <c r="AA768" s="12"/>
      <c r="AB768" s="12"/>
      <c r="AC768" s="12"/>
    </row>
    <row r="769" ht="15.75" customHeight="1">
      <c r="A769" s="12"/>
      <c r="B769" s="12"/>
      <c r="C769" s="12"/>
      <c r="D769" s="12"/>
      <c r="E769" s="12"/>
      <c r="F769" s="12"/>
      <c r="G769" s="12"/>
      <c r="H769" s="12"/>
      <c r="I769" s="12"/>
      <c r="J769" s="359"/>
      <c r="K769" s="12"/>
      <c r="L769" s="12"/>
      <c r="M769" s="12"/>
      <c r="N769" s="12"/>
      <c r="O769" s="12"/>
      <c r="P769" s="12"/>
      <c r="Q769" s="12"/>
      <c r="R769" s="359"/>
      <c r="S769" s="12"/>
      <c r="T769" s="12"/>
      <c r="U769" s="12"/>
      <c r="V769" s="12"/>
      <c r="W769" s="12"/>
      <c r="X769" s="12"/>
      <c r="Y769" s="12"/>
      <c r="Z769" s="359"/>
      <c r="AA769" s="12"/>
      <c r="AB769" s="12"/>
      <c r="AC769" s="12"/>
    </row>
    <row r="770" ht="15.75" customHeight="1">
      <c r="A770" s="12"/>
      <c r="B770" s="12"/>
      <c r="C770" s="12"/>
      <c r="D770" s="12"/>
      <c r="E770" s="12"/>
      <c r="F770" s="12"/>
      <c r="G770" s="12"/>
      <c r="H770" s="12"/>
      <c r="I770" s="12"/>
      <c r="J770" s="359"/>
      <c r="K770" s="12"/>
      <c r="L770" s="12"/>
      <c r="M770" s="12"/>
      <c r="N770" s="12"/>
      <c r="O770" s="12"/>
      <c r="P770" s="12"/>
      <c r="Q770" s="12"/>
      <c r="R770" s="359"/>
      <c r="S770" s="12"/>
      <c r="T770" s="12"/>
      <c r="U770" s="12"/>
      <c r="V770" s="12"/>
      <c r="W770" s="12"/>
      <c r="X770" s="12"/>
      <c r="Y770" s="12"/>
      <c r="Z770" s="359"/>
      <c r="AA770" s="12"/>
      <c r="AB770" s="12"/>
      <c r="AC770" s="12"/>
    </row>
    <row r="771" ht="15.75" customHeight="1">
      <c r="A771" s="12"/>
      <c r="B771" s="12"/>
      <c r="C771" s="12"/>
      <c r="D771" s="12"/>
      <c r="E771" s="12"/>
      <c r="F771" s="12"/>
      <c r="G771" s="12"/>
      <c r="H771" s="12"/>
      <c r="I771" s="12"/>
      <c r="J771" s="359"/>
      <c r="K771" s="12"/>
      <c r="L771" s="12"/>
      <c r="M771" s="12"/>
      <c r="N771" s="12"/>
      <c r="O771" s="12"/>
      <c r="P771" s="12"/>
      <c r="Q771" s="12"/>
      <c r="R771" s="359"/>
      <c r="S771" s="12"/>
      <c r="T771" s="12"/>
      <c r="U771" s="12"/>
      <c r="V771" s="12"/>
      <c r="W771" s="12"/>
      <c r="X771" s="12"/>
      <c r="Y771" s="12"/>
      <c r="Z771" s="359"/>
      <c r="AA771" s="12"/>
      <c r="AB771" s="12"/>
      <c r="AC771" s="12"/>
    </row>
    <row r="772" ht="15.75" customHeight="1">
      <c r="A772" s="12"/>
      <c r="B772" s="12"/>
      <c r="C772" s="12"/>
      <c r="D772" s="12"/>
      <c r="E772" s="12"/>
      <c r="F772" s="12"/>
      <c r="G772" s="12"/>
      <c r="H772" s="12"/>
      <c r="I772" s="12"/>
      <c r="J772" s="359"/>
      <c r="K772" s="12"/>
      <c r="L772" s="12"/>
      <c r="M772" s="12"/>
      <c r="N772" s="12"/>
      <c r="O772" s="12"/>
      <c r="P772" s="12"/>
      <c r="Q772" s="12"/>
      <c r="R772" s="359"/>
      <c r="S772" s="12"/>
      <c r="T772" s="12"/>
      <c r="U772" s="12"/>
      <c r="V772" s="12"/>
      <c r="W772" s="12"/>
      <c r="X772" s="12"/>
      <c r="Y772" s="12"/>
      <c r="Z772" s="359"/>
      <c r="AA772" s="12"/>
      <c r="AB772" s="12"/>
      <c r="AC772" s="12"/>
    </row>
    <row r="773" ht="15.75" customHeight="1">
      <c r="A773" s="12"/>
      <c r="B773" s="12"/>
      <c r="C773" s="12"/>
      <c r="D773" s="12"/>
      <c r="E773" s="12"/>
      <c r="F773" s="12"/>
      <c r="G773" s="12"/>
      <c r="H773" s="12"/>
      <c r="I773" s="12"/>
      <c r="J773" s="359"/>
      <c r="K773" s="12"/>
      <c r="L773" s="12"/>
      <c r="M773" s="12"/>
      <c r="N773" s="12"/>
      <c r="O773" s="12"/>
      <c r="P773" s="12"/>
      <c r="Q773" s="12"/>
      <c r="R773" s="359"/>
      <c r="S773" s="12"/>
      <c r="T773" s="12"/>
      <c r="U773" s="12"/>
      <c r="V773" s="12"/>
      <c r="W773" s="12"/>
      <c r="X773" s="12"/>
      <c r="Y773" s="12"/>
      <c r="Z773" s="359"/>
      <c r="AA773" s="12"/>
      <c r="AB773" s="12"/>
      <c r="AC773" s="12"/>
    </row>
    <row r="774" ht="15.75" customHeight="1">
      <c r="A774" s="12"/>
      <c r="B774" s="12"/>
      <c r="C774" s="12"/>
      <c r="D774" s="12"/>
      <c r="E774" s="12"/>
      <c r="F774" s="12"/>
      <c r="G774" s="12"/>
      <c r="H774" s="12"/>
      <c r="I774" s="12"/>
      <c r="J774" s="359"/>
      <c r="K774" s="12"/>
      <c r="L774" s="12"/>
      <c r="M774" s="12"/>
      <c r="N774" s="12"/>
      <c r="O774" s="12"/>
      <c r="P774" s="12"/>
      <c r="Q774" s="12"/>
      <c r="R774" s="359"/>
      <c r="S774" s="12"/>
      <c r="T774" s="12"/>
      <c r="U774" s="12"/>
      <c r="V774" s="12"/>
      <c r="W774" s="12"/>
      <c r="X774" s="12"/>
      <c r="Y774" s="12"/>
      <c r="Z774" s="359"/>
      <c r="AA774" s="12"/>
      <c r="AB774" s="12"/>
      <c r="AC774" s="12"/>
    </row>
    <row r="775" ht="15.75" customHeight="1">
      <c r="A775" s="12"/>
      <c r="B775" s="12"/>
      <c r="C775" s="12"/>
      <c r="D775" s="12"/>
      <c r="E775" s="12"/>
      <c r="F775" s="12"/>
      <c r="G775" s="12"/>
      <c r="H775" s="12"/>
      <c r="I775" s="12"/>
      <c r="J775" s="359"/>
      <c r="K775" s="12"/>
      <c r="L775" s="12"/>
      <c r="M775" s="12"/>
      <c r="N775" s="12"/>
      <c r="O775" s="12"/>
      <c r="P775" s="12"/>
      <c r="Q775" s="12"/>
      <c r="R775" s="359"/>
      <c r="S775" s="12"/>
      <c r="T775" s="12"/>
      <c r="U775" s="12"/>
      <c r="V775" s="12"/>
      <c r="W775" s="12"/>
      <c r="X775" s="12"/>
      <c r="Y775" s="12"/>
      <c r="Z775" s="359"/>
      <c r="AA775" s="12"/>
      <c r="AB775" s="12"/>
      <c r="AC775" s="12"/>
    </row>
    <row r="776" ht="15.75" customHeight="1">
      <c r="A776" s="12"/>
      <c r="B776" s="12"/>
      <c r="C776" s="12"/>
      <c r="D776" s="12"/>
      <c r="E776" s="12"/>
      <c r="F776" s="12"/>
      <c r="G776" s="12"/>
      <c r="H776" s="12"/>
      <c r="I776" s="12"/>
      <c r="J776" s="359"/>
      <c r="K776" s="12"/>
      <c r="L776" s="12"/>
      <c r="M776" s="12"/>
      <c r="N776" s="12"/>
      <c r="O776" s="12"/>
      <c r="P776" s="12"/>
      <c r="Q776" s="12"/>
      <c r="R776" s="359"/>
      <c r="S776" s="12"/>
      <c r="T776" s="12"/>
      <c r="U776" s="12"/>
      <c r="V776" s="12"/>
      <c r="W776" s="12"/>
      <c r="X776" s="12"/>
      <c r="Y776" s="12"/>
      <c r="Z776" s="359"/>
      <c r="AA776" s="12"/>
      <c r="AB776" s="12"/>
      <c r="AC776" s="12"/>
    </row>
    <row r="777" ht="15.75" customHeight="1">
      <c r="A777" s="12"/>
      <c r="B777" s="12"/>
      <c r="C777" s="12"/>
      <c r="D777" s="12"/>
      <c r="E777" s="12"/>
      <c r="F777" s="12"/>
      <c r="G777" s="12"/>
      <c r="H777" s="12"/>
      <c r="I777" s="12"/>
      <c r="J777" s="359"/>
      <c r="K777" s="12"/>
      <c r="L777" s="12"/>
      <c r="M777" s="12"/>
      <c r="N777" s="12"/>
      <c r="O777" s="12"/>
      <c r="P777" s="12"/>
      <c r="Q777" s="12"/>
      <c r="R777" s="359"/>
      <c r="S777" s="12"/>
      <c r="T777" s="12"/>
      <c r="U777" s="12"/>
      <c r="V777" s="12"/>
      <c r="W777" s="12"/>
      <c r="X777" s="12"/>
      <c r="Y777" s="12"/>
      <c r="Z777" s="359"/>
      <c r="AA777" s="12"/>
      <c r="AB777" s="12"/>
      <c r="AC777" s="12"/>
    </row>
    <row r="778" ht="15.75" customHeight="1">
      <c r="A778" s="12"/>
      <c r="B778" s="12"/>
      <c r="C778" s="12"/>
      <c r="D778" s="12"/>
      <c r="E778" s="12"/>
      <c r="F778" s="12"/>
      <c r="G778" s="12"/>
      <c r="H778" s="12"/>
      <c r="I778" s="12"/>
      <c r="J778" s="359"/>
      <c r="K778" s="12"/>
      <c r="L778" s="12"/>
      <c r="M778" s="12"/>
      <c r="N778" s="12"/>
      <c r="O778" s="12"/>
      <c r="P778" s="12"/>
      <c r="Q778" s="12"/>
      <c r="R778" s="359"/>
      <c r="S778" s="12"/>
      <c r="T778" s="12"/>
      <c r="U778" s="12"/>
      <c r="V778" s="12"/>
      <c r="W778" s="12"/>
      <c r="X778" s="12"/>
      <c r="Y778" s="12"/>
      <c r="Z778" s="359"/>
      <c r="AA778" s="12"/>
      <c r="AB778" s="12"/>
      <c r="AC778" s="12"/>
    </row>
    <row r="779" ht="15.75" customHeight="1">
      <c r="A779" s="12"/>
      <c r="B779" s="12"/>
      <c r="C779" s="12"/>
      <c r="D779" s="12"/>
      <c r="E779" s="12"/>
      <c r="F779" s="12"/>
      <c r="G779" s="12"/>
      <c r="H779" s="12"/>
      <c r="I779" s="12"/>
      <c r="J779" s="359"/>
      <c r="K779" s="12"/>
      <c r="L779" s="12"/>
      <c r="M779" s="12"/>
      <c r="N779" s="12"/>
      <c r="O779" s="12"/>
      <c r="P779" s="12"/>
      <c r="Q779" s="12"/>
      <c r="R779" s="359"/>
      <c r="S779" s="12"/>
      <c r="T779" s="12"/>
      <c r="U779" s="12"/>
      <c r="V779" s="12"/>
      <c r="W779" s="12"/>
      <c r="X779" s="12"/>
      <c r="Y779" s="12"/>
      <c r="Z779" s="359"/>
      <c r="AA779" s="12"/>
      <c r="AB779" s="12"/>
      <c r="AC779" s="12"/>
    </row>
    <row r="780" ht="15.75" customHeight="1">
      <c r="A780" s="12"/>
      <c r="B780" s="12"/>
      <c r="C780" s="12"/>
      <c r="D780" s="12"/>
      <c r="E780" s="12"/>
      <c r="F780" s="12"/>
      <c r="G780" s="12"/>
      <c r="H780" s="12"/>
      <c r="I780" s="12"/>
      <c r="J780" s="359"/>
      <c r="K780" s="12"/>
      <c r="L780" s="12"/>
      <c r="M780" s="12"/>
      <c r="N780" s="12"/>
      <c r="O780" s="12"/>
      <c r="P780" s="12"/>
      <c r="Q780" s="12"/>
      <c r="R780" s="359"/>
      <c r="S780" s="12"/>
      <c r="T780" s="12"/>
      <c r="U780" s="12"/>
      <c r="V780" s="12"/>
      <c r="W780" s="12"/>
      <c r="X780" s="12"/>
      <c r="Y780" s="12"/>
      <c r="Z780" s="359"/>
      <c r="AA780" s="12"/>
      <c r="AB780" s="12"/>
      <c r="AC780" s="12"/>
    </row>
    <row r="781" ht="15.75" customHeight="1">
      <c r="A781" s="12"/>
      <c r="B781" s="12"/>
      <c r="C781" s="12"/>
      <c r="D781" s="12"/>
      <c r="E781" s="12"/>
      <c r="F781" s="12"/>
      <c r="G781" s="12"/>
      <c r="H781" s="12"/>
      <c r="I781" s="12"/>
      <c r="J781" s="359"/>
      <c r="K781" s="12"/>
      <c r="L781" s="12"/>
      <c r="M781" s="12"/>
      <c r="N781" s="12"/>
      <c r="O781" s="12"/>
      <c r="P781" s="12"/>
      <c r="Q781" s="12"/>
      <c r="R781" s="359"/>
      <c r="S781" s="12"/>
      <c r="T781" s="12"/>
      <c r="U781" s="12"/>
      <c r="V781" s="12"/>
      <c r="W781" s="12"/>
      <c r="X781" s="12"/>
      <c r="Y781" s="12"/>
      <c r="Z781" s="359"/>
      <c r="AA781" s="12"/>
      <c r="AB781" s="12"/>
      <c r="AC781" s="12"/>
    </row>
    <row r="782" ht="15.75" customHeight="1">
      <c r="A782" s="12"/>
      <c r="B782" s="12"/>
      <c r="C782" s="12"/>
      <c r="D782" s="12"/>
      <c r="E782" s="12"/>
      <c r="F782" s="12"/>
      <c r="G782" s="12"/>
      <c r="H782" s="12"/>
      <c r="I782" s="12"/>
      <c r="J782" s="359"/>
      <c r="K782" s="12"/>
      <c r="L782" s="12"/>
      <c r="M782" s="12"/>
      <c r="N782" s="12"/>
      <c r="O782" s="12"/>
      <c r="P782" s="12"/>
      <c r="Q782" s="12"/>
      <c r="R782" s="359"/>
      <c r="S782" s="12"/>
      <c r="T782" s="12"/>
      <c r="U782" s="12"/>
      <c r="V782" s="12"/>
      <c r="W782" s="12"/>
      <c r="X782" s="12"/>
      <c r="Y782" s="12"/>
      <c r="Z782" s="359"/>
      <c r="AA782" s="12"/>
      <c r="AB782" s="12"/>
      <c r="AC782" s="12"/>
    </row>
    <row r="783" ht="15.75" customHeight="1">
      <c r="A783" s="12"/>
      <c r="B783" s="12"/>
      <c r="C783" s="12"/>
      <c r="D783" s="12"/>
      <c r="E783" s="12"/>
      <c r="F783" s="12"/>
      <c r="G783" s="12"/>
      <c r="H783" s="12"/>
      <c r="I783" s="12"/>
      <c r="J783" s="359"/>
      <c r="K783" s="12"/>
      <c r="L783" s="12"/>
      <c r="M783" s="12"/>
      <c r="N783" s="12"/>
      <c r="O783" s="12"/>
      <c r="P783" s="12"/>
      <c r="Q783" s="12"/>
      <c r="R783" s="359"/>
      <c r="S783" s="12"/>
      <c r="T783" s="12"/>
      <c r="U783" s="12"/>
      <c r="V783" s="12"/>
      <c r="W783" s="12"/>
      <c r="X783" s="12"/>
      <c r="Y783" s="12"/>
      <c r="Z783" s="359"/>
      <c r="AA783" s="12"/>
      <c r="AB783" s="12"/>
      <c r="AC783" s="12"/>
    </row>
    <row r="784" ht="15.75" customHeight="1">
      <c r="A784" s="12"/>
      <c r="B784" s="12"/>
      <c r="C784" s="12"/>
      <c r="D784" s="12"/>
      <c r="E784" s="12"/>
      <c r="F784" s="12"/>
      <c r="G784" s="12"/>
      <c r="H784" s="12"/>
      <c r="I784" s="12"/>
      <c r="J784" s="359"/>
      <c r="K784" s="12"/>
      <c r="L784" s="12"/>
      <c r="M784" s="12"/>
      <c r="N784" s="12"/>
      <c r="O784" s="12"/>
      <c r="P784" s="12"/>
      <c r="Q784" s="12"/>
      <c r="R784" s="359"/>
      <c r="S784" s="12"/>
      <c r="T784" s="12"/>
      <c r="U784" s="12"/>
      <c r="V784" s="12"/>
      <c r="W784" s="12"/>
      <c r="X784" s="12"/>
      <c r="Y784" s="12"/>
      <c r="Z784" s="359"/>
      <c r="AA784" s="12"/>
      <c r="AB784" s="12"/>
      <c r="AC784" s="12"/>
    </row>
    <row r="785" ht="15.75" customHeight="1">
      <c r="A785" s="12"/>
      <c r="B785" s="12"/>
      <c r="C785" s="12"/>
      <c r="D785" s="12"/>
      <c r="E785" s="12"/>
      <c r="F785" s="12"/>
      <c r="G785" s="12"/>
      <c r="H785" s="12"/>
      <c r="I785" s="12"/>
      <c r="J785" s="359"/>
      <c r="K785" s="12"/>
      <c r="L785" s="12"/>
      <c r="M785" s="12"/>
      <c r="N785" s="12"/>
      <c r="O785" s="12"/>
      <c r="P785" s="12"/>
      <c r="Q785" s="12"/>
      <c r="R785" s="359"/>
      <c r="S785" s="12"/>
      <c r="T785" s="12"/>
      <c r="U785" s="12"/>
      <c r="V785" s="12"/>
      <c r="W785" s="12"/>
      <c r="X785" s="12"/>
      <c r="Y785" s="12"/>
      <c r="Z785" s="359"/>
      <c r="AA785" s="12"/>
      <c r="AB785" s="12"/>
      <c r="AC785" s="12"/>
    </row>
    <row r="786" ht="15.75" customHeight="1">
      <c r="A786" s="12"/>
      <c r="B786" s="12"/>
      <c r="C786" s="12"/>
      <c r="D786" s="12"/>
      <c r="E786" s="12"/>
      <c r="F786" s="12"/>
      <c r="G786" s="12"/>
      <c r="H786" s="12"/>
      <c r="I786" s="12"/>
      <c r="J786" s="359"/>
      <c r="K786" s="12"/>
      <c r="L786" s="12"/>
      <c r="M786" s="12"/>
      <c r="N786" s="12"/>
      <c r="O786" s="12"/>
      <c r="P786" s="12"/>
      <c r="Q786" s="12"/>
      <c r="R786" s="359"/>
      <c r="S786" s="12"/>
      <c r="T786" s="12"/>
      <c r="U786" s="12"/>
      <c r="V786" s="12"/>
      <c r="W786" s="12"/>
      <c r="X786" s="12"/>
      <c r="Y786" s="12"/>
      <c r="Z786" s="359"/>
      <c r="AA786" s="12"/>
      <c r="AB786" s="12"/>
      <c r="AC786" s="12"/>
    </row>
    <row r="787" ht="15.75" customHeight="1">
      <c r="A787" s="12"/>
      <c r="B787" s="12"/>
      <c r="C787" s="12"/>
      <c r="D787" s="12"/>
      <c r="E787" s="12"/>
      <c r="F787" s="12"/>
      <c r="G787" s="12"/>
      <c r="H787" s="12"/>
      <c r="I787" s="12"/>
      <c r="J787" s="359"/>
      <c r="K787" s="12"/>
      <c r="L787" s="12"/>
      <c r="M787" s="12"/>
      <c r="N787" s="12"/>
      <c r="O787" s="12"/>
      <c r="P787" s="12"/>
      <c r="Q787" s="12"/>
      <c r="R787" s="359"/>
      <c r="S787" s="12"/>
      <c r="T787" s="12"/>
      <c r="U787" s="12"/>
      <c r="V787" s="12"/>
      <c r="W787" s="12"/>
      <c r="X787" s="12"/>
      <c r="Y787" s="12"/>
      <c r="Z787" s="359"/>
      <c r="AA787" s="12"/>
      <c r="AB787" s="12"/>
      <c r="AC787" s="12"/>
    </row>
    <row r="788" ht="15.75" customHeight="1">
      <c r="A788" s="12"/>
      <c r="B788" s="12"/>
      <c r="C788" s="12"/>
      <c r="D788" s="12"/>
      <c r="E788" s="12"/>
      <c r="F788" s="12"/>
      <c r="G788" s="12"/>
      <c r="H788" s="12"/>
      <c r="I788" s="12"/>
      <c r="J788" s="359"/>
      <c r="K788" s="12"/>
      <c r="L788" s="12"/>
      <c r="M788" s="12"/>
      <c r="N788" s="12"/>
      <c r="O788" s="12"/>
      <c r="P788" s="12"/>
      <c r="Q788" s="12"/>
      <c r="R788" s="359"/>
      <c r="S788" s="12"/>
      <c r="T788" s="12"/>
      <c r="U788" s="12"/>
      <c r="V788" s="12"/>
      <c r="W788" s="12"/>
      <c r="X788" s="12"/>
      <c r="Y788" s="12"/>
      <c r="Z788" s="359"/>
      <c r="AA788" s="12"/>
      <c r="AB788" s="12"/>
      <c r="AC788" s="12"/>
    </row>
    <row r="789" ht="15.75" customHeight="1">
      <c r="A789" s="12"/>
      <c r="B789" s="12"/>
      <c r="C789" s="12"/>
      <c r="D789" s="12"/>
      <c r="E789" s="12"/>
      <c r="F789" s="12"/>
      <c r="G789" s="12"/>
      <c r="H789" s="12"/>
      <c r="I789" s="12"/>
      <c r="J789" s="359"/>
      <c r="K789" s="12"/>
      <c r="L789" s="12"/>
      <c r="M789" s="12"/>
      <c r="N789" s="12"/>
      <c r="O789" s="12"/>
      <c r="P789" s="12"/>
      <c r="Q789" s="12"/>
      <c r="R789" s="359"/>
      <c r="S789" s="12"/>
      <c r="T789" s="12"/>
      <c r="U789" s="12"/>
      <c r="V789" s="12"/>
      <c r="W789" s="12"/>
      <c r="X789" s="12"/>
      <c r="Y789" s="12"/>
      <c r="Z789" s="359"/>
      <c r="AA789" s="12"/>
      <c r="AB789" s="12"/>
      <c r="AC789" s="12"/>
    </row>
    <row r="790" ht="15.75" customHeight="1">
      <c r="A790" s="12"/>
      <c r="B790" s="12"/>
      <c r="C790" s="12"/>
      <c r="D790" s="12"/>
      <c r="E790" s="12"/>
      <c r="F790" s="12"/>
      <c r="G790" s="12"/>
      <c r="H790" s="12"/>
      <c r="I790" s="12"/>
      <c r="J790" s="359"/>
      <c r="K790" s="12"/>
      <c r="L790" s="12"/>
      <c r="M790" s="12"/>
      <c r="N790" s="12"/>
      <c r="O790" s="12"/>
      <c r="P790" s="12"/>
      <c r="Q790" s="12"/>
      <c r="R790" s="359"/>
      <c r="S790" s="12"/>
      <c r="T790" s="12"/>
      <c r="U790" s="12"/>
      <c r="V790" s="12"/>
      <c r="W790" s="12"/>
      <c r="X790" s="12"/>
      <c r="Y790" s="12"/>
      <c r="Z790" s="359"/>
      <c r="AA790" s="12"/>
      <c r="AB790" s="12"/>
      <c r="AC790" s="12"/>
    </row>
    <row r="791" ht="15.75" customHeight="1">
      <c r="A791" s="12"/>
      <c r="B791" s="12"/>
      <c r="C791" s="12"/>
      <c r="D791" s="12"/>
      <c r="E791" s="12"/>
      <c r="F791" s="12"/>
      <c r="G791" s="12"/>
      <c r="H791" s="12"/>
      <c r="I791" s="12"/>
      <c r="J791" s="359"/>
      <c r="K791" s="12"/>
      <c r="L791" s="12"/>
      <c r="M791" s="12"/>
      <c r="N791" s="12"/>
      <c r="O791" s="12"/>
      <c r="P791" s="12"/>
      <c r="Q791" s="12"/>
      <c r="R791" s="359"/>
      <c r="S791" s="12"/>
      <c r="T791" s="12"/>
      <c r="U791" s="12"/>
      <c r="V791" s="12"/>
      <c r="W791" s="12"/>
      <c r="X791" s="12"/>
      <c r="Y791" s="12"/>
      <c r="Z791" s="359"/>
      <c r="AA791" s="12"/>
      <c r="AB791" s="12"/>
      <c r="AC791" s="12"/>
    </row>
    <row r="792" ht="15.75" customHeight="1">
      <c r="A792" s="12"/>
      <c r="B792" s="12"/>
      <c r="C792" s="12"/>
      <c r="D792" s="12"/>
      <c r="E792" s="12"/>
      <c r="F792" s="12"/>
      <c r="G792" s="12"/>
      <c r="H792" s="12"/>
      <c r="I792" s="12"/>
      <c r="J792" s="359"/>
      <c r="K792" s="12"/>
      <c r="L792" s="12"/>
      <c r="M792" s="12"/>
      <c r="N792" s="12"/>
      <c r="O792" s="12"/>
      <c r="P792" s="12"/>
      <c r="Q792" s="12"/>
      <c r="R792" s="359"/>
      <c r="S792" s="12"/>
      <c r="T792" s="12"/>
      <c r="U792" s="12"/>
      <c r="V792" s="12"/>
      <c r="W792" s="12"/>
      <c r="X792" s="12"/>
      <c r="Y792" s="12"/>
      <c r="Z792" s="359"/>
      <c r="AA792" s="12"/>
      <c r="AB792" s="12"/>
      <c r="AC792" s="12"/>
    </row>
    <row r="793" ht="15.75" customHeight="1">
      <c r="A793" s="12"/>
      <c r="B793" s="12"/>
      <c r="C793" s="12"/>
      <c r="D793" s="12"/>
      <c r="E793" s="12"/>
      <c r="F793" s="12"/>
      <c r="G793" s="12"/>
      <c r="H793" s="12"/>
      <c r="I793" s="12"/>
      <c r="J793" s="359"/>
      <c r="K793" s="12"/>
      <c r="L793" s="12"/>
      <c r="M793" s="12"/>
      <c r="N793" s="12"/>
      <c r="O793" s="12"/>
      <c r="P793" s="12"/>
      <c r="Q793" s="12"/>
      <c r="R793" s="359"/>
      <c r="S793" s="12"/>
      <c r="T793" s="12"/>
      <c r="U793" s="12"/>
      <c r="V793" s="12"/>
      <c r="W793" s="12"/>
      <c r="X793" s="12"/>
      <c r="Y793" s="12"/>
      <c r="Z793" s="359"/>
      <c r="AA793" s="12"/>
      <c r="AB793" s="12"/>
      <c r="AC793" s="12"/>
    </row>
    <row r="794" ht="15.75" customHeight="1">
      <c r="A794" s="12"/>
      <c r="B794" s="12"/>
      <c r="C794" s="12"/>
      <c r="D794" s="12"/>
      <c r="E794" s="12"/>
      <c r="F794" s="12"/>
      <c r="G794" s="12"/>
      <c r="H794" s="12"/>
      <c r="I794" s="12"/>
      <c r="J794" s="359"/>
      <c r="K794" s="12"/>
      <c r="L794" s="12"/>
      <c r="M794" s="12"/>
      <c r="N794" s="12"/>
      <c r="O794" s="12"/>
      <c r="P794" s="12"/>
      <c r="Q794" s="12"/>
      <c r="R794" s="359"/>
      <c r="S794" s="12"/>
      <c r="T794" s="12"/>
      <c r="U794" s="12"/>
      <c r="V794" s="12"/>
      <c r="W794" s="12"/>
      <c r="X794" s="12"/>
      <c r="Y794" s="12"/>
      <c r="Z794" s="359"/>
      <c r="AA794" s="12"/>
      <c r="AB794" s="12"/>
      <c r="AC794" s="12"/>
    </row>
    <row r="795" ht="15.75" customHeight="1">
      <c r="A795" s="12"/>
      <c r="B795" s="12"/>
      <c r="C795" s="12"/>
      <c r="D795" s="12"/>
      <c r="E795" s="12"/>
      <c r="F795" s="12"/>
      <c r="G795" s="12"/>
      <c r="H795" s="12"/>
      <c r="I795" s="12"/>
      <c r="J795" s="359"/>
      <c r="K795" s="12"/>
      <c r="L795" s="12"/>
      <c r="M795" s="12"/>
      <c r="N795" s="12"/>
      <c r="O795" s="12"/>
      <c r="P795" s="12"/>
      <c r="Q795" s="12"/>
      <c r="R795" s="359"/>
      <c r="S795" s="12"/>
      <c r="T795" s="12"/>
      <c r="U795" s="12"/>
      <c r="V795" s="12"/>
      <c r="W795" s="12"/>
      <c r="X795" s="12"/>
      <c r="Y795" s="12"/>
      <c r="Z795" s="359"/>
      <c r="AA795" s="12"/>
      <c r="AB795" s="12"/>
      <c r="AC795" s="12"/>
    </row>
    <row r="796" ht="15.75" customHeight="1">
      <c r="A796" s="12"/>
      <c r="B796" s="12"/>
      <c r="C796" s="12"/>
      <c r="D796" s="12"/>
      <c r="E796" s="12"/>
      <c r="F796" s="12"/>
      <c r="G796" s="12"/>
      <c r="H796" s="12"/>
      <c r="I796" s="12"/>
      <c r="J796" s="359"/>
      <c r="K796" s="12"/>
      <c r="L796" s="12"/>
      <c r="M796" s="12"/>
      <c r="N796" s="12"/>
      <c r="O796" s="12"/>
      <c r="P796" s="12"/>
      <c r="Q796" s="12"/>
      <c r="R796" s="359"/>
      <c r="S796" s="12"/>
      <c r="T796" s="12"/>
      <c r="U796" s="12"/>
      <c r="V796" s="12"/>
      <c r="W796" s="12"/>
      <c r="X796" s="12"/>
      <c r="Y796" s="12"/>
      <c r="Z796" s="359"/>
      <c r="AA796" s="12"/>
      <c r="AB796" s="12"/>
      <c r="AC796" s="12"/>
    </row>
    <row r="797" ht="15.75" customHeight="1">
      <c r="A797" s="12"/>
      <c r="B797" s="12"/>
      <c r="C797" s="12"/>
      <c r="D797" s="12"/>
      <c r="E797" s="12"/>
      <c r="F797" s="12"/>
      <c r="G797" s="12"/>
      <c r="H797" s="12"/>
      <c r="I797" s="12"/>
      <c r="J797" s="359"/>
      <c r="K797" s="12"/>
      <c r="L797" s="12"/>
      <c r="M797" s="12"/>
      <c r="N797" s="12"/>
      <c r="O797" s="12"/>
      <c r="P797" s="12"/>
      <c r="Q797" s="12"/>
      <c r="R797" s="359"/>
      <c r="S797" s="12"/>
      <c r="T797" s="12"/>
      <c r="U797" s="12"/>
      <c r="V797" s="12"/>
      <c r="W797" s="12"/>
      <c r="X797" s="12"/>
      <c r="Y797" s="12"/>
      <c r="Z797" s="359"/>
      <c r="AA797" s="12"/>
      <c r="AB797" s="12"/>
      <c r="AC797" s="12"/>
    </row>
    <row r="798" ht="15.75" customHeight="1">
      <c r="A798" s="12"/>
      <c r="B798" s="12"/>
      <c r="C798" s="12"/>
      <c r="D798" s="12"/>
      <c r="E798" s="12"/>
      <c r="F798" s="12"/>
      <c r="G798" s="12"/>
      <c r="H798" s="12"/>
      <c r="I798" s="12"/>
      <c r="J798" s="359"/>
      <c r="K798" s="12"/>
      <c r="L798" s="12"/>
      <c r="M798" s="12"/>
      <c r="N798" s="12"/>
      <c r="O798" s="12"/>
      <c r="P798" s="12"/>
      <c r="Q798" s="12"/>
      <c r="R798" s="359"/>
      <c r="S798" s="12"/>
      <c r="T798" s="12"/>
      <c r="U798" s="12"/>
      <c r="V798" s="12"/>
      <c r="W798" s="12"/>
      <c r="X798" s="12"/>
      <c r="Y798" s="12"/>
      <c r="Z798" s="359"/>
      <c r="AA798" s="12"/>
      <c r="AB798" s="12"/>
      <c r="AC798" s="12"/>
    </row>
    <row r="799" ht="15.75" customHeight="1">
      <c r="A799" s="12"/>
      <c r="B799" s="12"/>
      <c r="C799" s="12"/>
      <c r="D799" s="12"/>
      <c r="E799" s="12"/>
      <c r="F799" s="12"/>
      <c r="G799" s="12"/>
      <c r="H799" s="12"/>
      <c r="I799" s="12"/>
      <c r="J799" s="359"/>
      <c r="K799" s="12"/>
      <c r="L799" s="12"/>
      <c r="M799" s="12"/>
      <c r="N799" s="12"/>
      <c r="O799" s="12"/>
      <c r="P799" s="12"/>
      <c r="Q799" s="12"/>
      <c r="R799" s="359"/>
      <c r="S799" s="12"/>
      <c r="T799" s="12"/>
      <c r="U799" s="12"/>
      <c r="V799" s="12"/>
      <c r="W799" s="12"/>
      <c r="X799" s="12"/>
      <c r="Y799" s="12"/>
      <c r="Z799" s="359"/>
      <c r="AA799" s="12"/>
      <c r="AB799" s="12"/>
      <c r="AC799" s="12"/>
    </row>
    <row r="800" ht="15.75" customHeight="1">
      <c r="A800" s="12"/>
      <c r="B800" s="12"/>
      <c r="C800" s="12"/>
      <c r="D800" s="12"/>
      <c r="E800" s="12"/>
      <c r="F800" s="12"/>
      <c r="G800" s="12"/>
      <c r="H800" s="12"/>
      <c r="I800" s="12"/>
      <c r="J800" s="359"/>
      <c r="K800" s="12"/>
      <c r="L800" s="12"/>
      <c r="M800" s="12"/>
      <c r="N800" s="12"/>
      <c r="O800" s="12"/>
      <c r="P800" s="12"/>
      <c r="Q800" s="12"/>
      <c r="R800" s="359"/>
      <c r="S800" s="12"/>
      <c r="T800" s="12"/>
      <c r="U800" s="12"/>
      <c r="V800" s="12"/>
      <c r="W800" s="12"/>
      <c r="X800" s="12"/>
      <c r="Y800" s="12"/>
      <c r="Z800" s="359"/>
      <c r="AA800" s="12"/>
      <c r="AB800" s="12"/>
      <c r="AC800" s="12"/>
    </row>
    <row r="801" ht="15.75" customHeight="1">
      <c r="A801" s="12"/>
      <c r="B801" s="12"/>
      <c r="C801" s="12"/>
      <c r="D801" s="12"/>
      <c r="E801" s="12"/>
      <c r="F801" s="12"/>
      <c r="G801" s="12"/>
      <c r="H801" s="12"/>
      <c r="I801" s="12"/>
      <c r="J801" s="359"/>
      <c r="K801" s="12"/>
      <c r="L801" s="12"/>
      <c r="M801" s="12"/>
      <c r="N801" s="12"/>
      <c r="O801" s="12"/>
      <c r="P801" s="12"/>
      <c r="Q801" s="12"/>
      <c r="R801" s="359"/>
      <c r="S801" s="12"/>
      <c r="T801" s="12"/>
      <c r="U801" s="12"/>
      <c r="V801" s="12"/>
      <c r="W801" s="12"/>
      <c r="X801" s="12"/>
      <c r="Y801" s="12"/>
      <c r="Z801" s="359"/>
      <c r="AA801" s="12"/>
      <c r="AB801" s="12"/>
      <c r="AC801" s="12"/>
    </row>
    <row r="802" ht="15.75" customHeight="1">
      <c r="A802" s="12"/>
      <c r="B802" s="12"/>
      <c r="C802" s="12"/>
      <c r="D802" s="12"/>
      <c r="E802" s="12"/>
      <c r="F802" s="12"/>
      <c r="G802" s="12"/>
      <c r="H802" s="12"/>
      <c r="I802" s="12"/>
      <c r="J802" s="359"/>
      <c r="K802" s="12"/>
      <c r="L802" s="12"/>
      <c r="M802" s="12"/>
      <c r="N802" s="12"/>
      <c r="O802" s="12"/>
      <c r="P802" s="12"/>
      <c r="Q802" s="12"/>
      <c r="R802" s="359"/>
      <c r="S802" s="12"/>
      <c r="T802" s="12"/>
      <c r="U802" s="12"/>
      <c r="V802" s="12"/>
      <c r="W802" s="12"/>
      <c r="X802" s="12"/>
      <c r="Y802" s="12"/>
      <c r="Z802" s="359"/>
      <c r="AA802" s="12"/>
      <c r="AB802" s="12"/>
      <c r="AC802" s="12"/>
    </row>
    <row r="803" ht="15.75" customHeight="1">
      <c r="A803" s="12"/>
      <c r="B803" s="12"/>
      <c r="C803" s="12"/>
      <c r="D803" s="12"/>
      <c r="E803" s="12"/>
      <c r="F803" s="12"/>
      <c r="G803" s="12"/>
      <c r="H803" s="12"/>
      <c r="I803" s="12"/>
      <c r="J803" s="359"/>
      <c r="K803" s="12"/>
      <c r="L803" s="12"/>
      <c r="M803" s="12"/>
      <c r="N803" s="12"/>
      <c r="O803" s="12"/>
      <c r="P803" s="12"/>
      <c r="Q803" s="12"/>
      <c r="R803" s="359"/>
      <c r="S803" s="12"/>
      <c r="T803" s="12"/>
      <c r="U803" s="12"/>
      <c r="V803" s="12"/>
      <c r="W803" s="12"/>
      <c r="X803" s="12"/>
      <c r="Y803" s="12"/>
      <c r="Z803" s="359"/>
      <c r="AA803" s="12"/>
      <c r="AB803" s="12"/>
      <c r="AC803" s="12"/>
    </row>
    <row r="804" ht="15.75" customHeight="1">
      <c r="A804" s="12"/>
      <c r="B804" s="12"/>
      <c r="C804" s="12"/>
      <c r="D804" s="12"/>
      <c r="E804" s="12"/>
      <c r="F804" s="12"/>
      <c r="G804" s="12"/>
      <c r="H804" s="12"/>
      <c r="I804" s="12"/>
      <c r="J804" s="359"/>
      <c r="K804" s="12"/>
      <c r="L804" s="12"/>
      <c r="M804" s="12"/>
      <c r="N804" s="12"/>
      <c r="O804" s="12"/>
      <c r="P804" s="12"/>
      <c r="Q804" s="12"/>
      <c r="R804" s="359"/>
      <c r="S804" s="12"/>
      <c r="T804" s="12"/>
      <c r="U804" s="12"/>
      <c r="V804" s="12"/>
      <c r="W804" s="12"/>
      <c r="X804" s="12"/>
      <c r="Y804" s="12"/>
      <c r="Z804" s="359"/>
      <c r="AA804" s="12"/>
      <c r="AB804" s="12"/>
      <c r="AC804" s="12"/>
    </row>
    <row r="805" ht="15.75" customHeight="1">
      <c r="A805" s="12"/>
      <c r="B805" s="12"/>
      <c r="C805" s="12"/>
      <c r="D805" s="12"/>
      <c r="E805" s="12"/>
      <c r="F805" s="12"/>
      <c r="G805" s="12"/>
      <c r="H805" s="12"/>
      <c r="I805" s="12"/>
      <c r="J805" s="359"/>
      <c r="K805" s="12"/>
      <c r="L805" s="12"/>
      <c r="M805" s="12"/>
      <c r="N805" s="12"/>
      <c r="O805" s="12"/>
      <c r="P805" s="12"/>
      <c r="Q805" s="12"/>
      <c r="R805" s="359"/>
      <c r="S805" s="12"/>
      <c r="T805" s="12"/>
      <c r="U805" s="12"/>
      <c r="V805" s="12"/>
      <c r="W805" s="12"/>
      <c r="X805" s="12"/>
      <c r="Y805" s="12"/>
      <c r="Z805" s="359"/>
      <c r="AA805" s="12"/>
      <c r="AB805" s="12"/>
      <c r="AC805" s="12"/>
    </row>
    <row r="806" ht="15.75" customHeight="1">
      <c r="A806" s="12"/>
      <c r="B806" s="12"/>
      <c r="C806" s="12"/>
      <c r="D806" s="12"/>
      <c r="E806" s="12"/>
      <c r="F806" s="12"/>
      <c r="G806" s="12"/>
      <c r="H806" s="12"/>
      <c r="I806" s="12"/>
      <c r="J806" s="359"/>
      <c r="K806" s="12"/>
      <c r="L806" s="12"/>
      <c r="M806" s="12"/>
      <c r="N806" s="12"/>
      <c r="O806" s="12"/>
      <c r="P806" s="12"/>
      <c r="Q806" s="12"/>
      <c r="R806" s="359"/>
      <c r="S806" s="12"/>
      <c r="T806" s="12"/>
      <c r="U806" s="12"/>
      <c r="V806" s="12"/>
      <c r="W806" s="12"/>
      <c r="X806" s="12"/>
      <c r="Y806" s="12"/>
      <c r="Z806" s="359"/>
      <c r="AA806" s="12"/>
      <c r="AB806" s="12"/>
      <c r="AC806" s="12"/>
    </row>
    <row r="807" ht="15.75" customHeight="1">
      <c r="A807" s="12"/>
      <c r="B807" s="12"/>
      <c r="C807" s="12"/>
      <c r="D807" s="12"/>
      <c r="E807" s="12"/>
      <c r="F807" s="12"/>
      <c r="G807" s="12"/>
      <c r="H807" s="12"/>
      <c r="I807" s="12"/>
      <c r="J807" s="359"/>
      <c r="K807" s="12"/>
      <c r="L807" s="12"/>
      <c r="M807" s="12"/>
      <c r="N807" s="12"/>
      <c r="O807" s="12"/>
      <c r="P807" s="12"/>
      <c r="Q807" s="12"/>
      <c r="R807" s="359"/>
      <c r="S807" s="12"/>
      <c r="T807" s="12"/>
      <c r="U807" s="12"/>
      <c r="V807" s="12"/>
      <c r="W807" s="12"/>
      <c r="X807" s="12"/>
      <c r="Y807" s="12"/>
      <c r="Z807" s="359"/>
      <c r="AA807" s="12"/>
      <c r="AB807" s="12"/>
      <c r="AC807" s="12"/>
    </row>
    <row r="808" ht="15.75" customHeight="1">
      <c r="A808" s="12"/>
      <c r="B808" s="12"/>
      <c r="C808" s="12"/>
      <c r="D808" s="12"/>
      <c r="E808" s="12"/>
      <c r="F808" s="12"/>
      <c r="G808" s="12"/>
      <c r="H808" s="12"/>
      <c r="I808" s="12"/>
      <c r="J808" s="359"/>
      <c r="K808" s="12"/>
      <c r="L808" s="12"/>
      <c r="M808" s="12"/>
      <c r="N808" s="12"/>
      <c r="O808" s="12"/>
      <c r="P808" s="12"/>
      <c r="Q808" s="12"/>
      <c r="R808" s="359"/>
      <c r="S808" s="12"/>
      <c r="T808" s="12"/>
      <c r="U808" s="12"/>
      <c r="V808" s="12"/>
      <c r="W808" s="12"/>
      <c r="X808" s="12"/>
      <c r="Y808" s="12"/>
      <c r="Z808" s="359"/>
      <c r="AA808" s="12"/>
      <c r="AB808" s="12"/>
      <c r="AC808" s="12"/>
    </row>
    <row r="809" ht="15.75" customHeight="1">
      <c r="A809" s="12"/>
      <c r="B809" s="12"/>
      <c r="C809" s="12"/>
      <c r="D809" s="12"/>
      <c r="E809" s="12"/>
      <c r="F809" s="12"/>
      <c r="G809" s="12"/>
      <c r="H809" s="12"/>
      <c r="I809" s="12"/>
      <c r="J809" s="359"/>
      <c r="K809" s="12"/>
      <c r="L809" s="12"/>
      <c r="M809" s="12"/>
      <c r="N809" s="12"/>
      <c r="O809" s="12"/>
      <c r="P809" s="12"/>
      <c r="Q809" s="12"/>
      <c r="R809" s="359"/>
      <c r="S809" s="12"/>
      <c r="T809" s="12"/>
      <c r="U809" s="12"/>
      <c r="V809" s="12"/>
      <c r="W809" s="12"/>
      <c r="X809" s="12"/>
      <c r="Y809" s="12"/>
      <c r="Z809" s="359"/>
      <c r="AA809" s="12"/>
      <c r="AB809" s="12"/>
      <c r="AC809" s="12"/>
    </row>
    <row r="810" ht="15.75" customHeight="1">
      <c r="A810" s="12"/>
      <c r="B810" s="12"/>
      <c r="C810" s="12"/>
      <c r="D810" s="12"/>
      <c r="E810" s="12"/>
      <c r="F810" s="12"/>
      <c r="G810" s="12"/>
      <c r="H810" s="12"/>
      <c r="I810" s="12"/>
      <c r="J810" s="359"/>
      <c r="K810" s="12"/>
      <c r="L810" s="12"/>
      <c r="M810" s="12"/>
      <c r="N810" s="12"/>
      <c r="O810" s="12"/>
      <c r="P810" s="12"/>
      <c r="Q810" s="12"/>
      <c r="R810" s="359"/>
      <c r="S810" s="12"/>
      <c r="T810" s="12"/>
      <c r="U810" s="12"/>
      <c r="V810" s="12"/>
      <c r="W810" s="12"/>
      <c r="X810" s="12"/>
      <c r="Y810" s="12"/>
      <c r="Z810" s="359"/>
      <c r="AA810" s="12"/>
      <c r="AB810" s="12"/>
      <c r="AC810" s="12"/>
    </row>
    <row r="811" ht="15.75" customHeight="1">
      <c r="A811" s="12"/>
      <c r="B811" s="12"/>
      <c r="C811" s="12"/>
      <c r="D811" s="12"/>
      <c r="E811" s="12"/>
      <c r="F811" s="12"/>
      <c r="G811" s="12"/>
      <c r="H811" s="12"/>
      <c r="I811" s="12"/>
      <c r="J811" s="359"/>
      <c r="K811" s="12"/>
      <c r="L811" s="12"/>
      <c r="M811" s="12"/>
      <c r="N811" s="12"/>
      <c r="O811" s="12"/>
      <c r="P811" s="12"/>
      <c r="Q811" s="12"/>
      <c r="R811" s="359"/>
      <c r="S811" s="12"/>
      <c r="T811" s="12"/>
      <c r="U811" s="12"/>
      <c r="V811" s="12"/>
      <c r="W811" s="12"/>
      <c r="X811" s="12"/>
      <c r="Y811" s="12"/>
      <c r="Z811" s="359"/>
      <c r="AA811" s="12"/>
      <c r="AB811" s="12"/>
      <c r="AC811" s="12"/>
    </row>
    <row r="812" ht="15.75" customHeight="1">
      <c r="A812" s="12"/>
      <c r="B812" s="12"/>
      <c r="C812" s="12"/>
      <c r="D812" s="12"/>
      <c r="E812" s="12"/>
      <c r="F812" s="12"/>
      <c r="G812" s="12"/>
      <c r="H812" s="12"/>
      <c r="I812" s="12"/>
      <c r="J812" s="359"/>
      <c r="K812" s="12"/>
      <c r="L812" s="12"/>
      <c r="M812" s="12"/>
      <c r="N812" s="12"/>
      <c r="O812" s="12"/>
      <c r="P812" s="12"/>
      <c r="Q812" s="12"/>
      <c r="R812" s="359"/>
      <c r="S812" s="12"/>
      <c r="T812" s="12"/>
      <c r="U812" s="12"/>
      <c r="V812" s="12"/>
      <c r="W812" s="12"/>
      <c r="X812" s="12"/>
      <c r="Y812" s="12"/>
      <c r="Z812" s="359"/>
      <c r="AA812" s="12"/>
      <c r="AB812" s="12"/>
      <c r="AC812" s="12"/>
    </row>
    <row r="813" ht="15.75" customHeight="1">
      <c r="A813" s="12"/>
      <c r="B813" s="12"/>
      <c r="C813" s="12"/>
      <c r="D813" s="12"/>
      <c r="E813" s="12"/>
      <c r="F813" s="12"/>
      <c r="G813" s="12"/>
      <c r="H813" s="12"/>
      <c r="I813" s="12"/>
      <c r="J813" s="359"/>
      <c r="K813" s="12"/>
      <c r="L813" s="12"/>
      <c r="M813" s="12"/>
      <c r="N813" s="12"/>
      <c r="O813" s="12"/>
      <c r="P813" s="12"/>
      <c r="Q813" s="12"/>
      <c r="R813" s="359"/>
      <c r="S813" s="12"/>
      <c r="T813" s="12"/>
      <c r="U813" s="12"/>
      <c r="V813" s="12"/>
      <c r="W813" s="12"/>
      <c r="X813" s="12"/>
      <c r="Y813" s="12"/>
      <c r="Z813" s="359"/>
      <c r="AA813" s="12"/>
      <c r="AB813" s="12"/>
      <c r="AC813" s="12"/>
    </row>
    <row r="814" ht="15.75" customHeight="1">
      <c r="A814" s="12"/>
      <c r="B814" s="12"/>
      <c r="C814" s="12"/>
      <c r="D814" s="12"/>
      <c r="E814" s="12"/>
      <c r="F814" s="12"/>
      <c r="G814" s="12"/>
      <c r="H814" s="12"/>
      <c r="I814" s="12"/>
      <c r="J814" s="359"/>
      <c r="K814" s="12"/>
      <c r="L814" s="12"/>
      <c r="M814" s="12"/>
      <c r="N814" s="12"/>
      <c r="O814" s="12"/>
      <c r="P814" s="12"/>
      <c r="Q814" s="12"/>
      <c r="R814" s="359"/>
      <c r="S814" s="12"/>
      <c r="T814" s="12"/>
      <c r="U814" s="12"/>
      <c r="V814" s="12"/>
      <c r="W814" s="12"/>
      <c r="X814" s="12"/>
      <c r="Y814" s="12"/>
      <c r="Z814" s="359"/>
      <c r="AA814" s="12"/>
      <c r="AB814" s="12"/>
      <c r="AC814" s="12"/>
    </row>
    <row r="815" ht="15.75" customHeight="1">
      <c r="A815" s="12"/>
      <c r="B815" s="12"/>
      <c r="C815" s="12"/>
      <c r="D815" s="12"/>
      <c r="E815" s="12"/>
      <c r="F815" s="12"/>
      <c r="G815" s="12"/>
      <c r="H815" s="12"/>
      <c r="I815" s="12"/>
      <c r="J815" s="359"/>
      <c r="K815" s="12"/>
      <c r="L815" s="12"/>
      <c r="M815" s="12"/>
      <c r="N815" s="12"/>
      <c r="O815" s="12"/>
      <c r="P815" s="12"/>
      <c r="Q815" s="12"/>
      <c r="R815" s="359"/>
      <c r="S815" s="12"/>
      <c r="T815" s="12"/>
      <c r="U815" s="12"/>
      <c r="V815" s="12"/>
      <c r="W815" s="12"/>
      <c r="X815" s="12"/>
      <c r="Y815" s="12"/>
      <c r="Z815" s="359"/>
      <c r="AA815" s="12"/>
      <c r="AB815" s="12"/>
      <c r="AC815" s="12"/>
    </row>
    <row r="816" ht="15.75" customHeight="1">
      <c r="A816" s="12"/>
      <c r="B816" s="12"/>
      <c r="C816" s="12"/>
      <c r="D816" s="12"/>
      <c r="E816" s="12"/>
      <c r="F816" s="12"/>
      <c r="G816" s="12"/>
      <c r="H816" s="12"/>
      <c r="I816" s="12"/>
      <c r="J816" s="359"/>
      <c r="K816" s="12"/>
      <c r="L816" s="12"/>
      <c r="M816" s="12"/>
      <c r="N816" s="12"/>
      <c r="O816" s="12"/>
      <c r="P816" s="12"/>
      <c r="Q816" s="12"/>
      <c r="R816" s="359"/>
      <c r="S816" s="12"/>
      <c r="T816" s="12"/>
      <c r="U816" s="12"/>
      <c r="V816" s="12"/>
      <c r="W816" s="12"/>
      <c r="X816" s="12"/>
      <c r="Y816" s="12"/>
      <c r="Z816" s="359"/>
      <c r="AA816" s="12"/>
      <c r="AB816" s="12"/>
      <c r="AC816" s="12"/>
    </row>
    <row r="817" ht="15.75" customHeight="1">
      <c r="A817" s="12"/>
      <c r="B817" s="12"/>
      <c r="C817" s="12"/>
      <c r="D817" s="12"/>
      <c r="E817" s="12"/>
      <c r="F817" s="12"/>
      <c r="G817" s="12"/>
      <c r="H817" s="12"/>
      <c r="I817" s="12"/>
      <c r="J817" s="359"/>
      <c r="K817" s="12"/>
      <c r="L817" s="12"/>
      <c r="M817" s="12"/>
      <c r="N817" s="12"/>
      <c r="O817" s="12"/>
      <c r="P817" s="12"/>
      <c r="Q817" s="12"/>
      <c r="R817" s="359"/>
      <c r="S817" s="12"/>
      <c r="T817" s="12"/>
      <c r="U817" s="12"/>
      <c r="V817" s="12"/>
      <c r="W817" s="12"/>
      <c r="X817" s="12"/>
      <c r="Y817" s="12"/>
      <c r="Z817" s="359"/>
      <c r="AA817" s="12"/>
      <c r="AB817" s="12"/>
      <c r="AC817" s="12"/>
    </row>
    <row r="818" ht="15.75" customHeight="1">
      <c r="A818" s="12"/>
      <c r="B818" s="12"/>
      <c r="C818" s="12"/>
      <c r="D818" s="12"/>
      <c r="E818" s="12"/>
      <c r="F818" s="12"/>
      <c r="G818" s="12"/>
      <c r="H818" s="12"/>
      <c r="I818" s="12"/>
      <c r="J818" s="359"/>
      <c r="K818" s="12"/>
      <c r="L818" s="12"/>
      <c r="M818" s="12"/>
      <c r="N818" s="12"/>
      <c r="O818" s="12"/>
      <c r="P818" s="12"/>
      <c r="Q818" s="12"/>
      <c r="R818" s="359"/>
      <c r="S818" s="12"/>
      <c r="T818" s="12"/>
      <c r="U818" s="12"/>
      <c r="V818" s="12"/>
      <c r="W818" s="12"/>
      <c r="X818" s="12"/>
      <c r="Y818" s="12"/>
      <c r="Z818" s="359"/>
      <c r="AA818" s="12"/>
      <c r="AB818" s="12"/>
      <c r="AC818" s="12"/>
    </row>
    <row r="819" ht="15.75" customHeight="1">
      <c r="A819" s="12"/>
      <c r="B819" s="12"/>
      <c r="C819" s="12"/>
      <c r="D819" s="12"/>
      <c r="E819" s="12"/>
      <c r="F819" s="12"/>
      <c r="G819" s="12"/>
      <c r="H819" s="12"/>
      <c r="I819" s="12"/>
      <c r="J819" s="359"/>
      <c r="K819" s="12"/>
      <c r="L819" s="12"/>
      <c r="M819" s="12"/>
      <c r="N819" s="12"/>
      <c r="O819" s="12"/>
      <c r="P819" s="12"/>
      <c r="Q819" s="12"/>
      <c r="R819" s="359"/>
      <c r="S819" s="12"/>
      <c r="T819" s="12"/>
      <c r="U819" s="12"/>
      <c r="V819" s="12"/>
      <c r="W819" s="12"/>
      <c r="X819" s="12"/>
      <c r="Y819" s="12"/>
      <c r="Z819" s="359"/>
      <c r="AA819" s="12"/>
      <c r="AB819" s="12"/>
      <c r="AC819" s="12"/>
    </row>
    <row r="820" ht="15.75" customHeight="1">
      <c r="A820" s="12"/>
      <c r="B820" s="12"/>
      <c r="C820" s="12"/>
      <c r="D820" s="12"/>
      <c r="E820" s="12"/>
      <c r="F820" s="12"/>
      <c r="G820" s="12"/>
      <c r="H820" s="12"/>
      <c r="I820" s="12"/>
      <c r="J820" s="359"/>
      <c r="K820" s="12"/>
      <c r="L820" s="12"/>
      <c r="M820" s="12"/>
      <c r="N820" s="12"/>
      <c r="O820" s="12"/>
      <c r="P820" s="12"/>
      <c r="Q820" s="12"/>
      <c r="R820" s="359"/>
      <c r="S820" s="12"/>
      <c r="T820" s="12"/>
      <c r="U820" s="12"/>
      <c r="V820" s="12"/>
      <c r="W820" s="12"/>
      <c r="X820" s="12"/>
      <c r="Y820" s="12"/>
      <c r="Z820" s="359"/>
      <c r="AA820" s="12"/>
      <c r="AB820" s="12"/>
      <c r="AC820" s="12"/>
    </row>
    <row r="821" ht="15.75" customHeight="1">
      <c r="A821" s="12"/>
      <c r="B821" s="12"/>
      <c r="C821" s="12"/>
      <c r="D821" s="12"/>
      <c r="E821" s="12"/>
      <c r="F821" s="12"/>
      <c r="G821" s="12"/>
      <c r="H821" s="12"/>
      <c r="I821" s="12"/>
      <c r="J821" s="359"/>
      <c r="K821" s="12"/>
      <c r="L821" s="12"/>
      <c r="M821" s="12"/>
      <c r="N821" s="12"/>
      <c r="O821" s="12"/>
      <c r="P821" s="12"/>
      <c r="Q821" s="12"/>
      <c r="R821" s="359"/>
      <c r="S821" s="12"/>
      <c r="T821" s="12"/>
      <c r="U821" s="12"/>
      <c r="V821" s="12"/>
      <c r="W821" s="12"/>
      <c r="X821" s="12"/>
      <c r="Y821" s="12"/>
      <c r="Z821" s="359"/>
      <c r="AA821" s="12"/>
      <c r="AB821" s="12"/>
      <c r="AC821" s="12"/>
    </row>
    <row r="822" ht="15.75" customHeight="1">
      <c r="A822" s="12"/>
      <c r="B822" s="12"/>
      <c r="C822" s="12"/>
      <c r="D822" s="12"/>
      <c r="E822" s="12"/>
      <c r="F822" s="12"/>
      <c r="G822" s="12"/>
      <c r="H822" s="12"/>
      <c r="I822" s="12"/>
      <c r="J822" s="359"/>
      <c r="K822" s="12"/>
      <c r="L822" s="12"/>
      <c r="M822" s="12"/>
      <c r="N822" s="12"/>
      <c r="O822" s="12"/>
      <c r="P822" s="12"/>
      <c r="Q822" s="12"/>
      <c r="R822" s="359"/>
      <c r="S822" s="12"/>
      <c r="T822" s="12"/>
      <c r="U822" s="12"/>
      <c r="V822" s="12"/>
      <c r="W822" s="12"/>
      <c r="X822" s="12"/>
      <c r="Y822" s="12"/>
      <c r="Z822" s="359"/>
      <c r="AA822" s="12"/>
      <c r="AB822" s="12"/>
      <c r="AC822" s="12"/>
    </row>
    <row r="823" ht="15.75" customHeight="1">
      <c r="A823" s="12"/>
      <c r="B823" s="12"/>
      <c r="C823" s="12"/>
      <c r="D823" s="12"/>
      <c r="E823" s="12"/>
      <c r="F823" s="12"/>
      <c r="G823" s="12"/>
      <c r="H823" s="12"/>
      <c r="I823" s="12"/>
      <c r="J823" s="359"/>
      <c r="K823" s="12"/>
      <c r="L823" s="12"/>
      <c r="M823" s="12"/>
      <c r="N823" s="12"/>
      <c r="O823" s="12"/>
      <c r="P823" s="12"/>
      <c r="Q823" s="12"/>
      <c r="R823" s="359"/>
      <c r="S823" s="12"/>
      <c r="T823" s="12"/>
      <c r="U823" s="12"/>
      <c r="V823" s="12"/>
      <c r="W823" s="12"/>
      <c r="X823" s="12"/>
      <c r="Y823" s="12"/>
      <c r="Z823" s="359"/>
      <c r="AA823" s="12"/>
      <c r="AB823" s="12"/>
      <c r="AC823" s="12"/>
    </row>
    <row r="824" ht="15.75" customHeight="1">
      <c r="A824" s="12"/>
      <c r="B824" s="12"/>
      <c r="C824" s="12"/>
      <c r="D824" s="12"/>
      <c r="E824" s="12"/>
      <c r="F824" s="12"/>
      <c r="G824" s="12"/>
      <c r="H824" s="12"/>
      <c r="I824" s="12"/>
      <c r="J824" s="359"/>
      <c r="K824" s="12"/>
      <c r="L824" s="12"/>
      <c r="M824" s="12"/>
      <c r="N824" s="12"/>
      <c r="O824" s="12"/>
      <c r="P824" s="12"/>
      <c r="Q824" s="12"/>
      <c r="R824" s="359"/>
      <c r="S824" s="12"/>
      <c r="T824" s="12"/>
      <c r="U824" s="12"/>
      <c r="V824" s="12"/>
      <c r="W824" s="12"/>
      <c r="X824" s="12"/>
      <c r="Y824" s="12"/>
      <c r="Z824" s="359"/>
      <c r="AA824" s="12"/>
      <c r="AB824" s="12"/>
      <c r="AC824" s="12"/>
    </row>
    <row r="825" ht="15.75" customHeight="1">
      <c r="A825" s="12"/>
      <c r="B825" s="12"/>
      <c r="C825" s="12"/>
      <c r="D825" s="12"/>
      <c r="E825" s="12"/>
      <c r="F825" s="12"/>
      <c r="G825" s="12"/>
      <c r="H825" s="12"/>
      <c r="I825" s="12"/>
      <c r="J825" s="359"/>
      <c r="K825" s="12"/>
      <c r="L825" s="12"/>
      <c r="M825" s="12"/>
      <c r="N825" s="12"/>
      <c r="O825" s="12"/>
      <c r="P825" s="12"/>
      <c r="Q825" s="12"/>
      <c r="R825" s="359"/>
      <c r="S825" s="12"/>
      <c r="T825" s="12"/>
      <c r="U825" s="12"/>
      <c r="V825" s="12"/>
      <c r="W825" s="12"/>
      <c r="X825" s="12"/>
      <c r="Y825" s="12"/>
      <c r="Z825" s="359"/>
      <c r="AA825" s="12"/>
      <c r="AB825" s="12"/>
      <c r="AC825" s="12"/>
    </row>
    <row r="826" ht="15.75" customHeight="1">
      <c r="A826" s="12"/>
      <c r="B826" s="12"/>
      <c r="C826" s="12"/>
      <c r="D826" s="12"/>
      <c r="E826" s="12"/>
      <c r="F826" s="12"/>
      <c r="G826" s="12"/>
      <c r="H826" s="12"/>
      <c r="I826" s="12"/>
      <c r="J826" s="359"/>
      <c r="K826" s="12"/>
      <c r="L826" s="12"/>
      <c r="M826" s="12"/>
      <c r="N826" s="12"/>
      <c r="O826" s="12"/>
      <c r="P826" s="12"/>
      <c r="Q826" s="12"/>
      <c r="R826" s="359"/>
      <c r="S826" s="12"/>
      <c r="T826" s="12"/>
      <c r="U826" s="12"/>
      <c r="V826" s="12"/>
      <c r="W826" s="12"/>
      <c r="X826" s="12"/>
      <c r="Y826" s="12"/>
      <c r="Z826" s="359"/>
      <c r="AA826" s="12"/>
      <c r="AB826" s="12"/>
      <c r="AC826" s="12"/>
    </row>
    <row r="827" ht="15.75" customHeight="1">
      <c r="A827" s="12"/>
      <c r="B827" s="12"/>
      <c r="C827" s="12"/>
      <c r="D827" s="12"/>
      <c r="E827" s="12"/>
      <c r="F827" s="12"/>
      <c r="G827" s="12"/>
      <c r="H827" s="12"/>
      <c r="I827" s="12"/>
      <c r="J827" s="359"/>
      <c r="K827" s="12"/>
      <c r="L827" s="12"/>
      <c r="M827" s="12"/>
      <c r="N827" s="12"/>
      <c r="O827" s="12"/>
      <c r="P827" s="12"/>
      <c r="Q827" s="12"/>
      <c r="R827" s="359"/>
      <c r="S827" s="12"/>
      <c r="T827" s="12"/>
      <c r="U827" s="12"/>
      <c r="V827" s="12"/>
      <c r="W827" s="12"/>
      <c r="X827" s="12"/>
      <c r="Y827" s="12"/>
      <c r="Z827" s="359"/>
      <c r="AA827" s="12"/>
      <c r="AB827" s="12"/>
      <c r="AC827" s="12"/>
    </row>
    <row r="828" ht="15.75" customHeight="1">
      <c r="A828" s="12"/>
      <c r="B828" s="12"/>
      <c r="C828" s="12"/>
      <c r="D828" s="12"/>
      <c r="E828" s="12"/>
      <c r="F828" s="12"/>
      <c r="G828" s="12"/>
      <c r="H828" s="12"/>
      <c r="I828" s="12"/>
      <c r="J828" s="359"/>
      <c r="K828" s="12"/>
      <c r="L828" s="12"/>
      <c r="M828" s="12"/>
      <c r="N828" s="12"/>
      <c r="O828" s="12"/>
      <c r="P828" s="12"/>
      <c r="Q828" s="12"/>
      <c r="R828" s="359"/>
      <c r="S828" s="12"/>
      <c r="T828" s="12"/>
      <c r="U828" s="12"/>
      <c r="V828" s="12"/>
      <c r="W828" s="12"/>
      <c r="X828" s="12"/>
      <c r="Y828" s="12"/>
      <c r="Z828" s="359"/>
      <c r="AA828" s="12"/>
      <c r="AB828" s="12"/>
      <c r="AC828" s="12"/>
    </row>
    <row r="829" ht="15.75" customHeight="1">
      <c r="A829" s="12"/>
      <c r="B829" s="12"/>
      <c r="C829" s="12"/>
      <c r="D829" s="12"/>
      <c r="E829" s="12"/>
      <c r="F829" s="12"/>
      <c r="G829" s="12"/>
      <c r="H829" s="12"/>
      <c r="I829" s="12"/>
      <c r="J829" s="359"/>
      <c r="K829" s="12"/>
      <c r="L829" s="12"/>
      <c r="M829" s="12"/>
      <c r="N829" s="12"/>
      <c r="O829" s="12"/>
      <c r="P829" s="12"/>
      <c r="Q829" s="12"/>
      <c r="R829" s="359"/>
      <c r="S829" s="12"/>
      <c r="T829" s="12"/>
      <c r="U829" s="12"/>
      <c r="V829" s="12"/>
      <c r="W829" s="12"/>
      <c r="X829" s="12"/>
      <c r="Y829" s="12"/>
      <c r="Z829" s="359"/>
      <c r="AA829" s="12"/>
      <c r="AB829" s="12"/>
      <c r="AC829" s="12"/>
    </row>
    <row r="830" ht="15.75" customHeight="1">
      <c r="A830" s="12"/>
      <c r="B830" s="12"/>
      <c r="C830" s="12"/>
      <c r="D830" s="12"/>
      <c r="E830" s="12"/>
      <c r="F830" s="12"/>
      <c r="G830" s="12"/>
      <c r="H830" s="12"/>
      <c r="I830" s="12"/>
      <c r="J830" s="359"/>
      <c r="K830" s="12"/>
      <c r="L830" s="12"/>
      <c r="M830" s="12"/>
      <c r="N830" s="12"/>
      <c r="O830" s="12"/>
      <c r="P830" s="12"/>
      <c r="Q830" s="12"/>
      <c r="R830" s="359"/>
      <c r="S830" s="12"/>
      <c r="T830" s="12"/>
      <c r="U830" s="12"/>
      <c r="V830" s="12"/>
      <c r="W830" s="12"/>
      <c r="X830" s="12"/>
      <c r="Y830" s="12"/>
      <c r="Z830" s="359"/>
      <c r="AA830" s="12"/>
      <c r="AB830" s="12"/>
      <c r="AC830" s="12"/>
    </row>
    <row r="831" ht="15.75" customHeight="1">
      <c r="A831" s="12"/>
      <c r="B831" s="12"/>
      <c r="C831" s="12"/>
      <c r="D831" s="12"/>
      <c r="E831" s="12"/>
      <c r="F831" s="12"/>
      <c r="G831" s="12"/>
      <c r="H831" s="12"/>
      <c r="I831" s="12"/>
      <c r="J831" s="359"/>
      <c r="K831" s="12"/>
      <c r="L831" s="12"/>
      <c r="M831" s="12"/>
      <c r="N831" s="12"/>
      <c r="O831" s="12"/>
      <c r="P831" s="12"/>
      <c r="Q831" s="12"/>
      <c r="R831" s="359"/>
      <c r="S831" s="12"/>
      <c r="T831" s="12"/>
      <c r="U831" s="12"/>
      <c r="V831" s="12"/>
      <c r="W831" s="12"/>
      <c r="X831" s="12"/>
      <c r="Y831" s="12"/>
      <c r="Z831" s="359"/>
      <c r="AA831" s="12"/>
      <c r="AB831" s="12"/>
      <c r="AC831" s="12"/>
    </row>
    <row r="832" ht="15.75" customHeight="1">
      <c r="A832" s="12"/>
      <c r="B832" s="12"/>
      <c r="C832" s="12"/>
      <c r="D832" s="12"/>
      <c r="E832" s="12"/>
      <c r="F832" s="12"/>
      <c r="G832" s="12"/>
      <c r="H832" s="12"/>
      <c r="I832" s="12"/>
      <c r="J832" s="359"/>
      <c r="K832" s="12"/>
      <c r="L832" s="12"/>
      <c r="M832" s="12"/>
      <c r="N832" s="12"/>
      <c r="O832" s="12"/>
      <c r="P832" s="12"/>
      <c r="Q832" s="12"/>
      <c r="R832" s="359"/>
      <c r="S832" s="12"/>
      <c r="T832" s="12"/>
      <c r="U832" s="12"/>
      <c r="V832" s="12"/>
      <c r="W832" s="12"/>
      <c r="X832" s="12"/>
      <c r="Y832" s="12"/>
      <c r="Z832" s="359"/>
      <c r="AA832" s="12"/>
      <c r="AB832" s="12"/>
      <c r="AC832" s="12"/>
    </row>
    <row r="833" ht="15.75" customHeight="1">
      <c r="A833" s="12"/>
      <c r="B833" s="12"/>
      <c r="C833" s="12"/>
      <c r="D833" s="12"/>
      <c r="E833" s="12"/>
      <c r="F833" s="12"/>
      <c r="G833" s="12"/>
      <c r="H833" s="12"/>
      <c r="I833" s="12"/>
      <c r="J833" s="359"/>
      <c r="K833" s="12"/>
      <c r="L833" s="12"/>
      <c r="M833" s="12"/>
      <c r="N833" s="12"/>
      <c r="O833" s="12"/>
      <c r="P833" s="12"/>
      <c r="Q833" s="12"/>
      <c r="R833" s="359"/>
      <c r="S833" s="12"/>
      <c r="T833" s="12"/>
      <c r="U833" s="12"/>
      <c r="V833" s="12"/>
      <c r="W833" s="12"/>
      <c r="X833" s="12"/>
      <c r="Y833" s="12"/>
      <c r="Z833" s="359"/>
      <c r="AA833" s="12"/>
      <c r="AB833" s="12"/>
      <c r="AC833" s="12"/>
    </row>
    <row r="834" ht="15.75" customHeight="1">
      <c r="A834" s="12"/>
      <c r="B834" s="12"/>
      <c r="C834" s="12"/>
      <c r="D834" s="12"/>
      <c r="E834" s="12"/>
      <c r="F834" s="12"/>
      <c r="G834" s="12"/>
      <c r="H834" s="12"/>
      <c r="I834" s="12"/>
      <c r="J834" s="359"/>
      <c r="K834" s="12"/>
      <c r="L834" s="12"/>
      <c r="M834" s="12"/>
      <c r="N834" s="12"/>
      <c r="O834" s="12"/>
      <c r="P834" s="12"/>
      <c r="Q834" s="12"/>
      <c r="R834" s="359"/>
      <c r="S834" s="12"/>
      <c r="T834" s="12"/>
      <c r="U834" s="12"/>
      <c r="V834" s="12"/>
      <c r="W834" s="12"/>
      <c r="X834" s="12"/>
      <c r="Y834" s="12"/>
      <c r="Z834" s="359"/>
      <c r="AA834" s="12"/>
      <c r="AB834" s="12"/>
      <c r="AC834" s="12"/>
    </row>
    <row r="835" ht="15.75" customHeight="1">
      <c r="A835" s="12"/>
      <c r="B835" s="12"/>
      <c r="C835" s="12"/>
      <c r="D835" s="12"/>
      <c r="E835" s="12"/>
      <c r="F835" s="12"/>
      <c r="G835" s="12"/>
      <c r="H835" s="12"/>
      <c r="I835" s="12"/>
      <c r="J835" s="359"/>
      <c r="K835" s="12"/>
      <c r="L835" s="12"/>
      <c r="M835" s="12"/>
      <c r="N835" s="12"/>
      <c r="O835" s="12"/>
      <c r="P835" s="12"/>
      <c r="Q835" s="12"/>
      <c r="R835" s="359"/>
      <c r="S835" s="12"/>
      <c r="T835" s="12"/>
      <c r="U835" s="12"/>
      <c r="V835" s="12"/>
      <c r="W835" s="12"/>
      <c r="X835" s="12"/>
      <c r="Y835" s="12"/>
      <c r="Z835" s="359"/>
      <c r="AA835" s="12"/>
      <c r="AB835" s="12"/>
      <c r="AC835" s="12"/>
    </row>
    <row r="836" ht="15.75" customHeight="1">
      <c r="A836" s="12"/>
      <c r="B836" s="12"/>
      <c r="C836" s="12"/>
      <c r="D836" s="12"/>
      <c r="E836" s="12"/>
      <c r="F836" s="12"/>
      <c r="G836" s="12"/>
      <c r="H836" s="12"/>
      <c r="I836" s="12"/>
      <c r="J836" s="359"/>
      <c r="K836" s="12"/>
      <c r="L836" s="12"/>
      <c r="M836" s="12"/>
      <c r="N836" s="12"/>
      <c r="O836" s="12"/>
      <c r="P836" s="12"/>
      <c r="Q836" s="12"/>
      <c r="R836" s="359"/>
      <c r="S836" s="12"/>
      <c r="T836" s="12"/>
      <c r="U836" s="12"/>
      <c r="V836" s="12"/>
      <c r="W836" s="12"/>
      <c r="X836" s="12"/>
      <c r="Y836" s="12"/>
      <c r="Z836" s="359"/>
      <c r="AA836" s="12"/>
      <c r="AB836" s="12"/>
      <c r="AC836" s="12"/>
    </row>
    <row r="837" ht="15.75" customHeight="1">
      <c r="A837" s="12"/>
      <c r="B837" s="12"/>
      <c r="C837" s="12"/>
      <c r="D837" s="12"/>
      <c r="E837" s="12"/>
      <c r="F837" s="12"/>
      <c r="G837" s="12"/>
      <c r="H837" s="12"/>
      <c r="I837" s="12"/>
      <c r="J837" s="359"/>
      <c r="K837" s="12"/>
      <c r="L837" s="12"/>
      <c r="M837" s="12"/>
      <c r="N837" s="12"/>
      <c r="O837" s="12"/>
      <c r="P837" s="12"/>
      <c r="Q837" s="12"/>
      <c r="R837" s="359"/>
      <c r="S837" s="12"/>
      <c r="T837" s="12"/>
      <c r="U837" s="12"/>
      <c r="V837" s="12"/>
      <c r="W837" s="12"/>
      <c r="X837" s="12"/>
      <c r="Y837" s="12"/>
      <c r="Z837" s="359"/>
      <c r="AA837" s="12"/>
      <c r="AB837" s="12"/>
      <c r="AC837" s="12"/>
    </row>
    <row r="838" ht="15.75" customHeight="1">
      <c r="A838" s="12"/>
      <c r="B838" s="12"/>
      <c r="C838" s="12"/>
      <c r="D838" s="12"/>
      <c r="E838" s="12"/>
      <c r="F838" s="12"/>
      <c r="G838" s="12"/>
      <c r="H838" s="12"/>
      <c r="I838" s="12"/>
      <c r="J838" s="359"/>
      <c r="K838" s="12"/>
      <c r="L838" s="12"/>
      <c r="M838" s="12"/>
      <c r="N838" s="12"/>
      <c r="O838" s="12"/>
      <c r="P838" s="12"/>
      <c r="Q838" s="12"/>
      <c r="R838" s="359"/>
      <c r="S838" s="12"/>
      <c r="T838" s="12"/>
      <c r="U838" s="12"/>
      <c r="V838" s="12"/>
      <c r="W838" s="12"/>
      <c r="X838" s="12"/>
      <c r="Y838" s="12"/>
      <c r="Z838" s="359"/>
      <c r="AA838" s="12"/>
      <c r="AB838" s="12"/>
      <c r="AC838" s="12"/>
    </row>
    <row r="839" ht="15.75" customHeight="1">
      <c r="A839" s="12"/>
      <c r="B839" s="12"/>
      <c r="C839" s="12"/>
      <c r="D839" s="12"/>
      <c r="E839" s="12"/>
      <c r="F839" s="12"/>
      <c r="G839" s="12"/>
      <c r="H839" s="12"/>
      <c r="I839" s="12"/>
      <c r="J839" s="359"/>
      <c r="K839" s="12"/>
      <c r="L839" s="12"/>
      <c r="M839" s="12"/>
      <c r="N839" s="12"/>
      <c r="O839" s="12"/>
      <c r="P839" s="12"/>
      <c r="Q839" s="12"/>
      <c r="R839" s="359"/>
      <c r="S839" s="12"/>
      <c r="T839" s="12"/>
      <c r="U839" s="12"/>
      <c r="V839" s="12"/>
      <c r="W839" s="12"/>
      <c r="X839" s="12"/>
      <c r="Y839" s="12"/>
      <c r="Z839" s="359"/>
      <c r="AA839" s="12"/>
      <c r="AB839" s="12"/>
      <c r="AC839" s="12"/>
    </row>
    <row r="840" ht="15.75" customHeight="1">
      <c r="A840" s="12"/>
      <c r="B840" s="12"/>
      <c r="C840" s="12"/>
      <c r="D840" s="12"/>
      <c r="E840" s="12"/>
      <c r="F840" s="12"/>
      <c r="G840" s="12"/>
      <c r="H840" s="12"/>
      <c r="I840" s="12"/>
      <c r="J840" s="359"/>
      <c r="K840" s="12"/>
      <c r="L840" s="12"/>
      <c r="M840" s="12"/>
      <c r="N840" s="12"/>
      <c r="O840" s="12"/>
      <c r="P840" s="12"/>
      <c r="Q840" s="12"/>
      <c r="R840" s="359"/>
      <c r="S840" s="12"/>
      <c r="T840" s="12"/>
      <c r="U840" s="12"/>
      <c r="V840" s="12"/>
      <c r="W840" s="12"/>
      <c r="X840" s="12"/>
      <c r="Y840" s="12"/>
      <c r="Z840" s="359"/>
      <c r="AA840" s="12"/>
      <c r="AB840" s="12"/>
      <c r="AC840" s="12"/>
    </row>
    <row r="841" ht="15.75" customHeight="1">
      <c r="A841" s="12"/>
      <c r="B841" s="12"/>
      <c r="C841" s="12"/>
      <c r="D841" s="12"/>
      <c r="E841" s="12"/>
      <c r="F841" s="12"/>
      <c r="G841" s="12"/>
      <c r="H841" s="12"/>
      <c r="I841" s="12"/>
      <c r="J841" s="359"/>
      <c r="K841" s="12"/>
      <c r="L841" s="12"/>
      <c r="M841" s="12"/>
      <c r="N841" s="12"/>
      <c r="O841" s="12"/>
      <c r="P841" s="12"/>
      <c r="Q841" s="12"/>
      <c r="R841" s="359"/>
      <c r="S841" s="12"/>
      <c r="T841" s="12"/>
      <c r="U841" s="12"/>
      <c r="V841" s="12"/>
      <c r="W841" s="12"/>
      <c r="X841" s="12"/>
      <c r="Y841" s="12"/>
      <c r="Z841" s="359"/>
      <c r="AA841" s="12"/>
      <c r="AB841" s="12"/>
      <c r="AC841" s="12"/>
    </row>
    <row r="842" ht="15.75" customHeight="1">
      <c r="A842" s="12"/>
      <c r="B842" s="12"/>
      <c r="C842" s="12"/>
      <c r="D842" s="12"/>
      <c r="E842" s="12"/>
      <c r="F842" s="12"/>
      <c r="G842" s="12"/>
      <c r="H842" s="12"/>
      <c r="I842" s="12"/>
      <c r="J842" s="359"/>
      <c r="K842" s="12"/>
      <c r="L842" s="12"/>
      <c r="M842" s="12"/>
      <c r="N842" s="12"/>
      <c r="O842" s="12"/>
      <c r="P842" s="12"/>
      <c r="Q842" s="12"/>
      <c r="R842" s="359"/>
      <c r="S842" s="12"/>
      <c r="T842" s="12"/>
      <c r="U842" s="12"/>
      <c r="V842" s="12"/>
      <c r="W842" s="12"/>
      <c r="X842" s="12"/>
      <c r="Y842" s="12"/>
      <c r="Z842" s="359"/>
      <c r="AA842" s="12"/>
      <c r="AB842" s="12"/>
      <c r="AC842" s="12"/>
    </row>
    <row r="843" ht="15.75" customHeight="1">
      <c r="A843" s="12"/>
      <c r="B843" s="12"/>
      <c r="C843" s="12"/>
      <c r="D843" s="12"/>
      <c r="E843" s="12"/>
      <c r="F843" s="12"/>
      <c r="G843" s="12"/>
      <c r="H843" s="12"/>
      <c r="I843" s="12"/>
      <c r="J843" s="359"/>
      <c r="K843" s="12"/>
      <c r="L843" s="12"/>
      <c r="M843" s="12"/>
      <c r="N843" s="12"/>
      <c r="O843" s="12"/>
      <c r="P843" s="12"/>
      <c r="Q843" s="12"/>
      <c r="R843" s="359"/>
      <c r="S843" s="12"/>
      <c r="T843" s="12"/>
      <c r="U843" s="12"/>
      <c r="V843" s="12"/>
      <c r="W843" s="12"/>
      <c r="X843" s="12"/>
      <c r="Y843" s="12"/>
      <c r="Z843" s="359"/>
      <c r="AA843" s="12"/>
      <c r="AB843" s="12"/>
      <c r="AC843" s="12"/>
    </row>
    <row r="844" ht="15.75" customHeight="1">
      <c r="A844" s="12"/>
      <c r="B844" s="12"/>
      <c r="C844" s="12"/>
      <c r="D844" s="12"/>
      <c r="E844" s="12"/>
      <c r="F844" s="12"/>
      <c r="G844" s="12"/>
      <c r="H844" s="12"/>
      <c r="I844" s="12"/>
      <c r="J844" s="359"/>
      <c r="K844" s="12"/>
      <c r="L844" s="12"/>
      <c r="M844" s="12"/>
      <c r="N844" s="12"/>
      <c r="O844" s="12"/>
      <c r="P844" s="12"/>
      <c r="Q844" s="12"/>
      <c r="R844" s="359"/>
      <c r="S844" s="12"/>
      <c r="T844" s="12"/>
      <c r="U844" s="12"/>
      <c r="V844" s="12"/>
      <c r="W844" s="12"/>
      <c r="X844" s="12"/>
      <c r="Y844" s="12"/>
      <c r="Z844" s="359"/>
      <c r="AA844" s="12"/>
      <c r="AB844" s="12"/>
      <c r="AC844" s="12"/>
    </row>
    <row r="845" ht="15.75" customHeight="1">
      <c r="A845" s="12"/>
      <c r="B845" s="12"/>
      <c r="C845" s="12"/>
      <c r="D845" s="12"/>
      <c r="E845" s="12"/>
      <c r="F845" s="12"/>
      <c r="G845" s="12"/>
      <c r="H845" s="12"/>
      <c r="I845" s="12"/>
      <c r="J845" s="359"/>
      <c r="K845" s="12"/>
      <c r="L845" s="12"/>
      <c r="M845" s="12"/>
      <c r="N845" s="12"/>
      <c r="O845" s="12"/>
      <c r="P845" s="12"/>
      <c r="Q845" s="12"/>
      <c r="R845" s="359"/>
      <c r="S845" s="12"/>
      <c r="T845" s="12"/>
      <c r="U845" s="12"/>
      <c r="V845" s="12"/>
      <c r="W845" s="12"/>
      <c r="X845" s="12"/>
      <c r="Y845" s="12"/>
      <c r="Z845" s="359"/>
      <c r="AA845" s="12"/>
      <c r="AB845" s="12"/>
      <c r="AC845" s="12"/>
    </row>
    <row r="846" ht="15.75" customHeight="1">
      <c r="A846" s="12"/>
      <c r="B846" s="12"/>
      <c r="C846" s="12"/>
      <c r="D846" s="12"/>
      <c r="E846" s="12"/>
      <c r="F846" s="12"/>
      <c r="G846" s="12"/>
      <c r="H846" s="12"/>
      <c r="I846" s="12"/>
      <c r="J846" s="359"/>
      <c r="K846" s="12"/>
      <c r="L846" s="12"/>
      <c r="M846" s="12"/>
      <c r="N846" s="12"/>
      <c r="O846" s="12"/>
      <c r="P846" s="12"/>
      <c r="Q846" s="12"/>
      <c r="R846" s="359"/>
      <c r="S846" s="12"/>
      <c r="T846" s="12"/>
      <c r="U846" s="12"/>
      <c r="V846" s="12"/>
      <c r="W846" s="12"/>
      <c r="X846" s="12"/>
      <c r="Y846" s="12"/>
      <c r="Z846" s="359"/>
      <c r="AA846" s="12"/>
      <c r="AB846" s="12"/>
      <c r="AC846" s="12"/>
    </row>
    <row r="847" ht="15.75" customHeight="1">
      <c r="A847" s="12"/>
      <c r="B847" s="12"/>
      <c r="C847" s="12"/>
      <c r="D847" s="12"/>
      <c r="E847" s="12"/>
      <c r="F847" s="12"/>
      <c r="G847" s="12"/>
      <c r="H847" s="12"/>
      <c r="I847" s="12"/>
      <c r="J847" s="359"/>
      <c r="K847" s="12"/>
      <c r="L847" s="12"/>
      <c r="M847" s="12"/>
      <c r="N847" s="12"/>
      <c r="O847" s="12"/>
      <c r="P847" s="12"/>
      <c r="Q847" s="12"/>
      <c r="R847" s="359"/>
      <c r="S847" s="12"/>
      <c r="T847" s="12"/>
      <c r="U847" s="12"/>
      <c r="V847" s="12"/>
      <c r="W847" s="12"/>
      <c r="X847" s="12"/>
      <c r="Y847" s="12"/>
      <c r="Z847" s="359"/>
      <c r="AA847" s="12"/>
      <c r="AB847" s="12"/>
      <c r="AC847" s="12"/>
    </row>
    <row r="848" ht="15.75" customHeight="1">
      <c r="A848" s="12"/>
      <c r="B848" s="12"/>
      <c r="C848" s="12"/>
      <c r="D848" s="12"/>
      <c r="E848" s="12"/>
      <c r="F848" s="12"/>
      <c r="G848" s="12"/>
      <c r="H848" s="12"/>
      <c r="I848" s="12"/>
      <c r="J848" s="359"/>
      <c r="K848" s="12"/>
      <c r="L848" s="12"/>
      <c r="M848" s="12"/>
      <c r="N848" s="12"/>
      <c r="O848" s="12"/>
      <c r="P848" s="12"/>
      <c r="Q848" s="12"/>
      <c r="R848" s="359"/>
      <c r="S848" s="12"/>
      <c r="T848" s="12"/>
      <c r="U848" s="12"/>
      <c r="V848" s="12"/>
      <c r="W848" s="12"/>
      <c r="X848" s="12"/>
      <c r="Y848" s="12"/>
      <c r="Z848" s="359"/>
      <c r="AA848" s="12"/>
      <c r="AB848" s="12"/>
      <c r="AC848" s="12"/>
    </row>
    <row r="849" ht="15.75" customHeight="1">
      <c r="A849" s="12"/>
      <c r="B849" s="12"/>
      <c r="C849" s="12"/>
      <c r="D849" s="12"/>
      <c r="E849" s="12"/>
      <c r="F849" s="12"/>
      <c r="G849" s="12"/>
      <c r="H849" s="12"/>
      <c r="I849" s="12"/>
      <c r="J849" s="359"/>
      <c r="K849" s="12"/>
      <c r="L849" s="12"/>
      <c r="M849" s="12"/>
      <c r="N849" s="12"/>
      <c r="O849" s="12"/>
      <c r="P849" s="12"/>
      <c r="Q849" s="12"/>
      <c r="R849" s="359"/>
      <c r="S849" s="12"/>
      <c r="T849" s="12"/>
      <c r="U849" s="12"/>
      <c r="V849" s="12"/>
      <c r="W849" s="12"/>
      <c r="X849" s="12"/>
      <c r="Y849" s="12"/>
      <c r="Z849" s="359"/>
      <c r="AA849" s="12"/>
      <c r="AB849" s="12"/>
      <c r="AC849" s="12"/>
    </row>
    <row r="850" ht="15.75" customHeight="1">
      <c r="A850" s="12"/>
      <c r="B850" s="12"/>
      <c r="C850" s="12"/>
      <c r="D850" s="12"/>
      <c r="E850" s="12"/>
      <c r="F850" s="12"/>
      <c r="G850" s="12"/>
      <c r="H850" s="12"/>
      <c r="I850" s="12"/>
      <c r="J850" s="359"/>
      <c r="K850" s="12"/>
      <c r="L850" s="12"/>
      <c r="M850" s="12"/>
      <c r="N850" s="12"/>
      <c r="O850" s="12"/>
      <c r="P850" s="12"/>
      <c r="Q850" s="12"/>
      <c r="R850" s="359"/>
      <c r="S850" s="12"/>
      <c r="T850" s="12"/>
      <c r="U850" s="12"/>
      <c r="V850" s="12"/>
      <c r="W850" s="12"/>
      <c r="X850" s="12"/>
      <c r="Y850" s="12"/>
      <c r="Z850" s="359"/>
      <c r="AA850" s="12"/>
      <c r="AB850" s="12"/>
      <c r="AC850" s="12"/>
    </row>
    <row r="851" ht="15.75" customHeight="1">
      <c r="A851" s="12"/>
      <c r="B851" s="12"/>
      <c r="C851" s="12"/>
      <c r="D851" s="12"/>
      <c r="E851" s="12"/>
      <c r="F851" s="12"/>
      <c r="G851" s="12"/>
      <c r="H851" s="12"/>
      <c r="I851" s="12"/>
      <c r="J851" s="359"/>
      <c r="K851" s="12"/>
      <c r="L851" s="12"/>
      <c r="M851" s="12"/>
      <c r="N851" s="12"/>
      <c r="O851" s="12"/>
      <c r="P851" s="12"/>
      <c r="Q851" s="12"/>
      <c r="R851" s="359"/>
      <c r="S851" s="12"/>
      <c r="T851" s="12"/>
      <c r="U851" s="12"/>
      <c r="V851" s="12"/>
      <c r="W851" s="12"/>
      <c r="X851" s="12"/>
      <c r="Y851" s="12"/>
      <c r="Z851" s="359"/>
      <c r="AA851" s="12"/>
      <c r="AB851" s="12"/>
      <c r="AC851" s="12"/>
    </row>
    <row r="852" ht="15.75" customHeight="1">
      <c r="A852" s="12"/>
      <c r="B852" s="12"/>
      <c r="C852" s="12"/>
      <c r="D852" s="12"/>
      <c r="E852" s="12"/>
      <c r="F852" s="12"/>
      <c r="G852" s="12"/>
      <c r="H852" s="12"/>
      <c r="I852" s="12"/>
      <c r="J852" s="359"/>
      <c r="K852" s="12"/>
      <c r="L852" s="12"/>
      <c r="M852" s="12"/>
      <c r="N852" s="12"/>
      <c r="O852" s="12"/>
      <c r="P852" s="12"/>
      <c r="Q852" s="12"/>
      <c r="R852" s="359"/>
      <c r="S852" s="12"/>
      <c r="T852" s="12"/>
      <c r="U852" s="12"/>
      <c r="V852" s="12"/>
      <c r="W852" s="12"/>
      <c r="X852" s="12"/>
      <c r="Y852" s="12"/>
      <c r="Z852" s="359"/>
      <c r="AA852" s="12"/>
      <c r="AB852" s="12"/>
      <c r="AC852" s="12"/>
    </row>
    <row r="853" ht="15.75" customHeight="1">
      <c r="A853" s="12"/>
      <c r="B853" s="12"/>
      <c r="C853" s="12"/>
      <c r="D853" s="12"/>
      <c r="E853" s="12"/>
      <c r="F853" s="12"/>
      <c r="G853" s="12"/>
      <c r="H853" s="12"/>
      <c r="I853" s="12"/>
      <c r="J853" s="359"/>
      <c r="K853" s="12"/>
      <c r="L853" s="12"/>
      <c r="M853" s="12"/>
      <c r="N853" s="12"/>
      <c r="O853" s="12"/>
      <c r="P853" s="12"/>
      <c r="Q853" s="12"/>
      <c r="R853" s="359"/>
      <c r="S853" s="12"/>
      <c r="T853" s="12"/>
      <c r="U853" s="12"/>
      <c r="V853" s="12"/>
      <c r="W853" s="12"/>
      <c r="X853" s="12"/>
      <c r="Y853" s="12"/>
      <c r="Z853" s="359"/>
      <c r="AA853" s="12"/>
      <c r="AB853" s="12"/>
      <c r="AC853" s="12"/>
    </row>
    <row r="854" ht="15.75" customHeight="1">
      <c r="A854" s="12"/>
      <c r="B854" s="12"/>
      <c r="C854" s="12"/>
      <c r="D854" s="12"/>
      <c r="E854" s="12"/>
      <c r="F854" s="12"/>
      <c r="G854" s="12"/>
      <c r="H854" s="12"/>
      <c r="I854" s="12"/>
      <c r="J854" s="359"/>
      <c r="K854" s="12"/>
      <c r="L854" s="12"/>
      <c r="M854" s="12"/>
      <c r="N854" s="12"/>
      <c r="O854" s="12"/>
      <c r="P854" s="12"/>
      <c r="Q854" s="12"/>
      <c r="R854" s="359"/>
      <c r="S854" s="12"/>
      <c r="T854" s="12"/>
      <c r="U854" s="12"/>
      <c r="V854" s="12"/>
      <c r="W854" s="12"/>
      <c r="X854" s="12"/>
      <c r="Y854" s="12"/>
      <c r="Z854" s="359"/>
      <c r="AA854" s="12"/>
      <c r="AB854" s="12"/>
      <c r="AC854" s="12"/>
    </row>
    <row r="855" ht="15.75" customHeight="1">
      <c r="A855" s="12"/>
      <c r="B855" s="12"/>
      <c r="C855" s="12"/>
      <c r="D855" s="12"/>
      <c r="E855" s="12"/>
      <c r="F855" s="12"/>
      <c r="G855" s="12"/>
      <c r="H855" s="12"/>
      <c r="I855" s="12"/>
      <c r="J855" s="359"/>
      <c r="K855" s="12"/>
      <c r="L855" s="12"/>
      <c r="M855" s="12"/>
      <c r="N855" s="12"/>
      <c r="O855" s="12"/>
      <c r="P855" s="12"/>
      <c r="Q855" s="12"/>
      <c r="R855" s="359"/>
      <c r="S855" s="12"/>
      <c r="T855" s="12"/>
      <c r="U855" s="12"/>
      <c r="V855" s="12"/>
      <c r="W855" s="12"/>
      <c r="X855" s="12"/>
      <c r="Y855" s="12"/>
      <c r="Z855" s="359"/>
      <c r="AA855" s="12"/>
      <c r="AB855" s="12"/>
      <c r="AC855" s="12"/>
    </row>
    <row r="856" ht="15.75" customHeight="1">
      <c r="A856" s="12"/>
      <c r="B856" s="12"/>
      <c r="C856" s="12"/>
      <c r="D856" s="12"/>
      <c r="E856" s="12"/>
      <c r="F856" s="12"/>
      <c r="G856" s="12"/>
      <c r="H856" s="12"/>
      <c r="I856" s="12"/>
      <c r="J856" s="359"/>
      <c r="K856" s="12"/>
      <c r="L856" s="12"/>
      <c r="M856" s="12"/>
      <c r="N856" s="12"/>
      <c r="O856" s="12"/>
      <c r="P856" s="12"/>
      <c r="Q856" s="12"/>
      <c r="R856" s="359"/>
      <c r="S856" s="12"/>
      <c r="T856" s="12"/>
      <c r="U856" s="12"/>
      <c r="V856" s="12"/>
      <c r="W856" s="12"/>
      <c r="X856" s="12"/>
      <c r="Y856" s="12"/>
      <c r="Z856" s="359"/>
      <c r="AA856" s="12"/>
      <c r="AB856" s="12"/>
      <c r="AC856" s="12"/>
    </row>
    <row r="857" ht="15.75" customHeight="1">
      <c r="A857" s="12"/>
      <c r="B857" s="12"/>
      <c r="C857" s="12"/>
      <c r="D857" s="12"/>
      <c r="E857" s="12"/>
      <c r="F857" s="12"/>
      <c r="G857" s="12"/>
      <c r="H857" s="12"/>
      <c r="I857" s="12"/>
      <c r="J857" s="359"/>
      <c r="K857" s="12"/>
      <c r="L857" s="12"/>
      <c r="M857" s="12"/>
      <c r="N857" s="12"/>
      <c r="O857" s="12"/>
      <c r="P857" s="12"/>
      <c r="Q857" s="12"/>
      <c r="R857" s="359"/>
      <c r="S857" s="12"/>
      <c r="T857" s="12"/>
      <c r="U857" s="12"/>
      <c r="V857" s="12"/>
      <c r="W857" s="12"/>
      <c r="X857" s="12"/>
      <c r="Y857" s="12"/>
      <c r="Z857" s="359"/>
      <c r="AA857" s="12"/>
      <c r="AB857" s="12"/>
      <c r="AC857" s="12"/>
    </row>
    <row r="858" ht="15.75" customHeight="1">
      <c r="A858" s="12"/>
      <c r="B858" s="12"/>
      <c r="C858" s="12"/>
      <c r="D858" s="12"/>
      <c r="E858" s="12"/>
      <c r="F858" s="12"/>
      <c r="G858" s="12"/>
      <c r="H858" s="12"/>
      <c r="I858" s="12"/>
      <c r="J858" s="359"/>
      <c r="K858" s="12"/>
      <c r="L858" s="12"/>
      <c r="M858" s="12"/>
      <c r="N858" s="12"/>
      <c r="O858" s="12"/>
      <c r="P858" s="12"/>
      <c r="Q858" s="12"/>
      <c r="R858" s="359"/>
      <c r="S858" s="12"/>
      <c r="T858" s="12"/>
      <c r="U858" s="12"/>
      <c r="V858" s="12"/>
      <c r="W858" s="12"/>
      <c r="X858" s="12"/>
      <c r="Y858" s="12"/>
      <c r="Z858" s="359"/>
      <c r="AA858" s="12"/>
      <c r="AB858" s="12"/>
      <c r="AC858" s="12"/>
    </row>
    <row r="859" ht="15.75" customHeight="1">
      <c r="A859" s="12"/>
      <c r="B859" s="12"/>
      <c r="C859" s="12"/>
      <c r="D859" s="12"/>
      <c r="E859" s="12"/>
      <c r="F859" s="12"/>
      <c r="G859" s="12"/>
      <c r="H859" s="12"/>
      <c r="I859" s="12"/>
      <c r="J859" s="359"/>
      <c r="K859" s="12"/>
      <c r="L859" s="12"/>
      <c r="M859" s="12"/>
      <c r="N859" s="12"/>
      <c r="O859" s="12"/>
      <c r="P859" s="12"/>
      <c r="Q859" s="12"/>
      <c r="R859" s="359"/>
      <c r="S859" s="12"/>
      <c r="T859" s="12"/>
      <c r="U859" s="12"/>
      <c r="V859" s="12"/>
      <c r="W859" s="12"/>
      <c r="X859" s="12"/>
      <c r="Y859" s="12"/>
      <c r="Z859" s="359"/>
      <c r="AA859" s="12"/>
      <c r="AB859" s="12"/>
      <c r="AC859" s="12"/>
    </row>
    <row r="860" ht="15.75" customHeight="1">
      <c r="A860" s="12"/>
      <c r="B860" s="12"/>
      <c r="C860" s="12"/>
      <c r="D860" s="12"/>
      <c r="E860" s="12"/>
      <c r="F860" s="12"/>
      <c r="G860" s="12"/>
      <c r="H860" s="12"/>
      <c r="I860" s="12"/>
      <c r="J860" s="359"/>
      <c r="K860" s="12"/>
      <c r="L860" s="12"/>
      <c r="M860" s="12"/>
      <c r="N860" s="12"/>
      <c r="O860" s="12"/>
      <c r="P860" s="12"/>
      <c r="Q860" s="12"/>
      <c r="R860" s="359"/>
      <c r="S860" s="12"/>
      <c r="T860" s="12"/>
      <c r="U860" s="12"/>
      <c r="V860" s="12"/>
      <c r="W860" s="12"/>
      <c r="X860" s="12"/>
      <c r="Y860" s="12"/>
      <c r="Z860" s="359"/>
      <c r="AA860" s="12"/>
      <c r="AB860" s="12"/>
      <c r="AC860" s="12"/>
    </row>
    <row r="861" ht="15.75" customHeight="1">
      <c r="A861" s="12"/>
      <c r="B861" s="12"/>
      <c r="C861" s="12"/>
      <c r="D861" s="12"/>
      <c r="E861" s="12"/>
      <c r="F861" s="12"/>
      <c r="G861" s="12"/>
      <c r="H861" s="12"/>
      <c r="I861" s="12"/>
      <c r="J861" s="359"/>
      <c r="K861" s="12"/>
      <c r="L861" s="12"/>
      <c r="M861" s="12"/>
      <c r="N861" s="12"/>
      <c r="O861" s="12"/>
      <c r="P861" s="12"/>
      <c r="Q861" s="12"/>
      <c r="R861" s="359"/>
      <c r="S861" s="12"/>
      <c r="T861" s="12"/>
      <c r="U861" s="12"/>
      <c r="V861" s="12"/>
      <c r="W861" s="12"/>
      <c r="X861" s="12"/>
      <c r="Y861" s="12"/>
      <c r="Z861" s="359"/>
      <c r="AA861" s="12"/>
      <c r="AB861" s="12"/>
      <c r="AC861" s="12"/>
    </row>
    <row r="862" ht="15.75" customHeight="1">
      <c r="A862" s="12"/>
      <c r="B862" s="12"/>
      <c r="C862" s="12"/>
      <c r="D862" s="12"/>
      <c r="E862" s="12"/>
      <c r="F862" s="12"/>
      <c r="G862" s="12"/>
      <c r="H862" s="12"/>
      <c r="I862" s="12"/>
      <c r="J862" s="359"/>
      <c r="K862" s="12"/>
      <c r="L862" s="12"/>
      <c r="M862" s="12"/>
      <c r="N862" s="12"/>
      <c r="O862" s="12"/>
      <c r="P862" s="12"/>
      <c r="Q862" s="12"/>
      <c r="R862" s="359"/>
      <c r="S862" s="12"/>
      <c r="T862" s="12"/>
      <c r="U862" s="12"/>
      <c r="V862" s="12"/>
      <c r="W862" s="12"/>
      <c r="X862" s="12"/>
      <c r="Y862" s="12"/>
      <c r="Z862" s="359"/>
      <c r="AA862" s="12"/>
      <c r="AB862" s="12"/>
      <c r="AC862" s="12"/>
    </row>
    <row r="863" ht="15.75" customHeight="1">
      <c r="A863" s="12"/>
      <c r="B863" s="12"/>
      <c r="C863" s="12"/>
      <c r="D863" s="12"/>
      <c r="E863" s="12"/>
      <c r="F863" s="12"/>
      <c r="G863" s="12"/>
      <c r="H863" s="12"/>
      <c r="I863" s="12"/>
      <c r="J863" s="359"/>
      <c r="K863" s="12"/>
      <c r="L863" s="12"/>
      <c r="M863" s="12"/>
      <c r="N863" s="12"/>
      <c r="O863" s="12"/>
      <c r="P863" s="12"/>
      <c r="Q863" s="12"/>
      <c r="R863" s="359"/>
      <c r="S863" s="12"/>
      <c r="T863" s="12"/>
      <c r="U863" s="12"/>
      <c r="V863" s="12"/>
      <c r="W863" s="12"/>
      <c r="X863" s="12"/>
      <c r="Y863" s="12"/>
      <c r="Z863" s="359"/>
      <c r="AA863" s="12"/>
      <c r="AB863" s="12"/>
      <c r="AC863" s="12"/>
    </row>
    <row r="864" ht="15.75" customHeight="1">
      <c r="A864" s="12"/>
      <c r="B864" s="12"/>
      <c r="C864" s="12"/>
      <c r="D864" s="12"/>
      <c r="E864" s="12"/>
      <c r="F864" s="12"/>
      <c r="G864" s="12"/>
      <c r="H864" s="12"/>
      <c r="I864" s="12"/>
      <c r="J864" s="359"/>
      <c r="K864" s="12"/>
      <c r="L864" s="12"/>
      <c r="M864" s="12"/>
      <c r="N864" s="12"/>
      <c r="O864" s="12"/>
      <c r="P864" s="12"/>
      <c r="Q864" s="12"/>
      <c r="R864" s="359"/>
      <c r="S864" s="12"/>
      <c r="T864" s="12"/>
      <c r="U864" s="12"/>
      <c r="V864" s="12"/>
      <c r="W864" s="12"/>
      <c r="X864" s="12"/>
      <c r="Y864" s="12"/>
      <c r="Z864" s="359"/>
      <c r="AA864" s="12"/>
      <c r="AB864" s="12"/>
      <c r="AC864" s="12"/>
    </row>
    <row r="865" ht="15.75" customHeight="1">
      <c r="A865" s="12"/>
      <c r="B865" s="12"/>
      <c r="C865" s="12"/>
      <c r="D865" s="12"/>
      <c r="E865" s="12"/>
      <c r="F865" s="12"/>
      <c r="G865" s="12"/>
      <c r="H865" s="12"/>
      <c r="I865" s="12"/>
      <c r="J865" s="359"/>
      <c r="K865" s="12"/>
      <c r="L865" s="12"/>
      <c r="M865" s="12"/>
      <c r="N865" s="12"/>
      <c r="O865" s="12"/>
      <c r="P865" s="12"/>
      <c r="Q865" s="12"/>
      <c r="R865" s="359"/>
      <c r="S865" s="12"/>
      <c r="T865" s="12"/>
      <c r="U865" s="12"/>
      <c r="V865" s="12"/>
      <c r="W865" s="12"/>
      <c r="X865" s="12"/>
      <c r="Y865" s="12"/>
      <c r="Z865" s="359"/>
      <c r="AA865" s="12"/>
      <c r="AB865" s="12"/>
      <c r="AC865" s="12"/>
    </row>
    <row r="866" ht="15.75" customHeight="1">
      <c r="A866" s="12"/>
      <c r="B866" s="12"/>
      <c r="C866" s="12"/>
      <c r="D866" s="12"/>
      <c r="E866" s="12"/>
      <c r="F866" s="12"/>
      <c r="G866" s="12"/>
      <c r="H866" s="12"/>
      <c r="I866" s="12"/>
      <c r="J866" s="359"/>
      <c r="K866" s="12"/>
      <c r="L866" s="12"/>
      <c r="M866" s="12"/>
      <c r="N866" s="12"/>
      <c r="O866" s="12"/>
      <c r="P866" s="12"/>
      <c r="Q866" s="12"/>
      <c r="R866" s="359"/>
      <c r="S866" s="12"/>
      <c r="T866" s="12"/>
      <c r="U866" s="12"/>
      <c r="V866" s="12"/>
      <c r="W866" s="12"/>
      <c r="X866" s="12"/>
      <c r="Y866" s="12"/>
      <c r="Z866" s="359"/>
      <c r="AA866" s="12"/>
      <c r="AB866" s="12"/>
      <c r="AC866" s="12"/>
    </row>
    <row r="867" ht="15.75" customHeight="1">
      <c r="A867" s="12"/>
      <c r="B867" s="12"/>
      <c r="C867" s="12"/>
      <c r="D867" s="12"/>
      <c r="E867" s="12"/>
      <c r="F867" s="12"/>
      <c r="G867" s="12"/>
      <c r="H867" s="12"/>
      <c r="I867" s="12"/>
      <c r="J867" s="359"/>
      <c r="K867" s="12"/>
      <c r="L867" s="12"/>
      <c r="M867" s="12"/>
      <c r="N867" s="12"/>
      <c r="O867" s="12"/>
      <c r="P867" s="12"/>
      <c r="Q867" s="12"/>
      <c r="R867" s="359"/>
      <c r="S867" s="12"/>
      <c r="T867" s="12"/>
      <c r="U867" s="12"/>
      <c r="V867" s="12"/>
      <c r="W867" s="12"/>
      <c r="X867" s="12"/>
      <c r="Y867" s="12"/>
      <c r="Z867" s="359"/>
      <c r="AA867" s="12"/>
      <c r="AB867" s="12"/>
      <c r="AC867" s="12"/>
    </row>
    <row r="868" ht="15.75" customHeight="1">
      <c r="A868" s="12"/>
      <c r="B868" s="12"/>
      <c r="C868" s="12"/>
      <c r="D868" s="12"/>
      <c r="E868" s="12"/>
      <c r="F868" s="12"/>
      <c r="G868" s="12"/>
      <c r="H868" s="12"/>
      <c r="I868" s="12"/>
      <c r="J868" s="359"/>
      <c r="K868" s="12"/>
      <c r="L868" s="12"/>
      <c r="M868" s="12"/>
      <c r="N868" s="12"/>
      <c r="O868" s="12"/>
      <c r="P868" s="12"/>
      <c r="Q868" s="12"/>
      <c r="R868" s="359"/>
      <c r="S868" s="12"/>
      <c r="T868" s="12"/>
      <c r="U868" s="12"/>
      <c r="V868" s="12"/>
      <c r="W868" s="12"/>
      <c r="X868" s="12"/>
      <c r="Y868" s="12"/>
      <c r="Z868" s="359"/>
      <c r="AA868" s="12"/>
      <c r="AB868" s="12"/>
      <c r="AC868" s="12"/>
    </row>
    <row r="869" ht="15.75" customHeight="1">
      <c r="A869" s="12"/>
      <c r="B869" s="12"/>
      <c r="C869" s="12"/>
      <c r="D869" s="12"/>
      <c r="E869" s="12"/>
      <c r="F869" s="12"/>
      <c r="G869" s="12"/>
      <c r="H869" s="12"/>
      <c r="I869" s="12"/>
      <c r="J869" s="359"/>
      <c r="K869" s="12"/>
      <c r="L869" s="12"/>
      <c r="M869" s="12"/>
      <c r="N869" s="12"/>
      <c r="O869" s="12"/>
      <c r="P869" s="12"/>
      <c r="Q869" s="12"/>
      <c r="R869" s="359"/>
      <c r="S869" s="12"/>
      <c r="T869" s="12"/>
      <c r="U869" s="12"/>
      <c r="V869" s="12"/>
      <c r="W869" s="12"/>
      <c r="X869" s="12"/>
      <c r="Y869" s="12"/>
      <c r="Z869" s="359"/>
      <c r="AA869" s="12"/>
      <c r="AB869" s="12"/>
      <c r="AC869" s="12"/>
    </row>
    <row r="870" ht="15.75" customHeight="1">
      <c r="A870" s="12"/>
      <c r="B870" s="12"/>
      <c r="C870" s="12"/>
      <c r="D870" s="12"/>
      <c r="E870" s="12"/>
      <c r="F870" s="12"/>
      <c r="G870" s="12"/>
      <c r="H870" s="12"/>
      <c r="I870" s="12"/>
      <c r="J870" s="359"/>
      <c r="K870" s="12"/>
      <c r="L870" s="12"/>
      <c r="M870" s="12"/>
      <c r="N870" s="12"/>
      <c r="O870" s="12"/>
      <c r="P870" s="12"/>
      <c r="Q870" s="12"/>
      <c r="R870" s="359"/>
      <c r="S870" s="12"/>
      <c r="T870" s="12"/>
      <c r="U870" s="12"/>
      <c r="V870" s="12"/>
      <c r="W870" s="12"/>
      <c r="X870" s="12"/>
      <c r="Y870" s="12"/>
      <c r="Z870" s="359"/>
      <c r="AA870" s="12"/>
      <c r="AB870" s="12"/>
      <c r="AC870" s="12"/>
    </row>
    <row r="871" ht="15.75" customHeight="1">
      <c r="A871" s="12"/>
      <c r="B871" s="12"/>
      <c r="C871" s="12"/>
      <c r="D871" s="12"/>
      <c r="E871" s="12"/>
      <c r="F871" s="12"/>
      <c r="G871" s="12"/>
      <c r="H871" s="12"/>
      <c r="I871" s="12"/>
      <c r="J871" s="359"/>
      <c r="K871" s="12"/>
      <c r="L871" s="12"/>
      <c r="M871" s="12"/>
      <c r="N871" s="12"/>
      <c r="O871" s="12"/>
      <c r="P871" s="12"/>
      <c r="Q871" s="12"/>
      <c r="R871" s="359"/>
      <c r="S871" s="12"/>
      <c r="T871" s="12"/>
      <c r="U871" s="12"/>
      <c r="V871" s="12"/>
      <c r="W871" s="12"/>
      <c r="X871" s="12"/>
      <c r="Y871" s="12"/>
      <c r="Z871" s="359"/>
      <c r="AA871" s="12"/>
      <c r="AB871" s="12"/>
      <c r="AC871" s="12"/>
    </row>
    <row r="872" ht="15.75" customHeight="1">
      <c r="A872" s="12"/>
      <c r="B872" s="12"/>
      <c r="C872" s="12"/>
      <c r="D872" s="12"/>
      <c r="E872" s="12"/>
      <c r="F872" s="12"/>
      <c r="G872" s="12"/>
      <c r="H872" s="12"/>
      <c r="I872" s="12"/>
      <c r="J872" s="359"/>
      <c r="K872" s="12"/>
      <c r="L872" s="12"/>
      <c r="M872" s="12"/>
      <c r="N872" s="12"/>
      <c r="O872" s="12"/>
      <c r="P872" s="12"/>
      <c r="Q872" s="12"/>
      <c r="R872" s="359"/>
      <c r="S872" s="12"/>
      <c r="T872" s="12"/>
      <c r="U872" s="12"/>
      <c r="V872" s="12"/>
      <c r="W872" s="12"/>
      <c r="X872" s="12"/>
      <c r="Y872" s="12"/>
      <c r="Z872" s="359"/>
      <c r="AA872" s="12"/>
      <c r="AB872" s="12"/>
      <c r="AC872" s="12"/>
    </row>
    <row r="873" ht="15.75" customHeight="1">
      <c r="A873" s="12"/>
      <c r="B873" s="12"/>
      <c r="C873" s="12"/>
      <c r="D873" s="12"/>
      <c r="E873" s="12"/>
      <c r="F873" s="12"/>
      <c r="G873" s="12"/>
      <c r="H873" s="12"/>
      <c r="I873" s="12"/>
      <c r="J873" s="359"/>
      <c r="K873" s="12"/>
      <c r="L873" s="12"/>
      <c r="M873" s="12"/>
      <c r="N873" s="12"/>
      <c r="O873" s="12"/>
      <c r="P873" s="12"/>
      <c r="Q873" s="12"/>
      <c r="R873" s="359"/>
      <c r="S873" s="12"/>
      <c r="T873" s="12"/>
      <c r="U873" s="12"/>
      <c r="V873" s="12"/>
      <c r="W873" s="12"/>
      <c r="X873" s="12"/>
      <c r="Y873" s="12"/>
      <c r="Z873" s="359"/>
      <c r="AA873" s="12"/>
      <c r="AB873" s="12"/>
      <c r="AC873" s="12"/>
    </row>
    <row r="874" ht="15.75" customHeight="1">
      <c r="A874" s="12"/>
      <c r="B874" s="12"/>
      <c r="C874" s="12"/>
      <c r="D874" s="12"/>
      <c r="E874" s="12"/>
      <c r="F874" s="12"/>
      <c r="G874" s="12"/>
      <c r="H874" s="12"/>
      <c r="I874" s="12"/>
      <c r="J874" s="359"/>
      <c r="K874" s="12"/>
      <c r="L874" s="12"/>
      <c r="M874" s="12"/>
      <c r="N874" s="12"/>
      <c r="O874" s="12"/>
      <c r="P874" s="12"/>
      <c r="Q874" s="12"/>
      <c r="R874" s="359"/>
      <c r="S874" s="12"/>
      <c r="T874" s="12"/>
      <c r="U874" s="12"/>
      <c r="V874" s="12"/>
      <c r="W874" s="12"/>
      <c r="X874" s="12"/>
      <c r="Y874" s="12"/>
      <c r="Z874" s="359"/>
      <c r="AA874" s="12"/>
      <c r="AB874" s="12"/>
      <c r="AC874" s="12"/>
    </row>
    <row r="875" ht="15.75" customHeight="1">
      <c r="A875" s="12"/>
      <c r="B875" s="12"/>
      <c r="C875" s="12"/>
      <c r="D875" s="12"/>
      <c r="E875" s="12"/>
      <c r="F875" s="12"/>
      <c r="G875" s="12"/>
      <c r="H875" s="12"/>
      <c r="I875" s="12"/>
      <c r="J875" s="359"/>
      <c r="K875" s="12"/>
      <c r="L875" s="12"/>
      <c r="M875" s="12"/>
      <c r="N875" s="12"/>
      <c r="O875" s="12"/>
      <c r="P875" s="12"/>
      <c r="Q875" s="12"/>
      <c r="R875" s="359"/>
      <c r="S875" s="12"/>
      <c r="T875" s="12"/>
      <c r="U875" s="12"/>
      <c r="V875" s="12"/>
      <c r="W875" s="12"/>
      <c r="X875" s="12"/>
      <c r="Y875" s="12"/>
      <c r="Z875" s="359"/>
      <c r="AA875" s="12"/>
      <c r="AB875" s="12"/>
      <c r="AC875" s="12"/>
    </row>
    <row r="876" ht="15.75" customHeight="1">
      <c r="A876" s="12"/>
      <c r="B876" s="12"/>
      <c r="C876" s="12"/>
      <c r="D876" s="12"/>
      <c r="E876" s="12"/>
      <c r="F876" s="12"/>
      <c r="G876" s="12"/>
      <c r="H876" s="12"/>
      <c r="I876" s="12"/>
      <c r="J876" s="359"/>
      <c r="K876" s="12"/>
      <c r="L876" s="12"/>
      <c r="M876" s="12"/>
      <c r="N876" s="12"/>
      <c r="O876" s="12"/>
      <c r="P876" s="12"/>
      <c r="Q876" s="12"/>
      <c r="R876" s="359"/>
      <c r="S876" s="12"/>
      <c r="T876" s="12"/>
      <c r="U876" s="12"/>
      <c r="V876" s="12"/>
      <c r="W876" s="12"/>
      <c r="X876" s="12"/>
      <c r="Y876" s="12"/>
      <c r="Z876" s="359"/>
      <c r="AA876" s="12"/>
      <c r="AB876" s="12"/>
      <c r="AC876" s="12"/>
    </row>
    <row r="877" ht="15.75" customHeight="1">
      <c r="A877" s="12"/>
      <c r="B877" s="12"/>
      <c r="C877" s="12"/>
      <c r="D877" s="12"/>
      <c r="E877" s="12"/>
      <c r="F877" s="12"/>
      <c r="G877" s="12"/>
      <c r="H877" s="12"/>
      <c r="I877" s="12"/>
      <c r="J877" s="359"/>
      <c r="K877" s="12"/>
      <c r="L877" s="12"/>
      <c r="M877" s="12"/>
      <c r="N877" s="12"/>
      <c r="O877" s="12"/>
      <c r="P877" s="12"/>
      <c r="Q877" s="12"/>
      <c r="R877" s="359"/>
      <c r="S877" s="12"/>
      <c r="T877" s="12"/>
      <c r="U877" s="12"/>
      <c r="V877" s="12"/>
      <c r="W877" s="12"/>
      <c r="X877" s="12"/>
      <c r="Y877" s="12"/>
      <c r="Z877" s="359"/>
      <c r="AA877" s="12"/>
      <c r="AB877" s="12"/>
      <c r="AC877" s="12"/>
    </row>
    <row r="878" ht="15.75" customHeight="1">
      <c r="A878" s="12"/>
      <c r="B878" s="12"/>
      <c r="C878" s="12"/>
      <c r="D878" s="12"/>
      <c r="E878" s="12"/>
      <c r="F878" s="12"/>
      <c r="G878" s="12"/>
      <c r="H878" s="12"/>
      <c r="I878" s="12"/>
      <c r="J878" s="359"/>
      <c r="K878" s="12"/>
      <c r="L878" s="12"/>
      <c r="M878" s="12"/>
      <c r="N878" s="12"/>
      <c r="O878" s="12"/>
      <c r="P878" s="12"/>
      <c r="Q878" s="12"/>
      <c r="R878" s="359"/>
      <c r="S878" s="12"/>
      <c r="T878" s="12"/>
      <c r="U878" s="12"/>
      <c r="V878" s="12"/>
      <c r="W878" s="12"/>
      <c r="X878" s="12"/>
      <c r="Y878" s="12"/>
      <c r="Z878" s="359"/>
      <c r="AA878" s="12"/>
      <c r="AB878" s="12"/>
      <c r="AC878" s="12"/>
    </row>
    <row r="879" ht="15.75" customHeight="1">
      <c r="A879" s="12"/>
      <c r="B879" s="12"/>
      <c r="C879" s="12"/>
      <c r="D879" s="12"/>
      <c r="E879" s="12"/>
      <c r="F879" s="12"/>
      <c r="G879" s="12"/>
      <c r="H879" s="12"/>
      <c r="I879" s="12"/>
      <c r="J879" s="359"/>
      <c r="K879" s="12"/>
      <c r="L879" s="12"/>
      <c r="M879" s="12"/>
      <c r="N879" s="12"/>
      <c r="O879" s="12"/>
      <c r="P879" s="12"/>
      <c r="Q879" s="12"/>
      <c r="R879" s="359"/>
      <c r="S879" s="12"/>
      <c r="T879" s="12"/>
      <c r="U879" s="12"/>
      <c r="V879" s="12"/>
      <c r="W879" s="12"/>
      <c r="X879" s="12"/>
      <c r="Y879" s="12"/>
      <c r="Z879" s="359"/>
      <c r="AA879" s="12"/>
      <c r="AB879" s="12"/>
      <c r="AC879" s="12"/>
    </row>
    <row r="880" ht="15.75" customHeight="1">
      <c r="A880" s="12"/>
      <c r="B880" s="12"/>
      <c r="C880" s="12"/>
      <c r="D880" s="12"/>
      <c r="E880" s="12"/>
      <c r="F880" s="12"/>
      <c r="G880" s="12"/>
      <c r="H880" s="12"/>
      <c r="I880" s="12"/>
      <c r="J880" s="359"/>
      <c r="K880" s="12"/>
      <c r="L880" s="12"/>
      <c r="M880" s="12"/>
      <c r="N880" s="12"/>
      <c r="O880" s="12"/>
      <c r="P880" s="12"/>
      <c r="Q880" s="12"/>
      <c r="R880" s="359"/>
      <c r="S880" s="12"/>
      <c r="T880" s="12"/>
      <c r="U880" s="12"/>
      <c r="V880" s="12"/>
      <c r="W880" s="12"/>
      <c r="X880" s="12"/>
      <c r="Y880" s="12"/>
      <c r="Z880" s="359"/>
      <c r="AA880" s="12"/>
      <c r="AB880" s="12"/>
      <c r="AC880" s="12"/>
    </row>
    <row r="881" ht="15.75" customHeight="1">
      <c r="A881" s="12"/>
      <c r="B881" s="12"/>
      <c r="C881" s="12"/>
      <c r="D881" s="12"/>
      <c r="E881" s="12"/>
      <c r="F881" s="12"/>
      <c r="G881" s="12"/>
      <c r="H881" s="12"/>
      <c r="I881" s="12"/>
      <c r="J881" s="359"/>
      <c r="K881" s="12"/>
      <c r="L881" s="12"/>
      <c r="M881" s="12"/>
      <c r="N881" s="12"/>
      <c r="O881" s="12"/>
      <c r="P881" s="12"/>
      <c r="Q881" s="12"/>
      <c r="R881" s="359"/>
      <c r="S881" s="12"/>
      <c r="T881" s="12"/>
      <c r="U881" s="12"/>
      <c r="V881" s="12"/>
      <c r="W881" s="12"/>
      <c r="X881" s="12"/>
      <c r="Y881" s="12"/>
      <c r="Z881" s="359"/>
      <c r="AA881" s="12"/>
      <c r="AB881" s="12"/>
      <c r="AC881" s="12"/>
    </row>
    <row r="882" ht="15.75" customHeight="1">
      <c r="A882" s="12"/>
      <c r="B882" s="12"/>
      <c r="C882" s="12"/>
      <c r="D882" s="12"/>
      <c r="E882" s="12"/>
      <c r="F882" s="12"/>
      <c r="G882" s="12"/>
      <c r="H882" s="12"/>
      <c r="I882" s="12"/>
      <c r="J882" s="359"/>
      <c r="K882" s="12"/>
      <c r="L882" s="12"/>
      <c r="M882" s="12"/>
      <c r="N882" s="12"/>
      <c r="O882" s="12"/>
      <c r="P882" s="12"/>
      <c r="Q882" s="12"/>
      <c r="R882" s="359"/>
      <c r="S882" s="12"/>
      <c r="T882" s="12"/>
      <c r="U882" s="12"/>
      <c r="V882" s="12"/>
      <c r="W882" s="12"/>
      <c r="X882" s="12"/>
      <c r="Y882" s="12"/>
      <c r="Z882" s="359"/>
      <c r="AA882" s="12"/>
      <c r="AB882" s="12"/>
      <c r="AC882" s="12"/>
    </row>
    <row r="883" ht="15.75" customHeight="1">
      <c r="A883" s="12"/>
      <c r="B883" s="12"/>
      <c r="C883" s="12"/>
      <c r="D883" s="12"/>
      <c r="E883" s="12"/>
      <c r="F883" s="12"/>
      <c r="G883" s="12"/>
      <c r="H883" s="12"/>
      <c r="I883" s="12"/>
      <c r="J883" s="359"/>
      <c r="K883" s="12"/>
      <c r="L883" s="12"/>
      <c r="M883" s="12"/>
      <c r="N883" s="12"/>
      <c r="O883" s="12"/>
      <c r="P883" s="12"/>
      <c r="Q883" s="12"/>
      <c r="R883" s="359"/>
      <c r="S883" s="12"/>
      <c r="T883" s="12"/>
      <c r="U883" s="12"/>
      <c r="V883" s="12"/>
      <c r="W883" s="12"/>
      <c r="X883" s="12"/>
      <c r="Y883" s="12"/>
      <c r="Z883" s="359"/>
      <c r="AA883" s="12"/>
      <c r="AB883" s="12"/>
      <c r="AC883" s="12"/>
    </row>
    <row r="884" ht="15.75" customHeight="1">
      <c r="A884" s="12"/>
      <c r="B884" s="12"/>
      <c r="C884" s="12"/>
      <c r="D884" s="12"/>
      <c r="E884" s="12"/>
      <c r="F884" s="12"/>
      <c r="G884" s="12"/>
      <c r="H884" s="12"/>
      <c r="I884" s="12"/>
      <c r="J884" s="359"/>
      <c r="K884" s="12"/>
      <c r="L884" s="12"/>
      <c r="M884" s="12"/>
      <c r="N884" s="12"/>
      <c r="O884" s="12"/>
      <c r="P884" s="12"/>
      <c r="Q884" s="12"/>
      <c r="R884" s="359"/>
      <c r="S884" s="12"/>
      <c r="T884" s="12"/>
      <c r="U884" s="12"/>
      <c r="V884" s="12"/>
      <c r="W884" s="12"/>
      <c r="X884" s="12"/>
      <c r="Y884" s="12"/>
      <c r="Z884" s="359"/>
      <c r="AA884" s="12"/>
      <c r="AB884" s="12"/>
      <c r="AC884" s="12"/>
    </row>
    <row r="885" ht="15.75" customHeight="1">
      <c r="A885" s="12"/>
      <c r="B885" s="12"/>
      <c r="C885" s="12"/>
      <c r="D885" s="12"/>
      <c r="E885" s="12"/>
      <c r="F885" s="12"/>
      <c r="G885" s="12"/>
      <c r="H885" s="12"/>
      <c r="I885" s="12"/>
      <c r="J885" s="359"/>
      <c r="K885" s="12"/>
      <c r="L885" s="12"/>
      <c r="M885" s="12"/>
      <c r="N885" s="12"/>
      <c r="O885" s="12"/>
      <c r="P885" s="12"/>
      <c r="Q885" s="12"/>
      <c r="R885" s="359"/>
      <c r="S885" s="12"/>
      <c r="T885" s="12"/>
      <c r="U885" s="12"/>
      <c r="V885" s="12"/>
      <c r="W885" s="12"/>
      <c r="X885" s="12"/>
      <c r="Y885" s="12"/>
      <c r="Z885" s="359"/>
      <c r="AA885" s="12"/>
      <c r="AB885" s="12"/>
      <c r="AC885" s="12"/>
    </row>
    <row r="886" ht="15.75" customHeight="1">
      <c r="A886" s="12"/>
      <c r="B886" s="12"/>
      <c r="C886" s="12"/>
      <c r="D886" s="12"/>
      <c r="E886" s="12"/>
      <c r="F886" s="12"/>
      <c r="G886" s="12"/>
      <c r="H886" s="12"/>
      <c r="I886" s="12"/>
      <c r="J886" s="359"/>
      <c r="K886" s="12"/>
      <c r="L886" s="12"/>
      <c r="M886" s="12"/>
      <c r="N886" s="12"/>
      <c r="O886" s="12"/>
      <c r="P886" s="12"/>
      <c r="Q886" s="12"/>
      <c r="R886" s="359"/>
      <c r="S886" s="12"/>
      <c r="T886" s="12"/>
      <c r="U886" s="12"/>
      <c r="V886" s="12"/>
      <c r="W886" s="12"/>
      <c r="X886" s="12"/>
      <c r="Y886" s="12"/>
      <c r="Z886" s="359"/>
      <c r="AA886" s="12"/>
      <c r="AB886" s="12"/>
      <c r="AC886" s="12"/>
    </row>
    <row r="887" ht="15.75" customHeight="1">
      <c r="A887" s="12"/>
      <c r="B887" s="12"/>
      <c r="C887" s="12"/>
      <c r="D887" s="12"/>
      <c r="E887" s="12"/>
      <c r="F887" s="12"/>
      <c r="G887" s="12"/>
      <c r="H887" s="12"/>
      <c r="I887" s="12"/>
      <c r="J887" s="359"/>
      <c r="K887" s="12"/>
      <c r="L887" s="12"/>
      <c r="M887" s="12"/>
      <c r="N887" s="12"/>
      <c r="O887" s="12"/>
      <c r="P887" s="12"/>
      <c r="Q887" s="12"/>
      <c r="R887" s="359"/>
      <c r="S887" s="12"/>
      <c r="T887" s="12"/>
      <c r="U887" s="12"/>
      <c r="V887" s="12"/>
      <c r="W887" s="12"/>
      <c r="X887" s="12"/>
      <c r="Y887" s="12"/>
      <c r="Z887" s="359"/>
      <c r="AA887" s="12"/>
      <c r="AB887" s="12"/>
      <c r="AC887" s="12"/>
    </row>
    <row r="888" ht="15.75" customHeight="1">
      <c r="A888" s="12"/>
      <c r="B888" s="12"/>
      <c r="C888" s="12"/>
      <c r="D888" s="12"/>
      <c r="E888" s="12"/>
      <c r="F888" s="12"/>
      <c r="G888" s="12"/>
      <c r="H888" s="12"/>
      <c r="I888" s="12"/>
      <c r="J888" s="359"/>
      <c r="K888" s="12"/>
      <c r="L888" s="12"/>
      <c r="M888" s="12"/>
      <c r="N888" s="12"/>
      <c r="O888" s="12"/>
      <c r="P888" s="12"/>
      <c r="Q888" s="12"/>
      <c r="R888" s="359"/>
      <c r="S888" s="12"/>
      <c r="T888" s="12"/>
      <c r="U888" s="12"/>
      <c r="V888" s="12"/>
      <c r="W888" s="12"/>
      <c r="X888" s="12"/>
      <c r="Y888" s="12"/>
      <c r="Z888" s="359"/>
      <c r="AA888" s="12"/>
      <c r="AB888" s="12"/>
      <c r="AC888" s="12"/>
    </row>
    <row r="889" ht="15.75" customHeight="1">
      <c r="A889" s="12"/>
      <c r="B889" s="12"/>
      <c r="C889" s="12"/>
      <c r="D889" s="12"/>
      <c r="E889" s="12"/>
      <c r="F889" s="12"/>
      <c r="G889" s="12"/>
      <c r="H889" s="12"/>
      <c r="I889" s="12"/>
      <c r="J889" s="359"/>
      <c r="K889" s="12"/>
      <c r="L889" s="12"/>
      <c r="M889" s="12"/>
      <c r="N889" s="12"/>
      <c r="O889" s="12"/>
      <c r="P889" s="12"/>
      <c r="Q889" s="12"/>
      <c r="R889" s="359"/>
      <c r="S889" s="12"/>
      <c r="T889" s="12"/>
      <c r="U889" s="12"/>
      <c r="V889" s="12"/>
      <c r="W889" s="12"/>
      <c r="X889" s="12"/>
      <c r="Y889" s="12"/>
      <c r="Z889" s="359"/>
      <c r="AA889" s="12"/>
      <c r="AB889" s="12"/>
      <c r="AC889" s="12"/>
    </row>
    <row r="890" ht="15.75" customHeight="1">
      <c r="A890" s="12"/>
      <c r="B890" s="12"/>
      <c r="C890" s="12"/>
      <c r="D890" s="12"/>
      <c r="E890" s="12"/>
      <c r="F890" s="12"/>
      <c r="G890" s="12"/>
      <c r="H890" s="12"/>
      <c r="I890" s="12"/>
      <c r="J890" s="359"/>
      <c r="K890" s="12"/>
      <c r="L890" s="12"/>
      <c r="M890" s="12"/>
      <c r="N890" s="12"/>
      <c r="O890" s="12"/>
      <c r="P890" s="12"/>
      <c r="Q890" s="12"/>
      <c r="R890" s="359"/>
      <c r="S890" s="12"/>
      <c r="T890" s="12"/>
      <c r="U890" s="12"/>
      <c r="V890" s="12"/>
      <c r="W890" s="12"/>
      <c r="X890" s="12"/>
      <c r="Y890" s="12"/>
      <c r="Z890" s="359"/>
      <c r="AA890" s="12"/>
      <c r="AB890" s="12"/>
      <c r="AC890" s="12"/>
    </row>
    <row r="891" ht="15.75" customHeight="1">
      <c r="A891" s="12"/>
      <c r="B891" s="12"/>
      <c r="C891" s="12"/>
      <c r="D891" s="12"/>
      <c r="E891" s="12"/>
      <c r="F891" s="12"/>
      <c r="G891" s="12"/>
      <c r="H891" s="12"/>
      <c r="I891" s="12"/>
      <c r="J891" s="359"/>
      <c r="K891" s="12"/>
      <c r="L891" s="12"/>
      <c r="M891" s="12"/>
      <c r="N891" s="12"/>
      <c r="O891" s="12"/>
      <c r="P891" s="12"/>
      <c r="Q891" s="12"/>
      <c r="R891" s="359"/>
      <c r="S891" s="12"/>
      <c r="T891" s="12"/>
      <c r="U891" s="12"/>
      <c r="V891" s="12"/>
      <c r="W891" s="12"/>
      <c r="X891" s="12"/>
      <c r="Y891" s="12"/>
      <c r="Z891" s="359"/>
      <c r="AA891" s="12"/>
      <c r="AB891" s="12"/>
      <c r="AC891" s="12"/>
    </row>
    <row r="892" ht="15.75" customHeight="1">
      <c r="A892" s="12"/>
      <c r="B892" s="12"/>
      <c r="C892" s="12"/>
      <c r="D892" s="12"/>
      <c r="E892" s="12"/>
      <c r="F892" s="12"/>
      <c r="G892" s="12"/>
      <c r="H892" s="12"/>
      <c r="I892" s="12"/>
      <c r="J892" s="359"/>
      <c r="K892" s="12"/>
      <c r="L892" s="12"/>
      <c r="M892" s="12"/>
      <c r="N892" s="12"/>
      <c r="O892" s="12"/>
      <c r="P892" s="12"/>
      <c r="Q892" s="12"/>
      <c r="R892" s="359"/>
      <c r="S892" s="12"/>
      <c r="T892" s="12"/>
      <c r="U892" s="12"/>
      <c r="V892" s="12"/>
      <c r="W892" s="12"/>
      <c r="X892" s="12"/>
      <c r="Y892" s="12"/>
      <c r="Z892" s="359"/>
      <c r="AA892" s="12"/>
      <c r="AB892" s="12"/>
      <c r="AC892" s="12"/>
    </row>
    <row r="893" ht="15.75" customHeight="1">
      <c r="A893" s="12"/>
      <c r="B893" s="12"/>
      <c r="C893" s="12"/>
      <c r="D893" s="12"/>
      <c r="E893" s="12"/>
      <c r="F893" s="12"/>
      <c r="G893" s="12"/>
      <c r="H893" s="12"/>
      <c r="I893" s="12"/>
      <c r="J893" s="359"/>
      <c r="K893" s="12"/>
      <c r="L893" s="12"/>
      <c r="M893" s="12"/>
      <c r="N893" s="12"/>
      <c r="O893" s="12"/>
      <c r="P893" s="12"/>
      <c r="Q893" s="12"/>
      <c r="R893" s="359"/>
      <c r="S893" s="12"/>
      <c r="T893" s="12"/>
      <c r="U893" s="12"/>
      <c r="V893" s="12"/>
      <c r="W893" s="12"/>
      <c r="X893" s="12"/>
      <c r="Y893" s="12"/>
      <c r="Z893" s="359"/>
      <c r="AA893" s="12"/>
      <c r="AB893" s="12"/>
      <c r="AC893" s="12"/>
    </row>
    <row r="894" ht="15.75" customHeight="1">
      <c r="A894" s="12"/>
      <c r="B894" s="12"/>
      <c r="C894" s="12"/>
      <c r="D894" s="12"/>
      <c r="E894" s="12"/>
      <c r="F894" s="12"/>
      <c r="G894" s="12"/>
      <c r="H894" s="12"/>
      <c r="I894" s="12"/>
      <c r="J894" s="359"/>
      <c r="K894" s="12"/>
      <c r="L894" s="12"/>
      <c r="M894" s="12"/>
      <c r="N894" s="12"/>
      <c r="O894" s="12"/>
      <c r="P894" s="12"/>
      <c r="Q894" s="12"/>
      <c r="R894" s="359"/>
      <c r="S894" s="12"/>
      <c r="T894" s="12"/>
      <c r="U894" s="12"/>
      <c r="V894" s="12"/>
      <c r="W894" s="12"/>
      <c r="X894" s="12"/>
      <c r="Y894" s="12"/>
      <c r="Z894" s="359"/>
      <c r="AA894" s="12"/>
      <c r="AB894" s="12"/>
      <c r="AC894" s="12"/>
    </row>
    <row r="895" ht="15.75" customHeight="1">
      <c r="A895" s="12"/>
      <c r="B895" s="12"/>
      <c r="C895" s="12"/>
      <c r="D895" s="12"/>
      <c r="E895" s="12"/>
      <c r="F895" s="12"/>
      <c r="G895" s="12"/>
      <c r="H895" s="12"/>
      <c r="I895" s="12"/>
      <c r="J895" s="359"/>
      <c r="K895" s="12"/>
      <c r="L895" s="12"/>
      <c r="M895" s="12"/>
      <c r="N895" s="12"/>
      <c r="O895" s="12"/>
      <c r="P895" s="12"/>
      <c r="Q895" s="12"/>
      <c r="R895" s="359"/>
      <c r="S895" s="12"/>
      <c r="T895" s="12"/>
      <c r="U895" s="12"/>
      <c r="V895" s="12"/>
      <c r="W895" s="12"/>
      <c r="X895" s="12"/>
      <c r="Y895" s="12"/>
      <c r="Z895" s="359"/>
      <c r="AA895" s="12"/>
      <c r="AB895" s="12"/>
      <c r="AC895" s="12"/>
    </row>
    <row r="896" ht="15.75" customHeight="1">
      <c r="A896" s="12"/>
      <c r="B896" s="12"/>
      <c r="C896" s="12"/>
      <c r="D896" s="12"/>
      <c r="E896" s="12"/>
      <c r="F896" s="12"/>
      <c r="G896" s="12"/>
      <c r="H896" s="12"/>
      <c r="I896" s="12"/>
      <c r="J896" s="359"/>
      <c r="K896" s="12"/>
      <c r="L896" s="12"/>
      <c r="M896" s="12"/>
      <c r="N896" s="12"/>
      <c r="O896" s="12"/>
      <c r="P896" s="12"/>
      <c r="Q896" s="12"/>
      <c r="R896" s="359"/>
      <c r="S896" s="12"/>
      <c r="T896" s="12"/>
      <c r="U896" s="12"/>
      <c r="V896" s="12"/>
      <c r="W896" s="12"/>
      <c r="X896" s="12"/>
      <c r="Y896" s="12"/>
      <c r="Z896" s="359"/>
      <c r="AA896" s="12"/>
      <c r="AB896" s="12"/>
      <c r="AC896" s="12"/>
    </row>
    <row r="897" ht="15.75" customHeight="1">
      <c r="A897" s="12"/>
      <c r="B897" s="12"/>
      <c r="C897" s="12"/>
      <c r="D897" s="12"/>
      <c r="E897" s="12"/>
      <c r="F897" s="12"/>
      <c r="G897" s="12"/>
      <c r="H897" s="12"/>
      <c r="I897" s="12"/>
      <c r="J897" s="359"/>
      <c r="K897" s="12"/>
      <c r="L897" s="12"/>
      <c r="M897" s="12"/>
      <c r="N897" s="12"/>
      <c r="O897" s="12"/>
      <c r="P897" s="12"/>
      <c r="Q897" s="12"/>
      <c r="R897" s="359"/>
      <c r="S897" s="12"/>
      <c r="T897" s="12"/>
      <c r="U897" s="12"/>
      <c r="V897" s="12"/>
      <c r="W897" s="12"/>
      <c r="X897" s="12"/>
      <c r="Y897" s="12"/>
      <c r="Z897" s="359"/>
      <c r="AA897" s="12"/>
      <c r="AB897" s="12"/>
      <c r="AC897" s="12"/>
    </row>
    <row r="898" ht="15.75" customHeight="1">
      <c r="A898" s="12"/>
      <c r="B898" s="12"/>
      <c r="C898" s="12"/>
      <c r="D898" s="12"/>
      <c r="E898" s="12"/>
      <c r="F898" s="12"/>
      <c r="G898" s="12"/>
      <c r="H898" s="12"/>
      <c r="I898" s="12"/>
      <c r="J898" s="359"/>
      <c r="K898" s="12"/>
      <c r="L898" s="12"/>
      <c r="M898" s="12"/>
      <c r="N898" s="12"/>
      <c r="O898" s="12"/>
      <c r="P898" s="12"/>
      <c r="Q898" s="12"/>
      <c r="R898" s="359"/>
      <c r="S898" s="12"/>
      <c r="T898" s="12"/>
      <c r="U898" s="12"/>
      <c r="V898" s="12"/>
      <c r="W898" s="12"/>
      <c r="X898" s="12"/>
      <c r="Y898" s="12"/>
      <c r="Z898" s="359"/>
      <c r="AA898" s="12"/>
      <c r="AB898" s="12"/>
      <c r="AC898" s="12"/>
    </row>
    <row r="899" ht="15.75" customHeight="1">
      <c r="A899" s="12"/>
      <c r="B899" s="12"/>
      <c r="C899" s="12"/>
      <c r="D899" s="12"/>
      <c r="E899" s="12"/>
      <c r="F899" s="12"/>
      <c r="G899" s="12"/>
      <c r="H899" s="12"/>
      <c r="I899" s="12"/>
      <c r="J899" s="359"/>
      <c r="K899" s="12"/>
      <c r="L899" s="12"/>
      <c r="M899" s="12"/>
      <c r="N899" s="12"/>
      <c r="O899" s="12"/>
      <c r="P899" s="12"/>
      <c r="Q899" s="12"/>
      <c r="R899" s="359"/>
      <c r="S899" s="12"/>
      <c r="T899" s="12"/>
      <c r="U899" s="12"/>
      <c r="V899" s="12"/>
      <c r="W899" s="12"/>
      <c r="X899" s="12"/>
      <c r="Y899" s="12"/>
      <c r="Z899" s="359"/>
      <c r="AA899" s="12"/>
      <c r="AB899" s="12"/>
      <c r="AC899" s="12"/>
    </row>
    <row r="900" ht="15.75" customHeight="1">
      <c r="A900" s="12"/>
      <c r="B900" s="12"/>
      <c r="C900" s="12"/>
      <c r="D900" s="12"/>
      <c r="E900" s="12"/>
      <c r="F900" s="12"/>
      <c r="G900" s="12"/>
      <c r="H900" s="12"/>
      <c r="I900" s="12"/>
      <c r="J900" s="359"/>
      <c r="K900" s="12"/>
      <c r="L900" s="12"/>
      <c r="M900" s="12"/>
      <c r="N900" s="12"/>
      <c r="O900" s="12"/>
      <c r="P900" s="12"/>
      <c r="Q900" s="12"/>
      <c r="R900" s="359"/>
      <c r="S900" s="12"/>
      <c r="T900" s="12"/>
      <c r="U900" s="12"/>
      <c r="V900" s="12"/>
      <c r="W900" s="12"/>
      <c r="X900" s="12"/>
      <c r="Y900" s="12"/>
      <c r="Z900" s="359"/>
      <c r="AA900" s="12"/>
      <c r="AB900" s="12"/>
      <c r="AC900" s="12"/>
    </row>
    <row r="901" ht="15.75" customHeight="1">
      <c r="A901" s="12"/>
      <c r="B901" s="12"/>
      <c r="C901" s="12"/>
      <c r="D901" s="12"/>
      <c r="E901" s="12"/>
      <c r="F901" s="12"/>
      <c r="G901" s="12"/>
      <c r="H901" s="12"/>
      <c r="I901" s="12"/>
      <c r="J901" s="359"/>
      <c r="K901" s="12"/>
      <c r="L901" s="12"/>
      <c r="M901" s="12"/>
      <c r="N901" s="12"/>
      <c r="O901" s="12"/>
      <c r="P901" s="12"/>
      <c r="Q901" s="12"/>
      <c r="R901" s="359"/>
      <c r="S901" s="12"/>
      <c r="T901" s="12"/>
      <c r="U901" s="12"/>
      <c r="V901" s="12"/>
      <c r="W901" s="12"/>
      <c r="X901" s="12"/>
      <c r="Y901" s="12"/>
      <c r="Z901" s="359"/>
      <c r="AA901" s="12"/>
      <c r="AB901" s="12"/>
      <c r="AC901" s="12"/>
    </row>
    <row r="902" ht="15.75" customHeight="1">
      <c r="A902" s="12"/>
      <c r="B902" s="12"/>
      <c r="C902" s="12"/>
      <c r="D902" s="12"/>
      <c r="E902" s="12"/>
      <c r="F902" s="12"/>
      <c r="G902" s="12"/>
      <c r="H902" s="12"/>
      <c r="I902" s="12"/>
      <c r="J902" s="359"/>
      <c r="K902" s="12"/>
      <c r="L902" s="12"/>
      <c r="M902" s="12"/>
      <c r="N902" s="12"/>
      <c r="O902" s="12"/>
      <c r="P902" s="12"/>
      <c r="Q902" s="12"/>
      <c r="R902" s="359"/>
      <c r="S902" s="12"/>
      <c r="T902" s="12"/>
      <c r="U902" s="12"/>
      <c r="V902" s="12"/>
      <c r="W902" s="12"/>
      <c r="X902" s="12"/>
      <c r="Y902" s="12"/>
      <c r="Z902" s="359"/>
      <c r="AA902" s="12"/>
      <c r="AB902" s="12"/>
      <c r="AC902" s="12"/>
    </row>
    <row r="903" ht="15.75" customHeight="1">
      <c r="A903" s="12"/>
      <c r="B903" s="12"/>
      <c r="C903" s="12"/>
      <c r="D903" s="12"/>
      <c r="E903" s="12"/>
      <c r="F903" s="12"/>
      <c r="G903" s="12"/>
      <c r="H903" s="12"/>
      <c r="I903" s="12"/>
      <c r="J903" s="359"/>
      <c r="K903" s="12"/>
      <c r="L903" s="12"/>
      <c r="M903" s="12"/>
      <c r="N903" s="12"/>
      <c r="O903" s="12"/>
      <c r="P903" s="12"/>
      <c r="Q903" s="12"/>
      <c r="R903" s="359"/>
      <c r="S903" s="12"/>
      <c r="T903" s="12"/>
      <c r="U903" s="12"/>
      <c r="V903" s="12"/>
      <c r="W903" s="12"/>
      <c r="X903" s="12"/>
      <c r="Y903" s="12"/>
      <c r="Z903" s="359"/>
      <c r="AA903" s="12"/>
      <c r="AB903" s="12"/>
      <c r="AC903" s="12"/>
    </row>
    <row r="904" ht="15.75" customHeight="1">
      <c r="A904" s="12"/>
      <c r="B904" s="12"/>
      <c r="C904" s="12"/>
      <c r="D904" s="12"/>
      <c r="E904" s="12"/>
      <c r="F904" s="12"/>
      <c r="G904" s="12"/>
      <c r="H904" s="12"/>
      <c r="I904" s="12"/>
      <c r="J904" s="359"/>
      <c r="K904" s="12"/>
      <c r="L904" s="12"/>
      <c r="M904" s="12"/>
      <c r="N904" s="12"/>
      <c r="O904" s="12"/>
      <c r="P904" s="12"/>
      <c r="Q904" s="12"/>
      <c r="R904" s="359"/>
      <c r="S904" s="12"/>
      <c r="T904" s="12"/>
      <c r="U904" s="12"/>
      <c r="V904" s="12"/>
      <c r="W904" s="12"/>
      <c r="X904" s="12"/>
      <c r="Y904" s="12"/>
      <c r="Z904" s="359"/>
      <c r="AA904" s="12"/>
      <c r="AB904" s="12"/>
      <c r="AC904" s="12"/>
    </row>
    <row r="905" ht="15.75" customHeight="1">
      <c r="A905" s="12"/>
      <c r="B905" s="12"/>
      <c r="C905" s="12"/>
      <c r="D905" s="12"/>
      <c r="E905" s="12"/>
      <c r="F905" s="12"/>
      <c r="G905" s="12"/>
      <c r="H905" s="12"/>
      <c r="I905" s="12"/>
      <c r="J905" s="359"/>
      <c r="K905" s="12"/>
      <c r="L905" s="12"/>
      <c r="M905" s="12"/>
      <c r="N905" s="12"/>
      <c r="O905" s="12"/>
      <c r="P905" s="12"/>
      <c r="Q905" s="12"/>
      <c r="R905" s="359"/>
      <c r="S905" s="12"/>
      <c r="T905" s="12"/>
      <c r="U905" s="12"/>
      <c r="V905" s="12"/>
      <c r="W905" s="12"/>
      <c r="X905" s="12"/>
      <c r="Y905" s="12"/>
      <c r="Z905" s="359"/>
      <c r="AA905" s="12"/>
      <c r="AB905" s="12"/>
      <c r="AC905" s="12"/>
    </row>
    <row r="906" ht="15.75" customHeight="1">
      <c r="A906" s="12"/>
      <c r="B906" s="12"/>
      <c r="C906" s="12"/>
      <c r="D906" s="12"/>
      <c r="E906" s="12"/>
      <c r="F906" s="12"/>
      <c r="G906" s="12"/>
      <c r="H906" s="12"/>
      <c r="I906" s="12"/>
      <c r="J906" s="359"/>
      <c r="K906" s="12"/>
      <c r="L906" s="12"/>
      <c r="M906" s="12"/>
      <c r="N906" s="12"/>
      <c r="O906" s="12"/>
      <c r="P906" s="12"/>
      <c r="Q906" s="12"/>
      <c r="R906" s="359"/>
      <c r="S906" s="12"/>
      <c r="T906" s="12"/>
      <c r="U906" s="12"/>
      <c r="V906" s="12"/>
      <c r="W906" s="12"/>
      <c r="X906" s="12"/>
      <c r="Y906" s="12"/>
      <c r="Z906" s="359"/>
      <c r="AA906" s="12"/>
      <c r="AB906" s="12"/>
      <c r="AC906" s="12"/>
    </row>
    <row r="907" ht="15.75" customHeight="1">
      <c r="A907" s="12"/>
      <c r="B907" s="12"/>
      <c r="C907" s="12"/>
      <c r="D907" s="12"/>
      <c r="E907" s="12"/>
      <c r="F907" s="12"/>
      <c r="G907" s="12"/>
      <c r="H907" s="12"/>
      <c r="I907" s="12"/>
      <c r="J907" s="359"/>
      <c r="K907" s="12"/>
      <c r="L907" s="12"/>
      <c r="M907" s="12"/>
      <c r="N907" s="12"/>
      <c r="O907" s="12"/>
      <c r="P907" s="12"/>
      <c r="Q907" s="12"/>
      <c r="R907" s="359"/>
      <c r="S907" s="12"/>
      <c r="T907" s="12"/>
      <c r="U907" s="12"/>
      <c r="V907" s="12"/>
      <c r="W907" s="12"/>
      <c r="X907" s="12"/>
      <c r="Y907" s="12"/>
      <c r="Z907" s="359"/>
      <c r="AA907" s="12"/>
      <c r="AB907" s="12"/>
      <c r="AC907" s="12"/>
    </row>
    <row r="908" ht="15.75" customHeight="1">
      <c r="A908" s="12"/>
      <c r="B908" s="12"/>
      <c r="C908" s="12"/>
      <c r="D908" s="12"/>
      <c r="E908" s="12"/>
      <c r="F908" s="12"/>
      <c r="G908" s="12"/>
      <c r="H908" s="12"/>
      <c r="I908" s="12"/>
      <c r="J908" s="359"/>
      <c r="K908" s="12"/>
      <c r="L908" s="12"/>
      <c r="M908" s="12"/>
      <c r="N908" s="12"/>
      <c r="O908" s="12"/>
      <c r="P908" s="12"/>
      <c r="Q908" s="12"/>
      <c r="R908" s="359"/>
      <c r="S908" s="12"/>
      <c r="T908" s="12"/>
      <c r="U908" s="12"/>
      <c r="V908" s="12"/>
      <c r="W908" s="12"/>
      <c r="X908" s="12"/>
      <c r="Y908" s="12"/>
      <c r="Z908" s="359"/>
      <c r="AA908" s="12"/>
      <c r="AB908" s="12"/>
      <c r="AC908" s="12"/>
    </row>
    <row r="909" ht="15.75" customHeight="1">
      <c r="A909" s="12"/>
      <c r="B909" s="12"/>
      <c r="C909" s="12"/>
      <c r="D909" s="12"/>
      <c r="E909" s="12"/>
      <c r="F909" s="12"/>
      <c r="G909" s="12"/>
      <c r="H909" s="12"/>
      <c r="I909" s="12"/>
      <c r="J909" s="359"/>
      <c r="K909" s="12"/>
      <c r="L909" s="12"/>
      <c r="M909" s="12"/>
      <c r="N909" s="12"/>
      <c r="O909" s="12"/>
      <c r="P909" s="12"/>
      <c r="Q909" s="12"/>
      <c r="R909" s="359"/>
      <c r="S909" s="12"/>
      <c r="T909" s="12"/>
      <c r="U909" s="12"/>
      <c r="V909" s="12"/>
      <c r="W909" s="12"/>
      <c r="X909" s="12"/>
      <c r="Y909" s="12"/>
      <c r="Z909" s="359"/>
      <c r="AA909" s="12"/>
      <c r="AB909" s="12"/>
      <c r="AC909" s="12"/>
    </row>
    <row r="910" ht="15.75" customHeight="1">
      <c r="A910" s="12"/>
      <c r="B910" s="12"/>
      <c r="C910" s="12"/>
      <c r="D910" s="12"/>
      <c r="E910" s="12"/>
      <c r="F910" s="12"/>
      <c r="G910" s="12"/>
      <c r="H910" s="12"/>
      <c r="I910" s="12"/>
      <c r="J910" s="359"/>
      <c r="K910" s="12"/>
      <c r="L910" s="12"/>
      <c r="M910" s="12"/>
      <c r="N910" s="12"/>
      <c r="O910" s="12"/>
      <c r="P910" s="12"/>
      <c r="Q910" s="12"/>
      <c r="R910" s="359"/>
      <c r="S910" s="12"/>
      <c r="T910" s="12"/>
      <c r="U910" s="12"/>
      <c r="V910" s="12"/>
      <c r="W910" s="12"/>
      <c r="X910" s="12"/>
      <c r="Y910" s="12"/>
      <c r="Z910" s="359"/>
      <c r="AA910" s="12"/>
      <c r="AB910" s="12"/>
      <c r="AC910" s="12"/>
    </row>
    <row r="911" ht="15.75" customHeight="1">
      <c r="A911" s="12"/>
      <c r="B911" s="12"/>
      <c r="C911" s="12"/>
      <c r="D911" s="12"/>
      <c r="E911" s="12"/>
      <c r="F911" s="12"/>
      <c r="G911" s="12"/>
      <c r="H911" s="12"/>
      <c r="I911" s="12"/>
      <c r="J911" s="359"/>
      <c r="K911" s="12"/>
      <c r="L911" s="12"/>
      <c r="M911" s="12"/>
      <c r="N911" s="12"/>
      <c r="O911" s="12"/>
      <c r="P911" s="12"/>
      <c r="Q911" s="12"/>
      <c r="R911" s="359"/>
      <c r="S911" s="12"/>
      <c r="T911" s="12"/>
      <c r="U911" s="12"/>
      <c r="V911" s="12"/>
      <c r="W911" s="12"/>
      <c r="X911" s="12"/>
      <c r="Y911" s="12"/>
      <c r="Z911" s="359"/>
      <c r="AA911" s="12"/>
      <c r="AB911" s="12"/>
      <c r="AC911" s="12"/>
    </row>
    <row r="912" ht="15.75" customHeight="1">
      <c r="A912" s="12"/>
      <c r="B912" s="12"/>
      <c r="C912" s="12"/>
      <c r="D912" s="12"/>
      <c r="E912" s="12"/>
      <c r="F912" s="12"/>
      <c r="G912" s="12"/>
      <c r="H912" s="12"/>
      <c r="I912" s="12"/>
      <c r="J912" s="359"/>
      <c r="K912" s="12"/>
      <c r="L912" s="12"/>
      <c r="M912" s="12"/>
      <c r="N912" s="12"/>
      <c r="O912" s="12"/>
      <c r="P912" s="12"/>
      <c r="Q912" s="12"/>
      <c r="R912" s="359"/>
      <c r="S912" s="12"/>
      <c r="T912" s="12"/>
      <c r="U912" s="12"/>
      <c r="V912" s="12"/>
      <c r="W912" s="12"/>
      <c r="X912" s="12"/>
      <c r="Y912" s="12"/>
      <c r="Z912" s="359"/>
      <c r="AA912" s="12"/>
      <c r="AB912" s="12"/>
      <c r="AC912" s="12"/>
    </row>
    <row r="913" ht="15.75" customHeight="1">
      <c r="A913" s="12"/>
      <c r="B913" s="12"/>
      <c r="C913" s="12"/>
      <c r="D913" s="12"/>
      <c r="E913" s="12"/>
      <c r="F913" s="12"/>
      <c r="G913" s="12"/>
      <c r="H913" s="12"/>
      <c r="I913" s="12"/>
      <c r="J913" s="359"/>
      <c r="K913" s="12"/>
      <c r="L913" s="12"/>
      <c r="M913" s="12"/>
      <c r="N913" s="12"/>
      <c r="O913" s="12"/>
      <c r="P913" s="12"/>
      <c r="Q913" s="12"/>
      <c r="R913" s="359"/>
      <c r="S913" s="12"/>
      <c r="T913" s="12"/>
      <c r="U913" s="12"/>
      <c r="V913" s="12"/>
      <c r="W913" s="12"/>
      <c r="X913" s="12"/>
      <c r="Y913" s="12"/>
      <c r="Z913" s="359"/>
      <c r="AA913" s="12"/>
      <c r="AB913" s="12"/>
      <c r="AC913" s="12"/>
    </row>
    <row r="914" ht="15.75" customHeight="1">
      <c r="A914" s="12"/>
      <c r="B914" s="12"/>
      <c r="C914" s="12"/>
      <c r="D914" s="12"/>
      <c r="E914" s="12"/>
      <c r="F914" s="12"/>
      <c r="G914" s="12"/>
      <c r="H914" s="12"/>
      <c r="I914" s="12"/>
      <c r="J914" s="359"/>
      <c r="K914" s="12"/>
      <c r="L914" s="12"/>
      <c r="M914" s="12"/>
      <c r="N914" s="12"/>
      <c r="O914" s="12"/>
      <c r="P914" s="12"/>
      <c r="Q914" s="12"/>
      <c r="R914" s="359"/>
      <c r="S914" s="12"/>
      <c r="T914" s="12"/>
      <c r="U914" s="12"/>
      <c r="V914" s="12"/>
      <c r="W914" s="12"/>
      <c r="X914" s="12"/>
      <c r="Y914" s="12"/>
      <c r="Z914" s="359"/>
      <c r="AA914" s="12"/>
      <c r="AB914" s="12"/>
      <c r="AC914" s="12"/>
    </row>
    <row r="915" ht="15.75" customHeight="1">
      <c r="A915" s="12"/>
      <c r="B915" s="12"/>
      <c r="C915" s="12"/>
      <c r="D915" s="12"/>
      <c r="E915" s="12"/>
      <c r="F915" s="12"/>
      <c r="G915" s="12"/>
      <c r="H915" s="12"/>
      <c r="I915" s="12"/>
      <c r="J915" s="359"/>
      <c r="K915" s="12"/>
      <c r="L915" s="12"/>
      <c r="M915" s="12"/>
      <c r="N915" s="12"/>
      <c r="O915" s="12"/>
      <c r="P915" s="12"/>
      <c r="Q915" s="12"/>
      <c r="R915" s="359"/>
      <c r="S915" s="12"/>
      <c r="T915" s="12"/>
      <c r="U915" s="12"/>
      <c r="V915" s="12"/>
      <c r="W915" s="12"/>
      <c r="X915" s="12"/>
      <c r="Y915" s="12"/>
      <c r="Z915" s="359"/>
      <c r="AA915" s="12"/>
      <c r="AB915" s="12"/>
      <c r="AC915" s="12"/>
    </row>
    <row r="916" ht="15.75" customHeight="1">
      <c r="A916" s="12"/>
      <c r="B916" s="12"/>
      <c r="C916" s="12"/>
      <c r="D916" s="12"/>
      <c r="E916" s="12"/>
      <c r="F916" s="12"/>
      <c r="G916" s="12"/>
      <c r="H916" s="12"/>
      <c r="I916" s="12"/>
      <c r="J916" s="359"/>
      <c r="K916" s="12"/>
      <c r="L916" s="12"/>
      <c r="M916" s="12"/>
      <c r="N916" s="12"/>
      <c r="O916" s="12"/>
      <c r="P916" s="12"/>
      <c r="Q916" s="12"/>
      <c r="R916" s="359"/>
      <c r="S916" s="12"/>
      <c r="T916" s="12"/>
      <c r="U916" s="12"/>
      <c r="V916" s="12"/>
      <c r="W916" s="12"/>
      <c r="X916" s="12"/>
      <c r="Y916" s="12"/>
      <c r="Z916" s="359"/>
      <c r="AA916" s="12"/>
      <c r="AB916" s="12"/>
      <c r="AC916" s="12"/>
    </row>
    <row r="917" ht="15.75" customHeight="1">
      <c r="A917" s="12"/>
      <c r="B917" s="12"/>
      <c r="C917" s="12"/>
      <c r="D917" s="12"/>
      <c r="E917" s="12"/>
      <c r="F917" s="12"/>
      <c r="G917" s="12"/>
      <c r="H917" s="12"/>
      <c r="I917" s="12"/>
      <c r="J917" s="359"/>
      <c r="K917" s="12"/>
      <c r="L917" s="12"/>
      <c r="M917" s="12"/>
      <c r="N917" s="12"/>
      <c r="O917" s="12"/>
      <c r="P917" s="12"/>
      <c r="Q917" s="12"/>
      <c r="R917" s="359"/>
      <c r="S917" s="12"/>
      <c r="T917" s="12"/>
      <c r="U917" s="12"/>
      <c r="V917" s="12"/>
      <c r="W917" s="12"/>
      <c r="X917" s="12"/>
      <c r="Y917" s="12"/>
      <c r="Z917" s="359"/>
      <c r="AA917" s="12"/>
      <c r="AB917" s="12"/>
      <c r="AC917" s="12"/>
    </row>
    <row r="918" ht="15.75" customHeight="1">
      <c r="A918" s="12"/>
      <c r="B918" s="12"/>
      <c r="C918" s="12"/>
      <c r="D918" s="12"/>
      <c r="E918" s="12"/>
      <c r="F918" s="12"/>
      <c r="G918" s="12"/>
      <c r="H918" s="12"/>
      <c r="I918" s="12"/>
      <c r="J918" s="359"/>
      <c r="K918" s="12"/>
      <c r="L918" s="12"/>
      <c r="M918" s="12"/>
      <c r="N918" s="12"/>
      <c r="O918" s="12"/>
      <c r="P918" s="12"/>
      <c r="Q918" s="12"/>
      <c r="R918" s="359"/>
      <c r="S918" s="12"/>
      <c r="T918" s="12"/>
      <c r="U918" s="12"/>
      <c r="V918" s="12"/>
      <c r="W918" s="12"/>
      <c r="X918" s="12"/>
      <c r="Y918" s="12"/>
      <c r="Z918" s="359"/>
      <c r="AA918" s="12"/>
      <c r="AB918" s="12"/>
      <c r="AC918" s="12"/>
    </row>
    <row r="919" ht="15.75" customHeight="1">
      <c r="A919" s="12"/>
      <c r="B919" s="12"/>
      <c r="C919" s="12"/>
      <c r="D919" s="12"/>
      <c r="E919" s="12"/>
      <c r="F919" s="12"/>
      <c r="G919" s="12"/>
      <c r="H919" s="12"/>
      <c r="I919" s="12"/>
      <c r="J919" s="359"/>
      <c r="K919" s="12"/>
      <c r="L919" s="12"/>
      <c r="M919" s="12"/>
      <c r="N919" s="12"/>
      <c r="O919" s="12"/>
      <c r="P919" s="12"/>
      <c r="Q919" s="12"/>
      <c r="R919" s="359"/>
      <c r="S919" s="12"/>
      <c r="T919" s="12"/>
      <c r="U919" s="12"/>
      <c r="V919" s="12"/>
      <c r="W919" s="12"/>
      <c r="X919" s="12"/>
      <c r="Y919" s="12"/>
      <c r="Z919" s="359"/>
      <c r="AA919" s="12"/>
      <c r="AB919" s="12"/>
      <c r="AC919" s="12"/>
    </row>
    <row r="920" ht="15.75" customHeight="1">
      <c r="A920" s="12"/>
      <c r="B920" s="12"/>
      <c r="C920" s="12"/>
      <c r="D920" s="12"/>
      <c r="E920" s="12"/>
      <c r="F920" s="12"/>
      <c r="G920" s="12"/>
      <c r="H920" s="12"/>
      <c r="I920" s="12"/>
      <c r="J920" s="359"/>
      <c r="K920" s="12"/>
      <c r="L920" s="12"/>
      <c r="M920" s="12"/>
      <c r="N920" s="12"/>
      <c r="O920" s="12"/>
      <c r="P920" s="12"/>
      <c r="Q920" s="12"/>
      <c r="R920" s="359"/>
      <c r="S920" s="12"/>
      <c r="T920" s="12"/>
      <c r="U920" s="12"/>
      <c r="V920" s="12"/>
      <c r="W920" s="12"/>
      <c r="X920" s="12"/>
      <c r="Y920" s="12"/>
      <c r="Z920" s="359"/>
      <c r="AA920" s="12"/>
      <c r="AB920" s="12"/>
      <c r="AC920" s="12"/>
    </row>
    <row r="921" ht="15.75" customHeight="1">
      <c r="A921" s="12"/>
      <c r="B921" s="12"/>
      <c r="C921" s="12"/>
      <c r="D921" s="12"/>
      <c r="E921" s="12"/>
      <c r="F921" s="12"/>
      <c r="G921" s="12"/>
      <c r="H921" s="12"/>
      <c r="I921" s="12"/>
      <c r="J921" s="359"/>
      <c r="K921" s="12"/>
      <c r="L921" s="12"/>
      <c r="M921" s="12"/>
      <c r="N921" s="12"/>
      <c r="O921" s="12"/>
      <c r="P921" s="12"/>
      <c r="Q921" s="12"/>
      <c r="R921" s="359"/>
      <c r="S921" s="12"/>
      <c r="T921" s="12"/>
      <c r="U921" s="12"/>
      <c r="V921" s="12"/>
      <c r="W921" s="12"/>
      <c r="X921" s="12"/>
      <c r="Y921" s="12"/>
      <c r="Z921" s="359"/>
      <c r="AA921" s="12"/>
      <c r="AB921" s="12"/>
      <c r="AC921" s="12"/>
    </row>
    <row r="922" ht="15.75" customHeight="1">
      <c r="A922" s="12"/>
      <c r="B922" s="12"/>
      <c r="C922" s="12"/>
      <c r="D922" s="12"/>
      <c r="E922" s="12"/>
      <c r="F922" s="12"/>
      <c r="G922" s="12"/>
      <c r="H922" s="12"/>
      <c r="I922" s="12"/>
      <c r="J922" s="359"/>
      <c r="K922" s="12"/>
      <c r="L922" s="12"/>
      <c r="M922" s="12"/>
      <c r="N922" s="12"/>
      <c r="O922" s="12"/>
      <c r="P922" s="12"/>
      <c r="Q922" s="12"/>
      <c r="R922" s="359"/>
      <c r="S922" s="12"/>
      <c r="T922" s="12"/>
      <c r="U922" s="12"/>
      <c r="V922" s="12"/>
      <c r="W922" s="12"/>
      <c r="X922" s="12"/>
      <c r="Y922" s="12"/>
      <c r="Z922" s="359"/>
      <c r="AA922" s="12"/>
      <c r="AB922" s="12"/>
      <c r="AC922" s="12"/>
    </row>
    <row r="923" ht="15.75" customHeight="1">
      <c r="A923" s="12"/>
      <c r="B923" s="12"/>
      <c r="C923" s="12"/>
      <c r="D923" s="12"/>
      <c r="E923" s="12"/>
      <c r="F923" s="12"/>
      <c r="G923" s="12"/>
      <c r="H923" s="12"/>
      <c r="I923" s="12"/>
      <c r="J923" s="359"/>
      <c r="K923" s="12"/>
      <c r="L923" s="12"/>
      <c r="M923" s="12"/>
      <c r="N923" s="12"/>
      <c r="O923" s="12"/>
      <c r="P923" s="12"/>
      <c r="Q923" s="12"/>
      <c r="R923" s="359"/>
      <c r="S923" s="12"/>
      <c r="T923" s="12"/>
      <c r="U923" s="12"/>
      <c r="V923" s="12"/>
      <c r="W923" s="12"/>
      <c r="X923" s="12"/>
      <c r="Y923" s="12"/>
      <c r="Z923" s="359"/>
      <c r="AA923" s="12"/>
      <c r="AB923" s="12"/>
      <c r="AC923" s="12"/>
    </row>
    <row r="924" ht="15.75" customHeight="1">
      <c r="A924" s="12"/>
      <c r="B924" s="12"/>
      <c r="C924" s="12"/>
      <c r="D924" s="12"/>
      <c r="E924" s="12"/>
      <c r="F924" s="12"/>
      <c r="G924" s="12"/>
      <c r="H924" s="12"/>
      <c r="I924" s="12"/>
      <c r="J924" s="359"/>
      <c r="K924" s="12"/>
      <c r="L924" s="12"/>
      <c r="M924" s="12"/>
      <c r="N924" s="12"/>
      <c r="O924" s="12"/>
      <c r="P924" s="12"/>
      <c r="Q924" s="12"/>
      <c r="R924" s="359"/>
      <c r="S924" s="12"/>
      <c r="T924" s="12"/>
      <c r="U924" s="12"/>
      <c r="V924" s="12"/>
      <c r="W924" s="12"/>
      <c r="X924" s="12"/>
      <c r="Y924" s="12"/>
      <c r="Z924" s="359"/>
      <c r="AA924" s="12"/>
      <c r="AB924" s="12"/>
      <c r="AC924" s="12"/>
    </row>
    <row r="925" ht="15.75" customHeight="1">
      <c r="A925" s="12"/>
      <c r="B925" s="12"/>
      <c r="C925" s="12"/>
      <c r="D925" s="12"/>
      <c r="E925" s="12"/>
      <c r="F925" s="12"/>
      <c r="G925" s="12"/>
      <c r="H925" s="12"/>
      <c r="I925" s="12"/>
      <c r="J925" s="359"/>
      <c r="K925" s="12"/>
      <c r="L925" s="12"/>
      <c r="M925" s="12"/>
      <c r="N925" s="12"/>
      <c r="O925" s="12"/>
      <c r="P925" s="12"/>
      <c r="Q925" s="12"/>
      <c r="R925" s="359"/>
      <c r="S925" s="12"/>
      <c r="T925" s="12"/>
      <c r="U925" s="12"/>
      <c r="V925" s="12"/>
      <c r="W925" s="12"/>
      <c r="X925" s="12"/>
      <c r="Y925" s="12"/>
      <c r="Z925" s="359"/>
      <c r="AA925" s="12"/>
      <c r="AB925" s="12"/>
      <c r="AC925" s="12"/>
    </row>
    <row r="926" ht="15.75" customHeight="1">
      <c r="A926" s="12"/>
      <c r="B926" s="12"/>
      <c r="C926" s="12"/>
      <c r="D926" s="12"/>
      <c r="E926" s="12"/>
      <c r="F926" s="12"/>
      <c r="G926" s="12"/>
      <c r="H926" s="12"/>
      <c r="I926" s="12"/>
      <c r="J926" s="359"/>
      <c r="K926" s="12"/>
      <c r="L926" s="12"/>
      <c r="M926" s="12"/>
      <c r="N926" s="12"/>
      <c r="O926" s="12"/>
      <c r="P926" s="12"/>
      <c r="Q926" s="12"/>
      <c r="R926" s="359"/>
      <c r="S926" s="12"/>
      <c r="T926" s="12"/>
      <c r="U926" s="12"/>
      <c r="V926" s="12"/>
      <c r="W926" s="12"/>
      <c r="X926" s="12"/>
      <c r="Y926" s="12"/>
      <c r="Z926" s="359"/>
      <c r="AA926" s="12"/>
      <c r="AB926" s="12"/>
      <c r="AC926" s="12"/>
    </row>
    <row r="927" ht="15.75" customHeight="1">
      <c r="A927" s="12"/>
      <c r="B927" s="12"/>
      <c r="C927" s="12"/>
      <c r="D927" s="12"/>
      <c r="E927" s="12"/>
      <c r="F927" s="12"/>
      <c r="G927" s="12"/>
      <c r="H927" s="12"/>
      <c r="I927" s="12"/>
      <c r="J927" s="359"/>
      <c r="K927" s="12"/>
      <c r="L927" s="12"/>
      <c r="M927" s="12"/>
      <c r="N927" s="12"/>
      <c r="O927" s="12"/>
      <c r="P927" s="12"/>
      <c r="Q927" s="12"/>
      <c r="R927" s="359"/>
      <c r="S927" s="12"/>
      <c r="T927" s="12"/>
      <c r="U927" s="12"/>
      <c r="V927" s="12"/>
      <c r="W927" s="12"/>
      <c r="X927" s="12"/>
      <c r="Y927" s="12"/>
      <c r="Z927" s="359"/>
      <c r="AA927" s="12"/>
      <c r="AB927" s="12"/>
      <c r="AC927" s="12"/>
    </row>
    <row r="928" ht="15.75" customHeight="1">
      <c r="A928" s="12"/>
      <c r="B928" s="12"/>
      <c r="C928" s="12"/>
      <c r="D928" s="12"/>
      <c r="E928" s="12"/>
      <c r="F928" s="12"/>
      <c r="G928" s="12"/>
      <c r="H928" s="12"/>
      <c r="I928" s="12"/>
      <c r="J928" s="359"/>
      <c r="K928" s="12"/>
      <c r="L928" s="12"/>
      <c r="M928" s="12"/>
      <c r="N928" s="12"/>
      <c r="O928" s="12"/>
      <c r="P928" s="12"/>
      <c r="Q928" s="12"/>
      <c r="R928" s="359"/>
      <c r="S928" s="12"/>
      <c r="T928" s="12"/>
      <c r="U928" s="12"/>
      <c r="V928" s="12"/>
      <c r="W928" s="12"/>
      <c r="X928" s="12"/>
      <c r="Y928" s="12"/>
      <c r="Z928" s="359"/>
      <c r="AA928" s="12"/>
      <c r="AB928" s="12"/>
      <c r="AC928" s="12"/>
    </row>
    <row r="929" ht="15.75" customHeight="1">
      <c r="A929" s="12"/>
      <c r="B929" s="12"/>
      <c r="C929" s="12"/>
      <c r="D929" s="12"/>
      <c r="E929" s="12"/>
      <c r="F929" s="12"/>
      <c r="G929" s="12"/>
      <c r="H929" s="12"/>
      <c r="I929" s="12"/>
      <c r="J929" s="359"/>
      <c r="K929" s="12"/>
      <c r="L929" s="12"/>
      <c r="M929" s="12"/>
      <c r="N929" s="12"/>
      <c r="O929" s="12"/>
      <c r="P929" s="12"/>
      <c r="Q929" s="12"/>
      <c r="R929" s="359"/>
      <c r="S929" s="12"/>
      <c r="T929" s="12"/>
      <c r="U929" s="12"/>
      <c r="V929" s="12"/>
      <c r="W929" s="12"/>
      <c r="X929" s="12"/>
      <c r="Y929" s="12"/>
      <c r="Z929" s="359"/>
      <c r="AA929" s="12"/>
      <c r="AB929" s="12"/>
      <c r="AC929" s="12"/>
    </row>
    <row r="930" ht="15.75" customHeight="1">
      <c r="A930" s="12"/>
      <c r="B930" s="12"/>
      <c r="C930" s="12"/>
      <c r="D930" s="12"/>
      <c r="E930" s="12"/>
      <c r="F930" s="12"/>
      <c r="G930" s="12"/>
      <c r="H930" s="12"/>
      <c r="I930" s="12"/>
      <c r="J930" s="359"/>
      <c r="K930" s="12"/>
      <c r="L930" s="12"/>
      <c r="M930" s="12"/>
      <c r="N930" s="12"/>
      <c r="O930" s="12"/>
      <c r="P930" s="12"/>
      <c r="Q930" s="12"/>
      <c r="R930" s="359"/>
      <c r="S930" s="12"/>
      <c r="T930" s="12"/>
      <c r="U930" s="12"/>
      <c r="V930" s="12"/>
      <c r="W930" s="12"/>
      <c r="X930" s="12"/>
      <c r="Y930" s="12"/>
      <c r="Z930" s="359"/>
      <c r="AA930" s="12"/>
      <c r="AB930" s="12"/>
      <c r="AC930" s="12"/>
    </row>
    <row r="931" ht="15.75" customHeight="1">
      <c r="A931" s="12"/>
      <c r="B931" s="12"/>
      <c r="C931" s="12"/>
      <c r="D931" s="12"/>
      <c r="E931" s="12"/>
      <c r="F931" s="12"/>
      <c r="G931" s="12"/>
      <c r="H931" s="12"/>
      <c r="I931" s="12"/>
      <c r="J931" s="359"/>
      <c r="K931" s="12"/>
      <c r="L931" s="12"/>
      <c r="M931" s="12"/>
      <c r="N931" s="12"/>
      <c r="O931" s="12"/>
      <c r="P931" s="12"/>
      <c r="Q931" s="12"/>
      <c r="R931" s="359"/>
      <c r="S931" s="12"/>
      <c r="T931" s="12"/>
      <c r="U931" s="12"/>
      <c r="V931" s="12"/>
      <c r="W931" s="12"/>
      <c r="X931" s="12"/>
      <c r="Y931" s="12"/>
      <c r="Z931" s="359"/>
      <c r="AA931" s="12"/>
      <c r="AB931" s="12"/>
      <c r="AC931" s="12"/>
    </row>
    <row r="932" ht="15.75" customHeight="1">
      <c r="A932" s="12"/>
      <c r="B932" s="12"/>
      <c r="C932" s="12"/>
      <c r="D932" s="12"/>
      <c r="E932" s="12"/>
      <c r="F932" s="12"/>
      <c r="G932" s="12"/>
      <c r="H932" s="12"/>
      <c r="I932" s="12"/>
      <c r="J932" s="359"/>
      <c r="K932" s="12"/>
      <c r="L932" s="12"/>
      <c r="M932" s="12"/>
      <c r="N932" s="12"/>
      <c r="O932" s="12"/>
      <c r="P932" s="12"/>
      <c r="Q932" s="12"/>
      <c r="R932" s="359"/>
      <c r="S932" s="12"/>
      <c r="T932" s="12"/>
      <c r="U932" s="12"/>
      <c r="V932" s="12"/>
      <c r="W932" s="12"/>
      <c r="X932" s="12"/>
      <c r="Y932" s="12"/>
      <c r="Z932" s="359"/>
      <c r="AA932" s="12"/>
      <c r="AB932" s="12"/>
      <c r="AC932" s="12"/>
    </row>
    <row r="933" ht="15.75" customHeight="1">
      <c r="A933" s="12"/>
      <c r="B933" s="12"/>
      <c r="C933" s="12"/>
      <c r="D933" s="12"/>
      <c r="E933" s="12"/>
      <c r="F933" s="12"/>
      <c r="G933" s="12"/>
      <c r="H933" s="12"/>
      <c r="I933" s="12"/>
      <c r="J933" s="359"/>
      <c r="K933" s="12"/>
      <c r="L933" s="12"/>
      <c r="M933" s="12"/>
      <c r="N933" s="12"/>
      <c r="O933" s="12"/>
      <c r="P933" s="12"/>
      <c r="Q933" s="12"/>
      <c r="R933" s="359"/>
      <c r="S933" s="12"/>
      <c r="T933" s="12"/>
      <c r="U933" s="12"/>
      <c r="V933" s="12"/>
      <c r="W933" s="12"/>
      <c r="X933" s="12"/>
      <c r="Y933" s="12"/>
      <c r="Z933" s="359"/>
      <c r="AA933" s="12"/>
      <c r="AB933" s="12"/>
      <c r="AC933" s="12"/>
    </row>
    <row r="934" ht="15.75" customHeight="1">
      <c r="A934" s="12"/>
      <c r="B934" s="12"/>
      <c r="C934" s="12"/>
      <c r="D934" s="12"/>
      <c r="E934" s="12"/>
      <c r="F934" s="12"/>
      <c r="G934" s="12"/>
      <c r="H934" s="12"/>
      <c r="I934" s="12"/>
      <c r="J934" s="359"/>
      <c r="K934" s="12"/>
      <c r="L934" s="12"/>
      <c r="M934" s="12"/>
      <c r="N934" s="12"/>
      <c r="O934" s="12"/>
      <c r="P934" s="12"/>
      <c r="Q934" s="12"/>
      <c r="R934" s="359"/>
      <c r="S934" s="12"/>
      <c r="T934" s="12"/>
      <c r="U934" s="12"/>
      <c r="V934" s="12"/>
      <c r="W934" s="12"/>
      <c r="X934" s="12"/>
      <c r="Y934" s="12"/>
      <c r="Z934" s="359"/>
      <c r="AA934" s="12"/>
      <c r="AB934" s="12"/>
      <c r="AC934" s="12"/>
    </row>
    <row r="935" ht="15.75" customHeight="1">
      <c r="A935" s="12"/>
      <c r="B935" s="12"/>
      <c r="C935" s="12"/>
      <c r="D935" s="12"/>
      <c r="E935" s="12"/>
      <c r="F935" s="12"/>
      <c r="G935" s="12"/>
      <c r="H935" s="12"/>
      <c r="I935" s="12"/>
      <c r="J935" s="359"/>
      <c r="K935" s="12"/>
      <c r="L935" s="12"/>
      <c r="M935" s="12"/>
      <c r="N935" s="12"/>
      <c r="O935" s="12"/>
      <c r="P935" s="12"/>
      <c r="Q935" s="12"/>
      <c r="R935" s="359"/>
      <c r="S935" s="12"/>
      <c r="T935" s="12"/>
      <c r="U935" s="12"/>
      <c r="V935" s="12"/>
      <c r="W935" s="12"/>
      <c r="X935" s="12"/>
      <c r="Y935" s="12"/>
      <c r="Z935" s="359"/>
      <c r="AA935" s="12"/>
      <c r="AB935" s="12"/>
      <c r="AC935" s="12"/>
    </row>
    <row r="936" ht="15.75" customHeight="1">
      <c r="A936" s="12"/>
      <c r="B936" s="12"/>
      <c r="C936" s="12"/>
      <c r="D936" s="12"/>
      <c r="E936" s="12"/>
      <c r="F936" s="12"/>
      <c r="G936" s="12"/>
      <c r="H936" s="12"/>
      <c r="I936" s="12"/>
      <c r="J936" s="359"/>
      <c r="K936" s="12"/>
      <c r="L936" s="12"/>
      <c r="M936" s="12"/>
      <c r="N936" s="12"/>
      <c r="O936" s="12"/>
      <c r="P936" s="12"/>
      <c r="Q936" s="12"/>
      <c r="R936" s="359"/>
      <c r="S936" s="12"/>
      <c r="T936" s="12"/>
      <c r="U936" s="12"/>
      <c r="V936" s="12"/>
      <c r="W936" s="12"/>
      <c r="X936" s="12"/>
      <c r="Y936" s="12"/>
      <c r="Z936" s="359"/>
      <c r="AA936" s="12"/>
      <c r="AB936" s="12"/>
      <c r="AC936" s="12"/>
    </row>
    <row r="937" ht="15.75" customHeight="1">
      <c r="A937" s="12"/>
      <c r="B937" s="12"/>
      <c r="C937" s="12"/>
      <c r="D937" s="12"/>
      <c r="E937" s="12"/>
      <c r="F937" s="12"/>
      <c r="G937" s="12"/>
      <c r="H937" s="12"/>
      <c r="I937" s="12"/>
      <c r="J937" s="359"/>
      <c r="K937" s="12"/>
      <c r="L937" s="12"/>
      <c r="M937" s="12"/>
      <c r="N937" s="12"/>
      <c r="O937" s="12"/>
      <c r="P937" s="12"/>
      <c r="Q937" s="12"/>
      <c r="R937" s="359"/>
      <c r="S937" s="12"/>
      <c r="T937" s="12"/>
      <c r="U937" s="12"/>
      <c r="V937" s="12"/>
      <c r="W937" s="12"/>
      <c r="X937" s="12"/>
      <c r="Y937" s="12"/>
      <c r="Z937" s="359"/>
      <c r="AA937" s="12"/>
      <c r="AB937" s="12"/>
      <c r="AC937" s="12"/>
    </row>
    <row r="938" ht="15.75" customHeight="1">
      <c r="A938" s="12"/>
      <c r="B938" s="12"/>
      <c r="C938" s="12"/>
      <c r="D938" s="12"/>
      <c r="E938" s="12"/>
      <c r="F938" s="12"/>
      <c r="G938" s="12"/>
      <c r="H938" s="12"/>
      <c r="I938" s="12"/>
      <c r="J938" s="359"/>
      <c r="K938" s="12"/>
      <c r="L938" s="12"/>
      <c r="M938" s="12"/>
      <c r="N938" s="12"/>
      <c r="O938" s="12"/>
      <c r="P938" s="12"/>
      <c r="Q938" s="12"/>
      <c r="R938" s="359"/>
      <c r="S938" s="12"/>
      <c r="T938" s="12"/>
      <c r="U938" s="12"/>
      <c r="V938" s="12"/>
      <c r="W938" s="12"/>
      <c r="X938" s="12"/>
      <c r="Y938" s="12"/>
      <c r="Z938" s="359"/>
      <c r="AA938" s="12"/>
      <c r="AB938" s="12"/>
      <c r="AC938" s="12"/>
    </row>
    <row r="939" ht="15.75" customHeight="1">
      <c r="A939" s="12"/>
      <c r="B939" s="12"/>
      <c r="C939" s="12"/>
      <c r="D939" s="12"/>
      <c r="E939" s="12"/>
      <c r="F939" s="12"/>
      <c r="G939" s="12"/>
      <c r="H939" s="12"/>
      <c r="I939" s="12"/>
      <c r="J939" s="359"/>
      <c r="K939" s="12"/>
      <c r="L939" s="12"/>
      <c r="M939" s="12"/>
      <c r="N939" s="12"/>
      <c r="O939" s="12"/>
      <c r="P939" s="12"/>
      <c r="Q939" s="12"/>
      <c r="R939" s="359"/>
      <c r="S939" s="12"/>
      <c r="T939" s="12"/>
      <c r="U939" s="12"/>
      <c r="V939" s="12"/>
      <c r="W939" s="12"/>
      <c r="X939" s="12"/>
      <c r="Y939" s="12"/>
      <c r="Z939" s="359"/>
      <c r="AA939" s="12"/>
      <c r="AB939" s="12"/>
      <c r="AC939" s="12"/>
    </row>
    <row r="940" ht="15.75" customHeight="1">
      <c r="A940" s="12"/>
      <c r="B940" s="12"/>
      <c r="C940" s="12"/>
      <c r="D940" s="12"/>
      <c r="E940" s="12"/>
      <c r="F940" s="12"/>
      <c r="G940" s="12"/>
      <c r="H940" s="12"/>
      <c r="I940" s="12"/>
      <c r="J940" s="359"/>
      <c r="K940" s="12"/>
      <c r="L940" s="12"/>
      <c r="M940" s="12"/>
      <c r="N940" s="12"/>
      <c r="O940" s="12"/>
      <c r="P940" s="12"/>
      <c r="Q940" s="12"/>
      <c r="R940" s="359"/>
      <c r="S940" s="12"/>
      <c r="T940" s="12"/>
      <c r="U940" s="12"/>
      <c r="V940" s="12"/>
      <c r="W940" s="12"/>
      <c r="X940" s="12"/>
      <c r="Y940" s="12"/>
      <c r="Z940" s="359"/>
      <c r="AA940" s="12"/>
      <c r="AB940" s="12"/>
      <c r="AC940" s="12"/>
    </row>
    <row r="941" ht="15.75" customHeight="1">
      <c r="A941" s="12"/>
      <c r="B941" s="12"/>
      <c r="C941" s="12"/>
      <c r="D941" s="12"/>
      <c r="E941" s="12"/>
      <c r="F941" s="12"/>
      <c r="G941" s="12"/>
      <c r="H941" s="12"/>
      <c r="I941" s="12"/>
      <c r="J941" s="359"/>
      <c r="K941" s="12"/>
      <c r="L941" s="12"/>
      <c r="M941" s="12"/>
      <c r="N941" s="12"/>
      <c r="O941" s="12"/>
      <c r="P941" s="12"/>
      <c r="Q941" s="12"/>
      <c r="R941" s="359"/>
      <c r="S941" s="12"/>
      <c r="T941" s="12"/>
      <c r="U941" s="12"/>
      <c r="V941" s="12"/>
      <c r="W941" s="12"/>
      <c r="X941" s="12"/>
      <c r="Y941" s="12"/>
      <c r="Z941" s="359"/>
      <c r="AA941" s="12"/>
      <c r="AB941" s="12"/>
      <c r="AC941" s="12"/>
    </row>
    <row r="942" ht="15.75" customHeight="1">
      <c r="A942" s="12"/>
      <c r="B942" s="12"/>
      <c r="C942" s="12"/>
      <c r="D942" s="12"/>
      <c r="E942" s="12"/>
      <c r="F942" s="12"/>
      <c r="G942" s="12"/>
      <c r="H942" s="12"/>
      <c r="I942" s="12"/>
      <c r="J942" s="359"/>
      <c r="K942" s="12"/>
      <c r="L942" s="12"/>
      <c r="M942" s="12"/>
      <c r="N942" s="12"/>
      <c r="O942" s="12"/>
      <c r="P942" s="12"/>
      <c r="Q942" s="12"/>
      <c r="R942" s="359"/>
      <c r="S942" s="12"/>
      <c r="T942" s="12"/>
      <c r="U942" s="12"/>
      <c r="V942" s="12"/>
      <c r="W942" s="12"/>
      <c r="X942" s="12"/>
      <c r="Y942" s="12"/>
      <c r="Z942" s="359"/>
      <c r="AA942" s="12"/>
      <c r="AB942" s="12"/>
      <c r="AC942" s="12"/>
    </row>
    <row r="943" ht="15.75" customHeight="1">
      <c r="A943" s="12"/>
      <c r="B943" s="12"/>
      <c r="C943" s="12"/>
      <c r="D943" s="12"/>
      <c r="E943" s="12"/>
      <c r="F943" s="12"/>
      <c r="G943" s="12"/>
      <c r="H943" s="12"/>
      <c r="I943" s="12"/>
      <c r="J943" s="359"/>
      <c r="K943" s="12"/>
      <c r="L943" s="12"/>
      <c r="M943" s="12"/>
      <c r="N943" s="12"/>
      <c r="O943" s="12"/>
      <c r="P943" s="12"/>
      <c r="Q943" s="12"/>
      <c r="R943" s="359"/>
      <c r="S943" s="12"/>
      <c r="T943" s="12"/>
      <c r="U943" s="12"/>
      <c r="V943" s="12"/>
      <c r="W943" s="12"/>
      <c r="X943" s="12"/>
      <c r="Y943" s="12"/>
      <c r="Z943" s="359"/>
      <c r="AA943" s="12"/>
      <c r="AB943" s="12"/>
      <c r="AC943" s="12"/>
    </row>
    <row r="944" ht="15.75" customHeight="1">
      <c r="A944" s="12"/>
      <c r="B944" s="12"/>
      <c r="C944" s="12"/>
      <c r="D944" s="12"/>
      <c r="E944" s="12"/>
      <c r="F944" s="12"/>
      <c r="G944" s="12"/>
      <c r="H944" s="12"/>
      <c r="I944" s="12"/>
      <c r="J944" s="359"/>
      <c r="K944" s="12"/>
      <c r="L944" s="12"/>
      <c r="M944" s="12"/>
      <c r="N944" s="12"/>
      <c r="O944" s="12"/>
      <c r="P944" s="12"/>
      <c r="Q944" s="12"/>
      <c r="R944" s="359"/>
      <c r="S944" s="12"/>
      <c r="T944" s="12"/>
      <c r="U944" s="12"/>
      <c r="V944" s="12"/>
      <c r="W944" s="12"/>
      <c r="X944" s="12"/>
      <c r="Y944" s="12"/>
      <c r="Z944" s="359"/>
      <c r="AA944" s="12"/>
      <c r="AB944" s="12"/>
      <c r="AC944" s="12"/>
    </row>
    <row r="945" ht="15.75" customHeight="1">
      <c r="A945" s="12"/>
      <c r="B945" s="12"/>
      <c r="C945" s="12"/>
      <c r="D945" s="12"/>
      <c r="E945" s="12"/>
      <c r="F945" s="12"/>
      <c r="G945" s="12"/>
      <c r="H945" s="12"/>
      <c r="I945" s="12"/>
      <c r="J945" s="359"/>
      <c r="K945" s="12"/>
      <c r="L945" s="12"/>
      <c r="M945" s="12"/>
      <c r="N945" s="12"/>
      <c r="O945" s="12"/>
      <c r="P945" s="12"/>
      <c r="Q945" s="12"/>
      <c r="R945" s="359"/>
      <c r="S945" s="12"/>
      <c r="T945" s="12"/>
      <c r="U945" s="12"/>
      <c r="V945" s="12"/>
      <c r="W945" s="12"/>
      <c r="X945" s="12"/>
      <c r="Y945" s="12"/>
      <c r="Z945" s="359"/>
      <c r="AA945" s="12"/>
      <c r="AB945" s="12"/>
      <c r="AC945" s="12"/>
    </row>
    <row r="946" ht="15.75" customHeight="1">
      <c r="A946" s="12"/>
      <c r="B946" s="12"/>
      <c r="C946" s="12"/>
      <c r="D946" s="12"/>
      <c r="E946" s="12"/>
      <c r="F946" s="12"/>
      <c r="G946" s="12"/>
      <c r="H946" s="12"/>
      <c r="I946" s="12"/>
      <c r="J946" s="359"/>
      <c r="K946" s="12"/>
      <c r="L946" s="12"/>
      <c r="M946" s="12"/>
      <c r="N946" s="12"/>
      <c r="O946" s="12"/>
      <c r="P946" s="12"/>
      <c r="Q946" s="12"/>
      <c r="R946" s="359"/>
      <c r="S946" s="12"/>
      <c r="T946" s="12"/>
      <c r="U946" s="12"/>
      <c r="V946" s="12"/>
      <c r="W946" s="12"/>
      <c r="X946" s="12"/>
      <c r="Y946" s="12"/>
      <c r="Z946" s="359"/>
      <c r="AA946" s="12"/>
      <c r="AB946" s="12"/>
      <c r="AC946" s="12"/>
    </row>
    <row r="947" ht="15.75" customHeight="1">
      <c r="A947" s="12"/>
      <c r="B947" s="12"/>
      <c r="C947" s="12"/>
      <c r="D947" s="12"/>
      <c r="E947" s="12"/>
      <c r="F947" s="12"/>
      <c r="G947" s="12"/>
      <c r="H947" s="12"/>
      <c r="I947" s="12"/>
      <c r="J947" s="359"/>
      <c r="K947" s="12"/>
      <c r="L947" s="12"/>
      <c r="M947" s="12"/>
      <c r="N947" s="12"/>
      <c r="O947" s="12"/>
      <c r="P947" s="12"/>
      <c r="Q947" s="12"/>
      <c r="R947" s="359"/>
      <c r="S947" s="12"/>
      <c r="T947" s="12"/>
      <c r="U947" s="12"/>
      <c r="V947" s="12"/>
      <c r="W947" s="12"/>
      <c r="X947" s="12"/>
      <c r="Y947" s="12"/>
      <c r="Z947" s="359"/>
      <c r="AA947" s="12"/>
      <c r="AB947" s="12"/>
      <c r="AC947" s="12"/>
    </row>
    <row r="948" ht="15.75" customHeight="1">
      <c r="A948" s="12"/>
      <c r="B948" s="12"/>
      <c r="C948" s="12"/>
      <c r="D948" s="12"/>
      <c r="E948" s="12"/>
      <c r="F948" s="12"/>
      <c r="G948" s="12"/>
      <c r="H948" s="12"/>
      <c r="I948" s="12"/>
      <c r="J948" s="359"/>
      <c r="K948" s="12"/>
      <c r="L948" s="12"/>
      <c r="M948" s="12"/>
      <c r="N948" s="12"/>
      <c r="O948" s="12"/>
      <c r="P948" s="12"/>
      <c r="Q948" s="12"/>
      <c r="R948" s="359"/>
      <c r="S948" s="12"/>
      <c r="T948" s="12"/>
      <c r="U948" s="12"/>
      <c r="V948" s="12"/>
      <c r="W948" s="12"/>
      <c r="X948" s="12"/>
      <c r="Y948" s="12"/>
      <c r="Z948" s="359"/>
      <c r="AA948" s="12"/>
      <c r="AB948" s="12"/>
      <c r="AC948" s="12"/>
    </row>
    <row r="949" ht="15.75" customHeight="1">
      <c r="A949" s="12"/>
      <c r="B949" s="12"/>
      <c r="C949" s="12"/>
      <c r="D949" s="12"/>
      <c r="E949" s="12"/>
      <c r="F949" s="12"/>
      <c r="G949" s="12"/>
      <c r="H949" s="12"/>
      <c r="I949" s="12"/>
      <c r="J949" s="359"/>
      <c r="K949" s="12"/>
      <c r="L949" s="12"/>
      <c r="M949" s="12"/>
      <c r="N949" s="12"/>
      <c r="O949" s="12"/>
      <c r="P949" s="12"/>
      <c r="Q949" s="12"/>
      <c r="R949" s="359"/>
      <c r="S949" s="12"/>
      <c r="T949" s="12"/>
      <c r="U949" s="12"/>
      <c r="V949" s="12"/>
      <c r="W949" s="12"/>
      <c r="X949" s="12"/>
      <c r="Y949" s="12"/>
      <c r="Z949" s="359"/>
      <c r="AA949" s="12"/>
      <c r="AB949" s="12"/>
      <c r="AC949" s="12"/>
    </row>
    <row r="950" ht="15.75" customHeight="1">
      <c r="A950" s="12"/>
      <c r="B950" s="12"/>
      <c r="C950" s="12"/>
      <c r="D950" s="12"/>
      <c r="E950" s="12"/>
      <c r="F950" s="12"/>
      <c r="G950" s="12"/>
      <c r="H950" s="12"/>
      <c r="I950" s="12"/>
      <c r="J950" s="359"/>
      <c r="K950" s="12"/>
      <c r="L950" s="12"/>
      <c r="M950" s="12"/>
      <c r="N950" s="12"/>
      <c r="O950" s="12"/>
      <c r="P950" s="12"/>
      <c r="Q950" s="12"/>
      <c r="R950" s="359"/>
      <c r="S950" s="12"/>
      <c r="T950" s="12"/>
      <c r="U950" s="12"/>
      <c r="V950" s="12"/>
      <c r="W950" s="12"/>
      <c r="X950" s="12"/>
      <c r="Y950" s="12"/>
      <c r="Z950" s="359"/>
      <c r="AA950" s="12"/>
      <c r="AB950" s="12"/>
      <c r="AC950" s="12"/>
    </row>
    <row r="951" ht="15.75" customHeight="1">
      <c r="A951" s="12"/>
      <c r="B951" s="12"/>
      <c r="C951" s="12"/>
      <c r="D951" s="12"/>
      <c r="E951" s="12"/>
      <c r="F951" s="12"/>
      <c r="G951" s="12"/>
      <c r="H951" s="12"/>
      <c r="I951" s="12"/>
      <c r="J951" s="359"/>
      <c r="K951" s="12"/>
      <c r="L951" s="12"/>
      <c r="M951" s="12"/>
      <c r="N951" s="12"/>
      <c r="O951" s="12"/>
      <c r="P951" s="12"/>
      <c r="Q951" s="12"/>
      <c r="R951" s="359"/>
      <c r="S951" s="12"/>
      <c r="T951" s="12"/>
      <c r="U951" s="12"/>
      <c r="V951" s="12"/>
      <c r="W951" s="12"/>
      <c r="X951" s="12"/>
      <c r="Y951" s="12"/>
      <c r="Z951" s="359"/>
      <c r="AA951" s="12"/>
      <c r="AB951" s="12"/>
      <c r="AC951" s="12"/>
    </row>
    <row r="952" ht="15.75" customHeight="1">
      <c r="A952" s="12"/>
      <c r="B952" s="12"/>
      <c r="C952" s="12"/>
      <c r="D952" s="12"/>
      <c r="E952" s="12"/>
      <c r="F952" s="12"/>
      <c r="G952" s="12"/>
      <c r="H952" s="12"/>
      <c r="I952" s="12"/>
      <c r="J952" s="359"/>
      <c r="K952" s="12"/>
      <c r="L952" s="12"/>
      <c r="M952" s="12"/>
      <c r="N952" s="12"/>
      <c r="O952" s="12"/>
      <c r="P952" s="12"/>
      <c r="Q952" s="12"/>
      <c r="R952" s="359"/>
      <c r="S952" s="12"/>
      <c r="T952" s="12"/>
      <c r="U952" s="12"/>
      <c r="V952" s="12"/>
      <c r="W952" s="12"/>
      <c r="X952" s="12"/>
      <c r="Y952" s="12"/>
      <c r="Z952" s="359"/>
      <c r="AA952" s="12"/>
      <c r="AB952" s="12"/>
      <c r="AC952" s="12"/>
    </row>
    <row r="953" ht="15.75" customHeight="1">
      <c r="A953" s="12"/>
      <c r="B953" s="12"/>
      <c r="C953" s="12"/>
      <c r="D953" s="12"/>
      <c r="E953" s="12"/>
      <c r="F953" s="12"/>
      <c r="G953" s="12"/>
      <c r="H953" s="12"/>
      <c r="I953" s="12"/>
      <c r="J953" s="359"/>
      <c r="K953" s="12"/>
      <c r="L953" s="12"/>
      <c r="M953" s="12"/>
      <c r="N953" s="12"/>
      <c r="O953" s="12"/>
      <c r="P953" s="12"/>
      <c r="Q953" s="12"/>
      <c r="R953" s="359"/>
      <c r="S953" s="12"/>
      <c r="T953" s="12"/>
      <c r="U953" s="12"/>
      <c r="V953" s="12"/>
      <c r="W953" s="12"/>
      <c r="X953" s="12"/>
      <c r="Y953" s="12"/>
      <c r="Z953" s="359"/>
      <c r="AA953" s="12"/>
      <c r="AB953" s="12"/>
      <c r="AC953" s="12"/>
    </row>
    <row r="954" ht="15.75" customHeight="1">
      <c r="A954" s="12"/>
      <c r="B954" s="12"/>
      <c r="C954" s="12"/>
      <c r="D954" s="12"/>
      <c r="E954" s="12"/>
      <c r="F954" s="12"/>
      <c r="G954" s="12"/>
      <c r="H954" s="12"/>
      <c r="I954" s="12"/>
      <c r="J954" s="359"/>
      <c r="K954" s="12"/>
      <c r="L954" s="12"/>
      <c r="M954" s="12"/>
      <c r="N954" s="12"/>
      <c r="O954" s="12"/>
      <c r="P954" s="12"/>
      <c r="Q954" s="12"/>
      <c r="R954" s="359"/>
      <c r="S954" s="12"/>
      <c r="T954" s="12"/>
      <c r="U954" s="12"/>
      <c r="V954" s="12"/>
      <c r="W954" s="12"/>
      <c r="X954" s="12"/>
      <c r="Y954" s="12"/>
      <c r="Z954" s="359"/>
      <c r="AA954" s="12"/>
      <c r="AB954" s="12"/>
      <c r="AC954" s="12"/>
    </row>
    <row r="955" ht="15.75" customHeight="1">
      <c r="A955" s="12"/>
      <c r="B955" s="12"/>
      <c r="C955" s="12"/>
      <c r="D955" s="12"/>
      <c r="E955" s="12"/>
      <c r="F955" s="12"/>
      <c r="G955" s="12"/>
      <c r="H955" s="12"/>
      <c r="I955" s="12"/>
      <c r="J955" s="359"/>
      <c r="K955" s="12"/>
      <c r="L955" s="12"/>
      <c r="M955" s="12"/>
      <c r="N955" s="12"/>
      <c r="O955" s="12"/>
      <c r="P955" s="12"/>
      <c r="Q955" s="12"/>
      <c r="R955" s="359"/>
      <c r="S955" s="12"/>
      <c r="T955" s="12"/>
      <c r="U955" s="12"/>
      <c r="V955" s="12"/>
      <c r="W955" s="12"/>
      <c r="X955" s="12"/>
      <c r="Y955" s="12"/>
      <c r="Z955" s="359"/>
      <c r="AA955" s="12"/>
      <c r="AB955" s="12"/>
      <c r="AC955" s="12"/>
    </row>
    <row r="956" ht="15.75" customHeight="1">
      <c r="A956" s="12"/>
      <c r="B956" s="12"/>
      <c r="C956" s="12"/>
      <c r="D956" s="12"/>
      <c r="E956" s="12"/>
      <c r="F956" s="12"/>
      <c r="G956" s="12"/>
      <c r="H956" s="12"/>
      <c r="I956" s="12"/>
      <c r="J956" s="359"/>
      <c r="K956" s="12"/>
      <c r="L956" s="12"/>
      <c r="M956" s="12"/>
      <c r="N956" s="12"/>
      <c r="O956" s="12"/>
      <c r="P956" s="12"/>
      <c r="Q956" s="12"/>
      <c r="R956" s="359"/>
      <c r="S956" s="12"/>
      <c r="T956" s="12"/>
      <c r="U956" s="12"/>
      <c r="V956" s="12"/>
      <c r="W956" s="12"/>
      <c r="X956" s="12"/>
      <c r="Y956" s="12"/>
      <c r="Z956" s="359"/>
      <c r="AA956" s="12"/>
      <c r="AB956" s="12"/>
      <c r="AC956" s="12"/>
    </row>
    <row r="957" ht="15.75" customHeight="1">
      <c r="A957" s="12"/>
      <c r="B957" s="12"/>
      <c r="C957" s="12"/>
      <c r="D957" s="12"/>
      <c r="E957" s="12"/>
      <c r="F957" s="12"/>
      <c r="G957" s="12"/>
      <c r="H957" s="12"/>
      <c r="I957" s="12"/>
      <c r="J957" s="359"/>
      <c r="K957" s="12"/>
      <c r="L957" s="12"/>
      <c r="M957" s="12"/>
      <c r="N957" s="12"/>
      <c r="O957" s="12"/>
      <c r="P957" s="12"/>
      <c r="Q957" s="12"/>
      <c r="R957" s="359"/>
      <c r="S957" s="12"/>
      <c r="T957" s="12"/>
      <c r="U957" s="12"/>
      <c r="V957" s="12"/>
      <c r="W957" s="12"/>
      <c r="X957" s="12"/>
      <c r="Y957" s="12"/>
      <c r="Z957" s="359"/>
      <c r="AA957" s="12"/>
      <c r="AB957" s="12"/>
      <c r="AC957" s="12"/>
    </row>
    <row r="958" ht="15.75" customHeight="1">
      <c r="A958" s="12"/>
      <c r="B958" s="12"/>
      <c r="C958" s="12"/>
      <c r="D958" s="12"/>
      <c r="E958" s="12"/>
      <c r="F958" s="12"/>
      <c r="G958" s="12"/>
      <c r="H958" s="12"/>
      <c r="I958" s="12"/>
      <c r="J958" s="359"/>
      <c r="K958" s="12"/>
      <c r="L958" s="12"/>
      <c r="M958" s="12"/>
      <c r="N958" s="12"/>
      <c r="O958" s="12"/>
      <c r="P958" s="12"/>
      <c r="Q958" s="12"/>
      <c r="R958" s="359"/>
      <c r="S958" s="12"/>
      <c r="T958" s="12"/>
      <c r="U958" s="12"/>
      <c r="V958" s="12"/>
      <c r="W958" s="12"/>
      <c r="X958" s="12"/>
      <c r="Y958" s="12"/>
      <c r="Z958" s="359"/>
      <c r="AA958" s="12"/>
      <c r="AB958" s="12"/>
      <c r="AC958" s="12"/>
    </row>
    <row r="959" ht="15.75" customHeight="1">
      <c r="A959" s="12"/>
      <c r="B959" s="12"/>
      <c r="C959" s="12"/>
      <c r="D959" s="12"/>
      <c r="E959" s="12"/>
      <c r="F959" s="12"/>
      <c r="G959" s="12"/>
      <c r="H959" s="12"/>
      <c r="I959" s="12"/>
      <c r="J959" s="359"/>
      <c r="K959" s="12"/>
      <c r="L959" s="12"/>
      <c r="M959" s="12"/>
      <c r="N959" s="12"/>
      <c r="O959" s="12"/>
      <c r="P959" s="12"/>
      <c r="Q959" s="12"/>
      <c r="R959" s="359"/>
      <c r="S959" s="12"/>
      <c r="T959" s="12"/>
      <c r="U959" s="12"/>
      <c r="V959" s="12"/>
      <c r="W959" s="12"/>
      <c r="X959" s="12"/>
      <c r="Y959" s="12"/>
      <c r="Z959" s="359"/>
      <c r="AA959" s="12"/>
      <c r="AB959" s="12"/>
      <c r="AC959" s="12"/>
    </row>
    <row r="960" ht="15.75" customHeight="1">
      <c r="A960" s="12"/>
      <c r="B960" s="12"/>
      <c r="C960" s="12"/>
      <c r="D960" s="12"/>
      <c r="E960" s="12"/>
      <c r="F960" s="12"/>
      <c r="G960" s="12"/>
      <c r="H960" s="12"/>
      <c r="I960" s="12"/>
      <c r="J960" s="359"/>
      <c r="K960" s="12"/>
      <c r="L960" s="12"/>
      <c r="M960" s="12"/>
      <c r="N960" s="12"/>
      <c r="O960" s="12"/>
      <c r="P960" s="12"/>
      <c r="Q960" s="12"/>
      <c r="R960" s="359"/>
      <c r="S960" s="12"/>
      <c r="T960" s="12"/>
      <c r="U960" s="12"/>
      <c r="V960" s="12"/>
      <c r="W960" s="12"/>
      <c r="X960" s="12"/>
      <c r="Y960" s="12"/>
      <c r="Z960" s="359"/>
      <c r="AA960" s="12"/>
      <c r="AB960" s="12"/>
      <c r="AC960" s="12"/>
    </row>
    <row r="961" ht="15.75" customHeight="1">
      <c r="A961" s="12"/>
      <c r="B961" s="12"/>
      <c r="C961" s="12"/>
      <c r="D961" s="12"/>
      <c r="E961" s="12"/>
      <c r="F961" s="12"/>
      <c r="G961" s="12"/>
      <c r="H961" s="12"/>
      <c r="I961" s="12"/>
      <c r="J961" s="359"/>
      <c r="K961" s="12"/>
      <c r="L961" s="12"/>
      <c r="M961" s="12"/>
      <c r="N961" s="12"/>
      <c r="O961" s="12"/>
      <c r="P961" s="12"/>
      <c r="Q961" s="12"/>
      <c r="R961" s="359"/>
      <c r="S961" s="12"/>
      <c r="T961" s="12"/>
      <c r="U961" s="12"/>
      <c r="V961" s="12"/>
      <c r="W961" s="12"/>
      <c r="X961" s="12"/>
      <c r="Y961" s="12"/>
      <c r="Z961" s="359"/>
      <c r="AA961" s="12"/>
      <c r="AB961" s="12"/>
      <c r="AC961" s="12"/>
    </row>
    <row r="962" ht="15.75" customHeight="1">
      <c r="A962" s="12"/>
      <c r="B962" s="12"/>
      <c r="C962" s="12"/>
      <c r="D962" s="12"/>
      <c r="E962" s="12"/>
      <c r="F962" s="12"/>
      <c r="G962" s="12"/>
      <c r="H962" s="12"/>
      <c r="I962" s="12"/>
      <c r="J962" s="359"/>
      <c r="K962" s="12"/>
      <c r="L962" s="12"/>
      <c r="M962" s="12"/>
      <c r="N962" s="12"/>
      <c r="O962" s="12"/>
      <c r="P962" s="12"/>
      <c r="Q962" s="12"/>
      <c r="R962" s="359"/>
      <c r="S962" s="12"/>
      <c r="T962" s="12"/>
      <c r="U962" s="12"/>
      <c r="V962" s="12"/>
      <c r="W962" s="12"/>
      <c r="X962" s="12"/>
      <c r="Y962" s="12"/>
      <c r="Z962" s="359"/>
      <c r="AA962" s="12"/>
      <c r="AB962" s="12"/>
      <c r="AC962" s="12"/>
    </row>
    <row r="963" ht="15.75" customHeight="1">
      <c r="A963" s="12"/>
      <c r="B963" s="12"/>
      <c r="C963" s="12"/>
      <c r="D963" s="12"/>
      <c r="E963" s="12"/>
      <c r="F963" s="12"/>
      <c r="G963" s="12"/>
      <c r="H963" s="12"/>
      <c r="I963" s="12"/>
      <c r="J963" s="359"/>
      <c r="K963" s="12"/>
      <c r="L963" s="12"/>
      <c r="M963" s="12"/>
      <c r="N963" s="12"/>
      <c r="O963" s="12"/>
      <c r="P963" s="12"/>
      <c r="Q963" s="12"/>
      <c r="R963" s="359"/>
      <c r="S963" s="12"/>
      <c r="T963" s="12"/>
      <c r="U963" s="12"/>
      <c r="V963" s="12"/>
      <c r="W963" s="12"/>
      <c r="X963" s="12"/>
      <c r="Y963" s="12"/>
      <c r="Z963" s="359"/>
      <c r="AA963" s="12"/>
      <c r="AB963" s="12"/>
      <c r="AC963" s="12"/>
    </row>
    <row r="964" ht="15.75" customHeight="1">
      <c r="A964" s="12"/>
      <c r="B964" s="12"/>
      <c r="C964" s="12"/>
      <c r="D964" s="12"/>
      <c r="E964" s="12"/>
      <c r="F964" s="12"/>
      <c r="G964" s="12"/>
      <c r="H964" s="12"/>
      <c r="I964" s="12"/>
      <c r="J964" s="359"/>
      <c r="K964" s="12"/>
      <c r="L964" s="12"/>
      <c r="M964" s="12"/>
      <c r="N964" s="12"/>
      <c r="O964" s="12"/>
      <c r="P964" s="12"/>
      <c r="Q964" s="12"/>
      <c r="R964" s="359"/>
      <c r="S964" s="12"/>
      <c r="T964" s="12"/>
      <c r="U964" s="12"/>
      <c r="V964" s="12"/>
      <c r="W964" s="12"/>
      <c r="X964" s="12"/>
      <c r="Y964" s="12"/>
      <c r="Z964" s="359"/>
      <c r="AA964" s="12"/>
      <c r="AB964" s="12"/>
      <c r="AC964" s="12"/>
    </row>
    <row r="965" ht="15.75" customHeight="1">
      <c r="A965" s="12"/>
      <c r="B965" s="12"/>
      <c r="C965" s="12"/>
      <c r="D965" s="12"/>
      <c r="E965" s="12"/>
      <c r="F965" s="12"/>
      <c r="G965" s="12"/>
      <c r="H965" s="12"/>
      <c r="I965" s="12"/>
      <c r="J965" s="359"/>
      <c r="K965" s="12"/>
      <c r="L965" s="12"/>
      <c r="M965" s="12"/>
      <c r="N965" s="12"/>
      <c r="O965" s="12"/>
      <c r="P965" s="12"/>
      <c r="Q965" s="12"/>
      <c r="R965" s="359"/>
      <c r="S965" s="12"/>
      <c r="T965" s="12"/>
      <c r="U965" s="12"/>
      <c r="V965" s="12"/>
      <c r="W965" s="12"/>
      <c r="X965" s="12"/>
      <c r="Y965" s="12"/>
      <c r="Z965" s="359"/>
      <c r="AA965" s="12"/>
      <c r="AB965" s="12"/>
      <c r="AC965" s="12"/>
    </row>
    <row r="966" ht="15.75" customHeight="1">
      <c r="A966" s="12"/>
      <c r="B966" s="12"/>
      <c r="C966" s="12"/>
      <c r="D966" s="12"/>
      <c r="E966" s="12"/>
      <c r="F966" s="12"/>
      <c r="G966" s="12"/>
      <c r="H966" s="12"/>
      <c r="I966" s="12"/>
      <c r="J966" s="359"/>
      <c r="K966" s="12"/>
      <c r="L966" s="12"/>
      <c r="M966" s="12"/>
      <c r="N966" s="12"/>
      <c r="O966" s="12"/>
      <c r="P966" s="12"/>
      <c r="Q966" s="12"/>
      <c r="R966" s="359"/>
      <c r="S966" s="12"/>
      <c r="T966" s="12"/>
      <c r="U966" s="12"/>
      <c r="V966" s="12"/>
      <c r="W966" s="12"/>
      <c r="X966" s="12"/>
      <c r="Y966" s="12"/>
      <c r="Z966" s="359"/>
      <c r="AA966" s="12"/>
      <c r="AB966" s="12"/>
      <c r="AC966" s="12"/>
    </row>
    <row r="967" ht="15.75" customHeight="1">
      <c r="A967" s="12"/>
      <c r="B967" s="12"/>
      <c r="C967" s="12"/>
      <c r="D967" s="12"/>
      <c r="E967" s="12"/>
      <c r="F967" s="12"/>
      <c r="G967" s="12"/>
      <c r="H967" s="12"/>
      <c r="I967" s="12"/>
      <c r="J967" s="359"/>
      <c r="K967" s="12"/>
      <c r="L967" s="12"/>
      <c r="M967" s="12"/>
      <c r="N967" s="12"/>
      <c r="O967" s="12"/>
      <c r="P967" s="12"/>
      <c r="Q967" s="12"/>
      <c r="R967" s="359"/>
      <c r="S967" s="12"/>
      <c r="T967" s="12"/>
      <c r="U967" s="12"/>
      <c r="V967" s="12"/>
      <c r="W967" s="12"/>
      <c r="X967" s="12"/>
      <c r="Y967" s="12"/>
      <c r="Z967" s="359"/>
      <c r="AA967" s="12"/>
      <c r="AB967" s="12"/>
      <c r="AC967" s="12"/>
    </row>
    <row r="968" ht="15.75" customHeight="1">
      <c r="A968" s="12"/>
      <c r="B968" s="12"/>
      <c r="C968" s="12"/>
      <c r="D968" s="12"/>
      <c r="E968" s="12"/>
      <c r="F968" s="12"/>
      <c r="G968" s="12"/>
      <c r="H968" s="12"/>
      <c r="I968" s="12"/>
      <c r="J968" s="359"/>
      <c r="K968" s="12"/>
      <c r="L968" s="12"/>
      <c r="M968" s="12"/>
      <c r="N968" s="12"/>
      <c r="O968" s="12"/>
      <c r="P968" s="12"/>
      <c r="Q968" s="12"/>
      <c r="R968" s="359"/>
      <c r="S968" s="12"/>
      <c r="T968" s="12"/>
      <c r="U968" s="12"/>
      <c r="V968" s="12"/>
      <c r="W968" s="12"/>
      <c r="X968" s="12"/>
      <c r="Y968" s="12"/>
      <c r="Z968" s="359"/>
      <c r="AA968" s="12"/>
      <c r="AB968" s="12"/>
      <c r="AC968" s="12"/>
    </row>
    <row r="969" ht="15.75" customHeight="1">
      <c r="A969" s="12"/>
      <c r="B969" s="12"/>
      <c r="C969" s="12"/>
      <c r="D969" s="12"/>
      <c r="E969" s="12"/>
      <c r="F969" s="12"/>
      <c r="G969" s="12"/>
      <c r="H969" s="12"/>
      <c r="I969" s="12"/>
      <c r="J969" s="359"/>
      <c r="K969" s="12"/>
      <c r="L969" s="12"/>
      <c r="M969" s="12"/>
      <c r="N969" s="12"/>
      <c r="O969" s="12"/>
      <c r="P969" s="12"/>
      <c r="Q969" s="12"/>
      <c r="R969" s="359"/>
      <c r="S969" s="12"/>
      <c r="T969" s="12"/>
      <c r="U969" s="12"/>
      <c r="V969" s="12"/>
      <c r="W969" s="12"/>
      <c r="X969" s="12"/>
      <c r="Y969" s="12"/>
      <c r="Z969" s="359"/>
      <c r="AA969" s="12"/>
      <c r="AB969" s="12"/>
      <c r="AC969" s="12"/>
    </row>
    <row r="970" ht="15.75" customHeight="1">
      <c r="A970" s="12"/>
      <c r="B970" s="12"/>
      <c r="C970" s="12"/>
      <c r="D970" s="12"/>
      <c r="E970" s="12"/>
      <c r="F970" s="12"/>
      <c r="G970" s="12"/>
      <c r="H970" s="12"/>
      <c r="I970" s="12"/>
      <c r="J970" s="359"/>
      <c r="K970" s="12"/>
      <c r="L970" s="12"/>
      <c r="M970" s="12"/>
      <c r="N970" s="12"/>
      <c r="O970" s="12"/>
      <c r="P970" s="12"/>
      <c r="Q970" s="12"/>
      <c r="R970" s="359"/>
      <c r="S970" s="12"/>
      <c r="T970" s="12"/>
      <c r="U970" s="12"/>
      <c r="V970" s="12"/>
      <c r="W970" s="12"/>
      <c r="X970" s="12"/>
      <c r="Y970" s="12"/>
      <c r="Z970" s="359"/>
      <c r="AA970" s="12"/>
      <c r="AB970" s="12"/>
      <c r="AC970" s="12"/>
    </row>
    <row r="971" ht="15.75" customHeight="1">
      <c r="A971" s="12"/>
      <c r="B971" s="12"/>
      <c r="C971" s="12"/>
      <c r="D971" s="12"/>
      <c r="E971" s="12"/>
      <c r="F971" s="12"/>
      <c r="G971" s="12"/>
      <c r="H971" s="12"/>
      <c r="I971" s="12"/>
      <c r="J971" s="359"/>
      <c r="K971" s="12"/>
      <c r="L971" s="12"/>
      <c r="M971" s="12"/>
      <c r="N971" s="12"/>
      <c r="O971" s="12"/>
      <c r="P971" s="12"/>
      <c r="Q971" s="12"/>
      <c r="R971" s="359"/>
      <c r="S971" s="12"/>
      <c r="T971" s="12"/>
      <c r="U971" s="12"/>
      <c r="V971" s="12"/>
      <c r="W971" s="12"/>
      <c r="X971" s="12"/>
      <c r="Y971" s="12"/>
      <c r="Z971" s="359"/>
      <c r="AA971" s="12"/>
      <c r="AB971" s="12"/>
      <c r="AC971" s="12"/>
    </row>
    <row r="972" ht="15.75" customHeight="1">
      <c r="A972" s="12"/>
      <c r="B972" s="12"/>
      <c r="C972" s="12"/>
      <c r="D972" s="12"/>
      <c r="E972" s="12"/>
      <c r="F972" s="12"/>
      <c r="G972" s="12"/>
      <c r="H972" s="12"/>
      <c r="I972" s="12"/>
      <c r="J972" s="359"/>
      <c r="K972" s="12"/>
      <c r="L972" s="12"/>
      <c r="M972" s="12"/>
      <c r="N972" s="12"/>
      <c r="O972" s="12"/>
      <c r="P972" s="12"/>
      <c r="Q972" s="12"/>
      <c r="R972" s="359"/>
      <c r="S972" s="12"/>
      <c r="T972" s="12"/>
      <c r="U972" s="12"/>
      <c r="V972" s="12"/>
      <c r="W972" s="12"/>
      <c r="X972" s="12"/>
      <c r="Y972" s="12"/>
      <c r="Z972" s="359"/>
      <c r="AA972" s="12"/>
      <c r="AB972" s="12"/>
      <c r="AC972" s="12"/>
    </row>
    <row r="973" ht="15.75" customHeight="1">
      <c r="A973" s="12"/>
      <c r="B973" s="12"/>
      <c r="C973" s="12"/>
      <c r="D973" s="12"/>
      <c r="E973" s="12"/>
      <c r="F973" s="12"/>
      <c r="G973" s="12"/>
      <c r="H973" s="12"/>
      <c r="I973" s="12"/>
      <c r="J973" s="359"/>
      <c r="K973" s="12"/>
      <c r="L973" s="12"/>
      <c r="M973" s="12"/>
      <c r="N973" s="12"/>
      <c r="O973" s="12"/>
      <c r="P973" s="12"/>
      <c r="Q973" s="12"/>
      <c r="R973" s="359"/>
      <c r="S973" s="12"/>
      <c r="T973" s="12"/>
      <c r="U973" s="12"/>
      <c r="V973" s="12"/>
      <c r="W973" s="12"/>
      <c r="X973" s="12"/>
      <c r="Y973" s="12"/>
      <c r="Z973" s="359"/>
      <c r="AA973" s="12"/>
      <c r="AB973" s="12"/>
      <c r="AC973" s="12"/>
    </row>
    <row r="974" ht="15.75" customHeight="1">
      <c r="A974" s="12"/>
      <c r="B974" s="12"/>
      <c r="C974" s="12"/>
      <c r="D974" s="12"/>
      <c r="E974" s="12"/>
      <c r="F974" s="12"/>
      <c r="G974" s="12"/>
      <c r="H974" s="12"/>
      <c r="I974" s="12"/>
      <c r="J974" s="359"/>
      <c r="K974" s="12"/>
      <c r="L974" s="12"/>
      <c r="M974" s="12"/>
      <c r="N974" s="12"/>
      <c r="O974" s="12"/>
      <c r="P974" s="12"/>
      <c r="Q974" s="12"/>
      <c r="R974" s="359"/>
      <c r="S974" s="12"/>
      <c r="T974" s="12"/>
      <c r="U974" s="12"/>
      <c r="V974" s="12"/>
      <c r="W974" s="12"/>
      <c r="X974" s="12"/>
      <c r="Y974" s="12"/>
      <c r="Z974" s="359"/>
      <c r="AA974" s="12"/>
      <c r="AB974" s="12"/>
      <c r="AC974" s="12"/>
    </row>
    <row r="975" ht="15.75" customHeight="1">
      <c r="A975" s="12"/>
      <c r="B975" s="12"/>
      <c r="C975" s="12"/>
      <c r="D975" s="12"/>
      <c r="E975" s="12"/>
      <c r="F975" s="12"/>
      <c r="G975" s="12"/>
      <c r="H975" s="12"/>
      <c r="I975" s="12"/>
      <c r="J975" s="359"/>
      <c r="K975" s="12"/>
      <c r="L975" s="12"/>
      <c r="M975" s="12"/>
      <c r="N975" s="12"/>
      <c r="O975" s="12"/>
      <c r="P975" s="12"/>
      <c r="Q975" s="12"/>
      <c r="R975" s="359"/>
      <c r="S975" s="12"/>
      <c r="T975" s="12"/>
      <c r="U975" s="12"/>
      <c r="V975" s="12"/>
      <c r="W975" s="12"/>
      <c r="X975" s="12"/>
      <c r="Y975" s="12"/>
      <c r="Z975" s="359"/>
      <c r="AA975" s="12"/>
      <c r="AB975" s="12"/>
      <c r="AC975" s="12"/>
    </row>
    <row r="976" ht="15.75" customHeight="1">
      <c r="A976" s="12"/>
      <c r="B976" s="12"/>
      <c r="C976" s="12"/>
      <c r="D976" s="12"/>
      <c r="E976" s="12"/>
      <c r="F976" s="12"/>
      <c r="G976" s="12"/>
      <c r="H976" s="12"/>
      <c r="I976" s="12"/>
      <c r="J976" s="359"/>
      <c r="K976" s="12"/>
      <c r="L976" s="12"/>
      <c r="M976" s="12"/>
      <c r="N976" s="12"/>
      <c r="O976" s="12"/>
      <c r="P976" s="12"/>
      <c r="Q976" s="12"/>
      <c r="R976" s="359"/>
      <c r="S976" s="12"/>
      <c r="T976" s="12"/>
      <c r="U976" s="12"/>
      <c r="V976" s="12"/>
      <c r="W976" s="12"/>
      <c r="X976" s="12"/>
      <c r="Y976" s="12"/>
      <c r="Z976" s="359"/>
      <c r="AA976" s="12"/>
      <c r="AB976" s="12"/>
      <c r="AC976" s="12"/>
    </row>
    <row r="977" ht="15.75" customHeight="1">
      <c r="A977" s="12"/>
      <c r="B977" s="12"/>
      <c r="C977" s="12"/>
      <c r="D977" s="12"/>
      <c r="E977" s="12"/>
      <c r="F977" s="12"/>
      <c r="G977" s="12"/>
      <c r="H977" s="12"/>
      <c r="I977" s="12"/>
      <c r="J977" s="359"/>
      <c r="K977" s="12"/>
      <c r="L977" s="12"/>
      <c r="M977" s="12"/>
      <c r="N977" s="12"/>
      <c r="O977" s="12"/>
      <c r="P977" s="12"/>
      <c r="Q977" s="12"/>
      <c r="R977" s="359"/>
      <c r="S977" s="12"/>
      <c r="T977" s="12"/>
      <c r="U977" s="12"/>
      <c r="V977" s="12"/>
      <c r="W977" s="12"/>
      <c r="X977" s="12"/>
      <c r="Y977" s="12"/>
      <c r="Z977" s="359"/>
      <c r="AA977" s="12"/>
      <c r="AB977" s="12"/>
      <c r="AC977" s="12"/>
    </row>
    <row r="978" ht="15.75" customHeight="1">
      <c r="A978" s="12"/>
      <c r="B978" s="12"/>
      <c r="C978" s="12"/>
      <c r="D978" s="12"/>
      <c r="E978" s="12"/>
      <c r="F978" s="12"/>
      <c r="G978" s="12"/>
      <c r="H978" s="12"/>
      <c r="I978" s="12"/>
      <c r="J978" s="359"/>
      <c r="K978" s="12"/>
      <c r="L978" s="12"/>
      <c r="M978" s="12"/>
      <c r="N978" s="12"/>
      <c r="O978" s="12"/>
      <c r="P978" s="12"/>
      <c r="Q978" s="12"/>
      <c r="R978" s="359"/>
      <c r="S978" s="12"/>
      <c r="T978" s="12"/>
      <c r="U978" s="12"/>
      <c r="V978" s="12"/>
      <c r="W978" s="12"/>
      <c r="X978" s="12"/>
      <c r="Y978" s="12"/>
      <c r="Z978" s="359"/>
      <c r="AA978" s="12"/>
      <c r="AB978" s="12"/>
      <c r="AC978" s="12"/>
    </row>
    <row r="979" ht="15.75" customHeight="1">
      <c r="A979" s="12"/>
      <c r="B979" s="12"/>
      <c r="C979" s="12"/>
      <c r="D979" s="12"/>
      <c r="E979" s="12"/>
      <c r="F979" s="12"/>
      <c r="G979" s="12"/>
      <c r="H979" s="12"/>
      <c r="I979" s="12"/>
      <c r="J979" s="359"/>
      <c r="K979" s="12"/>
      <c r="L979" s="12"/>
      <c r="M979" s="12"/>
      <c r="N979" s="12"/>
      <c r="O979" s="12"/>
      <c r="P979" s="12"/>
      <c r="Q979" s="12"/>
      <c r="R979" s="359"/>
      <c r="S979" s="12"/>
      <c r="T979" s="12"/>
      <c r="U979" s="12"/>
      <c r="V979" s="12"/>
      <c r="W979" s="12"/>
      <c r="X979" s="12"/>
      <c r="Y979" s="12"/>
      <c r="Z979" s="359"/>
      <c r="AA979" s="12"/>
      <c r="AB979" s="12"/>
      <c r="AC979" s="12"/>
    </row>
    <row r="980" ht="15.75" customHeight="1">
      <c r="A980" s="12"/>
      <c r="B980" s="12"/>
      <c r="C980" s="12"/>
      <c r="D980" s="12"/>
      <c r="E980" s="12"/>
      <c r="F980" s="12"/>
      <c r="G980" s="12"/>
      <c r="H980" s="12"/>
      <c r="I980" s="12"/>
      <c r="J980" s="359"/>
      <c r="K980" s="12"/>
      <c r="L980" s="12"/>
      <c r="M980" s="12"/>
      <c r="N980" s="12"/>
      <c r="O980" s="12"/>
      <c r="P980" s="12"/>
      <c r="Q980" s="12"/>
      <c r="R980" s="359"/>
      <c r="S980" s="12"/>
      <c r="T980" s="12"/>
      <c r="U980" s="12"/>
      <c r="V980" s="12"/>
      <c r="W980" s="12"/>
      <c r="X980" s="12"/>
      <c r="Y980" s="12"/>
      <c r="Z980" s="359"/>
      <c r="AA980" s="12"/>
      <c r="AB980" s="12"/>
      <c r="AC980" s="12"/>
    </row>
    <row r="981" ht="15.75" customHeight="1">
      <c r="A981" s="12"/>
      <c r="B981" s="12"/>
      <c r="C981" s="12"/>
      <c r="D981" s="12"/>
      <c r="E981" s="12"/>
      <c r="F981" s="12"/>
      <c r="G981" s="12"/>
      <c r="H981" s="12"/>
      <c r="I981" s="12"/>
      <c r="J981" s="359"/>
      <c r="K981" s="12"/>
      <c r="L981" s="12"/>
      <c r="M981" s="12"/>
      <c r="N981" s="12"/>
      <c r="O981" s="12"/>
      <c r="P981" s="12"/>
      <c r="Q981" s="12"/>
      <c r="R981" s="359"/>
      <c r="S981" s="12"/>
      <c r="T981" s="12"/>
      <c r="U981" s="12"/>
      <c r="V981" s="12"/>
      <c r="W981" s="12"/>
      <c r="X981" s="12"/>
      <c r="Y981" s="12"/>
      <c r="Z981" s="359"/>
      <c r="AA981" s="12"/>
      <c r="AB981" s="12"/>
      <c r="AC981" s="12"/>
    </row>
    <row r="982" ht="15.75" customHeight="1">
      <c r="A982" s="12"/>
      <c r="B982" s="12"/>
      <c r="C982" s="12"/>
      <c r="D982" s="12"/>
      <c r="E982" s="12"/>
      <c r="F982" s="12"/>
      <c r="G982" s="12"/>
      <c r="H982" s="12"/>
      <c r="I982" s="12"/>
      <c r="J982" s="359"/>
      <c r="K982" s="12"/>
      <c r="L982" s="12"/>
      <c r="M982" s="12"/>
      <c r="N982" s="12"/>
      <c r="O982" s="12"/>
      <c r="P982" s="12"/>
      <c r="Q982" s="12"/>
      <c r="R982" s="359"/>
      <c r="S982" s="12"/>
      <c r="T982" s="12"/>
      <c r="U982" s="12"/>
      <c r="V982" s="12"/>
      <c r="W982" s="12"/>
      <c r="X982" s="12"/>
      <c r="Y982" s="12"/>
      <c r="Z982" s="359"/>
      <c r="AA982" s="12"/>
      <c r="AB982" s="12"/>
      <c r="AC982" s="12"/>
    </row>
    <row r="983" ht="15.75" customHeight="1">
      <c r="A983" s="12"/>
      <c r="B983" s="12"/>
      <c r="C983" s="12"/>
      <c r="D983" s="12"/>
      <c r="E983" s="12"/>
      <c r="F983" s="12"/>
      <c r="G983" s="12"/>
      <c r="H983" s="12"/>
      <c r="I983" s="12"/>
      <c r="J983" s="359"/>
      <c r="K983" s="12"/>
      <c r="L983" s="12"/>
      <c r="M983" s="12"/>
      <c r="N983" s="12"/>
      <c r="O983" s="12"/>
      <c r="P983" s="12"/>
      <c r="Q983" s="12"/>
      <c r="R983" s="359"/>
      <c r="S983" s="12"/>
      <c r="T983" s="12"/>
      <c r="U983" s="12"/>
      <c r="V983" s="12"/>
      <c r="W983" s="12"/>
      <c r="X983" s="12"/>
      <c r="Y983" s="12"/>
      <c r="Z983" s="359"/>
      <c r="AA983" s="12"/>
      <c r="AB983" s="12"/>
      <c r="AC983" s="12"/>
    </row>
    <row r="984" ht="15.75" customHeight="1">
      <c r="A984" s="12"/>
      <c r="B984" s="12"/>
      <c r="C984" s="12"/>
      <c r="D984" s="12"/>
      <c r="E984" s="12"/>
      <c r="F984" s="12"/>
      <c r="G984" s="12"/>
      <c r="H984" s="12"/>
      <c r="I984" s="12"/>
      <c r="J984" s="359"/>
      <c r="K984" s="12"/>
      <c r="L984" s="12"/>
      <c r="M984" s="12"/>
      <c r="N984" s="12"/>
      <c r="O984" s="12"/>
      <c r="P984" s="12"/>
      <c r="Q984" s="12"/>
      <c r="R984" s="359"/>
      <c r="S984" s="12"/>
      <c r="T984" s="12"/>
      <c r="U984" s="12"/>
      <c r="V984" s="12"/>
      <c r="W984" s="12"/>
      <c r="X984" s="12"/>
      <c r="Y984" s="12"/>
      <c r="Z984" s="359"/>
      <c r="AA984" s="12"/>
      <c r="AB984" s="12"/>
      <c r="AC984" s="12"/>
    </row>
    <row r="985" ht="15.75" customHeight="1">
      <c r="A985" s="12"/>
      <c r="B985" s="12"/>
      <c r="C985" s="12"/>
      <c r="D985" s="12"/>
      <c r="E985" s="12"/>
      <c r="F985" s="12"/>
      <c r="G985" s="12"/>
      <c r="H985" s="12"/>
      <c r="I985" s="12"/>
      <c r="J985" s="359"/>
      <c r="K985" s="12"/>
      <c r="L985" s="12"/>
      <c r="M985" s="12"/>
      <c r="N985" s="12"/>
      <c r="O985" s="12"/>
      <c r="P985" s="12"/>
      <c r="Q985" s="12"/>
      <c r="R985" s="359"/>
      <c r="S985" s="12"/>
      <c r="T985" s="12"/>
      <c r="U985" s="12"/>
      <c r="V985" s="12"/>
      <c r="W985" s="12"/>
      <c r="X985" s="12"/>
      <c r="Y985" s="12"/>
      <c r="Z985" s="359"/>
      <c r="AA985" s="12"/>
      <c r="AB985" s="12"/>
      <c r="AC985" s="12"/>
    </row>
    <row r="986" ht="15.75" customHeight="1">
      <c r="A986" s="12"/>
      <c r="B986" s="12"/>
      <c r="C986" s="12"/>
      <c r="D986" s="12"/>
      <c r="E986" s="12"/>
      <c r="F986" s="12"/>
      <c r="G986" s="12"/>
      <c r="H986" s="12"/>
      <c r="I986" s="12"/>
      <c r="J986" s="359"/>
      <c r="K986" s="12"/>
      <c r="L986" s="12"/>
      <c r="M986" s="12"/>
      <c r="N986" s="12"/>
      <c r="O986" s="12"/>
      <c r="P986" s="12"/>
      <c r="Q986" s="12"/>
      <c r="R986" s="359"/>
      <c r="S986" s="12"/>
      <c r="T986" s="12"/>
      <c r="U986" s="12"/>
      <c r="V986" s="12"/>
      <c r="W986" s="12"/>
      <c r="X986" s="12"/>
      <c r="Y986" s="12"/>
      <c r="Z986" s="359"/>
      <c r="AA986" s="12"/>
      <c r="AB986" s="12"/>
      <c r="AC986" s="12"/>
    </row>
    <row r="987" ht="15.75" customHeight="1">
      <c r="A987" s="12"/>
      <c r="B987" s="12"/>
      <c r="C987" s="12"/>
      <c r="D987" s="12"/>
      <c r="E987" s="12"/>
      <c r="F987" s="12"/>
      <c r="G987" s="12"/>
      <c r="H987" s="12"/>
      <c r="I987" s="12"/>
      <c r="J987" s="359"/>
      <c r="K987" s="12"/>
      <c r="L987" s="12"/>
      <c r="M987" s="12"/>
      <c r="N987" s="12"/>
      <c r="O987" s="12"/>
      <c r="P987" s="12"/>
      <c r="Q987" s="12"/>
      <c r="R987" s="359"/>
      <c r="S987" s="12"/>
      <c r="T987" s="12"/>
      <c r="U987" s="12"/>
      <c r="V987" s="12"/>
      <c r="W987" s="12"/>
      <c r="X987" s="12"/>
      <c r="Y987" s="12"/>
      <c r="Z987" s="359"/>
      <c r="AA987" s="12"/>
      <c r="AB987" s="12"/>
      <c r="AC987" s="12"/>
    </row>
    <row r="988" ht="15.75" customHeight="1">
      <c r="A988" s="12"/>
      <c r="B988" s="12"/>
      <c r="C988" s="12"/>
      <c r="D988" s="12"/>
      <c r="E988" s="12"/>
      <c r="F988" s="12"/>
      <c r="G988" s="12"/>
      <c r="H988" s="12"/>
      <c r="I988" s="12"/>
      <c r="J988" s="359"/>
      <c r="K988" s="12"/>
      <c r="L988" s="12"/>
      <c r="M988" s="12"/>
      <c r="N988" s="12"/>
      <c r="O988" s="12"/>
      <c r="P988" s="12"/>
      <c r="Q988" s="12"/>
      <c r="R988" s="359"/>
      <c r="S988" s="12"/>
      <c r="T988" s="12"/>
      <c r="U988" s="12"/>
      <c r="V988" s="12"/>
      <c r="W988" s="12"/>
      <c r="X988" s="12"/>
      <c r="Y988" s="12"/>
      <c r="Z988" s="359"/>
      <c r="AA988" s="12"/>
      <c r="AB988" s="12"/>
      <c r="AC988" s="12"/>
    </row>
    <row r="989" ht="15.75" customHeight="1">
      <c r="A989" s="12"/>
      <c r="B989" s="12"/>
      <c r="C989" s="12"/>
      <c r="D989" s="12"/>
      <c r="E989" s="12"/>
      <c r="F989" s="12"/>
      <c r="G989" s="12"/>
      <c r="H989" s="12"/>
      <c r="I989" s="12"/>
      <c r="J989" s="359"/>
      <c r="K989" s="12"/>
      <c r="L989" s="12"/>
      <c r="M989" s="12"/>
      <c r="N989" s="12"/>
      <c r="O989" s="12"/>
      <c r="P989" s="12"/>
      <c r="Q989" s="12"/>
      <c r="R989" s="359"/>
      <c r="S989" s="12"/>
      <c r="T989" s="12"/>
      <c r="U989" s="12"/>
      <c r="V989" s="12"/>
      <c r="W989" s="12"/>
      <c r="X989" s="12"/>
      <c r="Y989" s="12"/>
      <c r="Z989" s="359"/>
      <c r="AA989" s="12"/>
      <c r="AB989" s="12"/>
      <c r="AC989" s="12"/>
    </row>
    <row r="990" ht="15.75" customHeight="1">
      <c r="A990" s="12"/>
      <c r="B990" s="12"/>
      <c r="C990" s="12"/>
      <c r="D990" s="12"/>
      <c r="E990" s="12"/>
      <c r="F990" s="12"/>
      <c r="G990" s="12"/>
      <c r="H990" s="12"/>
      <c r="I990" s="12"/>
      <c r="J990" s="359"/>
      <c r="K990" s="12"/>
      <c r="L990" s="12"/>
      <c r="M990" s="12"/>
      <c r="N990" s="12"/>
      <c r="O990" s="12"/>
      <c r="P990" s="12"/>
      <c r="Q990" s="12"/>
      <c r="R990" s="359"/>
      <c r="S990" s="12"/>
      <c r="T990" s="12"/>
      <c r="U990" s="12"/>
      <c r="V990" s="12"/>
      <c r="W990" s="12"/>
      <c r="X990" s="12"/>
      <c r="Y990" s="12"/>
      <c r="Z990" s="359"/>
      <c r="AA990" s="12"/>
      <c r="AB990" s="12"/>
      <c r="AC990" s="12"/>
    </row>
    <row r="991" ht="15.75" customHeight="1">
      <c r="A991" s="12"/>
      <c r="B991" s="12"/>
      <c r="C991" s="12"/>
      <c r="D991" s="12"/>
      <c r="E991" s="12"/>
      <c r="F991" s="12"/>
      <c r="G991" s="12"/>
      <c r="H991" s="12"/>
      <c r="I991" s="12"/>
      <c r="J991" s="359"/>
      <c r="K991" s="12"/>
      <c r="L991" s="12"/>
      <c r="M991" s="12"/>
      <c r="N991" s="12"/>
      <c r="O991" s="12"/>
      <c r="P991" s="12"/>
      <c r="Q991" s="12"/>
      <c r="R991" s="359"/>
      <c r="S991" s="12"/>
      <c r="T991" s="12"/>
      <c r="U991" s="12"/>
      <c r="V991" s="12"/>
      <c r="W991" s="12"/>
      <c r="X991" s="12"/>
      <c r="Y991" s="12"/>
      <c r="Z991" s="359"/>
      <c r="AA991" s="12"/>
      <c r="AB991" s="12"/>
      <c r="AC991" s="12"/>
    </row>
    <row r="992" ht="15.75" customHeight="1">
      <c r="A992" s="12"/>
      <c r="B992" s="12"/>
      <c r="C992" s="12"/>
      <c r="D992" s="12"/>
      <c r="E992" s="12"/>
      <c r="F992" s="12"/>
      <c r="G992" s="12"/>
      <c r="H992" s="12"/>
      <c r="I992" s="12"/>
      <c r="J992" s="359"/>
      <c r="K992" s="12"/>
      <c r="L992" s="12"/>
      <c r="M992" s="12"/>
      <c r="N992" s="12"/>
      <c r="O992" s="12"/>
      <c r="P992" s="12"/>
      <c r="Q992" s="12"/>
      <c r="R992" s="359"/>
      <c r="S992" s="12"/>
      <c r="T992" s="12"/>
      <c r="U992" s="12"/>
      <c r="V992" s="12"/>
      <c r="W992" s="12"/>
      <c r="X992" s="12"/>
      <c r="Y992" s="12"/>
      <c r="Z992" s="359"/>
      <c r="AA992" s="12"/>
      <c r="AB992" s="12"/>
      <c r="AC992" s="12"/>
    </row>
    <row r="993" ht="15.75" customHeight="1">
      <c r="A993" s="12"/>
      <c r="B993" s="12"/>
      <c r="C993" s="12"/>
      <c r="D993" s="12"/>
      <c r="E993" s="12"/>
      <c r="F993" s="12"/>
      <c r="G993" s="12"/>
      <c r="H993" s="12"/>
      <c r="I993" s="12"/>
      <c r="J993" s="359"/>
      <c r="K993" s="12"/>
      <c r="L993" s="12"/>
      <c r="M993" s="12"/>
      <c r="N993" s="12"/>
      <c r="O993" s="12"/>
      <c r="P993" s="12"/>
      <c r="Q993" s="12"/>
      <c r="R993" s="359"/>
      <c r="S993" s="12"/>
      <c r="T993" s="12"/>
      <c r="U993" s="12"/>
      <c r="V993" s="12"/>
      <c r="W993" s="12"/>
      <c r="X993" s="12"/>
      <c r="Y993" s="12"/>
      <c r="Z993" s="359"/>
      <c r="AA993" s="12"/>
      <c r="AB993" s="12"/>
      <c r="AC993" s="12"/>
    </row>
    <row r="994" ht="15.75" customHeight="1">
      <c r="A994" s="12"/>
      <c r="B994" s="12"/>
      <c r="C994" s="12"/>
      <c r="D994" s="12"/>
      <c r="E994" s="12"/>
      <c r="F994" s="12"/>
      <c r="G994" s="12"/>
      <c r="H994" s="12"/>
      <c r="I994" s="12"/>
      <c r="J994" s="359"/>
      <c r="K994" s="12"/>
      <c r="L994" s="12"/>
      <c r="M994" s="12"/>
      <c r="N994" s="12"/>
      <c r="O994" s="12"/>
      <c r="P994" s="12"/>
      <c r="Q994" s="12"/>
      <c r="R994" s="359"/>
      <c r="S994" s="12"/>
      <c r="T994" s="12"/>
      <c r="U994" s="12"/>
      <c r="V994" s="12"/>
      <c r="W994" s="12"/>
      <c r="X994" s="12"/>
      <c r="Y994" s="12"/>
      <c r="Z994" s="359"/>
      <c r="AA994" s="12"/>
      <c r="AB994" s="12"/>
      <c r="AC994" s="12"/>
    </row>
    <row r="995" ht="15.75" customHeight="1">
      <c r="A995" s="12"/>
      <c r="B995" s="12"/>
      <c r="C995" s="12"/>
      <c r="D995" s="12"/>
      <c r="E995" s="12"/>
      <c r="F995" s="12"/>
      <c r="G995" s="12"/>
      <c r="H995" s="12"/>
      <c r="I995" s="12"/>
      <c r="J995" s="359"/>
      <c r="K995" s="12"/>
      <c r="L995" s="12"/>
      <c r="M995" s="12"/>
      <c r="N995" s="12"/>
      <c r="O995" s="12"/>
      <c r="P995" s="12"/>
      <c r="Q995" s="12"/>
      <c r="R995" s="359"/>
      <c r="S995" s="12"/>
      <c r="T995" s="12"/>
      <c r="U995" s="12"/>
      <c r="V995" s="12"/>
      <c r="W995" s="12"/>
      <c r="X995" s="12"/>
      <c r="Y995" s="12"/>
      <c r="Z995" s="359"/>
      <c r="AA995" s="12"/>
      <c r="AB995" s="12"/>
      <c r="AC995" s="12"/>
    </row>
    <row r="996" ht="15.75" customHeight="1">
      <c r="A996" s="12"/>
      <c r="B996" s="12"/>
      <c r="C996" s="12"/>
      <c r="D996" s="12"/>
      <c r="E996" s="12"/>
      <c r="F996" s="12"/>
      <c r="G996" s="12"/>
      <c r="H996" s="12"/>
      <c r="I996" s="12"/>
      <c r="J996" s="359"/>
      <c r="K996" s="12"/>
      <c r="L996" s="12"/>
      <c r="M996" s="12"/>
      <c r="N996" s="12"/>
      <c r="O996" s="12"/>
      <c r="P996" s="12"/>
      <c r="Q996" s="12"/>
      <c r="R996" s="359"/>
      <c r="S996" s="12"/>
      <c r="T996" s="12"/>
      <c r="U996" s="12"/>
      <c r="V996" s="12"/>
      <c r="W996" s="12"/>
      <c r="X996" s="12"/>
      <c r="Y996" s="12"/>
      <c r="Z996" s="359"/>
      <c r="AA996" s="12"/>
      <c r="AB996" s="12"/>
      <c r="AC996" s="12"/>
    </row>
    <row r="997" ht="15.75" customHeight="1">
      <c r="A997" s="12"/>
      <c r="B997" s="12"/>
      <c r="C997" s="12"/>
      <c r="D997" s="12"/>
      <c r="E997" s="12"/>
      <c r="F997" s="12"/>
      <c r="G997" s="12"/>
      <c r="H997" s="12"/>
      <c r="I997" s="12"/>
      <c r="J997" s="359"/>
      <c r="K997" s="12"/>
      <c r="L997" s="12"/>
      <c r="M997" s="12"/>
      <c r="N997" s="12"/>
      <c r="O997" s="12"/>
      <c r="P997" s="12"/>
      <c r="Q997" s="12"/>
      <c r="R997" s="359"/>
      <c r="S997" s="12"/>
      <c r="T997" s="12"/>
      <c r="U997" s="12"/>
      <c r="V997" s="12"/>
      <c r="W997" s="12"/>
      <c r="X997" s="12"/>
      <c r="Y997" s="12"/>
      <c r="Z997" s="359"/>
      <c r="AA997" s="12"/>
      <c r="AB997" s="12"/>
      <c r="AC997" s="12"/>
    </row>
    <row r="998" ht="15.75" customHeight="1">
      <c r="A998" s="12"/>
      <c r="B998" s="12"/>
      <c r="C998" s="12"/>
      <c r="D998" s="12"/>
      <c r="E998" s="12"/>
      <c r="F998" s="12"/>
      <c r="G998" s="12"/>
      <c r="H998" s="12"/>
      <c r="I998" s="12"/>
      <c r="J998" s="359"/>
      <c r="K998" s="12"/>
      <c r="L998" s="12"/>
      <c r="M998" s="12"/>
      <c r="N998" s="12"/>
      <c r="O998" s="12"/>
      <c r="P998" s="12"/>
      <c r="Q998" s="12"/>
      <c r="R998" s="359"/>
      <c r="S998" s="12"/>
      <c r="T998" s="12"/>
      <c r="U998" s="12"/>
      <c r="V998" s="12"/>
      <c r="W998" s="12"/>
      <c r="X998" s="12"/>
      <c r="Y998" s="12"/>
      <c r="Z998" s="359"/>
      <c r="AA998" s="12"/>
      <c r="AB998" s="12"/>
      <c r="AC998" s="12"/>
    </row>
    <row r="999" ht="15.75" customHeight="1">
      <c r="A999" s="12"/>
      <c r="B999" s="12"/>
      <c r="C999" s="12"/>
      <c r="D999" s="12"/>
      <c r="E999" s="12"/>
      <c r="F999" s="12"/>
      <c r="G999" s="12"/>
      <c r="H999" s="12"/>
      <c r="I999" s="12"/>
      <c r="J999" s="359"/>
      <c r="K999" s="12"/>
      <c r="L999" s="12"/>
      <c r="M999" s="12"/>
      <c r="N999" s="12"/>
      <c r="O999" s="12"/>
      <c r="P999" s="12"/>
      <c r="Q999" s="12"/>
      <c r="R999" s="359"/>
      <c r="S999" s="12"/>
      <c r="T999" s="12"/>
      <c r="U999" s="12"/>
      <c r="V999" s="12"/>
      <c r="W999" s="12"/>
      <c r="X999" s="12"/>
      <c r="Y999" s="12"/>
      <c r="Z999" s="359"/>
      <c r="AA999" s="12"/>
      <c r="AB999" s="12"/>
      <c r="AC999" s="12"/>
    </row>
    <row r="1000" ht="15.75" customHeight="1">
      <c r="A1000" s="12"/>
      <c r="B1000" s="12"/>
      <c r="C1000" s="12"/>
      <c r="D1000" s="12"/>
      <c r="E1000" s="12"/>
      <c r="F1000" s="12"/>
      <c r="G1000" s="12"/>
      <c r="H1000" s="12"/>
      <c r="I1000" s="12"/>
      <c r="J1000" s="359"/>
      <c r="K1000" s="12"/>
      <c r="L1000" s="12"/>
      <c r="M1000" s="12"/>
      <c r="N1000" s="12"/>
      <c r="O1000" s="12"/>
      <c r="P1000" s="12"/>
      <c r="Q1000" s="12"/>
      <c r="R1000" s="359"/>
      <c r="S1000" s="12"/>
      <c r="T1000" s="12"/>
      <c r="U1000" s="12"/>
      <c r="V1000" s="12"/>
      <c r="W1000" s="12"/>
      <c r="X1000" s="12"/>
      <c r="Y1000" s="12"/>
      <c r="Z1000" s="359"/>
      <c r="AA1000" s="12"/>
      <c r="AB1000" s="12"/>
      <c r="AC1000" s="12"/>
    </row>
  </sheetData>
  <mergeCells count="40">
    <mergeCell ref="H40:M40"/>
    <mergeCell ref="H41:M41"/>
    <mergeCell ref="X39:AC39"/>
    <mergeCell ref="X40:AC40"/>
    <mergeCell ref="A39:F39"/>
    <mergeCell ref="A40:F40"/>
    <mergeCell ref="A43:F43"/>
    <mergeCell ref="A44:F44"/>
    <mergeCell ref="H44:M44"/>
    <mergeCell ref="X43:AC43"/>
    <mergeCell ref="X44:AC44"/>
    <mergeCell ref="X45:AC45"/>
    <mergeCell ref="X46:AC46"/>
    <mergeCell ref="X47:AC47"/>
    <mergeCell ref="X38:AC38"/>
    <mergeCell ref="X42:AC42"/>
    <mergeCell ref="X41:AC41"/>
    <mergeCell ref="P45:U45"/>
    <mergeCell ref="H45:M45"/>
    <mergeCell ref="H46:M46"/>
    <mergeCell ref="H47:M47"/>
    <mergeCell ref="A45:F45"/>
    <mergeCell ref="A46:F46"/>
    <mergeCell ref="A47:F47"/>
    <mergeCell ref="P46:U46"/>
    <mergeCell ref="P47:U47"/>
    <mergeCell ref="P41:U41"/>
    <mergeCell ref="P43:U43"/>
    <mergeCell ref="P44:U44"/>
    <mergeCell ref="P42:U42"/>
    <mergeCell ref="P39:U39"/>
    <mergeCell ref="P40:U40"/>
    <mergeCell ref="A42:F42"/>
    <mergeCell ref="A41:F41"/>
    <mergeCell ref="H43:M43"/>
    <mergeCell ref="H42:M42"/>
    <mergeCell ref="H38:M38"/>
    <mergeCell ref="H39:M39"/>
    <mergeCell ref="A38:F38"/>
    <mergeCell ref="P38:U38"/>
  </mergeCells>
  <printOptions/>
  <pageMargins bottom="0.51" footer="0.0" header="0.0" left="0.7" right="0.7" top="0.4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outlineLevelRow="1"/>
  <cols>
    <col customWidth="1" min="1" max="1" width="22.75"/>
    <col customWidth="1" min="2" max="2" width="1.63"/>
    <col customWidth="1" min="3" max="14" width="9.63"/>
    <col customWidth="1" min="15" max="15" width="1.25"/>
    <col customWidth="1" min="16" max="16" width="10.88"/>
    <col customWidth="1" min="17" max="26" width="7.75"/>
  </cols>
  <sheetData>
    <row r="1" ht="21.0" customHeight="1">
      <c r="A1" s="1" t="s">
        <v>451</v>
      </c>
      <c r="B1" s="1"/>
      <c r="C1" s="1"/>
      <c r="D1" s="1"/>
      <c r="E1" s="1"/>
      <c r="F1" s="1"/>
      <c r="G1" s="126"/>
      <c r="H1" s="126"/>
      <c r="I1" s="126"/>
      <c r="J1" s="153"/>
    </row>
    <row r="2" ht="18.75" customHeight="1">
      <c r="A2" s="12"/>
      <c r="J2" s="153"/>
    </row>
    <row r="3">
      <c r="A3" s="467" t="str">
        <f>IF(ISBLANK(Company_Name),"Cash Flow | Year 1",Company_Name&amp;" | Cash Flow | Year 1")</f>
        <v>OTW Paints | Cash Flow | Year 1</v>
      </c>
      <c r="B3" s="43"/>
      <c r="C3" s="43"/>
      <c r="D3" s="43"/>
      <c r="E3" s="43"/>
      <c r="F3" s="43"/>
      <c r="G3" s="43"/>
      <c r="H3" s="43"/>
      <c r="I3" s="43"/>
      <c r="J3" s="100"/>
      <c r="K3" s="43"/>
      <c r="L3" s="43"/>
      <c r="M3" s="43"/>
      <c r="N3" s="43"/>
      <c r="O3" s="43"/>
      <c r="P3" s="43"/>
    </row>
    <row r="4">
      <c r="A4" s="469"/>
      <c r="B4" s="253"/>
      <c r="C4" s="253"/>
      <c r="D4" s="253"/>
      <c r="E4" s="253"/>
      <c r="F4" s="253"/>
      <c r="G4" s="253"/>
      <c r="H4" s="253"/>
      <c r="I4" s="253"/>
      <c r="J4" s="470"/>
      <c r="K4" s="253"/>
      <c r="L4" s="253"/>
      <c r="M4" s="253"/>
      <c r="N4" s="253"/>
      <c r="O4" s="253"/>
      <c r="P4" s="253"/>
    </row>
    <row r="5">
      <c r="A5" s="432"/>
      <c r="B5" s="12"/>
      <c r="C5" s="12"/>
      <c r="D5" s="12"/>
      <c r="E5" s="12"/>
      <c r="F5" s="12"/>
      <c r="G5" s="12"/>
      <c r="H5" s="12"/>
      <c r="I5" s="12"/>
      <c r="J5" s="153"/>
      <c r="K5" s="12"/>
      <c r="L5" s="12"/>
      <c r="M5" s="12"/>
      <c r="N5" s="12"/>
      <c r="O5" s="12"/>
      <c r="P5" s="12"/>
    </row>
    <row r="6" outlineLevel="1">
      <c r="A6" s="25"/>
      <c r="B6" s="12"/>
      <c r="C6" s="178">
        <f>DATE(YEAR(Projected_Start_Date),1,1)</f>
        <v>42370</v>
      </c>
      <c r="D6" s="178">
        <f t="shared" ref="D6:N6" si="1">EDATE(C6,1)</f>
        <v>42401</v>
      </c>
      <c r="E6" s="178">
        <f t="shared" si="1"/>
        <v>42430</v>
      </c>
      <c r="F6" s="178">
        <f t="shared" si="1"/>
        <v>42461</v>
      </c>
      <c r="G6" s="178">
        <f t="shared" si="1"/>
        <v>42491</v>
      </c>
      <c r="H6" s="178">
        <f t="shared" si="1"/>
        <v>42522</v>
      </c>
      <c r="I6" s="178">
        <f t="shared" si="1"/>
        <v>42552</v>
      </c>
      <c r="J6" s="178">
        <f t="shared" si="1"/>
        <v>42583</v>
      </c>
      <c r="K6" s="178">
        <f t="shared" si="1"/>
        <v>42614</v>
      </c>
      <c r="L6" s="178">
        <f t="shared" si="1"/>
        <v>42644</v>
      </c>
      <c r="M6" s="178">
        <f t="shared" si="1"/>
        <v>42675</v>
      </c>
      <c r="N6" s="178">
        <f t="shared" si="1"/>
        <v>42705</v>
      </c>
      <c r="O6" s="12"/>
      <c r="P6" s="25" t="s">
        <v>263</v>
      </c>
    </row>
    <row r="7" outlineLevel="1">
      <c r="A7" s="25" t="s">
        <v>452</v>
      </c>
      <c r="B7" s="12"/>
      <c r="C7" s="153" t="str">
        <f>'Balance Sheet'!Base_Cash</f>
        <v>#NAME?</v>
      </c>
      <c r="D7" s="153" t="str">
        <f t="shared" ref="D7:O7" si="2">C35</f>
        <v>#NAME?</v>
      </c>
      <c r="E7" s="153" t="str">
        <f t="shared" si="2"/>
        <v>#NAME?</v>
      </c>
      <c r="F7" s="153" t="str">
        <f t="shared" si="2"/>
        <v>#NAME?</v>
      </c>
      <c r="G7" s="153" t="str">
        <f t="shared" si="2"/>
        <v>#NAME?</v>
      </c>
      <c r="H7" s="153" t="str">
        <f t="shared" si="2"/>
        <v>#NAME?</v>
      </c>
      <c r="I7" s="153" t="str">
        <f t="shared" si="2"/>
        <v>#NAME?</v>
      </c>
      <c r="J7" s="153" t="str">
        <f t="shared" si="2"/>
        <v>#NAME?</v>
      </c>
      <c r="K7" s="153" t="str">
        <f t="shared" si="2"/>
        <v>#NAME?</v>
      </c>
      <c r="L7" s="153" t="str">
        <f t="shared" si="2"/>
        <v>#NAME?</v>
      </c>
      <c r="M7" s="153" t="str">
        <f t="shared" si="2"/>
        <v>#NAME?</v>
      </c>
      <c r="N7" s="153" t="str">
        <f t="shared" si="2"/>
        <v>#NAME?</v>
      </c>
      <c r="O7" s="153" t="str">
        <f t="shared" si="2"/>
        <v>#NAME?</v>
      </c>
      <c r="P7" s="153"/>
    </row>
    <row r="8" outlineLevel="1">
      <c r="A8" s="12"/>
      <c r="B8" s="12"/>
      <c r="C8" s="12"/>
      <c r="D8" s="12"/>
      <c r="E8" s="12"/>
      <c r="F8" s="12"/>
      <c r="G8" s="12"/>
      <c r="H8" s="12"/>
      <c r="I8" s="12"/>
      <c r="J8" s="12"/>
      <c r="K8" s="12"/>
      <c r="L8" s="12"/>
      <c r="M8" s="12"/>
      <c r="N8" s="12"/>
      <c r="O8" s="12"/>
      <c r="P8" s="12"/>
    </row>
    <row r="9" outlineLevel="1">
      <c r="A9" s="25" t="s">
        <v>454</v>
      </c>
      <c r="B9" s="12"/>
      <c r="C9" s="12"/>
      <c r="D9" s="12"/>
      <c r="E9" s="12"/>
      <c r="F9" s="12"/>
      <c r="G9" s="12"/>
      <c r="H9" s="12"/>
      <c r="I9" s="12"/>
      <c r="J9" s="12"/>
      <c r="K9" s="12"/>
      <c r="L9" s="12"/>
      <c r="M9" s="12"/>
      <c r="N9" s="12"/>
      <c r="O9" s="12"/>
      <c r="P9" s="12"/>
    </row>
    <row r="10" outlineLevel="1">
      <c r="A10" s="237" t="s">
        <v>455</v>
      </c>
      <c r="B10" s="12"/>
      <c r="C10" s="67">
        <f>'Income Statement'!E14*Collection30Days</f>
        <v>1700</v>
      </c>
      <c r="D10" s="67">
        <f>'Income Statement'!F14*Collection30Days</f>
        <v>2550</v>
      </c>
      <c r="E10" s="67">
        <f>'Income Statement'!G14*Collection30Days</f>
        <v>2550</v>
      </c>
      <c r="F10" s="67">
        <f>'Income Statement'!H14*Collection30Days</f>
        <v>2550</v>
      </c>
      <c r="G10" s="67">
        <f>'Income Statement'!I14*Collection30Days</f>
        <v>5100</v>
      </c>
      <c r="H10" s="67">
        <f>'Income Statement'!J14*Collection30Days</f>
        <v>5100</v>
      </c>
      <c r="I10" s="67">
        <f>'Income Statement'!K14*Collection30Days</f>
        <v>5100</v>
      </c>
      <c r="J10" s="67">
        <f>'Income Statement'!L14*Collection30Days</f>
        <v>5100</v>
      </c>
      <c r="K10" s="67">
        <f>'Income Statement'!M14*Collection30Days</f>
        <v>8500</v>
      </c>
      <c r="L10" s="67">
        <f>'Income Statement'!N14*Collection30Days</f>
        <v>8500</v>
      </c>
      <c r="M10" s="67">
        <f>'Income Statement'!O14*Collection30Days</f>
        <v>8500</v>
      </c>
      <c r="N10" s="67">
        <f>'Income Statement'!P14*Collection30Days</f>
        <v>8500</v>
      </c>
      <c r="O10" s="12"/>
      <c r="P10" s="471">
        <f t="shared" ref="P10:P15" si="3">SUM(C10:N10)</f>
        <v>63750</v>
      </c>
    </row>
    <row r="11" outlineLevel="1">
      <c r="A11" s="237" t="s">
        <v>456</v>
      </c>
      <c r="B11" s="12"/>
      <c r="C11" s="302"/>
      <c r="D11" s="302">
        <f>'Income Statement'!E14*Collection60Days</f>
        <v>0</v>
      </c>
      <c r="E11" s="302">
        <f>'Income Statement'!F14*Collection60Days+'Income Statement'!E14*Collection90Days</f>
        <v>0</v>
      </c>
      <c r="F11" s="302">
        <f>'Income Statement'!G14*Collection60Days+'Income Statement'!F14*Collection90Days</f>
        <v>0</v>
      </c>
      <c r="G11" s="302">
        <f>'Income Statement'!H14*Collection60Days+'Income Statement'!G14*Collection90Days</f>
        <v>0</v>
      </c>
      <c r="H11" s="302">
        <f>'Income Statement'!I14*Collection60Days+'Income Statement'!H14*Collection90Days</f>
        <v>0</v>
      </c>
      <c r="I11" s="302">
        <f>'Income Statement'!J14*Collection60Days+'Income Statement'!I14*Collection90Days</f>
        <v>0</v>
      </c>
      <c r="J11" s="302">
        <f>'Income Statement'!K14*Collection60Days+'Income Statement'!J14*Collection90Days</f>
        <v>0</v>
      </c>
      <c r="K11" s="302">
        <f>'Income Statement'!L14*Collection60Days+'Income Statement'!K14*Collection90Days</f>
        <v>0</v>
      </c>
      <c r="L11" s="302">
        <f>'Income Statement'!M14*Collection60Days+'Income Statement'!L14*Collection90Days</f>
        <v>0</v>
      </c>
      <c r="M11" s="302">
        <f>'Income Statement'!N14*Collection60Days+'Income Statement'!M14*Collection90Days</f>
        <v>0</v>
      </c>
      <c r="N11" s="302">
        <f>'Income Statement'!O14*Collection60Days+'Income Statement'!N14*Collection90Days</f>
        <v>0</v>
      </c>
      <c r="O11" s="67">
        <f>'Income Statement'!P14*Collection60Days+'Income Statement'!O14*Collection90Days</f>
        <v>0</v>
      </c>
      <c r="P11" s="471">
        <f t="shared" si="3"/>
        <v>0</v>
      </c>
    </row>
    <row r="12" outlineLevel="1">
      <c r="A12" s="237" t="s">
        <v>457</v>
      </c>
      <c r="B12" s="12"/>
      <c r="C12" s="472">
        <v>0.0</v>
      </c>
      <c r="D12" s="472">
        <v>0.0</v>
      </c>
      <c r="E12" s="472">
        <v>0.0</v>
      </c>
      <c r="F12" s="472">
        <v>0.0</v>
      </c>
      <c r="G12" s="472">
        <v>0.0</v>
      </c>
      <c r="H12" s="472">
        <v>0.0</v>
      </c>
      <c r="I12" s="472">
        <v>0.0</v>
      </c>
      <c r="J12" s="472">
        <v>0.0</v>
      </c>
      <c r="K12" s="472">
        <v>0.0</v>
      </c>
      <c r="L12" s="472">
        <v>0.0</v>
      </c>
      <c r="M12" s="472">
        <v>0.0</v>
      </c>
      <c r="N12" s="472">
        <v>0.0</v>
      </c>
      <c r="O12" s="12"/>
      <c r="P12" s="471">
        <f t="shared" si="3"/>
        <v>0</v>
      </c>
    </row>
    <row r="13" outlineLevel="1">
      <c r="A13" s="237" t="s">
        <v>458</v>
      </c>
      <c r="B13" s="12"/>
      <c r="C13" s="472">
        <v>0.0</v>
      </c>
      <c r="D13" s="472">
        <v>0.0</v>
      </c>
      <c r="E13" s="472">
        <v>0.0</v>
      </c>
      <c r="F13" s="472">
        <v>0.0</v>
      </c>
      <c r="G13" s="472">
        <v>0.0</v>
      </c>
      <c r="H13" s="472">
        <v>0.0</v>
      </c>
      <c r="I13" s="472">
        <v>0.0</v>
      </c>
      <c r="J13" s="472">
        <v>0.0</v>
      </c>
      <c r="K13" s="472">
        <v>0.0</v>
      </c>
      <c r="L13" s="472">
        <v>0.0</v>
      </c>
      <c r="M13" s="472">
        <v>0.0</v>
      </c>
      <c r="N13" s="472">
        <v>0.0</v>
      </c>
      <c r="O13" s="12"/>
      <c r="P13" s="471">
        <f t="shared" si="3"/>
        <v>0</v>
      </c>
    </row>
    <row r="14" outlineLevel="1">
      <c r="A14" s="237" t="s">
        <v>448</v>
      </c>
      <c r="B14" s="12"/>
      <c r="C14" s="473"/>
      <c r="D14" s="473"/>
      <c r="E14" s="473"/>
      <c r="F14" s="473"/>
      <c r="G14" s="473"/>
      <c r="H14" s="473"/>
      <c r="I14" s="473"/>
      <c r="J14" s="473"/>
      <c r="K14" s="473"/>
      <c r="L14" s="473"/>
      <c r="M14" s="473"/>
      <c r="N14" s="473"/>
      <c r="O14" s="12"/>
      <c r="P14" s="471">
        <f t="shared" si="3"/>
        <v>0</v>
      </c>
    </row>
    <row r="15" outlineLevel="1">
      <c r="A15" s="378" t="s">
        <v>459</v>
      </c>
      <c r="B15" s="12"/>
      <c r="C15" s="474">
        <f t="shared" ref="C15:N15" si="4">SUM(C10:C14)</f>
        <v>1700</v>
      </c>
      <c r="D15" s="474">
        <f t="shared" si="4"/>
        <v>2550</v>
      </c>
      <c r="E15" s="474">
        <f t="shared" si="4"/>
        <v>2550</v>
      </c>
      <c r="F15" s="474">
        <f t="shared" si="4"/>
        <v>2550</v>
      </c>
      <c r="G15" s="474">
        <f t="shared" si="4"/>
        <v>5100</v>
      </c>
      <c r="H15" s="474">
        <f t="shared" si="4"/>
        <v>5100</v>
      </c>
      <c r="I15" s="474">
        <f t="shared" si="4"/>
        <v>5100</v>
      </c>
      <c r="J15" s="474">
        <f t="shared" si="4"/>
        <v>5100</v>
      </c>
      <c r="K15" s="474">
        <f t="shared" si="4"/>
        <v>8500</v>
      </c>
      <c r="L15" s="474">
        <f t="shared" si="4"/>
        <v>8500</v>
      </c>
      <c r="M15" s="474">
        <f t="shared" si="4"/>
        <v>8500</v>
      </c>
      <c r="N15" s="474">
        <f t="shared" si="4"/>
        <v>8500</v>
      </c>
      <c r="O15" s="12"/>
      <c r="P15" s="471">
        <f t="shared" si="3"/>
        <v>63750</v>
      </c>
    </row>
    <row r="16" outlineLevel="1">
      <c r="A16" s="12"/>
      <c r="B16" s="12"/>
      <c r="C16" s="12"/>
      <c r="D16" s="12"/>
      <c r="E16" s="12"/>
      <c r="F16" s="12"/>
      <c r="G16" s="12"/>
      <c r="H16" s="12"/>
      <c r="I16" s="12"/>
      <c r="J16" s="12"/>
      <c r="K16" s="12"/>
      <c r="L16" s="12"/>
      <c r="M16" s="12"/>
      <c r="N16" s="12"/>
      <c r="O16" s="12"/>
      <c r="P16" s="12"/>
    </row>
    <row r="17" outlineLevel="1">
      <c r="A17" s="12"/>
      <c r="B17" s="12"/>
      <c r="C17" s="12"/>
      <c r="D17" s="12"/>
      <c r="E17" s="12"/>
      <c r="F17" s="12"/>
      <c r="G17" s="12"/>
      <c r="H17" s="12"/>
      <c r="I17" s="12"/>
      <c r="J17" s="12"/>
      <c r="K17" s="12"/>
      <c r="L17" s="12"/>
      <c r="M17" s="12"/>
      <c r="N17" s="153"/>
      <c r="O17" s="12"/>
      <c r="P17" s="12"/>
    </row>
    <row r="18" outlineLevel="1">
      <c r="A18" s="25" t="s">
        <v>460</v>
      </c>
      <c r="B18" s="12"/>
      <c r="C18" s="12"/>
      <c r="D18" s="12"/>
      <c r="E18" s="12"/>
      <c r="F18" s="12"/>
      <c r="G18" s="12"/>
      <c r="H18" s="12"/>
      <c r="I18" s="12"/>
      <c r="J18" s="12"/>
      <c r="K18" s="12"/>
      <c r="L18" s="12"/>
      <c r="M18" s="12"/>
      <c r="N18" s="12"/>
      <c r="O18" s="12"/>
      <c r="P18" s="12"/>
    </row>
    <row r="19" outlineLevel="1">
      <c r="A19" s="237" t="s">
        <v>461</v>
      </c>
      <c r="B19" s="12"/>
      <c r="C19" s="124"/>
      <c r="D19" s="124"/>
      <c r="E19" s="124"/>
      <c r="F19" s="124"/>
      <c r="G19" s="124"/>
      <c r="H19" s="124"/>
      <c r="I19" s="124"/>
      <c r="J19" s="124"/>
      <c r="K19" s="124"/>
      <c r="L19" s="124"/>
      <c r="M19" s="124"/>
      <c r="N19" s="124"/>
      <c r="O19" s="12"/>
      <c r="P19" s="471">
        <f t="shared" ref="P19:P29" si="5">SUM(C19:N19)</f>
        <v>0</v>
      </c>
    </row>
    <row r="20" outlineLevel="1">
      <c r="A20" s="237" t="s">
        <v>462</v>
      </c>
      <c r="B20" s="12"/>
      <c r="C20" s="302">
        <f>'Income Statement'!E25*Payable30Days</f>
        <v>510</v>
      </c>
      <c r="D20" s="302">
        <f>('Income Statement'!F25*Payable30Days)+('Income Statement'!E25*Payable60Days)</f>
        <v>765</v>
      </c>
      <c r="E20" s="302">
        <f>('Income Statement'!G25*Payable30Days)+('Income Statement'!F25*Payable60Days)+('Income Statement'!E25*Payable90Days)</f>
        <v>765</v>
      </c>
      <c r="F20" s="302">
        <f>('Income Statement'!H25*Payable30Days)+('Income Statement'!G25*Payable60Days)+('Income Statement'!F25*Payable90Days)</f>
        <v>765</v>
      </c>
      <c r="G20" s="302">
        <f>('Income Statement'!I25*Payable30Days)+('Income Statement'!H25*Payable60Days)+('Income Statement'!G25*Payable90Days)</f>
        <v>1530</v>
      </c>
      <c r="H20" s="302">
        <f>('Income Statement'!J25*Payable30Days)+('Income Statement'!I25*Payable60Days)+('Income Statement'!H25*Payable90Days)</f>
        <v>1530</v>
      </c>
      <c r="I20" s="302">
        <f>('Income Statement'!K25*Payable30Days)+('Income Statement'!J25*Payable60Days)+('Income Statement'!I25*Payable90Days)</f>
        <v>1530</v>
      </c>
      <c r="J20" s="302">
        <f>('Income Statement'!L25*Payable30Days)+('Income Statement'!K25*Payable60Days)+('Income Statement'!J25*Payable90Days)</f>
        <v>1530</v>
      </c>
      <c r="K20" s="302">
        <f>('Income Statement'!M25*Payable30Days)+('Income Statement'!L25*Payable60Days)+('Income Statement'!K25*Payable90Days)</f>
        <v>2550</v>
      </c>
      <c r="L20" s="302">
        <f>('Income Statement'!N25*Payable30Days)+('Income Statement'!M25*Payable60Days)+('Income Statement'!L25*Payable90Days)</f>
        <v>2550</v>
      </c>
      <c r="M20" s="302">
        <f>('Income Statement'!O25*Payable30Days)+('Income Statement'!N25*Payable60Days)+('Income Statement'!M25*Payable90Days)</f>
        <v>2550</v>
      </c>
      <c r="N20" s="302">
        <f>('Income Statement'!P25*Payable30Days)+('Income Statement'!O25*Payable60Days)+('Income Statement'!N25*Payable90Days)</f>
        <v>2550</v>
      </c>
      <c r="O20" s="12"/>
      <c r="P20" s="471">
        <f t="shared" si="5"/>
        <v>19125</v>
      </c>
    </row>
    <row r="21" ht="15.75" customHeight="1" outlineLevel="1">
      <c r="A21" s="237" t="s">
        <v>416</v>
      </c>
      <c r="B21" s="12"/>
      <c r="C21" s="124"/>
      <c r="D21" s="124"/>
      <c r="E21" s="124"/>
      <c r="F21" s="124"/>
      <c r="G21" s="124"/>
      <c r="H21" s="124"/>
      <c r="I21" s="124"/>
      <c r="J21" s="124"/>
      <c r="K21" s="124"/>
      <c r="L21" s="124"/>
      <c r="M21" s="124"/>
      <c r="N21" s="124"/>
      <c r="O21" s="12"/>
      <c r="P21" s="471">
        <f t="shared" si="5"/>
        <v>0</v>
      </c>
    </row>
    <row r="22" ht="15.75" customHeight="1" outlineLevel="1">
      <c r="A22" s="237" t="s">
        <v>392</v>
      </c>
      <c r="B22" s="12"/>
      <c r="C22" s="302">
        <f>'Income Statement'!E72-'Income Statement'!E70-'Income Statement'!E64</f>
        <v>3184</v>
      </c>
      <c r="D22" s="302">
        <f>'Income Statement'!F72-'Income Statement'!F70-'Income Statement'!F64</f>
        <v>3201</v>
      </c>
      <c r="E22" s="302">
        <f>'Income Statement'!G72-'Income Statement'!G70-'Income Statement'!G64</f>
        <v>3201</v>
      </c>
      <c r="F22" s="302">
        <f>'Income Statement'!H72-'Income Statement'!H70-'Income Statement'!H64</f>
        <v>3201</v>
      </c>
      <c r="G22" s="302">
        <f>'Income Statement'!I72-'Income Statement'!I70-'Income Statement'!I64</f>
        <v>3252</v>
      </c>
      <c r="H22" s="302">
        <f>'Income Statement'!J72-'Income Statement'!J70-'Income Statement'!J64</f>
        <v>3252</v>
      </c>
      <c r="I22" s="302">
        <f>'Income Statement'!K72-'Income Statement'!K70-'Income Statement'!K64</f>
        <v>3252</v>
      </c>
      <c r="J22" s="302">
        <f>'Income Statement'!L72-'Income Statement'!L70-'Income Statement'!L64</f>
        <v>3252</v>
      </c>
      <c r="K22" s="302">
        <f>'Income Statement'!M72-'Income Statement'!M70-'Income Statement'!M64</f>
        <v>3320</v>
      </c>
      <c r="L22" s="302">
        <f>'Income Statement'!N72-'Income Statement'!N70-'Income Statement'!N64</f>
        <v>3320</v>
      </c>
      <c r="M22" s="302">
        <f>'Income Statement'!O72-'Income Statement'!O70-'Income Statement'!O64</f>
        <v>3320</v>
      </c>
      <c r="N22" s="302">
        <f>'Income Statement'!P72-'Income Statement'!P70-'Income Statement'!P64</f>
        <v>3320</v>
      </c>
      <c r="O22" s="302">
        <f>'Income Statement'!Q72-'Income Statement'!Q70</f>
        <v>39075</v>
      </c>
      <c r="P22" s="471">
        <f t="shared" si="5"/>
        <v>39075</v>
      </c>
    </row>
    <row r="23" ht="15.75" customHeight="1" outlineLevel="1">
      <c r="A23" s="237" t="s">
        <v>363</v>
      </c>
      <c r="B23" s="12"/>
      <c r="C23" s="302">
        <f>'Income Statement'!E34</f>
        <v>4022.988506</v>
      </c>
      <c r="D23" s="302">
        <f>'Income Statement'!F34</f>
        <v>4166.666667</v>
      </c>
      <c r="E23" s="302">
        <f>'Income Statement'!G34</f>
        <v>4166.666667</v>
      </c>
      <c r="F23" s="302">
        <f>'Income Statement'!H34</f>
        <v>4166.666667</v>
      </c>
      <c r="G23" s="302">
        <f>'Income Statement'!I34</f>
        <v>4166.666667</v>
      </c>
      <c r="H23" s="302">
        <f>'Income Statement'!J34</f>
        <v>4166.666667</v>
      </c>
      <c r="I23" s="302">
        <f>'Income Statement'!K34</f>
        <v>4166.666667</v>
      </c>
      <c r="J23" s="302">
        <f>'Income Statement'!L34</f>
        <v>4166.666667</v>
      </c>
      <c r="K23" s="302">
        <f>'Income Statement'!M34</f>
        <v>4166.666667</v>
      </c>
      <c r="L23" s="302">
        <f>'Income Statement'!N34</f>
        <v>4166.666667</v>
      </c>
      <c r="M23" s="302">
        <f>'Income Statement'!O34</f>
        <v>4166.666667</v>
      </c>
      <c r="N23" s="302">
        <f>'Income Statement'!P34</f>
        <v>4166.666667</v>
      </c>
      <c r="O23" s="12"/>
      <c r="P23" s="471">
        <f t="shared" si="5"/>
        <v>49856.32184</v>
      </c>
    </row>
    <row r="24" ht="15.75" customHeight="1" outlineLevel="1">
      <c r="A24" s="237" t="s">
        <v>463</v>
      </c>
      <c r="B24" s="12"/>
      <c r="C24" s="302">
        <f>'Income Statement'!E64+'Income Statement'!E83</f>
        <v>0</v>
      </c>
      <c r="D24" s="302">
        <f>'Income Statement'!F64+'Income Statement'!F83</f>
        <v>0</v>
      </c>
      <c r="E24" s="302">
        <f>'Income Statement'!G64+'Income Statement'!G83</f>
        <v>0</v>
      </c>
      <c r="F24" s="302">
        <f>'Income Statement'!H64+'Income Statement'!H83</f>
        <v>0</v>
      </c>
      <c r="G24" s="302">
        <f>'Income Statement'!I64+'Income Statement'!I83</f>
        <v>0</v>
      </c>
      <c r="H24" s="302">
        <f>'Income Statement'!J64+'Income Statement'!J83</f>
        <v>0</v>
      </c>
      <c r="I24" s="302">
        <f>'Income Statement'!K64+'Income Statement'!K83</f>
        <v>0</v>
      </c>
      <c r="J24" s="302">
        <f>'Income Statement'!L64+'Income Statement'!L83</f>
        <v>0</v>
      </c>
      <c r="K24" s="302">
        <f>'Income Statement'!M64+'Income Statement'!M83</f>
        <v>0</v>
      </c>
      <c r="L24" s="302">
        <f>'Income Statement'!N64+'Income Statement'!N83</f>
        <v>0</v>
      </c>
      <c r="M24" s="302">
        <f>'Income Statement'!O64+'Income Statement'!O83</f>
        <v>0</v>
      </c>
      <c r="N24" s="302">
        <f>'Income Statement'!P64+'Income Statement'!P83</f>
        <v>0</v>
      </c>
      <c r="O24" s="302">
        <f>'Income Statement'!Q64+'Income Statement'!Q83</f>
        <v>0</v>
      </c>
      <c r="P24" s="471">
        <f t="shared" si="5"/>
        <v>0</v>
      </c>
    </row>
    <row r="25" ht="15.75" customHeight="1" outlineLevel="1">
      <c r="A25" s="237" t="s">
        <v>464</v>
      </c>
      <c r="B25" s="12"/>
      <c r="C25" s="302">
        <f>'Loan Schedule'!C32</f>
        <v>0</v>
      </c>
      <c r="D25" s="302">
        <f>'Loan Schedule'!D32</f>
        <v>0</v>
      </c>
      <c r="E25" s="302">
        <f>'Loan Schedule'!E32</f>
        <v>0</v>
      </c>
      <c r="F25" s="302">
        <f>'Loan Schedule'!F32</f>
        <v>0</v>
      </c>
      <c r="G25" s="302">
        <f>'Loan Schedule'!G32</f>
        <v>0</v>
      </c>
      <c r="H25" s="302">
        <f>'Loan Schedule'!H32</f>
        <v>0</v>
      </c>
      <c r="I25" s="302">
        <f>'Loan Schedule'!I32</f>
        <v>0</v>
      </c>
      <c r="J25" s="302">
        <f>'Loan Schedule'!J32</f>
        <v>0</v>
      </c>
      <c r="K25" s="302">
        <f>'Loan Schedule'!K32</f>
        <v>0</v>
      </c>
      <c r="L25" s="302">
        <f>'Loan Schedule'!L32</f>
        <v>0</v>
      </c>
      <c r="M25" s="302">
        <f>'Loan Schedule'!M32</f>
        <v>0</v>
      </c>
      <c r="N25" s="302">
        <f>'Loan Schedule'!N32</f>
        <v>0</v>
      </c>
      <c r="O25" s="12"/>
      <c r="P25" s="471">
        <f t="shared" si="5"/>
        <v>0</v>
      </c>
    </row>
    <row r="26" ht="15.75" customHeight="1" outlineLevel="1">
      <c r="A26" s="237" t="s">
        <v>453</v>
      </c>
      <c r="B26" s="12"/>
      <c r="C26" s="302">
        <f>'Income Statement'!E79</f>
        <v>0</v>
      </c>
      <c r="D26" s="302">
        <f>'Income Statement'!F79</f>
        <v>0</v>
      </c>
      <c r="E26" s="302">
        <f>'Income Statement'!G79</f>
        <v>0</v>
      </c>
      <c r="F26" s="302">
        <f>'Income Statement'!H79</f>
        <v>0</v>
      </c>
      <c r="G26" s="302">
        <f>'Income Statement'!I79</f>
        <v>0</v>
      </c>
      <c r="H26" s="302">
        <f>'Income Statement'!J79</f>
        <v>0</v>
      </c>
      <c r="I26" s="302">
        <f>'Income Statement'!K79</f>
        <v>0</v>
      </c>
      <c r="J26" s="302">
        <f>'Income Statement'!L79</f>
        <v>0</v>
      </c>
      <c r="K26" s="302">
        <f>'Income Statement'!M79</f>
        <v>0</v>
      </c>
      <c r="L26" s="302">
        <f>'Income Statement'!N79</f>
        <v>0</v>
      </c>
      <c r="M26" s="302">
        <f>'Income Statement'!O79</f>
        <v>0</v>
      </c>
      <c r="N26" s="302">
        <f>'Income Statement'!P79</f>
        <v>0</v>
      </c>
      <c r="O26" s="12"/>
      <c r="P26" s="471">
        <f t="shared" si="5"/>
        <v>0</v>
      </c>
    </row>
    <row r="27" ht="15.75" customHeight="1" outlineLevel="1">
      <c r="A27" s="237" t="s">
        <v>428</v>
      </c>
      <c r="B27" s="12"/>
      <c r="C27" s="472"/>
      <c r="D27" s="472"/>
      <c r="E27" s="472"/>
      <c r="F27" s="472"/>
      <c r="G27" s="472"/>
      <c r="H27" s="472"/>
      <c r="I27" s="472"/>
      <c r="J27" s="472"/>
      <c r="K27" s="472"/>
      <c r="L27" s="472"/>
      <c r="M27" s="472"/>
      <c r="N27" s="472"/>
      <c r="O27" s="12"/>
      <c r="P27" s="471">
        <f t="shared" si="5"/>
        <v>0</v>
      </c>
    </row>
    <row r="28" ht="15.75" customHeight="1" outlineLevel="1">
      <c r="A28" s="237" t="s">
        <v>465</v>
      </c>
      <c r="B28" s="12"/>
      <c r="C28" s="472"/>
      <c r="D28" s="472"/>
      <c r="E28" s="472"/>
      <c r="F28" s="472"/>
      <c r="G28" s="472"/>
      <c r="H28" s="472"/>
      <c r="I28" s="472"/>
      <c r="J28" s="472"/>
      <c r="K28" s="472"/>
      <c r="L28" s="472"/>
      <c r="M28" s="472"/>
      <c r="N28" s="472"/>
      <c r="O28" s="12"/>
      <c r="P28" s="471">
        <f t="shared" si="5"/>
        <v>0</v>
      </c>
    </row>
    <row r="29" ht="15.75" customHeight="1" outlineLevel="1">
      <c r="A29" s="378" t="s">
        <v>466</v>
      </c>
      <c r="B29" s="12"/>
      <c r="C29" s="321">
        <f t="shared" ref="C29:N29" si="6">SUM(C19:C28)</f>
        <v>7716.988506</v>
      </c>
      <c r="D29" s="321">
        <f t="shared" si="6"/>
        <v>8132.666667</v>
      </c>
      <c r="E29" s="321">
        <f t="shared" si="6"/>
        <v>8132.666667</v>
      </c>
      <c r="F29" s="321">
        <f t="shared" si="6"/>
        <v>8132.666667</v>
      </c>
      <c r="G29" s="321">
        <f t="shared" si="6"/>
        <v>8948.666667</v>
      </c>
      <c r="H29" s="321">
        <f t="shared" si="6"/>
        <v>8948.666667</v>
      </c>
      <c r="I29" s="321">
        <f t="shared" si="6"/>
        <v>8948.666667</v>
      </c>
      <c r="J29" s="321">
        <f t="shared" si="6"/>
        <v>8948.666667</v>
      </c>
      <c r="K29" s="321">
        <f t="shared" si="6"/>
        <v>10036.66667</v>
      </c>
      <c r="L29" s="321">
        <f t="shared" si="6"/>
        <v>10036.66667</v>
      </c>
      <c r="M29" s="321">
        <f t="shared" si="6"/>
        <v>10036.66667</v>
      </c>
      <c r="N29" s="321">
        <f t="shared" si="6"/>
        <v>10036.66667</v>
      </c>
      <c r="O29" s="12"/>
      <c r="P29" s="471">
        <f t="shared" si="5"/>
        <v>108056.3218</v>
      </c>
    </row>
    <row r="30" ht="15.75" customHeight="1" outlineLevel="1">
      <c r="A30" s="237"/>
      <c r="B30" s="12"/>
      <c r="C30" s="12"/>
      <c r="D30" s="12"/>
      <c r="E30" s="12"/>
      <c r="F30" s="12"/>
      <c r="G30" s="12"/>
      <c r="H30" s="12"/>
      <c r="I30" s="12"/>
      <c r="J30" s="12"/>
      <c r="K30" s="12"/>
      <c r="L30" s="12"/>
      <c r="M30" s="12"/>
      <c r="N30" s="12"/>
      <c r="O30" s="12"/>
      <c r="P30" s="12"/>
    </row>
    <row r="31" ht="15.75" customHeight="1" outlineLevel="1">
      <c r="A31" s="12"/>
      <c r="B31" s="12"/>
      <c r="C31" s="12"/>
      <c r="D31" s="12"/>
      <c r="E31" s="12"/>
      <c r="F31" s="12"/>
      <c r="G31" s="12"/>
      <c r="H31" s="12"/>
      <c r="I31" s="12"/>
      <c r="J31" s="12"/>
      <c r="K31" s="12"/>
      <c r="L31" s="12"/>
      <c r="M31" s="12"/>
      <c r="N31" s="12"/>
      <c r="O31" s="12"/>
      <c r="P31" s="12"/>
    </row>
    <row r="32" ht="15.75" customHeight="1" outlineLevel="1">
      <c r="A32" s="25" t="s">
        <v>467</v>
      </c>
      <c r="B32" s="12"/>
      <c r="C32" s="443">
        <f t="shared" ref="C32:N32" si="7">C15-C29</f>
        <v>-6016.988506</v>
      </c>
      <c r="D32" s="443">
        <f t="shared" si="7"/>
        <v>-5582.666667</v>
      </c>
      <c r="E32" s="443">
        <f t="shared" si="7"/>
        <v>-5582.666667</v>
      </c>
      <c r="F32" s="443">
        <f t="shared" si="7"/>
        <v>-5582.666667</v>
      </c>
      <c r="G32" s="443">
        <f t="shared" si="7"/>
        <v>-3848.666667</v>
      </c>
      <c r="H32" s="443">
        <f t="shared" si="7"/>
        <v>-3848.666667</v>
      </c>
      <c r="I32" s="443">
        <f t="shared" si="7"/>
        <v>-3848.666667</v>
      </c>
      <c r="J32" s="443">
        <f t="shared" si="7"/>
        <v>-3848.666667</v>
      </c>
      <c r="K32" s="443">
        <f t="shared" si="7"/>
        <v>-1536.666667</v>
      </c>
      <c r="L32" s="443">
        <f t="shared" si="7"/>
        <v>-1536.666667</v>
      </c>
      <c r="M32" s="443">
        <f t="shared" si="7"/>
        <v>-1536.666667</v>
      </c>
      <c r="N32" s="443">
        <f t="shared" si="7"/>
        <v>-1536.666667</v>
      </c>
      <c r="O32" s="12"/>
      <c r="P32" s="471">
        <f>SUM(C32:N32)</f>
        <v>-44306.32184</v>
      </c>
    </row>
    <row r="33" ht="15.75" customHeight="1" outlineLevel="1">
      <c r="A33" s="25"/>
      <c r="B33" s="12"/>
      <c r="C33" s="12"/>
      <c r="D33" s="12"/>
      <c r="E33" s="12"/>
      <c r="F33" s="12"/>
      <c r="G33" s="12"/>
      <c r="H33" s="12"/>
      <c r="I33" s="12"/>
      <c r="J33" s="12"/>
      <c r="K33" s="12"/>
      <c r="L33" s="12"/>
      <c r="M33" s="12"/>
      <c r="N33" s="12"/>
      <c r="O33" s="12"/>
      <c r="P33" s="12"/>
    </row>
    <row r="34" ht="16.5" customHeight="1" outlineLevel="1">
      <c r="A34" s="12"/>
      <c r="B34" s="12"/>
      <c r="C34" s="12"/>
      <c r="D34" s="12"/>
      <c r="E34" s="12"/>
      <c r="F34" s="12"/>
      <c r="G34" s="12"/>
      <c r="H34" s="12"/>
      <c r="I34" s="12"/>
      <c r="J34" s="12"/>
      <c r="K34" s="12"/>
      <c r="L34" s="12"/>
      <c r="M34" s="12"/>
      <c r="N34" s="12"/>
      <c r="O34" s="12"/>
      <c r="P34" s="12"/>
    </row>
    <row r="35" ht="15.75" customHeight="1" outlineLevel="1">
      <c r="A35" s="25" t="s">
        <v>468</v>
      </c>
      <c r="B35" s="12"/>
      <c r="C35" s="153" t="str">
        <f t="shared" ref="C35:N35" si="8">C32+C7</f>
        <v>#NAME?</v>
      </c>
      <c r="D35" s="153" t="str">
        <f t="shared" si="8"/>
        <v>#NAME?</v>
      </c>
      <c r="E35" s="153" t="str">
        <f t="shared" si="8"/>
        <v>#NAME?</v>
      </c>
      <c r="F35" s="153" t="str">
        <f t="shared" si="8"/>
        <v>#NAME?</v>
      </c>
      <c r="G35" s="153" t="str">
        <f t="shared" si="8"/>
        <v>#NAME?</v>
      </c>
      <c r="H35" s="153" t="str">
        <f t="shared" si="8"/>
        <v>#NAME?</v>
      </c>
      <c r="I35" s="153" t="str">
        <f t="shared" si="8"/>
        <v>#NAME?</v>
      </c>
      <c r="J35" s="153" t="str">
        <f t="shared" si="8"/>
        <v>#NAME?</v>
      </c>
      <c r="K35" s="153" t="str">
        <f t="shared" si="8"/>
        <v>#NAME?</v>
      </c>
      <c r="L35" s="153" t="str">
        <f t="shared" si="8"/>
        <v>#NAME?</v>
      </c>
      <c r="M35" s="153" t="str">
        <f t="shared" si="8"/>
        <v>#NAME?</v>
      </c>
      <c r="N35" s="153" t="str">
        <f t="shared" si="8"/>
        <v>#NAME?</v>
      </c>
      <c r="O35" s="12"/>
      <c r="P35" s="153"/>
    </row>
    <row r="36" ht="15.75" customHeight="1" outlineLevel="1">
      <c r="A36" s="12"/>
      <c r="B36" s="12"/>
      <c r="C36" s="12"/>
      <c r="D36" s="12"/>
      <c r="E36" s="12"/>
      <c r="F36" s="12"/>
      <c r="G36" s="12"/>
      <c r="H36" s="12"/>
      <c r="I36" s="12"/>
      <c r="J36" s="12"/>
      <c r="K36" s="12"/>
      <c r="L36" s="12"/>
      <c r="M36" s="12"/>
      <c r="N36" s="12"/>
      <c r="O36" s="12"/>
      <c r="P36" s="12"/>
    </row>
    <row r="37" ht="15.75" customHeight="1">
      <c r="A37" s="12"/>
      <c r="B37" s="12"/>
      <c r="C37" s="12"/>
      <c r="D37" s="12"/>
      <c r="E37" s="12"/>
      <c r="F37" s="12"/>
      <c r="G37" s="12"/>
      <c r="H37" s="12"/>
      <c r="I37" s="12"/>
      <c r="J37" s="12"/>
      <c r="K37" s="12"/>
      <c r="L37" s="12"/>
      <c r="M37" s="12"/>
      <c r="N37" s="12"/>
      <c r="O37" s="12"/>
      <c r="P37" s="12"/>
    </row>
    <row r="38" ht="15.75" customHeight="1">
      <c r="A38" s="476" t="str">
        <f>IF(ISBLANK(Company_Name),"Cash Flow | Year 2",Company_Name&amp;" | Cash Flow | Year 2")</f>
        <v>OTW Paints | Cash Flow | Year 2</v>
      </c>
      <c r="B38" s="12"/>
      <c r="C38" s="12"/>
      <c r="D38" s="12"/>
      <c r="E38" s="12"/>
      <c r="F38" s="12"/>
      <c r="G38" s="12"/>
      <c r="H38" s="12"/>
      <c r="I38" s="12"/>
      <c r="J38" s="153"/>
      <c r="K38" s="12"/>
      <c r="L38" s="12"/>
      <c r="M38" s="12"/>
      <c r="N38" s="12"/>
      <c r="O38" s="12"/>
      <c r="P38" s="12"/>
    </row>
    <row r="39" ht="15.75" customHeight="1" outlineLevel="1">
      <c r="A39" s="167"/>
      <c r="B39" s="11"/>
      <c r="C39" s="11"/>
      <c r="D39" s="11"/>
      <c r="E39" s="11"/>
      <c r="F39" s="11"/>
      <c r="G39" s="11"/>
      <c r="H39" s="11"/>
      <c r="I39" s="11"/>
      <c r="J39" s="11"/>
      <c r="K39" s="11"/>
      <c r="L39" s="11"/>
      <c r="M39" s="11"/>
      <c r="N39" s="11"/>
      <c r="O39" s="11"/>
      <c r="P39" s="11"/>
    </row>
    <row r="40" ht="15.75" customHeight="1" outlineLevel="1">
      <c r="A40" s="25"/>
      <c r="B40" s="12"/>
      <c r="C40" s="12"/>
      <c r="D40" s="12"/>
      <c r="E40" s="12"/>
      <c r="F40" s="12"/>
      <c r="G40" s="12"/>
      <c r="H40" s="12"/>
      <c r="I40" s="12"/>
      <c r="J40" s="12"/>
      <c r="K40" s="12"/>
      <c r="L40" s="12"/>
      <c r="M40" s="12"/>
      <c r="N40" s="12"/>
      <c r="O40" s="12"/>
      <c r="P40" s="12"/>
    </row>
    <row r="41" ht="15.75" customHeight="1" outlineLevel="1">
      <c r="A41" s="12"/>
      <c r="B41" s="12"/>
      <c r="C41" s="178">
        <f>DATE(YEAR(Projected_Start_Date)+1,1,1)</f>
        <v>42736</v>
      </c>
      <c r="D41" s="178">
        <f t="shared" ref="D41:N41" si="9">EDATE(C41,1)</f>
        <v>42767</v>
      </c>
      <c r="E41" s="178">
        <f t="shared" si="9"/>
        <v>42795</v>
      </c>
      <c r="F41" s="178">
        <f t="shared" si="9"/>
        <v>42826</v>
      </c>
      <c r="G41" s="178">
        <f t="shared" si="9"/>
        <v>42856</v>
      </c>
      <c r="H41" s="178">
        <f t="shared" si="9"/>
        <v>42887</v>
      </c>
      <c r="I41" s="178">
        <f t="shared" si="9"/>
        <v>42917</v>
      </c>
      <c r="J41" s="178">
        <f t="shared" si="9"/>
        <v>42948</v>
      </c>
      <c r="K41" s="178">
        <f t="shared" si="9"/>
        <v>42979</v>
      </c>
      <c r="L41" s="178">
        <f t="shared" si="9"/>
        <v>43009</v>
      </c>
      <c r="M41" s="178">
        <f t="shared" si="9"/>
        <v>43040</v>
      </c>
      <c r="N41" s="178">
        <f t="shared" si="9"/>
        <v>43070</v>
      </c>
      <c r="O41" s="12"/>
      <c r="P41" s="25" t="s">
        <v>263</v>
      </c>
    </row>
    <row r="42" ht="15.75" customHeight="1" outlineLevel="1">
      <c r="A42" s="25" t="s">
        <v>452</v>
      </c>
      <c r="B42" s="12"/>
      <c r="C42" s="153" t="str">
        <f>YR1_CashFlow_EndBalance</f>
        <v>#NAME?</v>
      </c>
      <c r="D42" s="153" t="str">
        <f t="shared" ref="D42:O42" si="10">C70</f>
        <v>#NAME?</v>
      </c>
      <c r="E42" s="153" t="str">
        <f t="shared" si="10"/>
        <v>#NAME?</v>
      </c>
      <c r="F42" s="153" t="str">
        <f t="shared" si="10"/>
        <v>#NAME?</v>
      </c>
      <c r="G42" s="153" t="str">
        <f t="shared" si="10"/>
        <v>#NAME?</v>
      </c>
      <c r="H42" s="153" t="str">
        <f t="shared" si="10"/>
        <v>#NAME?</v>
      </c>
      <c r="I42" s="153" t="str">
        <f t="shared" si="10"/>
        <v>#NAME?</v>
      </c>
      <c r="J42" s="153" t="str">
        <f t="shared" si="10"/>
        <v>#NAME?</v>
      </c>
      <c r="K42" s="153" t="str">
        <f t="shared" si="10"/>
        <v>#NAME?</v>
      </c>
      <c r="L42" s="153" t="str">
        <f t="shared" si="10"/>
        <v>#NAME?</v>
      </c>
      <c r="M42" s="153" t="str">
        <f t="shared" si="10"/>
        <v>#NAME?</v>
      </c>
      <c r="N42" s="153" t="str">
        <f t="shared" si="10"/>
        <v>#NAME?</v>
      </c>
      <c r="O42" s="153" t="str">
        <f t="shared" si="10"/>
        <v>#NAME?</v>
      </c>
      <c r="P42" s="153"/>
    </row>
    <row r="43" ht="15.75" customHeight="1" outlineLevel="1">
      <c r="A43" s="12"/>
      <c r="B43" s="12"/>
      <c r="C43" s="178"/>
      <c r="D43" s="178"/>
      <c r="E43" s="178"/>
      <c r="F43" s="178"/>
      <c r="G43" s="178"/>
      <c r="H43" s="178"/>
      <c r="I43" s="178"/>
      <c r="J43" s="178"/>
      <c r="K43" s="178"/>
      <c r="L43" s="178"/>
      <c r="M43" s="178"/>
      <c r="N43" s="178"/>
      <c r="O43" s="12"/>
      <c r="P43" s="25"/>
    </row>
    <row r="44" ht="15.75" customHeight="1" outlineLevel="1">
      <c r="A44" s="25" t="s">
        <v>454</v>
      </c>
      <c r="B44" s="12"/>
      <c r="C44" s="12"/>
      <c r="D44" s="12"/>
      <c r="E44" s="12"/>
      <c r="F44" s="12"/>
      <c r="G44" s="12"/>
      <c r="H44" s="12"/>
      <c r="I44" s="12"/>
      <c r="J44" s="12"/>
      <c r="K44" s="12"/>
      <c r="L44" s="12"/>
      <c r="M44" s="12"/>
      <c r="N44" s="12"/>
      <c r="O44" s="12"/>
      <c r="P44" s="12"/>
    </row>
    <row r="45" ht="15.75" customHeight="1" outlineLevel="1">
      <c r="A45" s="237" t="s">
        <v>455</v>
      </c>
      <c r="B45" s="12"/>
      <c r="C45" s="67">
        <f>'Income Statement'!E101*Collection30Days</f>
        <v>14875</v>
      </c>
      <c r="D45" s="67">
        <f>'Income Statement'!F101*Collection30Days</f>
        <v>14875</v>
      </c>
      <c r="E45" s="67">
        <f>'Income Statement'!G101*Collection30Days</f>
        <v>14875</v>
      </c>
      <c r="F45" s="67">
        <f>'Income Statement'!H101*Collection30Days</f>
        <v>14875</v>
      </c>
      <c r="G45" s="67">
        <f>'Income Statement'!I101*Collection30Days</f>
        <v>14875</v>
      </c>
      <c r="H45" s="67">
        <f>'Income Statement'!J101*Collection30Days</f>
        <v>14875</v>
      </c>
      <c r="I45" s="67">
        <f>'Income Statement'!K101*Collection30Days</f>
        <v>14875</v>
      </c>
      <c r="J45" s="67">
        <f>'Income Statement'!L101*Collection30Days</f>
        <v>14875</v>
      </c>
      <c r="K45" s="67">
        <f>'Income Statement'!M101*Collection30Days</f>
        <v>14875</v>
      </c>
      <c r="L45" s="67">
        <f>'Income Statement'!N101*Collection30Days</f>
        <v>14875</v>
      </c>
      <c r="M45" s="67">
        <f>'Income Statement'!O101*Collection30Days</f>
        <v>14875</v>
      </c>
      <c r="N45" s="67">
        <f>'Income Statement'!P101*Collection30Days</f>
        <v>14875</v>
      </c>
      <c r="O45" s="12"/>
      <c r="P45" s="471">
        <f t="shared" ref="P45:P50" si="11">SUM(C45:N45)</f>
        <v>178500</v>
      </c>
    </row>
    <row r="46" ht="15.75" customHeight="1" outlineLevel="1">
      <c r="A46" s="237" t="s">
        <v>456</v>
      </c>
      <c r="B46" s="12"/>
      <c r="C46" s="302">
        <v>0.0</v>
      </c>
      <c r="D46" s="302">
        <f>'Income Statement'!E101*Collection60Days</f>
        <v>0</v>
      </c>
      <c r="E46" s="302">
        <f>'Income Statement'!F101*Collection60Days+'Income Statement'!E101*Collection90Days</f>
        <v>0</v>
      </c>
      <c r="F46" s="302">
        <f>'Income Statement'!G101*Collection60Days+'Income Statement'!F101*Collection90Days</f>
        <v>0</v>
      </c>
      <c r="G46" s="302">
        <f>'Income Statement'!H101*Collection60Days+'Income Statement'!G101*Collection90Days</f>
        <v>0</v>
      </c>
      <c r="H46" s="302">
        <f>'Income Statement'!I101*Collection60Days+'Income Statement'!H101*Collection90Days</f>
        <v>0</v>
      </c>
      <c r="I46" s="302">
        <f>'Income Statement'!J101*Collection60Days+'Income Statement'!I101*Collection90Days</f>
        <v>0</v>
      </c>
      <c r="J46" s="302">
        <f>'Income Statement'!K101*Collection60Days+'Income Statement'!J101*Collection90Days</f>
        <v>0</v>
      </c>
      <c r="K46" s="302">
        <f>'Income Statement'!L101*Collection60Days+'Income Statement'!K101*Collection90Days</f>
        <v>0</v>
      </c>
      <c r="L46" s="302">
        <f>'Income Statement'!M101*Collection60Days+'Income Statement'!L101*Collection90Days</f>
        <v>0</v>
      </c>
      <c r="M46" s="302">
        <f>'Income Statement'!N101*Collection60Days+'Income Statement'!M101*Collection90Days</f>
        <v>0</v>
      </c>
      <c r="N46" s="302">
        <f>'Income Statement'!O101*Collection60Days+'Income Statement'!N101*Collection90Days</f>
        <v>0</v>
      </c>
      <c r="O46" s="67">
        <f>'Income Statement'!P49*Collection60Days+'Income Statement'!O49*Collection90Days</f>
        <v>0</v>
      </c>
      <c r="P46" s="471">
        <f t="shared" si="11"/>
        <v>0</v>
      </c>
    </row>
    <row r="47" ht="15.75" customHeight="1" outlineLevel="1">
      <c r="A47" s="237" t="s">
        <v>457</v>
      </c>
      <c r="B47" s="12"/>
      <c r="C47" s="124"/>
      <c r="D47" s="124"/>
      <c r="E47" s="124"/>
      <c r="F47" s="124"/>
      <c r="G47" s="124"/>
      <c r="H47" s="124"/>
      <c r="I47" s="124"/>
      <c r="J47" s="124"/>
      <c r="K47" s="124"/>
      <c r="L47" s="124"/>
      <c r="M47" s="124"/>
      <c r="N47" s="124"/>
      <c r="O47" s="12"/>
      <c r="P47" s="471">
        <f t="shared" si="11"/>
        <v>0</v>
      </c>
    </row>
    <row r="48" ht="15.75" customHeight="1" outlineLevel="1">
      <c r="A48" s="237" t="s">
        <v>458</v>
      </c>
      <c r="B48" s="12"/>
      <c r="C48" s="124"/>
      <c r="D48" s="124"/>
      <c r="E48" s="124"/>
      <c r="F48" s="124"/>
      <c r="G48" s="124"/>
      <c r="H48" s="124"/>
      <c r="I48" s="124"/>
      <c r="J48" s="124"/>
      <c r="K48" s="124"/>
      <c r="L48" s="124"/>
      <c r="M48" s="124"/>
      <c r="N48" s="124"/>
      <c r="O48" s="12"/>
      <c r="P48" s="471">
        <f t="shared" si="11"/>
        <v>0</v>
      </c>
    </row>
    <row r="49" ht="15.75" customHeight="1" outlineLevel="1">
      <c r="A49" s="237" t="s">
        <v>448</v>
      </c>
      <c r="B49" s="12"/>
      <c r="C49" s="142"/>
      <c r="D49" s="142"/>
      <c r="E49" s="142"/>
      <c r="F49" s="142"/>
      <c r="G49" s="142"/>
      <c r="H49" s="142"/>
      <c r="I49" s="142"/>
      <c r="J49" s="142"/>
      <c r="K49" s="142"/>
      <c r="L49" s="142"/>
      <c r="M49" s="142"/>
      <c r="N49" s="142"/>
      <c r="O49" s="12"/>
      <c r="P49" s="471">
        <f t="shared" si="11"/>
        <v>0</v>
      </c>
    </row>
    <row r="50" ht="15.75" customHeight="1" outlineLevel="1">
      <c r="A50" s="378" t="s">
        <v>459</v>
      </c>
      <c r="B50" s="12"/>
      <c r="C50" s="474">
        <f t="shared" ref="C50:N50" si="12">SUM(C45:C49)</f>
        <v>14875</v>
      </c>
      <c r="D50" s="474">
        <f t="shared" si="12"/>
        <v>14875</v>
      </c>
      <c r="E50" s="474">
        <f t="shared" si="12"/>
        <v>14875</v>
      </c>
      <c r="F50" s="474">
        <f t="shared" si="12"/>
        <v>14875</v>
      </c>
      <c r="G50" s="474">
        <f t="shared" si="12"/>
        <v>14875</v>
      </c>
      <c r="H50" s="474">
        <f t="shared" si="12"/>
        <v>14875</v>
      </c>
      <c r="I50" s="474">
        <f t="shared" si="12"/>
        <v>14875</v>
      </c>
      <c r="J50" s="474">
        <f t="shared" si="12"/>
        <v>14875</v>
      </c>
      <c r="K50" s="474">
        <f t="shared" si="12"/>
        <v>14875</v>
      </c>
      <c r="L50" s="474">
        <f t="shared" si="12"/>
        <v>14875</v>
      </c>
      <c r="M50" s="474">
        <f t="shared" si="12"/>
        <v>14875</v>
      </c>
      <c r="N50" s="474">
        <f t="shared" si="12"/>
        <v>14875</v>
      </c>
      <c r="O50" s="12"/>
      <c r="P50" s="471">
        <f t="shared" si="11"/>
        <v>178500</v>
      </c>
    </row>
    <row r="51" ht="15.75" customHeight="1" outlineLevel="1">
      <c r="A51" s="12"/>
      <c r="B51" s="12"/>
      <c r="C51" s="12"/>
      <c r="D51" s="12"/>
      <c r="E51" s="12"/>
      <c r="F51" s="12"/>
      <c r="G51" s="12"/>
      <c r="H51" s="12"/>
      <c r="I51" s="12"/>
      <c r="J51" s="12"/>
      <c r="K51" s="12"/>
      <c r="L51" s="12"/>
      <c r="M51" s="12"/>
      <c r="N51" s="12"/>
      <c r="O51" s="12"/>
      <c r="P51" s="12"/>
    </row>
    <row r="52" ht="15.75" customHeight="1" outlineLevel="1">
      <c r="A52" s="12"/>
      <c r="B52" s="12"/>
      <c r="C52" s="12"/>
      <c r="D52" s="12"/>
      <c r="E52" s="12"/>
      <c r="F52" s="12"/>
      <c r="G52" s="12"/>
      <c r="H52" s="12"/>
      <c r="I52" s="12"/>
      <c r="J52" s="12"/>
      <c r="K52" s="12"/>
      <c r="L52" s="12"/>
      <c r="M52" s="12"/>
      <c r="N52" s="153"/>
      <c r="O52" s="12"/>
      <c r="P52" s="12"/>
    </row>
    <row r="53" ht="15.75" customHeight="1" outlineLevel="1">
      <c r="A53" s="25" t="s">
        <v>460</v>
      </c>
      <c r="B53" s="12"/>
      <c r="C53" s="12"/>
      <c r="D53" s="12"/>
      <c r="E53" s="12"/>
      <c r="F53" s="12"/>
      <c r="G53" s="12"/>
      <c r="H53" s="12"/>
      <c r="I53" s="12"/>
      <c r="J53" s="12"/>
      <c r="K53" s="12"/>
      <c r="L53" s="12"/>
      <c r="M53" s="12"/>
      <c r="N53" s="12"/>
      <c r="O53" s="12"/>
      <c r="P53" s="12"/>
    </row>
    <row r="54" ht="15.75" customHeight="1" outlineLevel="1">
      <c r="A54" s="237" t="s">
        <v>461</v>
      </c>
      <c r="B54" s="12"/>
      <c r="C54" s="124"/>
      <c r="D54" s="124"/>
      <c r="E54" s="124"/>
      <c r="F54" s="124"/>
      <c r="G54" s="124"/>
      <c r="H54" s="124"/>
      <c r="I54" s="124"/>
      <c r="J54" s="124"/>
      <c r="K54" s="124"/>
      <c r="L54" s="124"/>
      <c r="M54" s="124"/>
      <c r="N54" s="124"/>
      <c r="O54" s="12"/>
      <c r="P54" s="471">
        <f t="shared" ref="P54:P64" si="13">SUM(C54:N54)</f>
        <v>0</v>
      </c>
    </row>
    <row r="55" ht="15.75" customHeight="1" outlineLevel="1">
      <c r="A55" s="237" t="s">
        <v>462</v>
      </c>
      <c r="B55" s="12"/>
      <c r="C55" s="302">
        <f>'Income Statement'!E112*Payable30Days</f>
        <v>4462.5</v>
      </c>
      <c r="D55" s="302">
        <f>('Income Statement'!F112*Payable30Days)+('Income Statement'!E112*Payable60Days)</f>
        <v>4462.5</v>
      </c>
      <c r="E55" s="302">
        <f>('Income Statement'!G112*Payable30Days)+('Income Statement'!F112*Payable60Days)+('Income Statement'!E112*Payable90Days)</f>
        <v>4462.5</v>
      </c>
      <c r="F55" s="302">
        <f>('Income Statement'!H112*Payable30Days)+('Income Statement'!G112*Payable60Days)+('Income Statement'!F112*Payable90Days)</f>
        <v>4462.5</v>
      </c>
      <c r="G55" s="302">
        <f>('Income Statement'!I112*Payable30Days)+('Income Statement'!H112*Payable60Days)+('Income Statement'!G112*Payable90Days)</f>
        <v>4462.5</v>
      </c>
      <c r="H55" s="302">
        <f>('Income Statement'!J112*Payable30Days)+('Income Statement'!I112*Payable60Days)+('Income Statement'!H112*Payable90Days)</f>
        <v>4462.5</v>
      </c>
      <c r="I55" s="302">
        <f>('Income Statement'!K112*Payable30Days)+('Income Statement'!J112*Payable60Days)+('Income Statement'!I112*Payable90Days)</f>
        <v>4462.5</v>
      </c>
      <c r="J55" s="302">
        <f>('Income Statement'!L112*Payable30Days)+('Income Statement'!K112*Payable60Days)+('Income Statement'!J112*Payable90Days)</f>
        <v>4462.5</v>
      </c>
      <c r="K55" s="302">
        <f>('Income Statement'!M112*Payable30Days)+('Income Statement'!L112*Payable60Days)+('Income Statement'!K112*Payable90Days)</f>
        <v>4462.5</v>
      </c>
      <c r="L55" s="302">
        <f>('Income Statement'!N112*Payable30Days)+('Income Statement'!M112*Payable60Days)+('Income Statement'!L112*Payable90Days)</f>
        <v>4462.5</v>
      </c>
      <c r="M55" s="302">
        <f>('Income Statement'!O112*Payable30Days)+('Income Statement'!N112*Payable60Days)+('Income Statement'!M112*Payable90Days)</f>
        <v>4462.5</v>
      </c>
      <c r="N55" s="302">
        <f>('Income Statement'!P112*Payable30Days)+('Income Statement'!O8*Payable60Days)+('Income Statement'!N112*Payable90Days)</f>
        <v>4462.5</v>
      </c>
      <c r="O55" s="12"/>
      <c r="P55" s="471">
        <f t="shared" si="13"/>
        <v>53550</v>
      </c>
    </row>
    <row r="56" ht="15.75" customHeight="1" outlineLevel="1">
      <c r="A56" s="237" t="s">
        <v>416</v>
      </c>
      <c r="B56" s="12"/>
      <c r="C56" s="124"/>
      <c r="D56" s="124"/>
      <c r="E56" s="124"/>
      <c r="F56" s="124"/>
      <c r="G56" s="124"/>
      <c r="H56" s="124"/>
      <c r="I56" s="124"/>
      <c r="J56" s="124"/>
      <c r="K56" s="124"/>
      <c r="L56" s="124"/>
      <c r="M56" s="124"/>
      <c r="N56" s="124"/>
      <c r="O56" s="12"/>
      <c r="P56" s="471">
        <f t="shared" si="13"/>
        <v>0</v>
      </c>
    </row>
    <row r="57" ht="15.75" customHeight="1" outlineLevel="1">
      <c r="A57" s="237" t="s">
        <v>392</v>
      </c>
      <c r="B57" s="12"/>
      <c r="C57" s="302">
        <f>'Income Statement'!E158-'Income Statement'!E156-'Income Statement'!E150</f>
        <v>3493.4375</v>
      </c>
      <c r="D57" s="302">
        <f>'Income Statement'!F158-'Income Statement'!F156-'Income Statement'!F150</f>
        <v>3493.4375</v>
      </c>
      <c r="E57" s="302">
        <f>'Income Statement'!G158-'Income Statement'!G156-'Income Statement'!G150</f>
        <v>3493.4375</v>
      </c>
      <c r="F57" s="302">
        <f>'Income Statement'!H158-'Income Statement'!H156-'Income Statement'!H150</f>
        <v>3493.4375</v>
      </c>
      <c r="G57" s="302">
        <f>'Income Statement'!I158-'Income Statement'!I156-'Income Statement'!I150</f>
        <v>3493.4375</v>
      </c>
      <c r="H57" s="302">
        <f>'Income Statement'!J158-'Income Statement'!J156-'Income Statement'!J150</f>
        <v>3493.4375</v>
      </c>
      <c r="I57" s="302">
        <f>'Income Statement'!K158-'Income Statement'!K156-'Income Statement'!K150</f>
        <v>3493.4375</v>
      </c>
      <c r="J57" s="302">
        <f>'Income Statement'!L158-'Income Statement'!L156-'Income Statement'!L150</f>
        <v>3493.4375</v>
      </c>
      <c r="K57" s="302">
        <f>'Income Statement'!M158-'Income Statement'!M156-'Income Statement'!M150</f>
        <v>3493.4375</v>
      </c>
      <c r="L57" s="302">
        <f>'Income Statement'!N158-'Income Statement'!N156-'Income Statement'!N150</f>
        <v>3493.4375</v>
      </c>
      <c r="M57" s="302">
        <f>'Income Statement'!O158-'Income Statement'!O156-'Income Statement'!O150</f>
        <v>3493.4375</v>
      </c>
      <c r="N57" s="302">
        <f>'Income Statement'!P158-'Income Statement'!P156-'Income Statement'!P150</f>
        <v>3493.4375</v>
      </c>
      <c r="O57" s="12"/>
      <c r="P57" s="471">
        <f t="shared" si="13"/>
        <v>41921.25</v>
      </c>
    </row>
    <row r="58" ht="15.75" customHeight="1" outlineLevel="1">
      <c r="A58" s="237" t="s">
        <v>363</v>
      </c>
      <c r="B58" s="12"/>
      <c r="C58" s="302">
        <f>'Income Statement'!E120</f>
        <v>4291.666667</v>
      </c>
      <c r="D58" s="302">
        <f>'Income Statement'!F120</f>
        <v>4291.666667</v>
      </c>
      <c r="E58" s="302">
        <f>'Income Statement'!G120</f>
        <v>4291.666667</v>
      </c>
      <c r="F58" s="302">
        <f>'Income Statement'!H120</f>
        <v>4291.666667</v>
      </c>
      <c r="G58" s="302">
        <f>'Income Statement'!I120</f>
        <v>4291.666667</v>
      </c>
      <c r="H58" s="302">
        <f>'Income Statement'!J120</f>
        <v>4291.666667</v>
      </c>
      <c r="I58" s="302">
        <f>'Income Statement'!K120</f>
        <v>4291.666667</v>
      </c>
      <c r="J58" s="302">
        <f>'Income Statement'!L120</f>
        <v>4291.666667</v>
      </c>
      <c r="K58" s="302">
        <f>'Income Statement'!M120</f>
        <v>4291.666667</v>
      </c>
      <c r="L58" s="302">
        <f>'Income Statement'!N120</f>
        <v>4291.666667</v>
      </c>
      <c r="M58" s="302">
        <f>'Income Statement'!O120</f>
        <v>4291.666667</v>
      </c>
      <c r="N58" s="302">
        <f>'Income Statement'!P120</f>
        <v>4291.666667</v>
      </c>
      <c r="O58" s="12"/>
      <c r="P58" s="471">
        <f t="shared" si="13"/>
        <v>51500</v>
      </c>
    </row>
    <row r="59" ht="15.75" customHeight="1" outlineLevel="1">
      <c r="A59" s="237" t="s">
        <v>463</v>
      </c>
      <c r="B59" s="12"/>
      <c r="C59" s="302">
        <f>'Income Statement'!E150+'Income Statement'!E169</f>
        <v>0</v>
      </c>
      <c r="D59" s="302">
        <f>'Income Statement'!F150+'Income Statement'!F169</f>
        <v>0</v>
      </c>
      <c r="E59" s="302">
        <f>'Income Statement'!G150+'Income Statement'!G169</f>
        <v>0</v>
      </c>
      <c r="F59" s="302">
        <f>'Income Statement'!H150+'Income Statement'!H169</f>
        <v>0</v>
      </c>
      <c r="G59" s="302">
        <f>'Income Statement'!I150+'Income Statement'!I169</f>
        <v>0</v>
      </c>
      <c r="H59" s="302">
        <f>'Income Statement'!J150+'Income Statement'!J169</f>
        <v>0</v>
      </c>
      <c r="I59" s="302">
        <f>'Income Statement'!K150+'Income Statement'!K169</f>
        <v>0</v>
      </c>
      <c r="J59" s="302">
        <f>'Income Statement'!L150+'Income Statement'!L169</f>
        <v>0</v>
      </c>
      <c r="K59" s="302">
        <f>'Income Statement'!M150+'Income Statement'!M169</f>
        <v>0</v>
      </c>
      <c r="L59" s="302">
        <f>'Income Statement'!N150+'Income Statement'!N169</f>
        <v>0</v>
      </c>
      <c r="M59" s="302">
        <f>'Income Statement'!O150+'Income Statement'!O169</f>
        <v>0</v>
      </c>
      <c r="N59" s="302">
        <f>'Income Statement'!P150+'Income Statement'!P169</f>
        <v>0</v>
      </c>
      <c r="O59" s="302">
        <f>'Income Statement'!Q150+'Income Statement'!Q169</f>
        <v>0</v>
      </c>
      <c r="P59" s="471">
        <f t="shared" si="13"/>
        <v>0</v>
      </c>
    </row>
    <row r="60" ht="15.75" customHeight="1" outlineLevel="1">
      <c r="A60" s="237" t="s">
        <v>464</v>
      </c>
      <c r="B60" s="12"/>
      <c r="C60" s="302">
        <f>'Loan Schedule'!C55</f>
        <v>0</v>
      </c>
      <c r="D60" s="302">
        <f>'Loan Schedule'!D55</f>
        <v>0</v>
      </c>
      <c r="E60" s="302">
        <f>'Loan Schedule'!E55</f>
        <v>0</v>
      </c>
      <c r="F60" s="302">
        <f>'Loan Schedule'!F55</f>
        <v>0</v>
      </c>
      <c r="G60" s="302">
        <f>'Loan Schedule'!G55</f>
        <v>0</v>
      </c>
      <c r="H60" s="302">
        <f>'Loan Schedule'!H55</f>
        <v>0</v>
      </c>
      <c r="I60" s="302">
        <f>'Loan Schedule'!I55</f>
        <v>0</v>
      </c>
      <c r="J60" s="302">
        <f>'Loan Schedule'!J55</f>
        <v>0</v>
      </c>
      <c r="K60" s="302">
        <f>'Loan Schedule'!K55</f>
        <v>0</v>
      </c>
      <c r="L60" s="302">
        <f>'Loan Schedule'!L55</f>
        <v>0</v>
      </c>
      <c r="M60" s="302">
        <f>'Loan Schedule'!M55</f>
        <v>0</v>
      </c>
      <c r="N60" s="302">
        <f>'Loan Schedule'!N55</f>
        <v>0</v>
      </c>
      <c r="O60" s="12"/>
      <c r="P60" s="471">
        <f t="shared" si="13"/>
        <v>0</v>
      </c>
    </row>
    <row r="61" ht="15.75" customHeight="1" outlineLevel="1">
      <c r="A61" s="237" t="s">
        <v>453</v>
      </c>
      <c r="B61" s="12"/>
      <c r="C61" s="302">
        <f>'Income Statement'!E165</f>
        <v>0</v>
      </c>
      <c r="D61" s="302">
        <f>'Income Statement'!F165</f>
        <v>0</v>
      </c>
      <c r="E61" s="302">
        <f>'Income Statement'!G165</f>
        <v>0</v>
      </c>
      <c r="F61" s="302">
        <f>'Income Statement'!H165</f>
        <v>0</v>
      </c>
      <c r="G61" s="302">
        <f>'Income Statement'!I165</f>
        <v>0</v>
      </c>
      <c r="H61" s="302">
        <f>'Income Statement'!J165</f>
        <v>0</v>
      </c>
      <c r="I61" s="302">
        <f>'Income Statement'!K165</f>
        <v>0</v>
      </c>
      <c r="J61" s="302">
        <f>'Income Statement'!L165</f>
        <v>0</v>
      </c>
      <c r="K61" s="302">
        <f>'Income Statement'!M165</f>
        <v>0</v>
      </c>
      <c r="L61" s="302">
        <f>'Income Statement'!N165</f>
        <v>0</v>
      </c>
      <c r="M61" s="302">
        <f>'Income Statement'!O165</f>
        <v>0</v>
      </c>
      <c r="N61" s="302">
        <f>'Income Statement'!P165</f>
        <v>0</v>
      </c>
      <c r="O61" s="12"/>
      <c r="P61" s="471">
        <f t="shared" si="13"/>
        <v>0</v>
      </c>
    </row>
    <row r="62" ht="15.75" customHeight="1" outlineLevel="1">
      <c r="A62" s="237" t="s">
        <v>428</v>
      </c>
      <c r="B62" s="12"/>
      <c r="C62" s="472"/>
      <c r="D62" s="472"/>
      <c r="E62" s="472"/>
      <c r="F62" s="472"/>
      <c r="G62" s="472"/>
      <c r="H62" s="472"/>
      <c r="I62" s="472"/>
      <c r="J62" s="472"/>
      <c r="K62" s="472"/>
      <c r="L62" s="472"/>
      <c r="M62" s="472"/>
      <c r="N62" s="472">
        <v>0.0</v>
      </c>
      <c r="O62" s="12"/>
      <c r="P62" s="471">
        <f t="shared" si="13"/>
        <v>0</v>
      </c>
    </row>
    <row r="63" ht="15.75" customHeight="1" outlineLevel="1">
      <c r="A63" s="237" t="s">
        <v>465</v>
      </c>
      <c r="B63" s="12"/>
      <c r="C63" s="472"/>
      <c r="D63" s="472"/>
      <c r="E63" s="472"/>
      <c r="F63" s="472"/>
      <c r="G63" s="472"/>
      <c r="H63" s="472"/>
      <c r="I63" s="472"/>
      <c r="J63" s="472"/>
      <c r="K63" s="472"/>
      <c r="L63" s="472"/>
      <c r="M63" s="472"/>
      <c r="N63" s="472"/>
      <c r="O63" s="12"/>
      <c r="P63" s="471">
        <f t="shared" si="13"/>
        <v>0</v>
      </c>
    </row>
    <row r="64" ht="15.75" customHeight="1" outlineLevel="1">
      <c r="A64" s="378" t="s">
        <v>466</v>
      </c>
      <c r="B64" s="12"/>
      <c r="C64" s="321">
        <f t="shared" ref="C64:N64" si="14">SUM(C54:C63)</f>
        <v>12247.60417</v>
      </c>
      <c r="D64" s="321">
        <f t="shared" si="14"/>
        <v>12247.60417</v>
      </c>
      <c r="E64" s="321">
        <f t="shared" si="14"/>
        <v>12247.60417</v>
      </c>
      <c r="F64" s="321">
        <f t="shared" si="14"/>
        <v>12247.60417</v>
      </c>
      <c r="G64" s="321">
        <f t="shared" si="14"/>
        <v>12247.60417</v>
      </c>
      <c r="H64" s="321">
        <f t="shared" si="14"/>
        <v>12247.60417</v>
      </c>
      <c r="I64" s="321">
        <f t="shared" si="14"/>
        <v>12247.60417</v>
      </c>
      <c r="J64" s="321">
        <f t="shared" si="14"/>
        <v>12247.60417</v>
      </c>
      <c r="K64" s="321">
        <f t="shared" si="14"/>
        <v>12247.60417</v>
      </c>
      <c r="L64" s="321">
        <f t="shared" si="14"/>
        <v>12247.60417</v>
      </c>
      <c r="M64" s="321">
        <f t="shared" si="14"/>
        <v>12247.60417</v>
      </c>
      <c r="N64" s="321">
        <f t="shared" si="14"/>
        <v>12247.60417</v>
      </c>
      <c r="O64" s="12"/>
      <c r="P64" s="471">
        <f t="shared" si="13"/>
        <v>146971.25</v>
      </c>
    </row>
    <row r="65" ht="15.75" customHeight="1" outlineLevel="1">
      <c r="A65" s="237"/>
      <c r="B65" s="12"/>
      <c r="C65" s="12"/>
      <c r="D65" s="12"/>
      <c r="E65" s="12"/>
      <c r="F65" s="12"/>
      <c r="G65" s="12"/>
      <c r="H65" s="12"/>
      <c r="I65" s="12"/>
      <c r="J65" s="12"/>
      <c r="K65" s="12"/>
      <c r="L65" s="12"/>
      <c r="M65" s="12"/>
      <c r="N65" s="12"/>
      <c r="O65" s="12"/>
      <c r="P65" s="12"/>
    </row>
    <row r="66" ht="15.75" customHeight="1" outlineLevel="1">
      <c r="A66" s="12"/>
      <c r="B66" s="12"/>
      <c r="C66" s="12"/>
      <c r="D66" s="12"/>
      <c r="E66" s="12"/>
      <c r="F66" s="12"/>
      <c r="G66" s="12"/>
      <c r="H66" s="12"/>
      <c r="I66" s="12"/>
      <c r="J66" s="12"/>
      <c r="K66" s="12"/>
      <c r="L66" s="12"/>
      <c r="M66" s="12"/>
      <c r="N66" s="12"/>
      <c r="O66" s="12"/>
      <c r="P66" s="12"/>
    </row>
    <row r="67" ht="15.75" customHeight="1" outlineLevel="1">
      <c r="A67" s="25" t="s">
        <v>467</v>
      </c>
      <c r="B67" s="12"/>
      <c r="C67" s="443">
        <f t="shared" ref="C67:N67" si="15">C50-C64</f>
        <v>2627.395833</v>
      </c>
      <c r="D67" s="443">
        <f t="shared" si="15"/>
        <v>2627.395833</v>
      </c>
      <c r="E67" s="443">
        <f t="shared" si="15"/>
        <v>2627.395833</v>
      </c>
      <c r="F67" s="443">
        <f t="shared" si="15"/>
        <v>2627.395833</v>
      </c>
      <c r="G67" s="443">
        <f t="shared" si="15"/>
        <v>2627.395833</v>
      </c>
      <c r="H67" s="443">
        <f t="shared" si="15"/>
        <v>2627.395833</v>
      </c>
      <c r="I67" s="443">
        <f t="shared" si="15"/>
        <v>2627.395833</v>
      </c>
      <c r="J67" s="443">
        <f t="shared" si="15"/>
        <v>2627.395833</v>
      </c>
      <c r="K67" s="443">
        <f t="shared" si="15"/>
        <v>2627.395833</v>
      </c>
      <c r="L67" s="443">
        <f t="shared" si="15"/>
        <v>2627.395833</v>
      </c>
      <c r="M67" s="443">
        <f t="shared" si="15"/>
        <v>2627.395833</v>
      </c>
      <c r="N67" s="443">
        <f t="shared" si="15"/>
        <v>2627.395833</v>
      </c>
      <c r="O67" s="12"/>
      <c r="P67" s="471">
        <f>SUM(C67:N67)</f>
        <v>31528.75</v>
      </c>
    </row>
    <row r="68" ht="15.75" customHeight="1" outlineLevel="1">
      <c r="A68" s="25"/>
      <c r="B68" s="12"/>
      <c r="C68" s="12"/>
      <c r="D68" s="12"/>
      <c r="E68" s="12"/>
      <c r="F68" s="12"/>
      <c r="G68" s="12"/>
      <c r="H68" s="12"/>
      <c r="I68" s="12"/>
      <c r="J68" s="12"/>
      <c r="K68" s="12"/>
      <c r="L68" s="12"/>
      <c r="M68" s="12"/>
      <c r="N68" s="12"/>
      <c r="O68" s="12"/>
      <c r="P68" s="12"/>
    </row>
    <row r="69" ht="16.5" customHeight="1" outlineLevel="1">
      <c r="A69" s="12"/>
      <c r="B69" s="12"/>
      <c r="C69" s="12"/>
      <c r="D69" s="12"/>
      <c r="E69" s="12"/>
      <c r="F69" s="12"/>
      <c r="G69" s="12"/>
      <c r="H69" s="12"/>
      <c r="I69" s="12"/>
      <c r="J69" s="12"/>
      <c r="K69" s="12"/>
      <c r="L69" s="12"/>
      <c r="M69" s="12"/>
      <c r="N69" s="12"/>
      <c r="O69" s="12"/>
      <c r="P69" s="12"/>
    </row>
    <row r="70" ht="15.75" customHeight="1" outlineLevel="1">
      <c r="A70" s="25" t="s">
        <v>468</v>
      </c>
      <c r="B70" s="12"/>
      <c r="C70" s="153" t="str">
        <f t="shared" ref="C70:N70" si="16">C67+C42</f>
        <v>#NAME?</v>
      </c>
      <c r="D70" s="153" t="str">
        <f t="shared" si="16"/>
        <v>#NAME?</v>
      </c>
      <c r="E70" s="153" t="str">
        <f t="shared" si="16"/>
        <v>#NAME?</v>
      </c>
      <c r="F70" s="153" t="str">
        <f t="shared" si="16"/>
        <v>#NAME?</v>
      </c>
      <c r="G70" s="153" t="str">
        <f t="shared" si="16"/>
        <v>#NAME?</v>
      </c>
      <c r="H70" s="153" t="str">
        <f t="shared" si="16"/>
        <v>#NAME?</v>
      </c>
      <c r="I70" s="153" t="str">
        <f t="shared" si="16"/>
        <v>#NAME?</v>
      </c>
      <c r="J70" s="153" t="str">
        <f t="shared" si="16"/>
        <v>#NAME?</v>
      </c>
      <c r="K70" s="153" t="str">
        <f t="shared" si="16"/>
        <v>#NAME?</v>
      </c>
      <c r="L70" s="153" t="str">
        <f t="shared" si="16"/>
        <v>#NAME?</v>
      </c>
      <c r="M70" s="153" t="str">
        <f t="shared" si="16"/>
        <v>#NAME?</v>
      </c>
      <c r="N70" s="153" t="str">
        <f t="shared" si="16"/>
        <v>#NAME?</v>
      </c>
      <c r="O70" s="12"/>
      <c r="P70" s="153"/>
    </row>
    <row r="71" ht="15.75" customHeight="1" outlineLevel="1">
      <c r="A71" s="12"/>
      <c r="B71" s="12"/>
      <c r="C71" s="12"/>
      <c r="D71" s="12"/>
      <c r="E71" s="12"/>
      <c r="F71" s="12"/>
      <c r="G71" s="12"/>
      <c r="H71" s="12"/>
      <c r="I71" s="12"/>
      <c r="J71" s="12"/>
      <c r="K71" s="12"/>
      <c r="L71" s="12"/>
      <c r="M71" s="12"/>
      <c r="N71" s="12"/>
      <c r="O71" s="12"/>
      <c r="P71" s="12"/>
    </row>
    <row r="72" ht="15.75" customHeight="1">
      <c r="A72" s="12"/>
      <c r="B72" s="12"/>
      <c r="C72" s="12"/>
      <c r="D72" s="12"/>
      <c r="E72" s="12"/>
      <c r="F72" s="12"/>
      <c r="G72" s="12"/>
      <c r="H72" s="12"/>
      <c r="I72" s="12"/>
      <c r="J72" s="12"/>
      <c r="K72" s="12"/>
      <c r="L72" s="12"/>
      <c r="M72" s="12"/>
      <c r="N72" s="12"/>
      <c r="O72" s="12"/>
      <c r="P72" s="12"/>
    </row>
    <row r="73" ht="15.75" customHeight="1">
      <c r="A73" s="448" t="str">
        <f>IF(ISBLANK(Company_Name),"Cash Flow | Year 3",Company_Name&amp;" | Cash Flow | Year 3")</f>
        <v>OTW Paints | Cash Flow | Year 3</v>
      </c>
      <c r="B73" s="12"/>
      <c r="C73" s="12"/>
      <c r="D73" s="12"/>
      <c r="E73" s="12"/>
      <c r="F73" s="12"/>
      <c r="G73" s="12"/>
      <c r="H73" s="12"/>
      <c r="I73" s="12"/>
      <c r="J73" s="153"/>
      <c r="K73" s="12"/>
      <c r="L73" s="12"/>
      <c r="M73" s="12"/>
      <c r="N73" s="12"/>
      <c r="O73" s="12"/>
      <c r="P73" s="12"/>
    </row>
    <row r="74" ht="15.75" customHeight="1" outlineLevel="1">
      <c r="A74" s="167"/>
      <c r="B74" s="11"/>
      <c r="C74" s="11"/>
      <c r="D74" s="11"/>
      <c r="E74" s="11"/>
      <c r="F74" s="11"/>
      <c r="G74" s="11"/>
      <c r="H74" s="11"/>
      <c r="I74" s="11"/>
      <c r="J74" s="11"/>
      <c r="K74" s="11"/>
      <c r="L74" s="11"/>
      <c r="M74" s="11"/>
      <c r="N74" s="11"/>
      <c r="O74" s="11"/>
      <c r="P74" s="11"/>
    </row>
    <row r="75" ht="15.75" customHeight="1" outlineLevel="1">
      <c r="A75" s="25"/>
      <c r="B75" s="12"/>
      <c r="C75" s="12"/>
      <c r="D75" s="12"/>
      <c r="E75" s="12"/>
      <c r="F75" s="12"/>
      <c r="G75" s="12"/>
      <c r="H75" s="12"/>
      <c r="I75" s="12"/>
      <c r="J75" s="12"/>
      <c r="K75" s="12"/>
      <c r="L75" s="12"/>
      <c r="M75" s="12"/>
      <c r="N75" s="12"/>
      <c r="O75" s="12"/>
      <c r="P75" s="12"/>
    </row>
    <row r="76" ht="15.75" customHeight="1" outlineLevel="1">
      <c r="A76" s="12"/>
      <c r="B76" s="12"/>
      <c r="C76" s="178">
        <f>DATE(YEAR(Projected_Start_Date)+2,1,1)</f>
        <v>43101</v>
      </c>
      <c r="D76" s="178">
        <f t="shared" ref="D76:N76" si="17">EDATE(C76,1)</f>
        <v>43132</v>
      </c>
      <c r="E76" s="178">
        <f t="shared" si="17"/>
        <v>43160</v>
      </c>
      <c r="F76" s="178">
        <f t="shared" si="17"/>
        <v>43191</v>
      </c>
      <c r="G76" s="178">
        <f t="shared" si="17"/>
        <v>43221</v>
      </c>
      <c r="H76" s="178">
        <f t="shared" si="17"/>
        <v>43252</v>
      </c>
      <c r="I76" s="178">
        <f t="shared" si="17"/>
        <v>43282</v>
      </c>
      <c r="J76" s="178">
        <f t="shared" si="17"/>
        <v>43313</v>
      </c>
      <c r="K76" s="178">
        <f t="shared" si="17"/>
        <v>43344</v>
      </c>
      <c r="L76" s="178">
        <f t="shared" si="17"/>
        <v>43374</v>
      </c>
      <c r="M76" s="178">
        <f t="shared" si="17"/>
        <v>43405</v>
      </c>
      <c r="N76" s="178">
        <f t="shared" si="17"/>
        <v>43435</v>
      </c>
      <c r="O76" s="12"/>
      <c r="P76" s="25" t="s">
        <v>263</v>
      </c>
    </row>
    <row r="77" ht="15.75" customHeight="1" outlineLevel="1">
      <c r="A77" s="25" t="s">
        <v>452</v>
      </c>
      <c r="B77" s="12"/>
      <c r="C77" s="153" t="str">
        <f>YR2_CashFlow_EndBalance</f>
        <v>#NAME?</v>
      </c>
      <c r="D77" s="153" t="str">
        <f t="shared" ref="D77:O77" si="18">C105</f>
        <v>#NAME?</v>
      </c>
      <c r="E77" s="153" t="str">
        <f t="shared" si="18"/>
        <v>#NAME?</v>
      </c>
      <c r="F77" s="153" t="str">
        <f t="shared" si="18"/>
        <v>#NAME?</v>
      </c>
      <c r="G77" s="153" t="str">
        <f t="shared" si="18"/>
        <v>#NAME?</v>
      </c>
      <c r="H77" s="153" t="str">
        <f t="shared" si="18"/>
        <v>#NAME?</v>
      </c>
      <c r="I77" s="153" t="str">
        <f t="shared" si="18"/>
        <v>#NAME?</v>
      </c>
      <c r="J77" s="153" t="str">
        <f t="shared" si="18"/>
        <v>#NAME?</v>
      </c>
      <c r="K77" s="153" t="str">
        <f t="shared" si="18"/>
        <v>#NAME?</v>
      </c>
      <c r="L77" s="153" t="str">
        <f t="shared" si="18"/>
        <v>#NAME?</v>
      </c>
      <c r="M77" s="153" t="str">
        <f t="shared" si="18"/>
        <v>#NAME?</v>
      </c>
      <c r="N77" s="153" t="str">
        <f t="shared" si="18"/>
        <v>#NAME?</v>
      </c>
      <c r="O77" s="153" t="str">
        <f t="shared" si="18"/>
        <v>#NAME?</v>
      </c>
      <c r="P77" s="153"/>
    </row>
    <row r="78" ht="15.75" customHeight="1" outlineLevel="1">
      <c r="A78" s="25"/>
      <c r="B78" s="12"/>
      <c r="C78" s="153"/>
      <c r="D78" s="153"/>
      <c r="E78" s="153"/>
      <c r="F78" s="153"/>
      <c r="G78" s="153"/>
      <c r="H78" s="153"/>
      <c r="I78" s="153"/>
      <c r="J78" s="153"/>
      <c r="K78" s="153"/>
      <c r="L78" s="153"/>
      <c r="M78" s="153"/>
      <c r="N78" s="153"/>
      <c r="O78" s="153"/>
      <c r="P78" s="153"/>
    </row>
    <row r="79" ht="15.75" customHeight="1" outlineLevel="1">
      <c r="A79" s="25" t="s">
        <v>454</v>
      </c>
      <c r="B79" s="12"/>
      <c r="C79" s="12"/>
      <c r="D79" s="12"/>
      <c r="E79" s="12"/>
      <c r="F79" s="12"/>
      <c r="G79" s="12"/>
      <c r="H79" s="12"/>
      <c r="I79" s="12"/>
      <c r="J79" s="12"/>
      <c r="K79" s="12"/>
      <c r="L79" s="12"/>
      <c r="M79" s="12"/>
      <c r="N79" s="12"/>
      <c r="O79" s="12"/>
      <c r="P79" s="12"/>
    </row>
    <row r="80" ht="15.75" customHeight="1" outlineLevel="1">
      <c r="A80" s="237" t="s">
        <v>455</v>
      </c>
      <c r="B80" s="12"/>
      <c r="C80" s="67">
        <f>'Income Statement'!E187*Collection30Days</f>
        <v>31237.5</v>
      </c>
      <c r="D80" s="67">
        <f>'Income Statement'!F187*Collection30Days</f>
        <v>31237.5</v>
      </c>
      <c r="E80" s="67">
        <f>'Income Statement'!G187*Collection30Days</f>
        <v>31237.5</v>
      </c>
      <c r="F80" s="67">
        <f>'Income Statement'!H187*Collection30Days</f>
        <v>31237.5</v>
      </c>
      <c r="G80" s="67">
        <f>'Income Statement'!I187*Collection30Days</f>
        <v>31237.5</v>
      </c>
      <c r="H80" s="67">
        <f>'Income Statement'!J187*Collection30Days</f>
        <v>31237.5</v>
      </c>
      <c r="I80" s="67">
        <f>'Income Statement'!K187*Collection30Days</f>
        <v>31237.5</v>
      </c>
      <c r="J80" s="67">
        <f>'Income Statement'!L187*Collection30Days</f>
        <v>31237.5</v>
      </c>
      <c r="K80" s="67">
        <f>'Income Statement'!M187*Collection30Days</f>
        <v>31237.5</v>
      </c>
      <c r="L80" s="67">
        <f>'Income Statement'!N187*Collection30Days</f>
        <v>31237.5</v>
      </c>
      <c r="M80" s="67">
        <f>'Income Statement'!O187*Collection30Days</f>
        <v>31237.5</v>
      </c>
      <c r="N80" s="67">
        <f>'Income Statement'!P187*Collection30Days</f>
        <v>31237.5</v>
      </c>
      <c r="O80" s="12"/>
      <c r="P80" s="471">
        <f t="shared" ref="P80:P85" si="19">SUM(C80:N80)</f>
        <v>374850</v>
      </c>
    </row>
    <row r="81" ht="15.75" customHeight="1" outlineLevel="1">
      <c r="A81" s="237" t="s">
        <v>456</v>
      </c>
      <c r="B81" s="12"/>
      <c r="C81" s="302">
        <v>0.0</v>
      </c>
      <c r="D81" s="302">
        <f>'Income Statement'!E187*Collection60Days</f>
        <v>0</v>
      </c>
      <c r="E81" s="302">
        <f>'Income Statement'!F187*Collection60Days+'Income Statement'!E187*Collection90Days</f>
        <v>0</v>
      </c>
      <c r="F81" s="302">
        <f>'Income Statement'!G187*Collection60Days+'Income Statement'!F187*Collection90Days</f>
        <v>0</v>
      </c>
      <c r="G81" s="302">
        <f>'Income Statement'!H187*Collection60Days+'Income Statement'!G187*Collection90Days</f>
        <v>0</v>
      </c>
      <c r="H81" s="302">
        <f>'Income Statement'!I187*Collection60Days+'Income Statement'!H187*Collection90Days</f>
        <v>0</v>
      </c>
      <c r="I81" s="302">
        <f>'Income Statement'!J187*Collection60Days+'Income Statement'!I187*Collection90Days</f>
        <v>0</v>
      </c>
      <c r="J81" s="302">
        <f>'Income Statement'!K187*Collection60Days+'Income Statement'!J187*Collection90Days</f>
        <v>0</v>
      </c>
      <c r="K81" s="302">
        <f>'Income Statement'!L187*Collection60Days+'Income Statement'!K187*Collection90Days</f>
        <v>0</v>
      </c>
      <c r="L81" s="302">
        <f>'Income Statement'!M187*Collection60Days+'Income Statement'!L187*Collection90Days</f>
        <v>0</v>
      </c>
      <c r="M81" s="302">
        <f>'Income Statement'!N187*Collection60Days+'Income Statement'!M187*Collection90Days</f>
        <v>0</v>
      </c>
      <c r="N81" s="302">
        <f>'Income Statement'!O187*Collection60Days+'Income Statement'!N187*Collection90Days</f>
        <v>0</v>
      </c>
      <c r="O81" s="67">
        <f>'Income Statement'!P87*Collection60Days+'Income Statement'!O87*Collection90Days</f>
        <v>0</v>
      </c>
      <c r="P81" s="471">
        <f t="shared" si="19"/>
        <v>0</v>
      </c>
    </row>
    <row r="82" ht="15.75" customHeight="1" outlineLevel="1">
      <c r="A82" s="237" t="s">
        <v>457</v>
      </c>
      <c r="B82" s="12"/>
      <c r="C82" s="124"/>
      <c r="D82" s="124"/>
      <c r="E82" s="124"/>
      <c r="F82" s="124"/>
      <c r="G82" s="124"/>
      <c r="H82" s="124"/>
      <c r="I82" s="124"/>
      <c r="J82" s="124"/>
      <c r="K82" s="124"/>
      <c r="L82" s="124"/>
      <c r="M82" s="124"/>
      <c r="N82" s="124"/>
      <c r="O82" s="12"/>
      <c r="P82" s="471">
        <f t="shared" si="19"/>
        <v>0</v>
      </c>
    </row>
    <row r="83" ht="15.75" customHeight="1" outlineLevel="1">
      <c r="A83" s="237" t="s">
        <v>458</v>
      </c>
      <c r="B83" s="12"/>
      <c r="C83" s="124"/>
      <c r="D83" s="124"/>
      <c r="E83" s="124"/>
      <c r="F83" s="124"/>
      <c r="G83" s="124"/>
      <c r="H83" s="124"/>
      <c r="I83" s="124"/>
      <c r="J83" s="124"/>
      <c r="K83" s="124"/>
      <c r="L83" s="124"/>
      <c r="M83" s="124"/>
      <c r="N83" s="124"/>
      <c r="O83" s="12"/>
      <c r="P83" s="471">
        <f t="shared" si="19"/>
        <v>0</v>
      </c>
    </row>
    <row r="84" ht="15.75" customHeight="1" outlineLevel="1">
      <c r="A84" s="237" t="s">
        <v>448</v>
      </c>
      <c r="B84" s="12"/>
      <c r="C84" s="142"/>
      <c r="D84" s="142"/>
      <c r="E84" s="142"/>
      <c r="F84" s="142"/>
      <c r="G84" s="142"/>
      <c r="H84" s="142"/>
      <c r="I84" s="142"/>
      <c r="J84" s="142"/>
      <c r="K84" s="142"/>
      <c r="L84" s="142"/>
      <c r="M84" s="142"/>
      <c r="N84" s="142"/>
      <c r="O84" s="12"/>
      <c r="P84" s="471">
        <f t="shared" si="19"/>
        <v>0</v>
      </c>
    </row>
    <row r="85" ht="15.75" customHeight="1" outlineLevel="1">
      <c r="A85" s="378" t="s">
        <v>459</v>
      </c>
      <c r="B85" s="12"/>
      <c r="C85" s="474">
        <f t="shared" ref="C85:N85" si="20">SUM(C80:C84)</f>
        <v>31237.5</v>
      </c>
      <c r="D85" s="474">
        <f t="shared" si="20"/>
        <v>31237.5</v>
      </c>
      <c r="E85" s="474">
        <f t="shared" si="20"/>
        <v>31237.5</v>
      </c>
      <c r="F85" s="474">
        <f t="shared" si="20"/>
        <v>31237.5</v>
      </c>
      <c r="G85" s="474">
        <f t="shared" si="20"/>
        <v>31237.5</v>
      </c>
      <c r="H85" s="474">
        <f t="shared" si="20"/>
        <v>31237.5</v>
      </c>
      <c r="I85" s="474">
        <f t="shared" si="20"/>
        <v>31237.5</v>
      </c>
      <c r="J85" s="474">
        <f t="shared" si="20"/>
        <v>31237.5</v>
      </c>
      <c r="K85" s="474">
        <f t="shared" si="20"/>
        <v>31237.5</v>
      </c>
      <c r="L85" s="474">
        <f t="shared" si="20"/>
        <v>31237.5</v>
      </c>
      <c r="M85" s="474">
        <f t="shared" si="20"/>
        <v>31237.5</v>
      </c>
      <c r="N85" s="474">
        <f t="shared" si="20"/>
        <v>31237.5</v>
      </c>
      <c r="O85" s="12"/>
      <c r="P85" s="471">
        <f t="shared" si="19"/>
        <v>374850</v>
      </c>
    </row>
    <row r="86" ht="15.75" customHeight="1" outlineLevel="1">
      <c r="A86" s="12"/>
      <c r="B86" s="12"/>
      <c r="C86" s="12"/>
      <c r="D86" s="12"/>
      <c r="E86" s="12"/>
      <c r="F86" s="12"/>
      <c r="G86" s="12"/>
      <c r="H86" s="12"/>
      <c r="I86" s="12"/>
      <c r="J86" s="12"/>
      <c r="K86" s="12"/>
      <c r="L86" s="12"/>
      <c r="M86" s="12"/>
      <c r="N86" s="12"/>
      <c r="O86" s="12"/>
      <c r="P86" s="12"/>
    </row>
    <row r="87" ht="15.75" customHeight="1" outlineLevel="1">
      <c r="A87" s="12"/>
      <c r="B87" s="12"/>
      <c r="C87" s="12"/>
      <c r="D87" s="12"/>
      <c r="E87" s="12"/>
      <c r="F87" s="12"/>
      <c r="G87" s="12"/>
      <c r="H87" s="12"/>
      <c r="I87" s="12"/>
      <c r="J87" s="12"/>
      <c r="K87" s="12"/>
      <c r="L87" s="12"/>
      <c r="M87" s="12"/>
      <c r="N87" s="153"/>
      <c r="O87" s="12"/>
      <c r="P87" s="12"/>
    </row>
    <row r="88" ht="15.75" customHeight="1" outlineLevel="1">
      <c r="A88" s="25" t="s">
        <v>460</v>
      </c>
      <c r="B88" s="12"/>
      <c r="C88" s="12"/>
      <c r="D88" s="12"/>
      <c r="E88" s="12"/>
      <c r="F88" s="12"/>
      <c r="G88" s="12"/>
      <c r="H88" s="12"/>
      <c r="I88" s="12"/>
      <c r="J88" s="12"/>
      <c r="K88" s="12"/>
      <c r="L88" s="12"/>
      <c r="M88" s="12"/>
      <c r="N88" s="12"/>
      <c r="O88" s="12"/>
      <c r="P88" s="12"/>
    </row>
    <row r="89" ht="15.75" customHeight="1" outlineLevel="1">
      <c r="A89" s="237" t="s">
        <v>461</v>
      </c>
      <c r="B89" s="12"/>
      <c r="C89" s="124"/>
      <c r="D89" s="124"/>
      <c r="E89" s="124"/>
      <c r="F89" s="124"/>
      <c r="G89" s="124"/>
      <c r="H89" s="124"/>
      <c r="I89" s="124"/>
      <c r="J89" s="124"/>
      <c r="K89" s="124"/>
      <c r="L89" s="124"/>
      <c r="M89" s="124"/>
      <c r="N89" s="124"/>
      <c r="O89" s="12"/>
      <c r="P89" s="471">
        <f t="shared" ref="P89:P99" si="21">SUM(C89:N89)</f>
        <v>0</v>
      </c>
    </row>
    <row r="90" ht="15.75" customHeight="1" outlineLevel="1">
      <c r="A90" s="237" t="s">
        <v>462</v>
      </c>
      <c r="B90" s="12"/>
      <c r="C90" s="302">
        <f>'Income Statement'!E198*Payable30Days</f>
        <v>9371.25</v>
      </c>
      <c r="D90" s="302">
        <f>('Income Statement'!F198*Payable30Days)+('Income Statement'!E198*Payable60Days)</f>
        <v>9371.25</v>
      </c>
      <c r="E90" s="302">
        <f>('Income Statement'!G198*Payable30Days)+('Income Statement'!F198*Payable60Days)+('Income Statement'!E198*Payable90Days)</f>
        <v>9371.25</v>
      </c>
      <c r="F90" s="302">
        <f>('Income Statement'!H198*Payable30Days)+('Income Statement'!G198*Payable60Days)+('Income Statement'!F198*Payable90Days)</f>
        <v>9371.25</v>
      </c>
      <c r="G90" s="302">
        <f>('Income Statement'!I198*Payable30Days)+('Income Statement'!H198*Payable60Days)+('Income Statement'!G198*Payable90Days)</f>
        <v>9371.25</v>
      </c>
      <c r="H90" s="302">
        <f>('Income Statement'!J198*Payable30Days)+('Income Statement'!I198*Payable60Days)+('Income Statement'!H198*Payable90Days)</f>
        <v>9371.25</v>
      </c>
      <c r="I90" s="302">
        <f>('Income Statement'!K198*Payable30Days)+('Income Statement'!J198*Payable60Days)+('Income Statement'!I198*Payable90Days)</f>
        <v>9371.25</v>
      </c>
      <c r="J90" s="302">
        <f>('Income Statement'!L198*Payable30Days)+('Income Statement'!K198*Payable60Days)+('Income Statement'!J198*Payable90Days)</f>
        <v>9371.25</v>
      </c>
      <c r="K90" s="302">
        <f>('Income Statement'!M198*Payable30Days)+('Income Statement'!L198*Payable60Days)+('Income Statement'!K198*Payable90Days)</f>
        <v>9371.25</v>
      </c>
      <c r="L90" s="302">
        <f>('Income Statement'!N198*Payable30Days)+('Income Statement'!M198*Payable60Days)+('Income Statement'!L198*Payable90Days)</f>
        <v>9371.25</v>
      </c>
      <c r="M90" s="302">
        <f>('Income Statement'!O198*Payable30Days)+('Income Statement'!N198*Payable60Days)+('Income Statement'!M198*Payable90Days)</f>
        <v>9371.25</v>
      </c>
      <c r="N90" s="302">
        <f>('Income Statement'!P198*Payable30Days)+('Income Statement'!O198*Payable60Days)+('Income Statement'!N198*Payable90Days)</f>
        <v>9371.25</v>
      </c>
      <c r="O90" s="12"/>
      <c r="P90" s="471">
        <f t="shared" si="21"/>
        <v>112455</v>
      </c>
    </row>
    <row r="91" ht="15.75" customHeight="1" outlineLevel="1">
      <c r="A91" s="237" t="s">
        <v>416</v>
      </c>
      <c r="B91" s="12"/>
      <c r="C91" s="124"/>
      <c r="D91" s="124"/>
      <c r="E91" s="124"/>
      <c r="F91" s="124"/>
      <c r="G91" s="124"/>
      <c r="H91" s="124"/>
      <c r="I91" s="124"/>
      <c r="J91" s="124"/>
      <c r="K91" s="124"/>
      <c r="L91" s="124"/>
      <c r="M91" s="124"/>
      <c r="N91" s="124"/>
      <c r="O91" s="12"/>
      <c r="P91" s="471">
        <f t="shared" si="21"/>
        <v>0</v>
      </c>
    </row>
    <row r="92" ht="15.75" customHeight="1" outlineLevel="1">
      <c r="A92" s="237" t="s">
        <v>392</v>
      </c>
      <c r="B92" s="12"/>
      <c r="C92" s="302">
        <f>'Income Statement'!E245-'Income Statement'!E243-'Income Statement'!E237</f>
        <v>3863.34375</v>
      </c>
      <c r="D92" s="302">
        <f>'Income Statement'!F245-'Income Statement'!F243-'Income Statement'!F237</f>
        <v>3863.34375</v>
      </c>
      <c r="E92" s="302">
        <f>'Income Statement'!G245-'Income Statement'!G243-'Income Statement'!G237</f>
        <v>3863.34375</v>
      </c>
      <c r="F92" s="302">
        <f>'Income Statement'!H245-'Income Statement'!H243-'Income Statement'!H237</f>
        <v>3863.34375</v>
      </c>
      <c r="G92" s="302">
        <f>'Income Statement'!I245-'Income Statement'!I243-'Income Statement'!I237</f>
        <v>3863.34375</v>
      </c>
      <c r="H92" s="302">
        <f>'Income Statement'!J245-'Income Statement'!J243-'Income Statement'!J237</f>
        <v>3863.34375</v>
      </c>
      <c r="I92" s="302">
        <f>'Income Statement'!K245-'Income Statement'!K243-'Income Statement'!K237</f>
        <v>3863.34375</v>
      </c>
      <c r="J92" s="302">
        <f>'Income Statement'!L245-'Income Statement'!L243-'Income Statement'!L237</f>
        <v>3863.34375</v>
      </c>
      <c r="K92" s="302">
        <f>'Income Statement'!M245-'Income Statement'!M243-'Income Statement'!M237</f>
        <v>3863.34375</v>
      </c>
      <c r="L92" s="302">
        <f>'Income Statement'!N245-'Income Statement'!N243-'Income Statement'!N237</f>
        <v>3863.34375</v>
      </c>
      <c r="M92" s="302">
        <f>'Income Statement'!O245-'Income Statement'!O243-'Income Statement'!O237</f>
        <v>3863.34375</v>
      </c>
      <c r="N92" s="302">
        <f>'Income Statement'!P245-'Income Statement'!P243-'Income Statement'!P237</f>
        <v>3863.34375</v>
      </c>
      <c r="O92" s="12"/>
      <c r="P92" s="471">
        <f t="shared" si="21"/>
        <v>46360.125</v>
      </c>
    </row>
    <row r="93" ht="15.75" customHeight="1" outlineLevel="1">
      <c r="A93" s="237" t="s">
        <v>363</v>
      </c>
      <c r="B93" s="12"/>
      <c r="C93" s="302">
        <f>'Income Statement'!E207</f>
        <v>4420.416667</v>
      </c>
      <c r="D93" s="302">
        <f>'Income Statement'!F207</f>
        <v>4420.416667</v>
      </c>
      <c r="E93" s="302">
        <f>'Income Statement'!G207</f>
        <v>4420.416667</v>
      </c>
      <c r="F93" s="302">
        <f>'Income Statement'!H207</f>
        <v>4420.416667</v>
      </c>
      <c r="G93" s="302">
        <f>'Income Statement'!I207</f>
        <v>4420.416667</v>
      </c>
      <c r="H93" s="302">
        <f>'Income Statement'!J207</f>
        <v>4420.416667</v>
      </c>
      <c r="I93" s="302">
        <f>'Income Statement'!K207</f>
        <v>4420.416667</v>
      </c>
      <c r="J93" s="302">
        <f>'Income Statement'!L207</f>
        <v>4420.416667</v>
      </c>
      <c r="K93" s="302">
        <f>'Income Statement'!M207</f>
        <v>4420.416667</v>
      </c>
      <c r="L93" s="302">
        <f>'Income Statement'!N207</f>
        <v>4420.416667</v>
      </c>
      <c r="M93" s="302">
        <f>'Income Statement'!O207</f>
        <v>4420.416667</v>
      </c>
      <c r="N93" s="302">
        <f>'Income Statement'!P207</f>
        <v>4420.416667</v>
      </c>
      <c r="O93" s="12"/>
      <c r="P93" s="471">
        <f t="shared" si="21"/>
        <v>53045</v>
      </c>
    </row>
    <row r="94" ht="15.75" customHeight="1" outlineLevel="1">
      <c r="A94" s="237" t="s">
        <v>463</v>
      </c>
      <c r="B94" s="12"/>
      <c r="C94" s="302">
        <f>'Income Statement'!E237+'Income Statement'!E256</f>
        <v>0</v>
      </c>
      <c r="D94" s="302">
        <f>'Income Statement'!F237+'Income Statement'!F256</f>
        <v>0</v>
      </c>
      <c r="E94" s="302">
        <f>'Income Statement'!G237+'Income Statement'!G256</f>
        <v>0</v>
      </c>
      <c r="F94" s="302">
        <f>'Income Statement'!H237+'Income Statement'!H256</f>
        <v>0</v>
      </c>
      <c r="G94" s="302">
        <f>'Income Statement'!I237+'Income Statement'!I256</f>
        <v>0</v>
      </c>
      <c r="H94" s="302">
        <f>'Income Statement'!J237+'Income Statement'!J256</f>
        <v>0</v>
      </c>
      <c r="I94" s="302">
        <f>'Income Statement'!K237+'Income Statement'!K256</f>
        <v>0</v>
      </c>
      <c r="J94" s="302">
        <f>'Income Statement'!L237+'Income Statement'!L256</f>
        <v>0</v>
      </c>
      <c r="K94" s="302">
        <f>'Income Statement'!M237+'Income Statement'!M256</f>
        <v>0</v>
      </c>
      <c r="L94" s="302">
        <f>'Income Statement'!N237+'Income Statement'!N256</f>
        <v>0</v>
      </c>
      <c r="M94" s="302">
        <f>'Income Statement'!O237+'Income Statement'!O256</f>
        <v>0</v>
      </c>
      <c r="N94" s="302">
        <f>'Income Statement'!P237+'Income Statement'!P256</f>
        <v>0</v>
      </c>
      <c r="O94" s="12"/>
      <c r="P94" s="471">
        <f t="shared" si="21"/>
        <v>0</v>
      </c>
    </row>
    <row r="95" ht="15.75" customHeight="1" outlineLevel="1">
      <c r="A95" s="237" t="s">
        <v>464</v>
      </c>
      <c r="B95" s="12"/>
      <c r="C95" s="302">
        <f>'Loan Schedule'!C79</f>
        <v>0</v>
      </c>
      <c r="D95" s="302">
        <f>'Loan Schedule'!D79</f>
        <v>0</v>
      </c>
      <c r="E95" s="302">
        <f>'Loan Schedule'!E79</f>
        <v>0</v>
      </c>
      <c r="F95" s="302">
        <f>'Loan Schedule'!F79</f>
        <v>0</v>
      </c>
      <c r="G95" s="302">
        <f>'Loan Schedule'!G79</f>
        <v>0</v>
      </c>
      <c r="H95" s="302">
        <f>'Loan Schedule'!H79</f>
        <v>0</v>
      </c>
      <c r="I95" s="302">
        <f>'Loan Schedule'!I79</f>
        <v>0</v>
      </c>
      <c r="J95" s="302">
        <f>'Loan Schedule'!J79</f>
        <v>0</v>
      </c>
      <c r="K95" s="302">
        <f>'Loan Schedule'!K79</f>
        <v>0</v>
      </c>
      <c r="L95" s="302">
        <f>'Loan Schedule'!L79</f>
        <v>0</v>
      </c>
      <c r="M95" s="302">
        <f>'Loan Schedule'!M79</f>
        <v>0</v>
      </c>
      <c r="N95" s="302">
        <f>'Loan Schedule'!N79</f>
        <v>0</v>
      </c>
      <c r="O95" s="12"/>
      <c r="P95" s="471">
        <f t="shared" si="21"/>
        <v>0</v>
      </c>
    </row>
    <row r="96" ht="15.75" customHeight="1" outlineLevel="1">
      <c r="A96" s="237" t="s">
        <v>453</v>
      </c>
      <c r="B96" s="12"/>
      <c r="C96" s="302">
        <f>'Income Statement'!E252</f>
        <v>0</v>
      </c>
      <c r="D96" s="302">
        <f>'Income Statement'!F252</f>
        <v>0</v>
      </c>
      <c r="E96" s="302">
        <f>'Income Statement'!G252</f>
        <v>0</v>
      </c>
      <c r="F96" s="302">
        <f>'Income Statement'!H252</f>
        <v>0</v>
      </c>
      <c r="G96" s="302">
        <f>'Income Statement'!I252</f>
        <v>0</v>
      </c>
      <c r="H96" s="302">
        <f>'Income Statement'!J252</f>
        <v>0</v>
      </c>
      <c r="I96" s="302">
        <f>'Income Statement'!K252</f>
        <v>0</v>
      </c>
      <c r="J96" s="302">
        <f>'Income Statement'!L252</f>
        <v>0</v>
      </c>
      <c r="K96" s="302">
        <f>'Income Statement'!M252</f>
        <v>0</v>
      </c>
      <c r="L96" s="302">
        <f>'Income Statement'!N252</f>
        <v>0</v>
      </c>
      <c r="M96" s="302">
        <f>'Income Statement'!O252</f>
        <v>0</v>
      </c>
      <c r="N96" s="302">
        <f>'Income Statement'!P252</f>
        <v>0</v>
      </c>
      <c r="O96" s="12"/>
      <c r="P96" s="471">
        <f t="shared" si="21"/>
        <v>0</v>
      </c>
    </row>
    <row r="97" ht="15.75" customHeight="1" outlineLevel="1">
      <c r="A97" s="237" t="s">
        <v>428</v>
      </c>
      <c r="B97" s="12"/>
      <c r="C97" s="472"/>
      <c r="D97" s="472"/>
      <c r="E97" s="472"/>
      <c r="F97" s="472"/>
      <c r="G97" s="472"/>
      <c r="H97" s="472"/>
      <c r="I97" s="472"/>
      <c r="J97" s="472"/>
      <c r="K97" s="472"/>
      <c r="L97" s="472"/>
      <c r="M97" s="472"/>
      <c r="N97" s="472"/>
      <c r="O97" s="12"/>
      <c r="P97" s="471">
        <f t="shared" si="21"/>
        <v>0</v>
      </c>
    </row>
    <row r="98" ht="15.75" customHeight="1" outlineLevel="1">
      <c r="A98" s="237" t="s">
        <v>465</v>
      </c>
      <c r="B98" s="12"/>
      <c r="C98" s="472"/>
      <c r="D98" s="472"/>
      <c r="E98" s="472"/>
      <c r="F98" s="472"/>
      <c r="G98" s="472"/>
      <c r="H98" s="472"/>
      <c r="I98" s="472"/>
      <c r="J98" s="472"/>
      <c r="K98" s="472"/>
      <c r="L98" s="472"/>
      <c r="M98" s="472"/>
      <c r="N98" s="472"/>
      <c r="O98" s="12"/>
      <c r="P98" s="471">
        <f t="shared" si="21"/>
        <v>0</v>
      </c>
    </row>
    <row r="99" ht="15.75" customHeight="1" outlineLevel="1">
      <c r="A99" s="378" t="s">
        <v>466</v>
      </c>
      <c r="B99" s="12"/>
      <c r="C99" s="321">
        <f t="shared" ref="C99:N99" si="22">SUM(C89:C98)</f>
        <v>17655.01042</v>
      </c>
      <c r="D99" s="321">
        <f t="shared" si="22"/>
        <v>17655.01042</v>
      </c>
      <c r="E99" s="321">
        <f t="shared" si="22"/>
        <v>17655.01042</v>
      </c>
      <c r="F99" s="321">
        <f t="shared" si="22"/>
        <v>17655.01042</v>
      </c>
      <c r="G99" s="321">
        <f t="shared" si="22"/>
        <v>17655.01042</v>
      </c>
      <c r="H99" s="321">
        <f t="shared" si="22"/>
        <v>17655.01042</v>
      </c>
      <c r="I99" s="321">
        <f t="shared" si="22"/>
        <v>17655.01042</v>
      </c>
      <c r="J99" s="321">
        <f t="shared" si="22"/>
        <v>17655.01042</v>
      </c>
      <c r="K99" s="321">
        <f t="shared" si="22"/>
        <v>17655.01042</v>
      </c>
      <c r="L99" s="321">
        <f t="shared" si="22"/>
        <v>17655.01042</v>
      </c>
      <c r="M99" s="321">
        <f t="shared" si="22"/>
        <v>17655.01042</v>
      </c>
      <c r="N99" s="321">
        <f t="shared" si="22"/>
        <v>17655.01042</v>
      </c>
      <c r="O99" s="12"/>
      <c r="P99" s="471">
        <f t="shared" si="21"/>
        <v>211860.125</v>
      </c>
    </row>
    <row r="100" ht="15.75" customHeight="1" outlineLevel="1">
      <c r="A100" s="237"/>
      <c r="B100" s="12"/>
      <c r="C100" s="12"/>
      <c r="D100" s="12"/>
      <c r="E100" s="12"/>
      <c r="F100" s="12"/>
      <c r="G100" s="12"/>
      <c r="H100" s="12"/>
      <c r="I100" s="12"/>
      <c r="J100" s="12"/>
      <c r="K100" s="12"/>
      <c r="L100" s="12"/>
      <c r="M100" s="12"/>
      <c r="N100" s="12"/>
      <c r="O100" s="12"/>
      <c r="P100" s="12"/>
    </row>
    <row r="101" ht="15.75" customHeight="1" outlineLevel="1">
      <c r="A101" s="12"/>
      <c r="B101" s="12"/>
      <c r="C101" s="12"/>
      <c r="D101" s="12"/>
      <c r="E101" s="12"/>
      <c r="F101" s="12"/>
      <c r="G101" s="12"/>
      <c r="H101" s="12"/>
      <c r="I101" s="12"/>
      <c r="J101" s="12"/>
      <c r="K101" s="12"/>
      <c r="L101" s="12"/>
      <c r="M101" s="12"/>
      <c r="N101" s="12"/>
      <c r="O101" s="12"/>
      <c r="P101" s="12"/>
    </row>
    <row r="102" ht="15.75" customHeight="1" outlineLevel="1">
      <c r="A102" s="25" t="s">
        <v>467</v>
      </c>
      <c r="B102" s="12"/>
      <c r="C102" s="443">
        <f t="shared" ref="C102:N102" si="23">C85-C99</f>
        <v>13582.48958</v>
      </c>
      <c r="D102" s="443">
        <f t="shared" si="23"/>
        <v>13582.48958</v>
      </c>
      <c r="E102" s="443">
        <f t="shared" si="23"/>
        <v>13582.48958</v>
      </c>
      <c r="F102" s="443">
        <f t="shared" si="23"/>
        <v>13582.48958</v>
      </c>
      <c r="G102" s="443">
        <f t="shared" si="23"/>
        <v>13582.48958</v>
      </c>
      <c r="H102" s="443">
        <f t="shared" si="23"/>
        <v>13582.48958</v>
      </c>
      <c r="I102" s="443">
        <f t="shared" si="23"/>
        <v>13582.48958</v>
      </c>
      <c r="J102" s="443">
        <f t="shared" si="23"/>
        <v>13582.48958</v>
      </c>
      <c r="K102" s="443">
        <f t="shared" si="23"/>
        <v>13582.48958</v>
      </c>
      <c r="L102" s="443">
        <f t="shared" si="23"/>
        <v>13582.48958</v>
      </c>
      <c r="M102" s="443">
        <f t="shared" si="23"/>
        <v>13582.48958</v>
      </c>
      <c r="N102" s="443">
        <f t="shared" si="23"/>
        <v>13582.48958</v>
      </c>
      <c r="O102" s="12"/>
      <c r="P102" s="471">
        <f>SUM(C102:N102)</f>
        <v>162989.875</v>
      </c>
    </row>
    <row r="103" ht="15.75" customHeight="1" outlineLevel="1">
      <c r="A103" s="25"/>
      <c r="B103" s="12"/>
      <c r="C103" s="12"/>
      <c r="D103" s="12"/>
      <c r="E103" s="12"/>
      <c r="F103" s="12"/>
      <c r="G103" s="12"/>
      <c r="H103" s="12"/>
      <c r="I103" s="12"/>
      <c r="J103" s="12"/>
      <c r="K103" s="12"/>
      <c r="L103" s="12"/>
      <c r="M103" s="12"/>
      <c r="N103" s="12"/>
      <c r="O103" s="12"/>
      <c r="P103" s="12"/>
    </row>
    <row r="104" ht="16.5" customHeight="1" outlineLevel="1">
      <c r="A104" s="12"/>
      <c r="B104" s="12"/>
      <c r="C104" s="12"/>
      <c r="D104" s="12"/>
      <c r="E104" s="12"/>
      <c r="F104" s="12"/>
      <c r="G104" s="12"/>
      <c r="H104" s="12"/>
      <c r="I104" s="12"/>
      <c r="J104" s="12"/>
      <c r="K104" s="12"/>
      <c r="L104" s="12"/>
      <c r="M104" s="12"/>
      <c r="N104" s="12"/>
      <c r="O104" s="12"/>
      <c r="P104" s="12"/>
    </row>
    <row r="105" ht="15.75" customHeight="1" outlineLevel="1">
      <c r="A105" s="25" t="s">
        <v>468</v>
      </c>
      <c r="B105" s="12"/>
      <c r="C105" s="153" t="str">
        <f t="shared" ref="C105:N105" si="24">C102+C77</f>
        <v>#NAME?</v>
      </c>
      <c r="D105" s="153" t="str">
        <f t="shared" si="24"/>
        <v>#NAME?</v>
      </c>
      <c r="E105" s="153" t="str">
        <f t="shared" si="24"/>
        <v>#NAME?</v>
      </c>
      <c r="F105" s="153" t="str">
        <f t="shared" si="24"/>
        <v>#NAME?</v>
      </c>
      <c r="G105" s="153" t="str">
        <f t="shared" si="24"/>
        <v>#NAME?</v>
      </c>
      <c r="H105" s="153" t="str">
        <f t="shared" si="24"/>
        <v>#NAME?</v>
      </c>
      <c r="I105" s="153" t="str">
        <f t="shared" si="24"/>
        <v>#NAME?</v>
      </c>
      <c r="J105" s="153" t="str">
        <f t="shared" si="24"/>
        <v>#NAME?</v>
      </c>
      <c r="K105" s="153" t="str">
        <f t="shared" si="24"/>
        <v>#NAME?</v>
      </c>
      <c r="L105" s="153" t="str">
        <f t="shared" si="24"/>
        <v>#NAME?</v>
      </c>
      <c r="M105" s="153" t="str">
        <f t="shared" si="24"/>
        <v>#NAME?</v>
      </c>
      <c r="N105" s="153" t="str">
        <f t="shared" si="24"/>
        <v>#NAME?</v>
      </c>
      <c r="O105" s="12"/>
      <c r="P105" s="153"/>
    </row>
    <row r="106" ht="15.75" customHeight="1" outlineLevel="1">
      <c r="A106" s="12"/>
      <c r="B106" s="12"/>
      <c r="C106" s="12"/>
      <c r="D106" s="12"/>
      <c r="E106" s="12"/>
      <c r="F106" s="12"/>
      <c r="G106" s="12"/>
      <c r="H106" s="12"/>
      <c r="I106" s="12"/>
      <c r="J106" s="12"/>
      <c r="K106" s="12"/>
      <c r="L106" s="12"/>
      <c r="M106" s="12"/>
      <c r="N106" s="12"/>
      <c r="O106" s="12"/>
      <c r="P106" s="12"/>
    </row>
    <row r="107" ht="15.75" customHeight="1">
      <c r="A107" s="12"/>
    </row>
    <row r="108" ht="15.75" customHeight="1">
      <c r="A108" s="12"/>
    </row>
    <row r="109" ht="15.75" customHeight="1">
      <c r="A109" s="12"/>
      <c r="N109" s="12"/>
    </row>
    <row r="110" ht="15.75" customHeight="1">
      <c r="A110" s="464" t="s">
        <v>470</v>
      </c>
      <c r="B110" s="464"/>
      <c r="C110" s="464"/>
      <c r="D110" s="464"/>
      <c r="E110" s="464"/>
      <c r="F110" s="126"/>
      <c r="G110" s="126"/>
    </row>
    <row r="111" ht="15.75" customHeight="1">
      <c r="A111" s="38" t="s">
        <v>471</v>
      </c>
      <c r="D111" s="230"/>
    </row>
    <row r="112" ht="15.75" customHeight="1"/>
    <row r="113" ht="15.75" customHeight="1">
      <c r="A113" s="482" t="s">
        <v>437</v>
      </c>
      <c r="B113" s="363"/>
      <c r="C113" s="363"/>
      <c r="D113" s="363"/>
      <c r="E113" s="363"/>
      <c r="F113" s="363"/>
      <c r="G113" s="103"/>
      <c r="H113" s="16"/>
      <c r="I113" s="16"/>
      <c r="J113" s="16"/>
      <c r="K113" s="16"/>
      <c r="L113" s="16"/>
      <c r="M113" s="16"/>
      <c r="N113" s="16"/>
      <c r="O113" s="16"/>
      <c r="P113" s="16"/>
      <c r="Q113" s="16"/>
      <c r="R113" s="16"/>
      <c r="S113" s="16"/>
      <c r="T113" s="16"/>
      <c r="U113" s="16"/>
      <c r="V113" s="16"/>
      <c r="W113" s="16"/>
      <c r="X113" s="16"/>
      <c r="Y113" s="16"/>
      <c r="Z113" s="16"/>
    </row>
    <row r="114" ht="15.75" customHeight="1">
      <c r="A114" s="482" t="s">
        <v>438</v>
      </c>
      <c r="B114" s="363"/>
      <c r="C114" s="363"/>
      <c r="D114" s="363"/>
      <c r="E114" s="363"/>
      <c r="F114" s="363"/>
      <c r="G114" s="103"/>
      <c r="H114" s="16"/>
      <c r="I114" s="16"/>
      <c r="J114" s="16"/>
      <c r="K114" s="16"/>
      <c r="L114" s="16"/>
      <c r="M114" s="16"/>
      <c r="N114" s="16"/>
      <c r="O114" s="16"/>
      <c r="P114" s="16"/>
      <c r="Q114" s="16"/>
      <c r="R114" s="16"/>
      <c r="S114" s="16"/>
      <c r="T114" s="16"/>
      <c r="U114" s="16"/>
      <c r="V114" s="16"/>
      <c r="W114" s="16"/>
      <c r="X114" s="16"/>
      <c r="Y114" s="16"/>
      <c r="Z114" s="16"/>
    </row>
    <row r="115" ht="15.75" customHeight="1">
      <c r="A115" s="482" t="s">
        <v>439</v>
      </c>
      <c r="B115" s="363"/>
      <c r="C115" s="363"/>
      <c r="D115" s="363"/>
      <c r="E115" s="363"/>
      <c r="F115" s="363"/>
      <c r="G115" s="103"/>
      <c r="H115" s="16"/>
      <c r="I115" s="16"/>
      <c r="J115" s="16"/>
      <c r="K115" s="16"/>
      <c r="L115" s="16"/>
      <c r="M115" s="16"/>
      <c r="N115" s="16"/>
      <c r="O115" s="16"/>
      <c r="P115" s="16"/>
      <c r="Q115" s="16"/>
      <c r="R115" s="16"/>
      <c r="S115" s="16"/>
      <c r="T115" s="16"/>
      <c r="U115" s="16"/>
      <c r="V115" s="16"/>
      <c r="W115" s="16"/>
      <c r="X115" s="16"/>
      <c r="Y115" s="16"/>
      <c r="Z115" s="16"/>
    </row>
    <row r="116" ht="15.75" customHeight="1">
      <c r="A116" s="482" t="s">
        <v>440</v>
      </c>
      <c r="B116" s="363"/>
      <c r="C116" s="363"/>
      <c r="D116" s="363"/>
      <c r="E116" s="363"/>
      <c r="F116" s="363"/>
      <c r="G116" s="103"/>
      <c r="H116" s="16"/>
      <c r="I116" s="16"/>
      <c r="J116" s="16"/>
      <c r="K116" s="16"/>
      <c r="L116" s="16"/>
      <c r="M116" s="16"/>
      <c r="N116" s="16"/>
      <c r="O116" s="16"/>
      <c r="P116" s="16"/>
      <c r="Q116" s="16"/>
      <c r="R116" s="16"/>
      <c r="S116" s="16"/>
      <c r="T116" s="16"/>
      <c r="U116" s="16"/>
      <c r="V116" s="16"/>
      <c r="W116" s="16"/>
      <c r="X116" s="16"/>
      <c r="Y116" s="16"/>
      <c r="Z116" s="16"/>
    </row>
    <row r="117" ht="15.75" customHeight="1">
      <c r="A117" s="482" t="s">
        <v>441</v>
      </c>
      <c r="B117" s="363"/>
      <c r="C117" s="363"/>
      <c r="D117" s="363"/>
      <c r="E117" s="363"/>
      <c r="F117" s="363"/>
      <c r="G117" s="103"/>
      <c r="H117" s="16"/>
      <c r="I117" s="16"/>
      <c r="J117" s="16"/>
      <c r="K117" s="16"/>
      <c r="L117" s="16"/>
      <c r="M117" s="16"/>
      <c r="N117" s="16"/>
      <c r="O117" s="16"/>
      <c r="P117" s="16"/>
      <c r="Q117" s="16"/>
      <c r="R117" s="16"/>
      <c r="S117" s="16"/>
      <c r="T117" s="16"/>
      <c r="U117" s="16"/>
      <c r="V117" s="16"/>
      <c r="W117" s="16"/>
      <c r="X117" s="16"/>
      <c r="Y117" s="16"/>
      <c r="Z117" s="16"/>
    </row>
    <row r="118" ht="15.75" customHeight="1">
      <c r="A118" s="482" t="s">
        <v>442</v>
      </c>
      <c r="B118" s="363"/>
      <c r="C118" s="363"/>
      <c r="D118" s="363"/>
      <c r="E118" s="363"/>
      <c r="F118" s="363"/>
      <c r="G118" s="103"/>
      <c r="H118" s="16"/>
      <c r="I118" s="16"/>
      <c r="J118" s="16"/>
      <c r="K118" s="16"/>
      <c r="L118" s="16"/>
      <c r="M118" s="16"/>
      <c r="N118" s="16"/>
      <c r="O118" s="16"/>
      <c r="P118" s="16"/>
      <c r="Q118" s="16"/>
      <c r="R118" s="16"/>
      <c r="S118" s="16"/>
      <c r="T118" s="16"/>
      <c r="U118" s="16"/>
      <c r="V118" s="16"/>
      <c r="W118" s="16"/>
      <c r="X118" s="16"/>
      <c r="Y118" s="16"/>
      <c r="Z118" s="16"/>
    </row>
    <row r="119" ht="15.75" customHeight="1">
      <c r="A119" s="482" t="s">
        <v>443</v>
      </c>
      <c r="B119" s="363"/>
      <c r="C119" s="363"/>
      <c r="D119" s="363"/>
      <c r="E119" s="363"/>
      <c r="F119" s="363"/>
      <c r="G119" s="103"/>
      <c r="H119" s="16"/>
      <c r="I119" s="16"/>
      <c r="J119" s="16"/>
      <c r="K119" s="16"/>
      <c r="L119" s="16"/>
      <c r="M119" s="16"/>
      <c r="N119" s="16"/>
      <c r="O119" s="16"/>
      <c r="P119" s="16"/>
      <c r="Q119" s="16"/>
      <c r="R119" s="16"/>
      <c r="S119" s="16"/>
      <c r="T119" s="16"/>
      <c r="U119" s="16"/>
      <c r="V119" s="16"/>
      <c r="W119" s="16"/>
      <c r="X119" s="16"/>
      <c r="Y119" s="16"/>
      <c r="Z119" s="16"/>
    </row>
    <row r="120" ht="15.75" customHeight="1">
      <c r="A120" s="482" t="s">
        <v>444</v>
      </c>
      <c r="B120" s="363"/>
      <c r="C120" s="363"/>
      <c r="D120" s="363"/>
      <c r="E120" s="363"/>
      <c r="F120" s="363"/>
      <c r="G120" s="103"/>
      <c r="H120" s="16"/>
      <c r="I120" s="16"/>
      <c r="J120" s="16"/>
      <c r="K120" s="16"/>
      <c r="L120" s="16"/>
      <c r="M120" s="16"/>
      <c r="N120" s="16"/>
      <c r="O120" s="16"/>
      <c r="P120" s="16"/>
      <c r="Q120" s="16"/>
      <c r="R120" s="16"/>
      <c r="S120" s="16"/>
      <c r="T120" s="16"/>
      <c r="U120" s="16"/>
      <c r="V120" s="16"/>
      <c r="W120" s="16"/>
      <c r="X120" s="16"/>
      <c r="Y120" s="16"/>
      <c r="Z120" s="16"/>
    </row>
    <row r="121" ht="15.75" customHeight="1">
      <c r="A121" s="482" t="s">
        <v>445</v>
      </c>
      <c r="B121" s="363"/>
      <c r="C121" s="363"/>
      <c r="D121" s="363"/>
      <c r="E121" s="363"/>
      <c r="F121" s="363"/>
      <c r="G121" s="103"/>
      <c r="H121" s="16"/>
      <c r="I121" s="16"/>
      <c r="J121" s="16"/>
      <c r="K121" s="16"/>
      <c r="L121" s="16"/>
      <c r="M121" s="16"/>
      <c r="N121" s="16"/>
      <c r="O121" s="16"/>
      <c r="P121" s="16"/>
      <c r="Q121" s="16"/>
      <c r="R121" s="16"/>
      <c r="S121" s="16"/>
      <c r="T121" s="16"/>
      <c r="U121" s="16"/>
      <c r="V121" s="16"/>
      <c r="W121" s="16"/>
      <c r="X121" s="16"/>
      <c r="Y121" s="16"/>
      <c r="Z121" s="16"/>
    </row>
    <row r="122" ht="15.75" customHeight="1">
      <c r="A122" s="482" t="s">
        <v>447</v>
      </c>
      <c r="B122" s="363"/>
      <c r="C122" s="363"/>
      <c r="D122" s="363"/>
      <c r="E122" s="363"/>
      <c r="F122" s="363"/>
      <c r="G122" s="103"/>
      <c r="H122" s="16"/>
      <c r="I122" s="16"/>
      <c r="J122" s="16"/>
      <c r="K122" s="16"/>
      <c r="L122" s="16"/>
      <c r="M122" s="16"/>
      <c r="N122" s="16"/>
      <c r="O122" s="16"/>
      <c r="P122" s="16"/>
      <c r="Q122" s="16"/>
      <c r="R122" s="16"/>
      <c r="S122" s="16"/>
      <c r="T122" s="16"/>
      <c r="U122" s="16"/>
      <c r="V122" s="16"/>
      <c r="W122" s="16"/>
      <c r="X122" s="16"/>
      <c r="Y122" s="16"/>
      <c r="Z122" s="16"/>
    </row>
    <row r="123" ht="15.75" customHeight="1">
      <c r="A123" s="12"/>
    </row>
    <row r="124" ht="15.75" customHeight="1">
      <c r="A124" s="12"/>
    </row>
    <row r="125" ht="15.75" customHeight="1">
      <c r="A125" s="12"/>
    </row>
    <row r="126" ht="15.75" customHeight="1">
      <c r="A126" s="12"/>
    </row>
    <row r="127" ht="15.75" customHeight="1">
      <c r="A127" s="12"/>
    </row>
    <row r="128" ht="15.75" customHeight="1">
      <c r="A128" s="12"/>
    </row>
    <row r="129" ht="15.75" customHeight="1">
      <c r="A129" s="12"/>
    </row>
    <row r="130" ht="15.75" customHeight="1">
      <c r="A130" s="12"/>
    </row>
    <row r="131" ht="15.75" customHeight="1">
      <c r="A131" s="12"/>
    </row>
    <row r="132" ht="15.75" customHeight="1">
      <c r="A132" s="12"/>
    </row>
    <row r="133" ht="15.75" customHeight="1">
      <c r="A133" s="12"/>
    </row>
    <row r="134" ht="15.75" customHeight="1">
      <c r="A134" s="12"/>
    </row>
    <row r="135" ht="15.75" customHeight="1">
      <c r="A135" s="12"/>
    </row>
    <row r="136" ht="15.75" customHeight="1">
      <c r="A136" s="12"/>
    </row>
    <row r="137" ht="15.75" customHeight="1">
      <c r="A137" s="12"/>
    </row>
    <row r="138" ht="15.75" customHeight="1">
      <c r="A138" s="12"/>
    </row>
    <row r="139" ht="15.75" customHeight="1">
      <c r="A139" s="12"/>
    </row>
    <row r="140" ht="15.75" customHeight="1">
      <c r="A140" s="12"/>
    </row>
    <row r="141" ht="15.75" customHeight="1">
      <c r="A141" s="12"/>
    </row>
    <row r="142" ht="15.75" customHeight="1">
      <c r="A142" s="12"/>
    </row>
    <row r="143" ht="15.75" customHeight="1">
      <c r="A143" s="12"/>
    </row>
    <row r="144" ht="15.75" customHeight="1">
      <c r="A144" s="12"/>
    </row>
    <row r="145" ht="15.75" customHeight="1">
      <c r="A145" s="12"/>
    </row>
    <row r="146" ht="15.75" customHeight="1">
      <c r="A146" s="12"/>
    </row>
    <row r="147" ht="15.75" customHeight="1">
      <c r="A147" s="12"/>
    </row>
    <row r="148" ht="15.75" customHeight="1">
      <c r="A148" s="12"/>
    </row>
    <row r="149" ht="15.75" customHeight="1">
      <c r="A149" s="12"/>
    </row>
    <row r="150" ht="15.75" customHeight="1">
      <c r="A150" s="12"/>
    </row>
    <row r="151" ht="15.75" customHeight="1">
      <c r="A151" s="12"/>
    </row>
    <row r="152" ht="15.75" customHeight="1">
      <c r="A152" s="12"/>
    </row>
    <row r="153" ht="15.75" customHeight="1">
      <c r="A153" s="12"/>
    </row>
    <row r="154" ht="15.75" customHeight="1">
      <c r="A154" s="12"/>
    </row>
    <row r="155" ht="15.75" customHeight="1">
      <c r="A155" s="12"/>
    </row>
    <row r="156" ht="15.75" customHeight="1">
      <c r="A156" s="12"/>
    </row>
    <row r="157" ht="15.75" customHeight="1">
      <c r="A157" s="12"/>
    </row>
    <row r="158" ht="15.75" customHeight="1">
      <c r="A158" s="12"/>
    </row>
    <row r="159" ht="15.75" customHeight="1">
      <c r="A159" s="12"/>
    </row>
    <row r="160" ht="15.75" customHeight="1">
      <c r="A160" s="12"/>
    </row>
    <row r="161" ht="15.75" customHeight="1">
      <c r="A161" s="12"/>
    </row>
    <row r="162" ht="15.75" customHeight="1">
      <c r="A162" s="12"/>
    </row>
    <row r="163" ht="15.75" customHeight="1">
      <c r="A163" s="12"/>
    </row>
    <row r="164" ht="15.75" customHeight="1">
      <c r="A164" s="12"/>
    </row>
    <row r="165" ht="15.75" customHeight="1">
      <c r="A165" s="12"/>
    </row>
    <row r="166" ht="15.75" customHeight="1">
      <c r="A166" s="12"/>
    </row>
    <row r="167" ht="15.75" customHeight="1">
      <c r="A167" s="12"/>
    </row>
    <row r="168" ht="15.75" customHeight="1">
      <c r="A168" s="12"/>
    </row>
    <row r="169" ht="15.75" customHeight="1">
      <c r="A169" s="12"/>
    </row>
    <row r="170" ht="15.75" customHeight="1">
      <c r="A170" s="12"/>
    </row>
    <row r="171" ht="15.75" customHeight="1">
      <c r="A171" s="12"/>
    </row>
    <row r="172" ht="15.75" customHeight="1">
      <c r="A172" s="12"/>
    </row>
    <row r="173" ht="15.75" customHeight="1">
      <c r="A173" s="12"/>
    </row>
    <row r="174" ht="15.75" customHeight="1">
      <c r="A174" s="12"/>
    </row>
    <row r="175" ht="15.75" customHeight="1">
      <c r="A175" s="12"/>
    </row>
    <row r="176" ht="15.75" customHeight="1">
      <c r="A176" s="12"/>
    </row>
    <row r="177" ht="15.75" customHeight="1">
      <c r="A177" s="12"/>
    </row>
    <row r="178" ht="15.75" customHeight="1">
      <c r="A178" s="12"/>
    </row>
    <row r="179" ht="15.75" customHeight="1">
      <c r="A179" s="12"/>
    </row>
    <row r="180" ht="15.75" customHeight="1">
      <c r="A180" s="12"/>
    </row>
    <row r="181" ht="15.75" customHeight="1">
      <c r="A181" s="12"/>
    </row>
    <row r="182" ht="15.75" customHeight="1">
      <c r="A182" s="12"/>
    </row>
    <row r="183" ht="15.75" customHeight="1">
      <c r="A183" s="12"/>
    </row>
    <row r="184" ht="15.75" customHeight="1">
      <c r="A184" s="12"/>
    </row>
    <row r="185" ht="15.75" customHeight="1">
      <c r="A185" s="12"/>
    </row>
    <row r="186" ht="15.75" customHeight="1">
      <c r="A186" s="12"/>
    </row>
    <row r="187" ht="15.75" customHeight="1">
      <c r="A187" s="12"/>
    </row>
    <row r="188" ht="15.75" customHeight="1">
      <c r="A188" s="12"/>
    </row>
    <row r="189" ht="15.75" customHeight="1">
      <c r="A189" s="12"/>
    </row>
    <row r="190" ht="15.75" customHeight="1">
      <c r="A190" s="12"/>
    </row>
    <row r="191" ht="15.75" customHeight="1">
      <c r="A191" s="12"/>
    </row>
    <row r="192" ht="15.75" customHeight="1">
      <c r="A192" s="12"/>
    </row>
    <row r="193" ht="15.75" customHeight="1">
      <c r="A193" s="12"/>
    </row>
    <row r="194" ht="15.75" customHeight="1">
      <c r="A194" s="12"/>
    </row>
    <row r="195" ht="15.75" customHeight="1">
      <c r="A195" s="12"/>
    </row>
    <row r="196" ht="15.75" customHeight="1">
      <c r="A196" s="12"/>
    </row>
    <row r="197" ht="15.75" customHeight="1">
      <c r="A197" s="12"/>
    </row>
    <row r="198" ht="15.75" customHeight="1">
      <c r="A198" s="12"/>
    </row>
    <row r="199" ht="15.75" customHeight="1">
      <c r="A199" s="12"/>
    </row>
    <row r="200" ht="15.75" customHeight="1">
      <c r="A200" s="12"/>
    </row>
    <row r="201" ht="15.75" customHeight="1">
      <c r="A201" s="12"/>
    </row>
    <row r="202" ht="15.75" customHeight="1">
      <c r="A202" s="12"/>
    </row>
    <row r="203" ht="15.75" customHeight="1">
      <c r="A203" s="12"/>
    </row>
    <row r="204" ht="15.75" customHeight="1">
      <c r="A204" s="12"/>
    </row>
    <row r="205" ht="15.75" customHeight="1">
      <c r="A205" s="12"/>
    </row>
    <row r="206" ht="15.75" customHeight="1">
      <c r="A206" s="12"/>
    </row>
    <row r="207" ht="15.75" customHeight="1">
      <c r="A207" s="12"/>
    </row>
    <row r="208" ht="15.75" customHeight="1">
      <c r="A208" s="12"/>
    </row>
    <row r="209" ht="15.75" customHeight="1">
      <c r="A209" s="12"/>
    </row>
    <row r="210" ht="15.75" customHeight="1">
      <c r="A210" s="12"/>
    </row>
    <row r="211" ht="15.75" customHeight="1">
      <c r="A211" s="12"/>
    </row>
    <row r="212" ht="15.75" customHeight="1">
      <c r="A212" s="12"/>
    </row>
    <row r="213" ht="15.75" customHeight="1">
      <c r="A213" s="12"/>
    </row>
    <row r="214" ht="15.75" customHeight="1">
      <c r="A214" s="12"/>
    </row>
    <row r="215" ht="15.75" customHeight="1">
      <c r="A215" s="12"/>
    </row>
    <row r="216" ht="15.75" customHeight="1">
      <c r="A216" s="12"/>
    </row>
    <row r="217" ht="15.75" customHeight="1">
      <c r="A217" s="12"/>
    </row>
    <row r="218" ht="15.75" customHeight="1">
      <c r="A218" s="12"/>
    </row>
    <row r="219" ht="15.75" customHeight="1">
      <c r="A219" s="12"/>
    </row>
    <row r="220" ht="15.75" customHeight="1">
      <c r="A220" s="12"/>
    </row>
    <row r="221" ht="15.75" customHeight="1">
      <c r="A221" s="12"/>
    </row>
    <row r="222" ht="15.75" customHeight="1">
      <c r="A222" s="12"/>
    </row>
    <row r="223" ht="15.75" customHeight="1">
      <c r="A223" s="12"/>
    </row>
    <row r="224" ht="15.75" customHeight="1">
      <c r="A224" s="12"/>
    </row>
    <row r="225" ht="15.75" customHeight="1">
      <c r="A225" s="12"/>
    </row>
    <row r="226" ht="15.75" customHeight="1">
      <c r="A226" s="12"/>
    </row>
    <row r="227" ht="15.75" customHeight="1">
      <c r="A227" s="12"/>
    </row>
    <row r="228" ht="15.75" customHeight="1">
      <c r="A228" s="12"/>
    </row>
    <row r="229" ht="15.75" customHeight="1">
      <c r="A229" s="12"/>
    </row>
    <row r="230" ht="15.75" customHeight="1">
      <c r="A230" s="12"/>
    </row>
    <row r="231" ht="15.75" customHeight="1">
      <c r="A231" s="12"/>
    </row>
    <row r="232" ht="15.75" customHeight="1">
      <c r="A232" s="12"/>
    </row>
    <row r="233" ht="15.75" customHeight="1">
      <c r="A233" s="12"/>
    </row>
    <row r="234" ht="15.75" customHeight="1">
      <c r="A234" s="12"/>
    </row>
    <row r="235" ht="15.75" customHeight="1">
      <c r="A235" s="12"/>
    </row>
    <row r="236" ht="15.75" customHeight="1">
      <c r="A236" s="12"/>
    </row>
    <row r="237" ht="15.75" customHeight="1">
      <c r="A237" s="12"/>
    </row>
    <row r="238" ht="15.75" customHeight="1">
      <c r="A238" s="12"/>
    </row>
    <row r="239" ht="15.75" customHeight="1">
      <c r="A239" s="12"/>
    </row>
    <row r="240" ht="15.75" customHeight="1">
      <c r="A240" s="12"/>
    </row>
    <row r="241" ht="15.75" customHeight="1">
      <c r="A241" s="12"/>
    </row>
    <row r="242" ht="15.75" customHeight="1">
      <c r="A242" s="12"/>
    </row>
    <row r="243" ht="15.75" customHeight="1">
      <c r="A243" s="12"/>
    </row>
    <row r="244" ht="15.75" customHeight="1">
      <c r="A244" s="12"/>
    </row>
    <row r="245" ht="15.75" customHeight="1">
      <c r="A245" s="12"/>
    </row>
    <row r="246" ht="15.75" customHeight="1">
      <c r="A246" s="12"/>
    </row>
    <row r="247" ht="15.75" customHeight="1">
      <c r="A247" s="12"/>
    </row>
    <row r="248" ht="15.75" customHeight="1">
      <c r="A248" s="12"/>
    </row>
    <row r="249" ht="15.75" customHeight="1">
      <c r="A249" s="12"/>
    </row>
    <row r="250" ht="15.75" customHeight="1">
      <c r="A250" s="12"/>
    </row>
    <row r="251" ht="15.75" customHeight="1">
      <c r="A251" s="12"/>
    </row>
    <row r="252" ht="15.75" customHeight="1">
      <c r="A252" s="12"/>
    </row>
    <row r="253" ht="15.75" customHeight="1">
      <c r="A253" s="12"/>
    </row>
    <row r="254" ht="15.75" customHeight="1">
      <c r="A254" s="12"/>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row r="993" ht="15.75" customHeight="1">
      <c r="A993" s="12"/>
    </row>
    <row r="994" ht="15.75" customHeight="1">
      <c r="A994" s="12"/>
    </row>
    <row r="995" ht="15.75" customHeight="1">
      <c r="A995" s="12"/>
    </row>
    <row r="996" ht="15.75" customHeight="1">
      <c r="A996" s="12"/>
    </row>
    <row r="997" ht="15.75" customHeight="1">
      <c r="A997" s="12"/>
    </row>
    <row r="998" ht="15.75" customHeight="1">
      <c r="A998" s="12"/>
    </row>
    <row r="999" ht="15.75" customHeight="1">
      <c r="A999" s="12"/>
    </row>
    <row r="1000" ht="15.75" customHeight="1">
      <c r="A1000" s="12"/>
    </row>
  </sheetData>
  <mergeCells count="10">
    <mergeCell ref="A114:G114"/>
    <mergeCell ref="A113:G113"/>
    <mergeCell ref="A115:G115"/>
    <mergeCell ref="A116:G116"/>
    <mergeCell ref="A117:G117"/>
    <mergeCell ref="A119:G119"/>
    <mergeCell ref="A120:G120"/>
    <mergeCell ref="A121:G121"/>
    <mergeCell ref="A122:G122"/>
    <mergeCell ref="A118:G118"/>
  </mergeCells>
  <printOptions/>
  <pageMargins bottom="0.65" footer="0.0" header="0.0" left="0.7" right="0.7" top="0.51"/>
  <pageSetup orientation="landscape"/>
  <headerFooter>
    <oddHeader>&amp;R05+000Cash Flow Projections</oddHead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1.25"/>
    <col customWidth="1" min="2" max="2" width="16.38"/>
    <col customWidth="1" min="3" max="3" width="14.75"/>
    <col customWidth="1" min="4" max="4" width="12.5"/>
    <col customWidth="1" min="5" max="5" width="9.88"/>
    <col customWidth="1" min="6" max="6" width="12.13"/>
    <col customWidth="1" min="7" max="7" width="10.0"/>
    <col customWidth="1" min="8" max="8" width="10.75"/>
    <col customWidth="1" min="9" max="9" width="10.0"/>
    <col customWidth="1" min="10" max="10" width="9.63"/>
    <col customWidth="1" min="11" max="11" width="9.38"/>
    <col customWidth="1" min="12" max="12" width="10.0"/>
    <col customWidth="1" min="13" max="13" width="10.25"/>
    <col customWidth="1" min="14" max="14" width="9.63"/>
    <col customWidth="1" min="15" max="15" width="10.5"/>
    <col customWidth="1" min="16" max="16" width="7.38"/>
    <col customWidth="1" min="17" max="21" width="8.75"/>
    <col customWidth="1" min="22" max="22" width="7.75"/>
    <col customWidth="1" min="23" max="23" width="4.5"/>
    <col customWidth="1" min="24" max="28" width="7.75"/>
  </cols>
  <sheetData>
    <row r="1" ht="27.75" customHeight="1">
      <c r="A1" s="1" t="s">
        <v>472</v>
      </c>
      <c r="B1" s="1"/>
      <c r="C1" s="1"/>
      <c r="D1" s="1"/>
      <c r="E1" s="1"/>
      <c r="F1" s="1"/>
      <c r="G1" s="126"/>
      <c r="H1" s="126"/>
      <c r="I1" s="126"/>
      <c r="J1" s="126"/>
      <c r="K1" s="484"/>
      <c r="L1" s="126"/>
      <c r="M1" s="126"/>
      <c r="N1" s="126"/>
    </row>
    <row r="2">
      <c r="A2" s="485" t="str">
        <f>IF(ISBLANK(Company_Name),"Loan Schedule","Loan Schedule for "&amp;Company_Name)</f>
        <v>Loan Schedule for OTW Paints</v>
      </c>
      <c r="B2" s="10"/>
      <c r="C2" s="10"/>
    </row>
    <row r="3" ht="21.0" customHeight="1">
      <c r="A3" s="167"/>
      <c r="B3" s="11"/>
      <c r="C3" s="11"/>
      <c r="D3" s="11"/>
      <c r="E3" s="11"/>
      <c r="F3" s="11"/>
      <c r="G3" s="11"/>
      <c r="H3" s="11"/>
      <c r="I3" s="11"/>
      <c r="J3" s="11"/>
      <c r="K3" s="11"/>
      <c r="L3" s="210"/>
      <c r="M3" s="129"/>
      <c r="N3" s="129"/>
      <c r="O3" s="130"/>
    </row>
    <row r="4">
      <c r="A4" s="277"/>
      <c r="C4" s="12"/>
    </row>
    <row r="6">
      <c r="A6" s="486" t="str">
        <f>"Financial Projections start on "&amp;TEXT(Projected_Start_Date,"mm/dd/yy")</f>
        <v>Financial Projections start on 01/01/16</v>
      </c>
      <c r="B6" s="487"/>
      <c r="C6" s="12"/>
      <c r="F6" s="153"/>
      <c r="G6" s="153"/>
      <c r="H6" s="153"/>
      <c r="K6" s="55"/>
      <c r="L6" s="55"/>
      <c r="M6" s="55"/>
      <c r="N6" s="55"/>
      <c r="O6" s="7"/>
      <c r="P6" s="488" t="s">
        <v>473</v>
      </c>
    </row>
    <row r="7">
      <c r="B7" s="55" t="s">
        <v>474</v>
      </c>
      <c r="C7" s="57" t="s">
        <v>475</v>
      </c>
      <c r="D7" s="57" t="s">
        <v>476</v>
      </c>
      <c r="E7" s="57" t="s">
        <v>477</v>
      </c>
      <c r="F7" s="57" t="s">
        <v>478</v>
      </c>
      <c r="G7" s="57" t="s">
        <v>479</v>
      </c>
      <c r="H7" s="57" t="s">
        <v>480</v>
      </c>
      <c r="I7" s="57" t="s">
        <v>326</v>
      </c>
      <c r="J7" s="489"/>
      <c r="K7" s="490" t="s">
        <v>107</v>
      </c>
      <c r="L7" s="490" t="s">
        <v>109</v>
      </c>
      <c r="M7" s="490" t="s">
        <v>110</v>
      </c>
      <c r="N7" s="490" t="s">
        <v>111</v>
      </c>
      <c r="O7" s="490" t="s">
        <v>481</v>
      </c>
      <c r="Q7" s="490" t="s">
        <v>315</v>
      </c>
      <c r="R7" s="490" t="s">
        <v>107</v>
      </c>
      <c r="S7" s="490" t="s">
        <v>109</v>
      </c>
      <c r="T7" s="490" t="s">
        <v>110</v>
      </c>
      <c r="U7" s="490" t="s">
        <v>111</v>
      </c>
      <c r="X7" s="490" t="s">
        <v>315</v>
      </c>
      <c r="Y7" s="490" t="s">
        <v>107</v>
      </c>
      <c r="Z7" s="490" t="s">
        <v>109</v>
      </c>
      <c r="AA7" s="490" t="s">
        <v>110</v>
      </c>
      <c r="AB7" s="490" t="s">
        <v>111</v>
      </c>
    </row>
    <row r="8">
      <c r="A8" s="237" t="str">
        <f>'F. Capital Required'!A20</f>
        <v>Business Loans</v>
      </c>
      <c r="B8" s="491">
        <f>'F. Capital Required'!G20</f>
        <v>42370</v>
      </c>
      <c r="C8" s="480" t="str">
        <f>Business_Loans</f>
        <v/>
      </c>
      <c r="D8" s="326">
        <f>'F. Capital Required'!D20</f>
        <v>0</v>
      </c>
      <c r="E8" s="7">
        <f>'F. Capital Required'!E20</f>
        <v>0</v>
      </c>
      <c r="F8" s="492">
        <f>'F. Capital Required'!F20</f>
        <v>0</v>
      </c>
      <c r="G8" s="492">
        <f t="shared" ref="G8:G12" si="1">IFERROR(ABS(CUMIPMT(D8/12,E8,C8,1,E8,0)),0)</f>
        <v>0</v>
      </c>
      <c r="H8" s="492">
        <f>G8-O17</f>
        <v>0</v>
      </c>
      <c r="I8" s="491">
        <f t="shared" ref="I8:I12" si="2">EDATE(B8,E8)</f>
        <v>42370</v>
      </c>
      <c r="J8" s="493" t="s">
        <v>482</v>
      </c>
      <c r="K8" s="494">
        <f>IF(O18&lt;1,0,O18)</f>
        <v>0</v>
      </c>
      <c r="L8" s="494">
        <f>IF(O41&lt;1,0,O41)</f>
        <v>0</v>
      </c>
      <c r="M8" s="494">
        <f>IF(O65&lt;1,0,O65)</f>
        <v>0</v>
      </c>
      <c r="N8" s="494">
        <f>IF(O89&lt;1,0,O89)</f>
        <v>0</v>
      </c>
      <c r="O8" s="494">
        <f>IF(O112&lt;1,0,O112)</f>
        <v>0</v>
      </c>
      <c r="P8" s="493" t="s">
        <v>483</v>
      </c>
      <c r="Q8" s="153">
        <f>O16</f>
        <v>0</v>
      </c>
      <c r="R8" s="153">
        <f>O39</f>
        <v>0</v>
      </c>
      <c r="S8" s="153">
        <f>O63</f>
        <v>0</v>
      </c>
      <c r="T8" s="153">
        <f>O87</f>
        <v>0</v>
      </c>
      <c r="U8" s="153">
        <f>O110</f>
        <v>0</v>
      </c>
      <c r="W8" s="493" t="s">
        <v>484</v>
      </c>
      <c r="X8" s="153">
        <f>O17</f>
        <v>0</v>
      </c>
      <c r="Y8" s="153">
        <f>O40</f>
        <v>0</v>
      </c>
      <c r="Z8" s="153" t="str">
        <f>U63</f>
        <v/>
      </c>
      <c r="AA8" s="153" t="str">
        <f>U87</f>
        <v/>
      </c>
      <c r="AB8" s="153" t="str">
        <f>U110</f>
        <v/>
      </c>
    </row>
    <row r="9">
      <c r="A9" s="237" t="str">
        <f>'F. Capital Required'!A21</f>
        <v>Commercial Mortgages</v>
      </c>
      <c r="B9" s="491">
        <f>'F. Capital Required'!G21</f>
        <v>42371</v>
      </c>
      <c r="C9" s="480" t="str">
        <f>Commercial_Mortgages</f>
        <v/>
      </c>
      <c r="D9" s="326">
        <f>'F. Capital Required'!D21</f>
        <v>0</v>
      </c>
      <c r="E9" s="7">
        <f>'F. Capital Required'!E21</f>
        <v>0</v>
      </c>
      <c r="F9" s="492">
        <f>'F. Capital Required'!F21</f>
        <v>0</v>
      </c>
      <c r="G9" s="492">
        <f t="shared" si="1"/>
        <v>0</v>
      </c>
      <c r="H9" s="492">
        <f>G9-O20</f>
        <v>0</v>
      </c>
      <c r="I9" s="491">
        <f t="shared" si="2"/>
        <v>42371</v>
      </c>
      <c r="K9" s="494">
        <f>IF(O21&lt;1,0,O21)</f>
        <v>0</v>
      </c>
      <c r="L9" s="494">
        <f>IF(O44&lt;1,0,O44)</f>
        <v>0</v>
      </c>
      <c r="M9" s="494">
        <f>IF(O68&lt;1,0,O68)</f>
        <v>0</v>
      </c>
      <c r="N9" s="494">
        <f>IF(O92&lt;1,0,O92)</f>
        <v>0</v>
      </c>
      <c r="O9" s="494">
        <f>IF(O115&lt;1,0,O115)</f>
        <v>0</v>
      </c>
      <c r="Q9" s="302">
        <f>O19</f>
        <v>0</v>
      </c>
      <c r="R9" s="302">
        <f>O42</f>
        <v>0</v>
      </c>
      <c r="S9" s="302">
        <f>O66</f>
        <v>0</v>
      </c>
      <c r="T9" s="302">
        <f>O90</f>
        <v>0</v>
      </c>
      <c r="U9" s="302">
        <f>O113</f>
        <v>0</v>
      </c>
      <c r="X9" s="302">
        <f>O20</f>
        <v>0</v>
      </c>
      <c r="Y9" s="302">
        <f>O43</f>
        <v>0</v>
      </c>
      <c r="Z9" s="302" t="str">
        <f>U66</f>
        <v/>
      </c>
      <c r="AA9" s="302" t="str">
        <f>U90</f>
        <v/>
      </c>
      <c r="AB9" s="302" t="str">
        <f>U113</f>
        <v/>
      </c>
    </row>
    <row r="10">
      <c r="A10" s="237" t="str">
        <f>'F. Capital Required'!A22</f>
        <v>Vehicle Loans</v>
      </c>
      <c r="B10" s="491">
        <f>'F. Capital Required'!G22</f>
        <v>42372</v>
      </c>
      <c r="C10" s="480" t="str">
        <f>Vehicle_Loans</f>
        <v/>
      </c>
      <c r="D10" s="326">
        <f>'F. Capital Required'!D22</f>
        <v>0</v>
      </c>
      <c r="E10" s="7">
        <f>'F. Capital Required'!E22</f>
        <v>0</v>
      </c>
      <c r="F10" s="492">
        <f>'F. Capital Required'!F22</f>
        <v>0</v>
      </c>
      <c r="G10" s="492">
        <f t="shared" si="1"/>
        <v>0</v>
      </c>
      <c r="H10" s="492">
        <f>G10-O23</f>
        <v>0</v>
      </c>
      <c r="I10" s="491">
        <f t="shared" si="2"/>
        <v>42372</v>
      </c>
      <c r="K10" s="494">
        <f>IF(O24&lt;1,0,O24)</f>
        <v>0</v>
      </c>
      <c r="L10" s="494">
        <f>IF(O47&lt;1,0,O47)</f>
        <v>0</v>
      </c>
      <c r="M10" s="494">
        <f>IF(O71&lt;1,0,O71)</f>
        <v>0</v>
      </c>
      <c r="N10" s="494">
        <f>IF(O95&lt;1,0,O95)</f>
        <v>0</v>
      </c>
      <c r="O10" s="494">
        <f>IF(O118&lt;1,0,O118)</f>
        <v>0</v>
      </c>
      <c r="Q10" s="302">
        <f>O22</f>
        <v>0</v>
      </c>
      <c r="R10" s="302">
        <f>O45</f>
        <v>0</v>
      </c>
      <c r="S10" s="302">
        <f>O69</f>
        <v>0</v>
      </c>
      <c r="T10" s="302">
        <f>O93</f>
        <v>0</v>
      </c>
      <c r="U10" s="302">
        <f>O116</f>
        <v>0</v>
      </c>
      <c r="X10" s="302">
        <f>O23</f>
        <v>0</v>
      </c>
      <c r="Y10" s="302">
        <f>O46</f>
        <v>0</v>
      </c>
      <c r="Z10" s="302" t="str">
        <f>U69</f>
        <v/>
      </c>
      <c r="AA10" s="302" t="str">
        <f>U93</f>
        <v/>
      </c>
      <c r="AB10" s="302" t="str">
        <f>U116</f>
        <v/>
      </c>
    </row>
    <row r="11">
      <c r="A11" s="237" t="str">
        <f>'F. Capital Required'!A23</f>
        <v>Credit Card/
Line of Credit Cash Advance</v>
      </c>
      <c r="B11" s="491">
        <f>'F. Capital Required'!G23</f>
        <v>42373</v>
      </c>
      <c r="C11" s="480" t="str">
        <f>CreditCard_CashAdvance</f>
        <v/>
      </c>
      <c r="D11" s="326">
        <f>'F. Capital Required'!D23</f>
        <v>0</v>
      </c>
      <c r="E11" s="7">
        <f>'F. Capital Required'!E23</f>
        <v>0</v>
      </c>
      <c r="F11" s="492">
        <f>'F. Capital Required'!F23</f>
        <v>0</v>
      </c>
      <c r="G11" s="492">
        <f t="shared" si="1"/>
        <v>0</v>
      </c>
      <c r="H11" s="492">
        <f>G11-O26</f>
        <v>0</v>
      </c>
      <c r="I11" s="491">
        <f t="shared" si="2"/>
        <v>42373</v>
      </c>
      <c r="K11" s="494">
        <f>IF(O27&lt;1,0,O27)</f>
        <v>0</v>
      </c>
      <c r="L11" s="494">
        <f>IF(O50&lt;1,0,O50)</f>
        <v>0</v>
      </c>
      <c r="M11" s="494">
        <f>IF(O74&lt;1,0,O74)</f>
        <v>0</v>
      </c>
      <c r="N11" s="494">
        <f>IF(O98&lt;1,0,O98)</f>
        <v>0</v>
      </c>
      <c r="O11" s="494">
        <f>IF(O121&lt;1,0,O121)</f>
        <v>0</v>
      </c>
      <c r="Q11" s="302">
        <f>O25</f>
        <v>0</v>
      </c>
      <c r="R11" s="302">
        <f>O48</f>
        <v>0</v>
      </c>
      <c r="S11" s="302">
        <f>O72</f>
        <v>0</v>
      </c>
      <c r="T11" s="302">
        <f>O96</f>
        <v>0</v>
      </c>
      <c r="U11" s="302">
        <f>O119</f>
        <v>0</v>
      </c>
      <c r="X11" s="302">
        <f>O26</f>
        <v>0</v>
      </c>
      <c r="Y11" s="302">
        <f>O49</f>
        <v>0</v>
      </c>
      <c r="Z11" s="302" t="str">
        <f>U72</f>
        <v/>
      </c>
      <c r="AA11" s="302" t="str">
        <f>U96</f>
        <v/>
      </c>
      <c r="AB11" s="302" t="str">
        <f>U119</f>
        <v/>
      </c>
    </row>
    <row r="12">
      <c r="A12" s="237" t="str">
        <f>'F. Capital Required'!A24</f>
        <v>Other Debt</v>
      </c>
      <c r="B12" s="491">
        <f>'F. Capital Required'!G24</f>
        <v>42374</v>
      </c>
      <c r="C12" s="480" t="str">
        <f>Other_Debt</f>
        <v/>
      </c>
      <c r="D12" s="326">
        <f>'F. Capital Required'!D24</f>
        <v>0</v>
      </c>
      <c r="E12" s="7">
        <f>'F. Capital Required'!E24</f>
        <v>0</v>
      </c>
      <c r="F12" s="492">
        <f>'F. Capital Required'!F24</f>
        <v>0</v>
      </c>
      <c r="G12" s="492">
        <f t="shared" si="1"/>
        <v>0</v>
      </c>
      <c r="H12" s="492">
        <f>G12-O29</f>
        <v>0</v>
      </c>
      <c r="I12" s="491">
        <f t="shared" si="2"/>
        <v>42374</v>
      </c>
      <c r="K12" s="494">
        <f>IF(O30&lt;1,0,O30)</f>
        <v>0</v>
      </c>
      <c r="L12" s="494">
        <f>IF(O53&lt;1,0,O53)</f>
        <v>0</v>
      </c>
      <c r="M12" s="494">
        <f>IF(O77&lt;1,0,O77)</f>
        <v>0</v>
      </c>
      <c r="N12" s="494">
        <f>IF(O101&lt;1,0,O101)</f>
        <v>0</v>
      </c>
      <c r="O12" s="494">
        <f>IF(O124&lt;1,0,O124)</f>
        <v>0</v>
      </c>
      <c r="Q12" s="302">
        <f>O28</f>
        <v>0</v>
      </c>
      <c r="R12" s="302">
        <f>O51</f>
        <v>0</v>
      </c>
      <c r="S12" s="302">
        <f>O75</f>
        <v>0</v>
      </c>
      <c r="T12" s="302">
        <f>O99</f>
        <v>0</v>
      </c>
      <c r="U12" s="302">
        <f>O122</f>
        <v>0</v>
      </c>
      <c r="X12" s="302">
        <f>O29</f>
        <v>0</v>
      </c>
      <c r="Y12" s="302">
        <f>O52</f>
        <v>0</v>
      </c>
      <c r="Z12" s="302" t="str">
        <f>U75</f>
        <v/>
      </c>
      <c r="AA12" s="302" t="str">
        <f>U99</f>
        <v/>
      </c>
      <c r="AB12" s="302" t="str">
        <f>U122</f>
        <v/>
      </c>
    </row>
    <row r="13">
      <c r="A13" s="237"/>
      <c r="B13" s="491"/>
      <c r="C13" s="480"/>
      <c r="D13" s="326"/>
      <c r="E13" s="7"/>
      <c r="F13" s="492"/>
      <c r="G13" s="492"/>
      <c r="H13" s="492"/>
      <c r="I13" s="491"/>
      <c r="K13" s="494"/>
      <c r="L13" s="495"/>
      <c r="M13" s="495"/>
      <c r="N13" s="495"/>
      <c r="O13" s="495"/>
      <c r="Q13" s="496">
        <f t="shared" ref="Q13:U13" si="3">SUM(Q8:Q12)</f>
        <v>0</v>
      </c>
      <c r="R13" s="496">
        <f t="shared" si="3"/>
        <v>0</v>
      </c>
      <c r="S13" s="496">
        <f t="shared" si="3"/>
        <v>0</v>
      </c>
      <c r="T13" s="496">
        <f t="shared" si="3"/>
        <v>0</v>
      </c>
      <c r="U13" s="496">
        <f t="shared" si="3"/>
        <v>0</v>
      </c>
      <c r="X13" s="497">
        <f t="shared" ref="X13:AB13" si="4">SUM(X8:X12)</f>
        <v>0</v>
      </c>
      <c r="Y13" s="497">
        <f t="shared" si="4"/>
        <v>0</v>
      </c>
      <c r="Z13" s="497">
        <f t="shared" si="4"/>
        <v>0</v>
      </c>
      <c r="AA13" s="497">
        <f t="shared" si="4"/>
        <v>0</v>
      </c>
      <c r="AB13" s="497">
        <f t="shared" si="4"/>
        <v>0</v>
      </c>
    </row>
    <row r="14">
      <c r="C14" s="104">
        <v>1.0</v>
      </c>
      <c r="D14" s="104">
        <v>2.0</v>
      </c>
      <c r="E14" s="104">
        <v>3.0</v>
      </c>
      <c r="F14" s="104">
        <v>4.0</v>
      </c>
      <c r="G14" s="104">
        <v>5.0</v>
      </c>
      <c r="H14" s="104">
        <v>6.0</v>
      </c>
      <c r="I14" s="104">
        <v>7.0</v>
      </c>
      <c r="J14" s="104">
        <v>8.0</v>
      </c>
      <c r="K14" s="104">
        <v>9.0</v>
      </c>
      <c r="L14" s="104">
        <v>10.0</v>
      </c>
      <c r="M14" s="104">
        <v>11.0</v>
      </c>
      <c r="N14" s="104">
        <v>12.0</v>
      </c>
      <c r="O14" s="104">
        <v>13.0</v>
      </c>
      <c r="P14" s="104">
        <v>14.0</v>
      </c>
      <c r="R14" s="230"/>
    </row>
    <row r="15">
      <c r="A15" s="17" t="s">
        <v>315</v>
      </c>
      <c r="B15" s="19"/>
      <c r="C15" s="498">
        <f>DATE(YEAR(Projected_Start_Date),1,1)</f>
        <v>42370</v>
      </c>
      <c r="D15" s="498">
        <f t="shared" ref="D15:N15" si="5">EDATE(C15,1)</f>
        <v>42401</v>
      </c>
      <c r="E15" s="498">
        <f t="shared" si="5"/>
        <v>42430</v>
      </c>
      <c r="F15" s="498">
        <f t="shared" si="5"/>
        <v>42461</v>
      </c>
      <c r="G15" s="498">
        <f t="shared" si="5"/>
        <v>42491</v>
      </c>
      <c r="H15" s="498">
        <f t="shared" si="5"/>
        <v>42522</v>
      </c>
      <c r="I15" s="498">
        <f t="shared" si="5"/>
        <v>42552</v>
      </c>
      <c r="J15" s="498">
        <f t="shared" si="5"/>
        <v>42583</v>
      </c>
      <c r="K15" s="498">
        <f t="shared" si="5"/>
        <v>42614</v>
      </c>
      <c r="L15" s="498">
        <f t="shared" si="5"/>
        <v>42644</v>
      </c>
      <c r="M15" s="498">
        <f t="shared" si="5"/>
        <v>42675</v>
      </c>
      <c r="N15" s="498">
        <f t="shared" si="5"/>
        <v>42705</v>
      </c>
      <c r="O15" s="499" t="s">
        <v>263</v>
      </c>
    </row>
    <row r="16">
      <c r="A16" s="53" t="str">
        <f>A8</f>
        <v>Business Loans</v>
      </c>
      <c r="B16" s="12" t="s">
        <v>485</v>
      </c>
      <c r="C16" s="153">
        <f t="shared" ref="C16:M16" si="6">IF(AND($B$8&lt;=C15,$I$8&gt;=D15),ABS(PPMT($D$8/12,C132,$E$8+(COLUMN()-E14),$C$8)),0)</f>
        <v>0</v>
      </c>
      <c r="D16" s="153">
        <f t="shared" si="6"/>
        <v>0</v>
      </c>
      <c r="E16" s="153">
        <f t="shared" si="6"/>
        <v>0</v>
      </c>
      <c r="F16" s="153">
        <f t="shared" si="6"/>
        <v>0</v>
      </c>
      <c r="G16" s="153">
        <f t="shared" si="6"/>
        <v>0</v>
      </c>
      <c r="H16" s="153">
        <f t="shared" si="6"/>
        <v>0</v>
      </c>
      <c r="I16" s="153">
        <f t="shared" si="6"/>
        <v>0</v>
      </c>
      <c r="J16" s="153">
        <f t="shared" si="6"/>
        <v>0</v>
      </c>
      <c r="K16" s="153">
        <f t="shared" si="6"/>
        <v>0</v>
      </c>
      <c r="L16" s="153">
        <f t="shared" si="6"/>
        <v>0</v>
      </c>
      <c r="M16" s="153">
        <f t="shared" si="6"/>
        <v>0</v>
      </c>
      <c r="N16" s="153">
        <f>IF(AND($B$8&lt;=N15,$I$8&gt;=C38),ABS(PPMT($D$8/12,N132,$E$8+(COLUMN()-P14),$C$8)),0)</f>
        <v>0</v>
      </c>
      <c r="O16" s="471">
        <f t="shared" ref="O16:O17" si="8">SUM(C16:N16)</f>
        <v>0</v>
      </c>
    </row>
    <row r="17">
      <c r="A17" s="53"/>
      <c r="B17" s="12" t="s">
        <v>486</v>
      </c>
      <c r="C17" s="153">
        <f t="shared" ref="C17:M17" si="7">IF(AND($B$8&lt;=C15,$I$8&gt;=D15),ABS(IPMT($D$8/12,C132,$E$8+(COLUMN()-E14),$C$8)),0)</f>
        <v>0</v>
      </c>
      <c r="D17" s="153">
        <f t="shared" si="7"/>
        <v>0</v>
      </c>
      <c r="E17" s="153">
        <f t="shared" si="7"/>
        <v>0</v>
      </c>
      <c r="F17" s="153">
        <f t="shared" si="7"/>
        <v>0</v>
      </c>
      <c r="G17" s="153">
        <f t="shared" si="7"/>
        <v>0</v>
      </c>
      <c r="H17" s="153">
        <f t="shared" si="7"/>
        <v>0</v>
      </c>
      <c r="I17" s="153">
        <f t="shared" si="7"/>
        <v>0</v>
      </c>
      <c r="J17" s="153">
        <f t="shared" si="7"/>
        <v>0</v>
      </c>
      <c r="K17" s="153">
        <f t="shared" si="7"/>
        <v>0</v>
      </c>
      <c r="L17" s="153">
        <f t="shared" si="7"/>
        <v>0</v>
      </c>
      <c r="M17" s="153">
        <f t="shared" si="7"/>
        <v>0</v>
      </c>
      <c r="N17" s="153">
        <f>IF(AND($B$8&lt;=N15,$I$8&gt;=C38),ABS(IPMT($D$8/12,N132,$E$8+(COLUMN()-P14),$C$8)),0)</f>
        <v>0</v>
      </c>
      <c r="O17" s="471">
        <f t="shared" si="8"/>
        <v>0</v>
      </c>
    </row>
    <row r="18">
      <c r="A18" s="53"/>
      <c r="B18" s="12" t="s">
        <v>487</v>
      </c>
      <c r="C18" s="359">
        <f t="shared" ref="C18:M18" si="9">IF(AND($B$8&lt;=C15,$I$8&gt;=D15),ABS($C$8-SUM($C$16:C16)),0)</f>
        <v>0</v>
      </c>
      <c r="D18" s="359">
        <f t="shared" si="9"/>
        <v>0</v>
      </c>
      <c r="E18" s="359">
        <f t="shared" si="9"/>
        <v>0</v>
      </c>
      <c r="F18" s="359">
        <f t="shared" si="9"/>
        <v>0</v>
      </c>
      <c r="G18" s="359">
        <f t="shared" si="9"/>
        <v>0</v>
      </c>
      <c r="H18" s="359">
        <f t="shared" si="9"/>
        <v>0</v>
      </c>
      <c r="I18" s="359">
        <f t="shared" si="9"/>
        <v>0</v>
      </c>
      <c r="J18" s="359">
        <f t="shared" si="9"/>
        <v>0</v>
      </c>
      <c r="K18" s="359">
        <f t="shared" si="9"/>
        <v>0</v>
      </c>
      <c r="L18" s="359">
        <f t="shared" si="9"/>
        <v>0</v>
      </c>
      <c r="M18" s="359">
        <f t="shared" si="9"/>
        <v>0</v>
      </c>
      <c r="N18" s="359">
        <f>IF(AND($B$8&lt;=N15,$I$8&gt;=C38),ABS($C$8-SUM($C$16:N16)),0)</f>
        <v>0</v>
      </c>
      <c r="O18" s="500">
        <f>N18</f>
        <v>0</v>
      </c>
    </row>
    <row r="19">
      <c r="A19" s="501" t="str">
        <f>A9</f>
        <v>Commercial Mortgages</v>
      </c>
      <c r="B19" s="502" t="s">
        <v>485</v>
      </c>
      <c r="C19" s="503">
        <f t="shared" ref="C19:M19" si="10">IF(AND($B$9&lt;=C15,$I$9&gt;=D15),ABS(PPMT($D$9/12,C138,$E$9+(COLUMN()-E14),$C$9)),0)</f>
        <v>0</v>
      </c>
      <c r="D19" s="503">
        <f t="shared" si="10"/>
        <v>0</v>
      </c>
      <c r="E19" s="503">
        <f t="shared" si="10"/>
        <v>0</v>
      </c>
      <c r="F19" s="503">
        <f t="shared" si="10"/>
        <v>0</v>
      </c>
      <c r="G19" s="503">
        <f t="shared" si="10"/>
        <v>0</v>
      </c>
      <c r="H19" s="503">
        <f t="shared" si="10"/>
        <v>0</v>
      </c>
      <c r="I19" s="503">
        <f t="shared" si="10"/>
        <v>0</v>
      </c>
      <c r="J19" s="503">
        <f t="shared" si="10"/>
        <v>0</v>
      </c>
      <c r="K19" s="503">
        <f t="shared" si="10"/>
        <v>0</v>
      </c>
      <c r="L19" s="503">
        <f t="shared" si="10"/>
        <v>0</v>
      </c>
      <c r="M19" s="503">
        <f t="shared" si="10"/>
        <v>0</v>
      </c>
      <c r="N19" s="503">
        <f>IF(AND($B$9&lt;=N15,$I$9&gt;=C38),ABS(PPMT($D$9/12,N138,$E$9+(COLUMN()-P14),$C$9)),0)</f>
        <v>0</v>
      </c>
      <c r="O19" s="471">
        <f t="shared" ref="O19:O20" si="12">SUM(C19:N19)</f>
        <v>0</v>
      </c>
    </row>
    <row r="20">
      <c r="A20" s="12"/>
      <c r="B20" s="12" t="s">
        <v>486</v>
      </c>
      <c r="C20" s="153">
        <f t="shared" ref="C20:M20" si="11">IF(AND($B$9&lt;=C15,$I$9&gt;=D15),ABS(IPMT($D$9/12,C138,$E$9+(COLUMN()-E14),$C$9)),0)</f>
        <v>0</v>
      </c>
      <c r="D20" s="153">
        <f t="shared" si="11"/>
        <v>0</v>
      </c>
      <c r="E20" s="153">
        <f t="shared" si="11"/>
        <v>0</v>
      </c>
      <c r="F20" s="153">
        <f t="shared" si="11"/>
        <v>0</v>
      </c>
      <c r="G20" s="153">
        <f t="shared" si="11"/>
        <v>0</v>
      </c>
      <c r="H20" s="153">
        <f t="shared" si="11"/>
        <v>0</v>
      </c>
      <c r="I20" s="153">
        <f t="shared" si="11"/>
        <v>0</v>
      </c>
      <c r="J20" s="153">
        <f t="shared" si="11"/>
        <v>0</v>
      </c>
      <c r="K20" s="153">
        <f t="shared" si="11"/>
        <v>0</v>
      </c>
      <c r="L20" s="153">
        <f t="shared" si="11"/>
        <v>0</v>
      </c>
      <c r="M20" s="153">
        <f t="shared" si="11"/>
        <v>0</v>
      </c>
      <c r="N20" s="153">
        <f>IF(AND($B$9&lt;=N15,$I$9&gt;=C38),ABS(IPMT($D$9/12,N138,$E$9+(COLUMN()-P14),$C$9)),0)</f>
        <v>0</v>
      </c>
      <c r="O20" s="471">
        <f t="shared" si="12"/>
        <v>0</v>
      </c>
      <c r="Q20" s="360"/>
    </row>
    <row r="21" ht="15.75" customHeight="1">
      <c r="A21" s="53"/>
      <c r="B21" s="12" t="s">
        <v>487</v>
      </c>
      <c r="C21" s="359">
        <f t="shared" ref="C21:M21" si="13">IF(AND($B$9&lt;=C15,$I$9&gt;=D15),ABS($C$9-SUM($C$19:C19)),0)</f>
        <v>0</v>
      </c>
      <c r="D21" s="359">
        <f t="shared" si="13"/>
        <v>0</v>
      </c>
      <c r="E21" s="359">
        <f t="shared" si="13"/>
        <v>0</v>
      </c>
      <c r="F21" s="359">
        <f t="shared" si="13"/>
        <v>0</v>
      </c>
      <c r="G21" s="359">
        <f t="shared" si="13"/>
        <v>0</v>
      </c>
      <c r="H21" s="359">
        <f t="shared" si="13"/>
        <v>0</v>
      </c>
      <c r="I21" s="359">
        <f t="shared" si="13"/>
        <v>0</v>
      </c>
      <c r="J21" s="359">
        <f t="shared" si="13"/>
        <v>0</v>
      </c>
      <c r="K21" s="359">
        <f t="shared" si="13"/>
        <v>0</v>
      </c>
      <c r="L21" s="359">
        <f t="shared" si="13"/>
        <v>0</v>
      </c>
      <c r="M21" s="359">
        <f t="shared" si="13"/>
        <v>0</v>
      </c>
      <c r="N21" s="359">
        <f>IF(AND($B$9&lt;=N15,$I$9&gt;=C38),ABS($C$9-SUM($C$19:N19)),0)</f>
        <v>0</v>
      </c>
      <c r="O21" s="505">
        <f>N21</f>
        <v>0</v>
      </c>
    </row>
    <row r="22" ht="15.75" customHeight="1">
      <c r="A22" s="501" t="str">
        <f>A10</f>
        <v>Vehicle Loans</v>
      </c>
      <c r="B22" s="502" t="s">
        <v>485</v>
      </c>
      <c r="C22" s="503">
        <f t="shared" ref="C22:M22" si="14">IF(AND($B$10&lt;=C15,$I$10&gt;=D15),ABS(PPMT($D$10/12,C144,$E$10+(COLUMN()-E14),$C$10)),0)</f>
        <v>0</v>
      </c>
      <c r="D22" s="503">
        <f t="shared" si="14"/>
        <v>0</v>
      </c>
      <c r="E22" s="503">
        <f t="shared" si="14"/>
        <v>0</v>
      </c>
      <c r="F22" s="503">
        <f t="shared" si="14"/>
        <v>0</v>
      </c>
      <c r="G22" s="503">
        <f t="shared" si="14"/>
        <v>0</v>
      </c>
      <c r="H22" s="503">
        <f t="shared" si="14"/>
        <v>0</v>
      </c>
      <c r="I22" s="503">
        <f t="shared" si="14"/>
        <v>0</v>
      </c>
      <c r="J22" s="503">
        <f t="shared" si="14"/>
        <v>0</v>
      </c>
      <c r="K22" s="503">
        <f t="shared" si="14"/>
        <v>0</v>
      </c>
      <c r="L22" s="503">
        <f t="shared" si="14"/>
        <v>0</v>
      </c>
      <c r="M22" s="503">
        <f t="shared" si="14"/>
        <v>0</v>
      </c>
      <c r="N22" s="503">
        <f>IF(AND($B$10&lt;=N15,$I$10&gt;=C38),ABS(PPMT($D$10/12,N144,$E$10+(COLUMN()-P14),$C$10)),0)</f>
        <v>0</v>
      </c>
      <c r="O22" s="471">
        <f t="shared" ref="O22:O23" si="16">SUM(C22:N22)</f>
        <v>0</v>
      </c>
    </row>
    <row r="23" ht="15.75" customHeight="1">
      <c r="A23" s="53"/>
      <c r="B23" s="12" t="s">
        <v>486</v>
      </c>
      <c r="C23" s="153">
        <f t="shared" ref="C23:M23" si="15">IF(AND($B$10&lt;=C15,$I$10&gt;=D15),ABS(IPMT($D$10/12,C144,$E$10+(COLUMN()-E14),$C$10)),0)</f>
        <v>0</v>
      </c>
      <c r="D23" s="153">
        <f t="shared" si="15"/>
        <v>0</v>
      </c>
      <c r="E23" s="153">
        <f t="shared" si="15"/>
        <v>0</v>
      </c>
      <c r="F23" s="153">
        <f t="shared" si="15"/>
        <v>0</v>
      </c>
      <c r="G23" s="153">
        <f t="shared" si="15"/>
        <v>0</v>
      </c>
      <c r="H23" s="153">
        <f t="shared" si="15"/>
        <v>0</v>
      </c>
      <c r="I23" s="153">
        <f t="shared" si="15"/>
        <v>0</v>
      </c>
      <c r="J23" s="153">
        <f t="shared" si="15"/>
        <v>0</v>
      </c>
      <c r="K23" s="153">
        <f t="shared" si="15"/>
        <v>0</v>
      </c>
      <c r="L23" s="153">
        <f t="shared" si="15"/>
        <v>0</v>
      </c>
      <c r="M23" s="153">
        <f t="shared" si="15"/>
        <v>0</v>
      </c>
      <c r="N23" s="153">
        <f>IF(AND($B$10&lt;=N15,$I$10&gt;=C38),ABS(IPMT($D$10/12,N144,$E$10+(COLUMN()-P14),$C$10)),0)</f>
        <v>0</v>
      </c>
      <c r="O23" s="471">
        <f t="shared" si="16"/>
        <v>0</v>
      </c>
    </row>
    <row r="24" ht="15.75" customHeight="1">
      <c r="A24" s="53"/>
      <c r="B24" s="12" t="s">
        <v>488</v>
      </c>
      <c r="C24" s="359">
        <f t="shared" ref="C24:M24" si="17">IF(AND($B$10&lt;=C15,$I$10&gt;=D15),ABS($C$10-SUM($C$22:C22)),0)</f>
        <v>0</v>
      </c>
      <c r="D24" s="359">
        <f t="shared" si="17"/>
        <v>0</v>
      </c>
      <c r="E24" s="359">
        <f t="shared" si="17"/>
        <v>0</v>
      </c>
      <c r="F24" s="359">
        <f t="shared" si="17"/>
        <v>0</v>
      </c>
      <c r="G24" s="359">
        <f t="shared" si="17"/>
        <v>0</v>
      </c>
      <c r="H24" s="359">
        <f t="shared" si="17"/>
        <v>0</v>
      </c>
      <c r="I24" s="359">
        <f t="shared" si="17"/>
        <v>0</v>
      </c>
      <c r="J24" s="359">
        <f t="shared" si="17"/>
        <v>0</v>
      </c>
      <c r="K24" s="359">
        <f t="shared" si="17"/>
        <v>0</v>
      </c>
      <c r="L24" s="359">
        <f t="shared" si="17"/>
        <v>0</v>
      </c>
      <c r="M24" s="359">
        <f t="shared" si="17"/>
        <v>0</v>
      </c>
      <c r="N24" s="359">
        <f>IF(AND($B$10&lt;=N15,$I$10&gt;=C38),ABS($C$10-SUM($C$22:N22)),0)</f>
        <v>0</v>
      </c>
      <c r="O24" s="500">
        <f>N24</f>
        <v>0</v>
      </c>
    </row>
    <row r="25" ht="15.75" customHeight="1">
      <c r="A25" s="501" t="str">
        <f>A11</f>
        <v>Credit Card/
Line of Credit Cash Advance</v>
      </c>
      <c r="B25" s="502" t="s">
        <v>485</v>
      </c>
      <c r="C25" s="503">
        <f t="shared" ref="C25:M25" si="18">IF(AND($B$11&lt;=C15,$I$11&gt;=D15),ABS(PPMT($D$11/12,C150,$E$11+(COLUMN()-E14),$C$11)),0)</f>
        <v>0</v>
      </c>
      <c r="D25" s="503">
        <f t="shared" si="18"/>
        <v>0</v>
      </c>
      <c r="E25" s="503">
        <f t="shared" si="18"/>
        <v>0</v>
      </c>
      <c r="F25" s="503">
        <f t="shared" si="18"/>
        <v>0</v>
      </c>
      <c r="G25" s="503">
        <f t="shared" si="18"/>
        <v>0</v>
      </c>
      <c r="H25" s="503">
        <f t="shared" si="18"/>
        <v>0</v>
      </c>
      <c r="I25" s="503">
        <f t="shared" si="18"/>
        <v>0</v>
      </c>
      <c r="J25" s="503">
        <f t="shared" si="18"/>
        <v>0</v>
      </c>
      <c r="K25" s="503">
        <f t="shared" si="18"/>
        <v>0</v>
      </c>
      <c r="L25" s="503">
        <f t="shared" si="18"/>
        <v>0</v>
      </c>
      <c r="M25" s="503">
        <f t="shared" si="18"/>
        <v>0</v>
      </c>
      <c r="N25" s="503">
        <f>IF(AND($B$11&lt;=N15,$I$11&gt;=C38),ABS(PPMT($D$11/12,N150,$E$11+(COLUMN()-P14),$C$11)),0)</f>
        <v>0</v>
      </c>
      <c r="O25" s="471">
        <f t="shared" ref="O25:O26" si="20">SUM(C25:N25)</f>
        <v>0</v>
      </c>
    </row>
    <row r="26" ht="14.25" customHeight="1">
      <c r="A26" s="53"/>
      <c r="B26" s="12" t="s">
        <v>486</v>
      </c>
      <c r="C26" s="153">
        <f t="shared" ref="C26:M26" si="19">IF(AND($B$11&lt;=C15,$I$11&gt;=D15),ABS(IPMT($D$11/12,C150,$E$11+(COLUMN()-E14),$C$11)),0)</f>
        <v>0</v>
      </c>
      <c r="D26" s="153">
        <f t="shared" si="19"/>
        <v>0</v>
      </c>
      <c r="E26" s="153">
        <f t="shared" si="19"/>
        <v>0</v>
      </c>
      <c r="F26" s="153">
        <f t="shared" si="19"/>
        <v>0</v>
      </c>
      <c r="G26" s="153">
        <f t="shared" si="19"/>
        <v>0</v>
      </c>
      <c r="H26" s="153">
        <f t="shared" si="19"/>
        <v>0</v>
      </c>
      <c r="I26" s="153">
        <f t="shared" si="19"/>
        <v>0</v>
      </c>
      <c r="J26" s="153">
        <f t="shared" si="19"/>
        <v>0</v>
      </c>
      <c r="K26" s="153">
        <f t="shared" si="19"/>
        <v>0</v>
      </c>
      <c r="L26" s="153">
        <f t="shared" si="19"/>
        <v>0</v>
      </c>
      <c r="M26" s="153">
        <f t="shared" si="19"/>
        <v>0</v>
      </c>
      <c r="N26" s="153">
        <f>IF(AND($B$11&lt;=N15,$I$11&gt;=C38),ABS(IPMT($D$11/12,N150,$E$11+(COLUMN()-P14),$C$11)),0)</f>
        <v>0</v>
      </c>
      <c r="O26" s="471">
        <f t="shared" si="20"/>
        <v>0</v>
      </c>
    </row>
    <row r="27" ht="15.75" customHeight="1">
      <c r="A27" s="53"/>
      <c r="B27" s="12" t="s">
        <v>488</v>
      </c>
      <c r="C27" s="359">
        <f t="shared" ref="C27:M27" si="21">IF(AND($B$11&lt;=C15,$I$11&gt;=D15),ABS($C$11-SUM($C$25:C25)),0)</f>
        <v>0</v>
      </c>
      <c r="D27" s="359">
        <f t="shared" si="21"/>
        <v>0</v>
      </c>
      <c r="E27" s="359">
        <f t="shared" si="21"/>
        <v>0</v>
      </c>
      <c r="F27" s="359">
        <f t="shared" si="21"/>
        <v>0</v>
      </c>
      <c r="G27" s="359">
        <f t="shared" si="21"/>
        <v>0</v>
      </c>
      <c r="H27" s="359">
        <f t="shared" si="21"/>
        <v>0</v>
      </c>
      <c r="I27" s="359">
        <f t="shared" si="21"/>
        <v>0</v>
      </c>
      <c r="J27" s="359">
        <f t="shared" si="21"/>
        <v>0</v>
      </c>
      <c r="K27" s="359">
        <f t="shared" si="21"/>
        <v>0</v>
      </c>
      <c r="L27" s="359">
        <f t="shared" si="21"/>
        <v>0</v>
      </c>
      <c r="M27" s="359">
        <f t="shared" si="21"/>
        <v>0</v>
      </c>
      <c r="N27" s="359">
        <f>IF(AND($B$11&lt;=N15,$I$11&gt;=C38),ABS($C$11-SUM($C$25:N25)),0)</f>
        <v>0</v>
      </c>
      <c r="O27" s="500">
        <f>N27</f>
        <v>0</v>
      </c>
    </row>
    <row r="28" ht="15.75" customHeight="1">
      <c r="A28" s="501" t="str">
        <f>A12</f>
        <v>Other Debt</v>
      </c>
      <c r="B28" s="502" t="s">
        <v>485</v>
      </c>
      <c r="C28" s="503">
        <f t="shared" ref="C28:M28" si="22">IF(AND($B$12&lt;=C15,$I$12&gt;=D15),ABS(PPMT($D$12/12,C156,$E$12+(COLUMN()-E14),$C$12)),0)</f>
        <v>0</v>
      </c>
      <c r="D28" s="503">
        <f t="shared" si="22"/>
        <v>0</v>
      </c>
      <c r="E28" s="503">
        <f t="shared" si="22"/>
        <v>0</v>
      </c>
      <c r="F28" s="503">
        <f t="shared" si="22"/>
        <v>0</v>
      </c>
      <c r="G28" s="503">
        <f t="shared" si="22"/>
        <v>0</v>
      </c>
      <c r="H28" s="503">
        <f t="shared" si="22"/>
        <v>0</v>
      </c>
      <c r="I28" s="503">
        <f t="shared" si="22"/>
        <v>0</v>
      </c>
      <c r="J28" s="503">
        <f t="shared" si="22"/>
        <v>0</v>
      </c>
      <c r="K28" s="503">
        <f t="shared" si="22"/>
        <v>0</v>
      </c>
      <c r="L28" s="503">
        <f t="shared" si="22"/>
        <v>0</v>
      </c>
      <c r="M28" s="503">
        <f t="shared" si="22"/>
        <v>0</v>
      </c>
      <c r="N28" s="503">
        <f>IF(AND($B$12&lt;=N15,$I$12&gt;=C38),ABS(PPMT($D$12/12,N156,$E$12+(COLUMN()-P14),$C$12)),0)</f>
        <v>0</v>
      </c>
      <c r="O28" s="471">
        <f t="shared" ref="O28:O29" si="24">SUM(C28:N28)</f>
        <v>0</v>
      </c>
    </row>
    <row r="29" ht="15.75" customHeight="1">
      <c r="A29" s="53"/>
      <c r="B29" s="12" t="s">
        <v>486</v>
      </c>
      <c r="C29" s="153">
        <f t="shared" ref="C29:M29" si="23">IF(AND($B$12&lt;=C15,$I$12&gt;=D15),ABS(IPMT($D$12/12,C156,$E$12+(COLUMN()-E14),$C$12)),0)</f>
        <v>0</v>
      </c>
      <c r="D29" s="153">
        <f t="shared" si="23"/>
        <v>0</v>
      </c>
      <c r="E29" s="153">
        <f t="shared" si="23"/>
        <v>0</v>
      </c>
      <c r="F29" s="153">
        <f t="shared" si="23"/>
        <v>0</v>
      </c>
      <c r="G29" s="153">
        <f t="shared" si="23"/>
        <v>0</v>
      </c>
      <c r="H29" s="153">
        <f t="shared" si="23"/>
        <v>0</v>
      </c>
      <c r="I29" s="153">
        <f t="shared" si="23"/>
        <v>0</v>
      </c>
      <c r="J29" s="153">
        <f t="shared" si="23"/>
        <v>0</v>
      </c>
      <c r="K29" s="153">
        <f t="shared" si="23"/>
        <v>0</v>
      </c>
      <c r="L29" s="153">
        <f t="shared" si="23"/>
        <v>0</v>
      </c>
      <c r="M29" s="153">
        <f t="shared" si="23"/>
        <v>0</v>
      </c>
      <c r="N29" s="153">
        <f>IF(AND($B$12&lt;=N15,$I$12&gt;=C38),ABS(IPMT($D$12/12,N156,$E$12+(COLUMN()-P14),$C$12)),0)</f>
        <v>0</v>
      </c>
      <c r="O29" s="471">
        <f t="shared" si="24"/>
        <v>0</v>
      </c>
    </row>
    <row r="30" ht="15.75" customHeight="1">
      <c r="A30" s="40"/>
      <c r="B30" s="43" t="s">
        <v>488</v>
      </c>
      <c r="C30" s="359">
        <f t="shared" ref="C30:M30" si="25">IF(AND($B$12&lt;=C15,$I$12&gt;=D15),ABS($C$12-SUM($C$28:C28)),0)</f>
        <v>0</v>
      </c>
      <c r="D30" s="359">
        <f t="shared" si="25"/>
        <v>0</v>
      </c>
      <c r="E30" s="359">
        <f t="shared" si="25"/>
        <v>0</v>
      </c>
      <c r="F30" s="359">
        <f t="shared" si="25"/>
        <v>0</v>
      </c>
      <c r="G30" s="359">
        <f t="shared" si="25"/>
        <v>0</v>
      </c>
      <c r="H30" s="359">
        <f t="shared" si="25"/>
        <v>0</v>
      </c>
      <c r="I30" s="359">
        <f t="shared" si="25"/>
        <v>0</v>
      </c>
      <c r="J30" s="359">
        <f t="shared" si="25"/>
        <v>0</v>
      </c>
      <c r="K30" s="359">
        <f t="shared" si="25"/>
        <v>0</v>
      </c>
      <c r="L30" s="359">
        <f t="shared" si="25"/>
        <v>0</v>
      </c>
      <c r="M30" s="359">
        <f t="shared" si="25"/>
        <v>0</v>
      </c>
      <c r="N30" s="359">
        <f>IF(AND($B$12&lt;=N15,$I$12&gt;=C38),ABS($C$12-SUM($C$28:N28)),0)</f>
        <v>0</v>
      </c>
      <c r="O30" s="500">
        <f>N30</f>
        <v>0</v>
      </c>
    </row>
    <row r="31" ht="15.75" customHeight="1">
      <c r="B31" s="378" t="s">
        <v>489</v>
      </c>
      <c r="C31" s="507">
        <f t="shared" ref="C31:N31" si="26">SUM(C17,C20,C23,C26,C29)</f>
        <v>0</v>
      </c>
      <c r="D31" s="507">
        <f t="shared" si="26"/>
        <v>0</v>
      </c>
      <c r="E31" s="507">
        <f t="shared" si="26"/>
        <v>0</v>
      </c>
      <c r="F31" s="507">
        <f t="shared" si="26"/>
        <v>0</v>
      </c>
      <c r="G31" s="507">
        <f t="shared" si="26"/>
        <v>0</v>
      </c>
      <c r="H31" s="507">
        <f t="shared" si="26"/>
        <v>0</v>
      </c>
      <c r="I31" s="507">
        <f t="shared" si="26"/>
        <v>0</v>
      </c>
      <c r="J31" s="507">
        <f t="shared" si="26"/>
        <v>0</v>
      </c>
      <c r="K31" s="507">
        <f t="shared" si="26"/>
        <v>0</v>
      </c>
      <c r="L31" s="507">
        <f t="shared" si="26"/>
        <v>0</v>
      </c>
      <c r="M31" s="507">
        <f t="shared" si="26"/>
        <v>0</v>
      </c>
      <c r="N31" s="507">
        <f t="shared" si="26"/>
        <v>0</v>
      </c>
      <c r="O31" s="471">
        <f t="shared" ref="O31:O32" si="28">SUM(C31:N31)</f>
        <v>0</v>
      </c>
    </row>
    <row r="32" ht="15.75" customHeight="1">
      <c r="B32" s="378" t="s">
        <v>490</v>
      </c>
      <c r="C32" s="321">
        <f t="shared" ref="C32:N32" si="27">SUM(C16,C19,C22,C25,C28)</f>
        <v>0</v>
      </c>
      <c r="D32" s="321">
        <f t="shared" si="27"/>
        <v>0</v>
      </c>
      <c r="E32" s="321">
        <f t="shared" si="27"/>
        <v>0</v>
      </c>
      <c r="F32" s="321">
        <f t="shared" si="27"/>
        <v>0</v>
      </c>
      <c r="G32" s="321">
        <f t="shared" si="27"/>
        <v>0</v>
      </c>
      <c r="H32" s="321">
        <f t="shared" si="27"/>
        <v>0</v>
      </c>
      <c r="I32" s="321">
        <f t="shared" si="27"/>
        <v>0</v>
      </c>
      <c r="J32" s="321">
        <f t="shared" si="27"/>
        <v>0</v>
      </c>
      <c r="K32" s="321">
        <f t="shared" si="27"/>
        <v>0</v>
      </c>
      <c r="L32" s="321">
        <f t="shared" si="27"/>
        <v>0</v>
      </c>
      <c r="M32" s="321">
        <f t="shared" si="27"/>
        <v>0</v>
      </c>
      <c r="N32" s="321">
        <f t="shared" si="27"/>
        <v>0</v>
      </c>
      <c r="O32" s="471">
        <f t="shared" si="28"/>
        <v>0</v>
      </c>
    </row>
    <row r="33" ht="15.75" customHeight="1">
      <c r="B33" s="378" t="s">
        <v>491</v>
      </c>
      <c r="C33" s="359">
        <f t="shared" ref="C33:N33" si="29">SUM(C18,C21,C24,C27,C30)</f>
        <v>0</v>
      </c>
      <c r="D33" s="359">
        <f t="shared" si="29"/>
        <v>0</v>
      </c>
      <c r="E33" s="359">
        <f t="shared" si="29"/>
        <v>0</v>
      </c>
      <c r="F33" s="359">
        <f t="shared" si="29"/>
        <v>0</v>
      </c>
      <c r="G33" s="359">
        <f t="shared" si="29"/>
        <v>0</v>
      </c>
      <c r="H33" s="359">
        <f t="shared" si="29"/>
        <v>0</v>
      </c>
      <c r="I33" s="359">
        <f t="shared" si="29"/>
        <v>0</v>
      </c>
      <c r="J33" s="359">
        <f t="shared" si="29"/>
        <v>0</v>
      </c>
      <c r="K33" s="359">
        <f t="shared" si="29"/>
        <v>0</v>
      </c>
      <c r="L33" s="359">
        <f t="shared" si="29"/>
        <v>0</v>
      </c>
      <c r="M33" s="359">
        <f t="shared" si="29"/>
        <v>0</v>
      </c>
      <c r="N33" s="359">
        <f t="shared" si="29"/>
        <v>0</v>
      </c>
      <c r="O33" s="508"/>
    </row>
    <row r="34" ht="15.75" customHeight="1">
      <c r="B34" s="378" t="s">
        <v>492</v>
      </c>
      <c r="C34" s="359">
        <f t="shared" ref="C34:N34" si="30">C33-C21</f>
        <v>0</v>
      </c>
      <c r="D34" s="359">
        <f t="shared" si="30"/>
        <v>0</v>
      </c>
      <c r="E34" s="359">
        <f t="shared" si="30"/>
        <v>0</v>
      </c>
      <c r="F34" s="359">
        <f t="shared" si="30"/>
        <v>0</v>
      </c>
      <c r="G34" s="359">
        <f t="shared" si="30"/>
        <v>0</v>
      </c>
      <c r="H34" s="359">
        <f t="shared" si="30"/>
        <v>0</v>
      </c>
      <c r="I34" s="359">
        <f t="shared" si="30"/>
        <v>0</v>
      </c>
      <c r="J34" s="359">
        <f t="shared" si="30"/>
        <v>0</v>
      </c>
      <c r="K34" s="359">
        <f t="shared" si="30"/>
        <v>0</v>
      </c>
      <c r="L34" s="359">
        <f t="shared" si="30"/>
        <v>0</v>
      </c>
      <c r="M34" s="359">
        <f t="shared" si="30"/>
        <v>0</v>
      </c>
      <c r="N34" s="359">
        <f t="shared" si="30"/>
        <v>0</v>
      </c>
      <c r="O34" s="508"/>
    </row>
    <row r="35" ht="15.75" customHeight="1">
      <c r="A35" s="168"/>
      <c r="B35" s="509"/>
      <c r="C35" s="168"/>
      <c r="D35" s="168"/>
      <c r="E35" s="168"/>
      <c r="F35" s="168"/>
      <c r="G35" s="168"/>
      <c r="H35" s="168"/>
      <c r="I35" s="168"/>
      <c r="J35" s="168"/>
      <c r="K35" s="168"/>
      <c r="L35" s="168"/>
      <c r="M35" s="168"/>
      <c r="N35" s="510"/>
      <c r="O35" s="168"/>
      <c r="Q35" s="168"/>
    </row>
    <row r="36" ht="15.75" customHeight="1"/>
    <row r="37" ht="15.75" customHeight="1">
      <c r="A37" s="104"/>
      <c r="B37" s="104"/>
      <c r="C37" s="298">
        <v>13.0</v>
      </c>
      <c r="D37" s="104">
        <v>14.0</v>
      </c>
      <c r="E37" s="104">
        <v>15.0</v>
      </c>
      <c r="F37" s="104">
        <v>16.0</v>
      </c>
      <c r="G37" s="104">
        <v>17.0</v>
      </c>
      <c r="H37" s="104">
        <v>18.0</v>
      </c>
      <c r="I37" s="104">
        <v>19.0</v>
      </c>
      <c r="J37" s="104">
        <v>20.0</v>
      </c>
      <c r="K37" s="104">
        <v>21.0</v>
      </c>
      <c r="L37" s="104">
        <v>22.0</v>
      </c>
      <c r="M37" s="104">
        <v>23.0</v>
      </c>
      <c r="N37" s="104">
        <v>24.0</v>
      </c>
      <c r="O37" s="104">
        <v>25.0</v>
      </c>
      <c r="P37" s="104">
        <v>26.0</v>
      </c>
      <c r="Q37" s="104"/>
      <c r="R37" s="104"/>
      <c r="S37" s="104"/>
      <c r="T37" s="104"/>
      <c r="U37" s="104"/>
      <c r="V37" s="104"/>
      <c r="W37" s="104"/>
      <c r="X37" s="104"/>
      <c r="Y37" s="104"/>
      <c r="Z37" s="104"/>
      <c r="AA37" s="104"/>
      <c r="AB37" s="104"/>
    </row>
    <row r="38" ht="15.75" customHeight="1">
      <c r="A38" s="511" t="s">
        <v>107</v>
      </c>
      <c r="B38" s="19"/>
      <c r="C38" s="498">
        <f>DATE(YEAR(Projected_Start_Date)+1,1,1)</f>
        <v>42736</v>
      </c>
      <c r="D38" s="498">
        <f t="shared" ref="D38:N38" si="31">EDATE(C38,1)</f>
        <v>42767</v>
      </c>
      <c r="E38" s="498">
        <f t="shared" si="31"/>
        <v>42795</v>
      </c>
      <c r="F38" s="498">
        <f t="shared" si="31"/>
        <v>42826</v>
      </c>
      <c r="G38" s="498">
        <f t="shared" si="31"/>
        <v>42856</v>
      </c>
      <c r="H38" s="498">
        <f t="shared" si="31"/>
        <v>42887</v>
      </c>
      <c r="I38" s="498">
        <f t="shared" si="31"/>
        <v>42917</v>
      </c>
      <c r="J38" s="498">
        <f t="shared" si="31"/>
        <v>42948</v>
      </c>
      <c r="K38" s="498">
        <f t="shared" si="31"/>
        <v>42979</v>
      </c>
      <c r="L38" s="498">
        <f t="shared" si="31"/>
        <v>43009</v>
      </c>
      <c r="M38" s="498">
        <f t="shared" si="31"/>
        <v>43040</v>
      </c>
      <c r="N38" s="498">
        <f t="shared" si="31"/>
        <v>43070</v>
      </c>
      <c r="O38" s="499" t="s">
        <v>263</v>
      </c>
    </row>
    <row r="39" ht="15.75" customHeight="1">
      <c r="A39" s="53" t="str">
        <f>A16</f>
        <v>Business Loans</v>
      </c>
      <c r="B39" s="12" t="s">
        <v>485</v>
      </c>
      <c r="C39" s="153">
        <f t="shared" ref="C39:M39" si="32">IF(AND($B$8&lt;=C38,$I$8&gt;=D38),ABS(PPMT($D$8/12,C133,$E$8+(COLUMN()-E37)+12,$C$8)),0)</f>
        <v>0</v>
      </c>
      <c r="D39" s="153">
        <f t="shared" si="32"/>
        <v>0</v>
      </c>
      <c r="E39" s="153">
        <f t="shared" si="32"/>
        <v>0</v>
      </c>
      <c r="F39" s="153">
        <f t="shared" si="32"/>
        <v>0</v>
      </c>
      <c r="G39" s="153">
        <f t="shared" si="32"/>
        <v>0</v>
      </c>
      <c r="H39" s="153">
        <f t="shared" si="32"/>
        <v>0</v>
      </c>
      <c r="I39" s="153">
        <f t="shared" si="32"/>
        <v>0</v>
      </c>
      <c r="J39" s="153">
        <f t="shared" si="32"/>
        <v>0</v>
      </c>
      <c r="K39" s="153">
        <f t="shared" si="32"/>
        <v>0</v>
      </c>
      <c r="L39" s="153">
        <f t="shared" si="32"/>
        <v>0</v>
      </c>
      <c r="M39" s="153">
        <f t="shared" si="32"/>
        <v>0</v>
      </c>
      <c r="N39" s="153">
        <f>IF(AND($B$8&lt;=N38,$I$8&gt;=C62),ABS(PPMT($D$8/12,N133,$E$8+(COLUMN()-P37)+12,$C$8)),0)</f>
        <v>0</v>
      </c>
      <c r="O39" s="471">
        <f t="shared" ref="O39:O40" si="34">SUM(C39:N39)</f>
        <v>0</v>
      </c>
    </row>
    <row r="40" ht="15.75" customHeight="1">
      <c r="A40" s="53"/>
      <c r="B40" s="12" t="s">
        <v>486</v>
      </c>
      <c r="C40" s="153">
        <f t="shared" ref="C40:M40" si="33">IF(AND($B$8&lt;=C38,$I$8&gt;=D38),ABS(IPMT($D$8/12,C133,$E$8+(COLUMN()-E37)+12,$C$8)),0)</f>
        <v>0</v>
      </c>
      <c r="D40" s="153">
        <f t="shared" si="33"/>
        <v>0</v>
      </c>
      <c r="E40" s="153">
        <f t="shared" si="33"/>
        <v>0</v>
      </c>
      <c r="F40" s="153">
        <f t="shared" si="33"/>
        <v>0</v>
      </c>
      <c r="G40" s="153">
        <f t="shared" si="33"/>
        <v>0</v>
      </c>
      <c r="H40" s="153">
        <f t="shared" si="33"/>
        <v>0</v>
      </c>
      <c r="I40" s="153">
        <f t="shared" si="33"/>
        <v>0</v>
      </c>
      <c r="J40" s="153">
        <f t="shared" si="33"/>
        <v>0</v>
      </c>
      <c r="K40" s="153">
        <f t="shared" si="33"/>
        <v>0</v>
      </c>
      <c r="L40" s="153">
        <f t="shared" si="33"/>
        <v>0</v>
      </c>
      <c r="M40" s="153">
        <f t="shared" si="33"/>
        <v>0</v>
      </c>
      <c r="N40" s="153">
        <f>IF(AND($B$8&lt;=N38,$I$8&gt;=C62),ABS(IPMT($D$8/12,N133,$E$8+(COLUMN()-P37)+12,$C$8)),0)</f>
        <v>0</v>
      </c>
      <c r="O40" s="471">
        <f t="shared" si="34"/>
        <v>0</v>
      </c>
    </row>
    <row r="41" ht="15.75" customHeight="1">
      <c r="A41" s="53"/>
      <c r="B41" s="12" t="s">
        <v>487</v>
      </c>
      <c r="C41" s="359">
        <f t="shared" ref="C41:M41" si="35">IF(AND($B$8&lt;=C38,$I$8&gt;=D38),ABS($O$18-SUM($C$39:C39)),0)</f>
        <v>0</v>
      </c>
      <c r="D41" s="359">
        <f t="shared" si="35"/>
        <v>0</v>
      </c>
      <c r="E41" s="359">
        <f t="shared" si="35"/>
        <v>0</v>
      </c>
      <c r="F41" s="359">
        <f t="shared" si="35"/>
        <v>0</v>
      </c>
      <c r="G41" s="359">
        <f t="shared" si="35"/>
        <v>0</v>
      </c>
      <c r="H41" s="359">
        <f t="shared" si="35"/>
        <v>0</v>
      </c>
      <c r="I41" s="359">
        <f t="shared" si="35"/>
        <v>0</v>
      </c>
      <c r="J41" s="359">
        <f t="shared" si="35"/>
        <v>0</v>
      </c>
      <c r="K41" s="359">
        <f t="shared" si="35"/>
        <v>0</v>
      </c>
      <c r="L41" s="359">
        <f t="shared" si="35"/>
        <v>0</v>
      </c>
      <c r="M41" s="359">
        <f t="shared" si="35"/>
        <v>0</v>
      </c>
      <c r="N41" s="359">
        <f>IF(AND($B$8&lt;=N38,$I$8&gt;=C62),ABS($O$18-SUM($C$39:N39)),0)</f>
        <v>0</v>
      </c>
      <c r="O41" s="500">
        <f>N41</f>
        <v>0</v>
      </c>
    </row>
    <row r="42" ht="15.75" customHeight="1">
      <c r="A42" s="501" t="str">
        <f>A19</f>
        <v>Commercial Mortgages</v>
      </c>
      <c r="B42" s="502" t="s">
        <v>485</v>
      </c>
      <c r="C42" s="503">
        <f t="shared" ref="C42:M42" si="36">IF(AND($B$9&lt;=C38,$I$9&gt;=D38),ABS(PPMT($D$9/12,C139,$E$9+(COLUMN()-E37)+12,$C$9)),0)</f>
        <v>0</v>
      </c>
      <c r="D42" s="503">
        <f t="shared" si="36"/>
        <v>0</v>
      </c>
      <c r="E42" s="503">
        <f t="shared" si="36"/>
        <v>0</v>
      </c>
      <c r="F42" s="503">
        <f t="shared" si="36"/>
        <v>0</v>
      </c>
      <c r="G42" s="503">
        <f t="shared" si="36"/>
        <v>0</v>
      </c>
      <c r="H42" s="503">
        <f t="shared" si="36"/>
        <v>0</v>
      </c>
      <c r="I42" s="503">
        <f t="shared" si="36"/>
        <v>0</v>
      </c>
      <c r="J42" s="503">
        <f t="shared" si="36"/>
        <v>0</v>
      </c>
      <c r="K42" s="503">
        <f t="shared" si="36"/>
        <v>0</v>
      </c>
      <c r="L42" s="503">
        <f t="shared" si="36"/>
        <v>0</v>
      </c>
      <c r="M42" s="503">
        <f t="shared" si="36"/>
        <v>0</v>
      </c>
      <c r="N42" s="503">
        <f>IF(AND($B$9&lt;=N38,$I$9&gt;=C62),ABS(PPMT($D$9/12,N139,$E$9+(COLUMN()-P37)+12,$C$9)),0)</f>
        <v>0</v>
      </c>
      <c r="O42" s="471">
        <f t="shared" ref="O42:O43" si="38">SUM(C42:N42)</f>
        <v>0</v>
      </c>
    </row>
    <row r="43" ht="15.75" customHeight="1">
      <c r="A43" s="53"/>
      <c r="B43" s="12" t="s">
        <v>486</v>
      </c>
      <c r="C43" s="153">
        <f t="shared" ref="C43:M43" si="37">IF(AND($B$9&lt;=C38,$I$9&gt;=D38),ABS(IPMT($D$9/12,C139,$E$9+(COLUMN()-E37)+12,$C$9)),0)</f>
        <v>0</v>
      </c>
      <c r="D43" s="153">
        <f t="shared" si="37"/>
        <v>0</v>
      </c>
      <c r="E43" s="153">
        <f t="shared" si="37"/>
        <v>0</v>
      </c>
      <c r="F43" s="153">
        <f t="shared" si="37"/>
        <v>0</v>
      </c>
      <c r="G43" s="153">
        <f t="shared" si="37"/>
        <v>0</v>
      </c>
      <c r="H43" s="153">
        <f t="shared" si="37"/>
        <v>0</v>
      </c>
      <c r="I43" s="153">
        <f t="shared" si="37"/>
        <v>0</v>
      </c>
      <c r="J43" s="153">
        <f t="shared" si="37"/>
        <v>0</v>
      </c>
      <c r="K43" s="153">
        <f t="shared" si="37"/>
        <v>0</v>
      </c>
      <c r="L43" s="153">
        <f t="shared" si="37"/>
        <v>0</v>
      </c>
      <c r="M43" s="153">
        <f t="shared" si="37"/>
        <v>0</v>
      </c>
      <c r="N43" s="153">
        <f>IF(AND($B$9&lt;=N38,$I$9&gt;=C62),ABS(IPMT($D$9/12,N139,$E$9+(COLUMN()-P37)+12,$C$9)),0)</f>
        <v>0</v>
      </c>
      <c r="O43" s="471">
        <f t="shared" si="38"/>
        <v>0</v>
      </c>
      <c r="Q43" s="360"/>
    </row>
    <row r="44" ht="15.75" customHeight="1">
      <c r="A44" s="53"/>
      <c r="B44" s="12" t="s">
        <v>487</v>
      </c>
      <c r="C44" s="359">
        <f t="shared" ref="C44:M44" si="39">IF(AND($B$9&lt;=C38,$I$9&gt;=D38),ABS($O$21-SUM($C$42:C42)),0)</f>
        <v>0</v>
      </c>
      <c r="D44" s="359">
        <f t="shared" si="39"/>
        <v>0</v>
      </c>
      <c r="E44" s="359">
        <f t="shared" si="39"/>
        <v>0</v>
      </c>
      <c r="F44" s="359">
        <f t="shared" si="39"/>
        <v>0</v>
      </c>
      <c r="G44" s="359">
        <f t="shared" si="39"/>
        <v>0</v>
      </c>
      <c r="H44" s="359">
        <f t="shared" si="39"/>
        <v>0</v>
      </c>
      <c r="I44" s="359">
        <f t="shared" si="39"/>
        <v>0</v>
      </c>
      <c r="J44" s="359">
        <f t="shared" si="39"/>
        <v>0</v>
      </c>
      <c r="K44" s="359">
        <f t="shared" si="39"/>
        <v>0</v>
      </c>
      <c r="L44" s="359">
        <f t="shared" si="39"/>
        <v>0</v>
      </c>
      <c r="M44" s="359">
        <f t="shared" si="39"/>
        <v>0</v>
      </c>
      <c r="N44" s="359">
        <f>IF(AND($B$9&lt;=N38,$I$9&gt;=C62),ABS($O$21-SUM($C$42:N42)),0)</f>
        <v>0</v>
      </c>
      <c r="O44" s="500">
        <f>N44</f>
        <v>0</v>
      </c>
    </row>
    <row r="45" ht="15.75" customHeight="1">
      <c r="A45" s="501" t="str">
        <f>A22</f>
        <v>Vehicle Loans</v>
      </c>
      <c r="B45" s="502" t="s">
        <v>485</v>
      </c>
      <c r="C45" s="503">
        <f t="shared" ref="C45:M45" si="40">IF(AND($B$10&lt;=C38,$I$10&gt;=D38),ABS(PPMT($D$10/12,C145,$E$10+(COLUMN()-E37)+12,$C$10)),0)</f>
        <v>0</v>
      </c>
      <c r="D45" s="503">
        <f t="shared" si="40"/>
        <v>0</v>
      </c>
      <c r="E45" s="503">
        <f t="shared" si="40"/>
        <v>0</v>
      </c>
      <c r="F45" s="503">
        <f t="shared" si="40"/>
        <v>0</v>
      </c>
      <c r="G45" s="503">
        <f t="shared" si="40"/>
        <v>0</v>
      </c>
      <c r="H45" s="503">
        <f t="shared" si="40"/>
        <v>0</v>
      </c>
      <c r="I45" s="503">
        <f t="shared" si="40"/>
        <v>0</v>
      </c>
      <c r="J45" s="503">
        <f t="shared" si="40"/>
        <v>0</v>
      </c>
      <c r="K45" s="503">
        <f t="shared" si="40"/>
        <v>0</v>
      </c>
      <c r="L45" s="503">
        <f t="shared" si="40"/>
        <v>0</v>
      </c>
      <c r="M45" s="503">
        <f t="shared" si="40"/>
        <v>0</v>
      </c>
      <c r="N45" s="503">
        <f>IF(AND($B$10&lt;=N38,$I$10&gt;=C62),ABS(PPMT($D$10/12,N145,$E$10+(COLUMN()-P37)+12,$C$10)),0)</f>
        <v>0</v>
      </c>
      <c r="O45" s="471">
        <f t="shared" ref="O45:O46" si="42">SUM(C45:N45)</f>
        <v>0</v>
      </c>
    </row>
    <row r="46" ht="15.75" customHeight="1">
      <c r="A46" s="53"/>
      <c r="B46" s="12" t="s">
        <v>486</v>
      </c>
      <c r="C46" s="153">
        <f t="shared" ref="C46:M46" si="41">IF(AND($B$10&lt;=C38,$I$10&gt;=D38),ABS(IPMT($D$10/12,C145,$E$10+(COLUMN()-E37)+12,$C$10)),0)</f>
        <v>0</v>
      </c>
      <c r="D46" s="153">
        <f t="shared" si="41"/>
        <v>0</v>
      </c>
      <c r="E46" s="153">
        <f t="shared" si="41"/>
        <v>0</v>
      </c>
      <c r="F46" s="153">
        <f t="shared" si="41"/>
        <v>0</v>
      </c>
      <c r="G46" s="153">
        <f t="shared" si="41"/>
        <v>0</v>
      </c>
      <c r="H46" s="153">
        <f t="shared" si="41"/>
        <v>0</v>
      </c>
      <c r="I46" s="153">
        <f t="shared" si="41"/>
        <v>0</v>
      </c>
      <c r="J46" s="153">
        <f t="shared" si="41"/>
        <v>0</v>
      </c>
      <c r="K46" s="153">
        <f t="shared" si="41"/>
        <v>0</v>
      </c>
      <c r="L46" s="153">
        <f t="shared" si="41"/>
        <v>0</v>
      </c>
      <c r="M46" s="153">
        <f t="shared" si="41"/>
        <v>0</v>
      </c>
      <c r="N46" s="153">
        <f>IF(AND($B$10&lt;=N38,$I$10&gt;=C62),ABS(IPMT($D$10/12,N145,$E$10+(COLUMN()-P37)+12,$C$10)),0)</f>
        <v>0</v>
      </c>
      <c r="O46" s="471">
        <f t="shared" si="42"/>
        <v>0</v>
      </c>
    </row>
    <row r="47" ht="15.75" customHeight="1">
      <c r="A47" s="53"/>
      <c r="B47" s="12" t="s">
        <v>488</v>
      </c>
      <c r="C47" s="359">
        <f t="shared" ref="C47:M47" si="43">IF(AND($B$10&lt;=C38,$I$10&gt;=D38),ABS($O$24-SUM($C$45:C45)),0)</f>
        <v>0</v>
      </c>
      <c r="D47" s="359">
        <f t="shared" si="43"/>
        <v>0</v>
      </c>
      <c r="E47" s="359">
        <f t="shared" si="43"/>
        <v>0</v>
      </c>
      <c r="F47" s="359">
        <f t="shared" si="43"/>
        <v>0</v>
      </c>
      <c r="G47" s="359">
        <f t="shared" si="43"/>
        <v>0</v>
      </c>
      <c r="H47" s="359">
        <f t="shared" si="43"/>
        <v>0</v>
      </c>
      <c r="I47" s="359">
        <f t="shared" si="43"/>
        <v>0</v>
      </c>
      <c r="J47" s="359">
        <f t="shared" si="43"/>
        <v>0</v>
      </c>
      <c r="K47" s="359">
        <f t="shared" si="43"/>
        <v>0</v>
      </c>
      <c r="L47" s="359">
        <f t="shared" si="43"/>
        <v>0</v>
      </c>
      <c r="M47" s="359">
        <f t="shared" si="43"/>
        <v>0</v>
      </c>
      <c r="N47" s="359">
        <f>IF(AND($B$10&lt;=N38,$I$10&gt;=C62),ABS($O$24-SUM($C$45:N45)),0)</f>
        <v>0</v>
      </c>
      <c r="O47" s="500">
        <f>N47</f>
        <v>0</v>
      </c>
    </row>
    <row r="48" ht="15.75" customHeight="1">
      <c r="A48" s="501" t="str">
        <f>A25</f>
        <v>Credit Card/
Line of Credit Cash Advance</v>
      </c>
      <c r="B48" s="502" t="s">
        <v>485</v>
      </c>
      <c r="C48" s="503">
        <f t="shared" ref="C48:M48" si="44">IF(AND($B$11&lt;=C38,$I$11&gt;=D38),ABS(PPMT($D$11/12,C151,$E$11+(COLUMN()-E37)+12,$C$11)),0)</f>
        <v>0</v>
      </c>
      <c r="D48" s="503">
        <f t="shared" si="44"/>
        <v>0</v>
      </c>
      <c r="E48" s="503">
        <f t="shared" si="44"/>
        <v>0</v>
      </c>
      <c r="F48" s="503">
        <f t="shared" si="44"/>
        <v>0</v>
      </c>
      <c r="G48" s="503">
        <f t="shared" si="44"/>
        <v>0</v>
      </c>
      <c r="H48" s="503">
        <f t="shared" si="44"/>
        <v>0</v>
      </c>
      <c r="I48" s="503">
        <f t="shared" si="44"/>
        <v>0</v>
      </c>
      <c r="J48" s="503">
        <f t="shared" si="44"/>
        <v>0</v>
      </c>
      <c r="K48" s="503">
        <f t="shared" si="44"/>
        <v>0</v>
      </c>
      <c r="L48" s="503">
        <f t="shared" si="44"/>
        <v>0</v>
      </c>
      <c r="M48" s="503">
        <f t="shared" si="44"/>
        <v>0</v>
      </c>
      <c r="N48" s="503">
        <f>IF(AND($B$11&lt;=N38,$I$11&gt;=C62),ABS(PPMT($D$11/12,N151,$E$11+(COLUMN()-P37)+12,$C$11)),0)</f>
        <v>0</v>
      </c>
      <c r="O48" s="471">
        <f t="shared" ref="O48:O49" si="46">SUM(C48:N48)</f>
        <v>0</v>
      </c>
    </row>
    <row r="49" ht="14.25" customHeight="1">
      <c r="A49" s="53"/>
      <c r="B49" s="12" t="s">
        <v>486</v>
      </c>
      <c r="C49" s="153">
        <f t="shared" ref="C49:M49" si="45">IF(AND($B$11&lt;=C38,$I$11&gt;=D38),ABS(IPMT($D$11/12,C151,$E$11+(COLUMN()-E37)+12,$C$11)),0)</f>
        <v>0</v>
      </c>
      <c r="D49" s="153">
        <f t="shared" si="45"/>
        <v>0</v>
      </c>
      <c r="E49" s="153">
        <f t="shared" si="45"/>
        <v>0</v>
      </c>
      <c r="F49" s="153">
        <f t="shared" si="45"/>
        <v>0</v>
      </c>
      <c r="G49" s="153">
        <f t="shared" si="45"/>
        <v>0</v>
      </c>
      <c r="H49" s="153">
        <f t="shared" si="45"/>
        <v>0</v>
      </c>
      <c r="I49" s="153">
        <f t="shared" si="45"/>
        <v>0</v>
      </c>
      <c r="J49" s="153">
        <f t="shared" si="45"/>
        <v>0</v>
      </c>
      <c r="K49" s="153">
        <f t="shared" si="45"/>
        <v>0</v>
      </c>
      <c r="L49" s="153">
        <f t="shared" si="45"/>
        <v>0</v>
      </c>
      <c r="M49" s="153">
        <f t="shared" si="45"/>
        <v>0</v>
      </c>
      <c r="N49" s="153">
        <f>IF(AND($B$11&lt;=N38,$I$11&gt;=C62),ABS(IPMT($D$11/12,N151,$E$11+(COLUMN()-P37)+12,$C$11)),0)</f>
        <v>0</v>
      </c>
      <c r="O49" s="471">
        <f t="shared" si="46"/>
        <v>0</v>
      </c>
    </row>
    <row r="50" ht="15.75" customHeight="1">
      <c r="A50" s="53"/>
      <c r="B50" s="12" t="s">
        <v>488</v>
      </c>
      <c r="C50" s="359">
        <f t="shared" ref="C50:M50" si="47">IF(AND($B$11&lt;=C38,$I$11&gt;=D38),ABS($O$27-SUM($C$48:C48)),0)</f>
        <v>0</v>
      </c>
      <c r="D50" s="359">
        <f t="shared" si="47"/>
        <v>0</v>
      </c>
      <c r="E50" s="359">
        <f t="shared" si="47"/>
        <v>0</v>
      </c>
      <c r="F50" s="359">
        <f t="shared" si="47"/>
        <v>0</v>
      </c>
      <c r="G50" s="359">
        <f t="shared" si="47"/>
        <v>0</v>
      </c>
      <c r="H50" s="359">
        <f t="shared" si="47"/>
        <v>0</v>
      </c>
      <c r="I50" s="359">
        <f t="shared" si="47"/>
        <v>0</v>
      </c>
      <c r="J50" s="359">
        <f t="shared" si="47"/>
        <v>0</v>
      </c>
      <c r="K50" s="359">
        <f t="shared" si="47"/>
        <v>0</v>
      </c>
      <c r="L50" s="359">
        <f t="shared" si="47"/>
        <v>0</v>
      </c>
      <c r="M50" s="359">
        <f t="shared" si="47"/>
        <v>0</v>
      </c>
      <c r="N50" s="359">
        <f>IF(AND($B$11&lt;=N38,$I$11&gt;=C62),ABS($O$27-SUM($C$48:N48)),0)</f>
        <v>0</v>
      </c>
      <c r="O50" s="500">
        <f>N50</f>
        <v>0</v>
      </c>
    </row>
    <row r="51" ht="15.75" customHeight="1">
      <c r="A51" s="501" t="str">
        <f>A28</f>
        <v>Other Debt</v>
      </c>
      <c r="B51" s="502" t="s">
        <v>485</v>
      </c>
      <c r="C51" s="503">
        <f t="shared" ref="C51:M51" si="48">IF(AND($B$12&lt;=C38,$I$12&gt;=D38),ABS(PPMT($D$12/12,C157,$E$12+(COLUMN()-E37)+12,$C$12)),0)</f>
        <v>0</v>
      </c>
      <c r="D51" s="503">
        <f t="shared" si="48"/>
        <v>0</v>
      </c>
      <c r="E51" s="503">
        <f t="shared" si="48"/>
        <v>0</v>
      </c>
      <c r="F51" s="503">
        <f t="shared" si="48"/>
        <v>0</v>
      </c>
      <c r="G51" s="503">
        <f t="shared" si="48"/>
        <v>0</v>
      </c>
      <c r="H51" s="503">
        <f t="shared" si="48"/>
        <v>0</v>
      </c>
      <c r="I51" s="503">
        <f t="shared" si="48"/>
        <v>0</v>
      </c>
      <c r="J51" s="503">
        <f t="shared" si="48"/>
        <v>0</v>
      </c>
      <c r="K51" s="503">
        <f t="shared" si="48"/>
        <v>0</v>
      </c>
      <c r="L51" s="503">
        <f t="shared" si="48"/>
        <v>0</v>
      </c>
      <c r="M51" s="503">
        <f t="shared" si="48"/>
        <v>0</v>
      </c>
      <c r="N51" s="503">
        <f>IF(AND($B$12&lt;=N38,$I$12&gt;=C62),ABS(PPMT($D$12/12,N157,$E$12+(COLUMN()-P37)+12,$C$12)),0)</f>
        <v>0</v>
      </c>
      <c r="O51" s="471">
        <f t="shared" ref="O51:O52" si="50">SUM(C51:N51)</f>
        <v>0</v>
      </c>
    </row>
    <row r="52" ht="15.75" customHeight="1">
      <c r="A52" s="53"/>
      <c r="B52" s="12" t="s">
        <v>486</v>
      </c>
      <c r="C52" s="153">
        <f t="shared" ref="C52:M52" si="49">IF(AND($B$12&lt;=C38,$I$12&gt;=D38),ABS(IPMT($D$12/12,C157,$E$12+(COLUMN()-E37)+12,$C$12)),0)</f>
        <v>0</v>
      </c>
      <c r="D52" s="153">
        <f t="shared" si="49"/>
        <v>0</v>
      </c>
      <c r="E52" s="153">
        <f t="shared" si="49"/>
        <v>0</v>
      </c>
      <c r="F52" s="153">
        <f t="shared" si="49"/>
        <v>0</v>
      </c>
      <c r="G52" s="153">
        <f t="shared" si="49"/>
        <v>0</v>
      </c>
      <c r="H52" s="153">
        <f t="shared" si="49"/>
        <v>0</v>
      </c>
      <c r="I52" s="153">
        <f t="shared" si="49"/>
        <v>0</v>
      </c>
      <c r="J52" s="153">
        <f t="shared" si="49"/>
        <v>0</v>
      </c>
      <c r="K52" s="153">
        <f t="shared" si="49"/>
        <v>0</v>
      </c>
      <c r="L52" s="153">
        <f t="shared" si="49"/>
        <v>0</v>
      </c>
      <c r="M52" s="153">
        <f t="shared" si="49"/>
        <v>0</v>
      </c>
      <c r="N52" s="153">
        <f>IF(AND($B$12&lt;=N38,$I$12&gt;=C62),ABS(IPMT($D$12/12,N157,$E$12+(COLUMN()-P37)+12,$C$12)),0)</f>
        <v>0</v>
      </c>
      <c r="O52" s="471">
        <f t="shared" si="50"/>
        <v>0</v>
      </c>
    </row>
    <row r="53" ht="15.75" customHeight="1">
      <c r="A53" s="40"/>
      <c r="B53" s="43" t="s">
        <v>488</v>
      </c>
      <c r="C53" s="359">
        <f t="shared" ref="C53:M53" si="51">IF(AND($B$12&lt;=C38,$I$12&gt;=D38),ABS($O$30-SUM($C$51:C51)),0)</f>
        <v>0</v>
      </c>
      <c r="D53" s="359">
        <f t="shared" si="51"/>
        <v>0</v>
      </c>
      <c r="E53" s="359">
        <f t="shared" si="51"/>
        <v>0</v>
      </c>
      <c r="F53" s="359">
        <f t="shared" si="51"/>
        <v>0</v>
      </c>
      <c r="G53" s="359">
        <f t="shared" si="51"/>
        <v>0</v>
      </c>
      <c r="H53" s="359">
        <f t="shared" si="51"/>
        <v>0</v>
      </c>
      <c r="I53" s="359">
        <f t="shared" si="51"/>
        <v>0</v>
      </c>
      <c r="J53" s="359">
        <f t="shared" si="51"/>
        <v>0</v>
      </c>
      <c r="K53" s="359">
        <f t="shared" si="51"/>
        <v>0</v>
      </c>
      <c r="L53" s="359">
        <f t="shared" si="51"/>
        <v>0</v>
      </c>
      <c r="M53" s="359">
        <f t="shared" si="51"/>
        <v>0</v>
      </c>
      <c r="N53" s="359">
        <f>IF(AND($B$12&lt;=N38,$I$12&gt;=C62),ABS($O$30-SUM($C$51:N51)),0)</f>
        <v>0</v>
      </c>
      <c r="O53" s="500">
        <f>N53</f>
        <v>0</v>
      </c>
    </row>
    <row r="54" ht="15.75" customHeight="1">
      <c r="B54" s="378" t="s">
        <v>493</v>
      </c>
      <c r="C54" s="507">
        <f t="shared" ref="C54:N54" si="52">SUM(C40,C43,C46,C49,C52)</f>
        <v>0</v>
      </c>
      <c r="D54" s="507">
        <f t="shared" si="52"/>
        <v>0</v>
      </c>
      <c r="E54" s="507">
        <f t="shared" si="52"/>
        <v>0</v>
      </c>
      <c r="F54" s="507">
        <f t="shared" si="52"/>
        <v>0</v>
      </c>
      <c r="G54" s="507">
        <f t="shared" si="52"/>
        <v>0</v>
      </c>
      <c r="H54" s="507">
        <f t="shared" si="52"/>
        <v>0</v>
      </c>
      <c r="I54" s="507">
        <f t="shared" si="52"/>
        <v>0</v>
      </c>
      <c r="J54" s="507">
        <f t="shared" si="52"/>
        <v>0</v>
      </c>
      <c r="K54" s="507">
        <f t="shared" si="52"/>
        <v>0</v>
      </c>
      <c r="L54" s="507">
        <f t="shared" si="52"/>
        <v>0</v>
      </c>
      <c r="M54" s="507">
        <f t="shared" si="52"/>
        <v>0</v>
      </c>
      <c r="N54" s="507">
        <f t="shared" si="52"/>
        <v>0</v>
      </c>
      <c r="O54" s="471">
        <f t="shared" ref="O54:O55" si="54">SUM(C54:N54)</f>
        <v>0</v>
      </c>
    </row>
    <row r="55" ht="15.75" customHeight="1">
      <c r="B55" s="378" t="s">
        <v>494</v>
      </c>
      <c r="C55" s="321">
        <f t="shared" ref="C55:N55" si="53">SUM(C39,C42,C45,C48,C51)</f>
        <v>0</v>
      </c>
      <c r="D55" s="321">
        <f t="shared" si="53"/>
        <v>0</v>
      </c>
      <c r="E55" s="321">
        <f t="shared" si="53"/>
        <v>0</v>
      </c>
      <c r="F55" s="321">
        <f t="shared" si="53"/>
        <v>0</v>
      </c>
      <c r="G55" s="321">
        <f t="shared" si="53"/>
        <v>0</v>
      </c>
      <c r="H55" s="321">
        <f t="shared" si="53"/>
        <v>0</v>
      </c>
      <c r="I55" s="321">
        <f t="shared" si="53"/>
        <v>0</v>
      </c>
      <c r="J55" s="321">
        <f t="shared" si="53"/>
        <v>0</v>
      </c>
      <c r="K55" s="321">
        <f t="shared" si="53"/>
        <v>0</v>
      </c>
      <c r="L55" s="321">
        <f t="shared" si="53"/>
        <v>0</v>
      </c>
      <c r="M55" s="321">
        <f t="shared" si="53"/>
        <v>0</v>
      </c>
      <c r="N55" s="321">
        <f t="shared" si="53"/>
        <v>0</v>
      </c>
      <c r="O55" s="471">
        <f t="shared" si="54"/>
        <v>0</v>
      </c>
    </row>
    <row r="56" ht="15.75" customHeight="1">
      <c r="B56" s="378" t="s">
        <v>491</v>
      </c>
      <c r="C56" s="359">
        <f t="shared" ref="C56:N56" si="55">SUM(C41,C44,C47,C50,C53)</f>
        <v>0</v>
      </c>
      <c r="D56" s="359">
        <f t="shared" si="55"/>
        <v>0</v>
      </c>
      <c r="E56" s="359">
        <f t="shared" si="55"/>
        <v>0</v>
      </c>
      <c r="F56" s="359">
        <f t="shared" si="55"/>
        <v>0</v>
      </c>
      <c r="G56" s="359">
        <f t="shared" si="55"/>
        <v>0</v>
      </c>
      <c r="H56" s="359">
        <f t="shared" si="55"/>
        <v>0</v>
      </c>
      <c r="I56" s="359">
        <f t="shared" si="55"/>
        <v>0</v>
      </c>
      <c r="J56" s="359">
        <f t="shared" si="55"/>
        <v>0</v>
      </c>
      <c r="K56" s="359">
        <f t="shared" si="55"/>
        <v>0</v>
      </c>
      <c r="L56" s="359">
        <f t="shared" si="55"/>
        <v>0</v>
      </c>
      <c r="M56" s="359">
        <f t="shared" si="55"/>
        <v>0</v>
      </c>
      <c r="N56" s="359">
        <f t="shared" si="55"/>
        <v>0</v>
      </c>
      <c r="O56" s="508"/>
    </row>
    <row r="57" ht="15.75" customHeight="1">
      <c r="B57" s="378" t="s">
        <v>492</v>
      </c>
      <c r="C57" s="359">
        <f t="shared" ref="C57:N57" si="56">C56-C44</f>
        <v>0</v>
      </c>
      <c r="D57" s="359">
        <f t="shared" si="56"/>
        <v>0</v>
      </c>
      <c r="E57" s="359">
        <f t="shared" si="56"/>
        <v>0</v>
      </c>
      <c r="F57" s="359">
        <f t="shared" si="56"/>
        <v>0</v>
      </c>
      <c r="G57" s="359">
        <f t="shared" si="56"/>
        <v>0</v>
      </c>
      <c r="H57" s="359">
        <f t="shared" si="56"/>
        <v>0</v>
      </c>
      <c r="I57" s="359">
        <f t="shared" si="56"/>
        <v>0</v>
      </c>
      <c r="J57" s="359">
        <f t="shared" si="56"/>
        <v>0</v>
      </c>
      <c r="K57" s="359">
        <f t="shared" si="56"/>
        <v>0</v>
      </c>
      <c r="L57" s="359">
        <f t="shared" si="56"/>
        <v>0</v>
      </c>
      <c r="M57" s="359">
        <f t="shared" si="56"/>
        <v>0</v>
      </c>
      <c r="N57" s="359">
        <f t="shared" si="56"/>
        <v>0</v>
      </c>
      <c r="O57" s="508"/>
    </row>
    <row r="58" ht="15.75" customHeight="1">
      <c r="B58" s="378"/>
      <c r="C58" s="359"/>
      <c r="D58" s="359"/>
      <c r="E58" s="359"/>
      <c r="F58" s="359"/>
      <c r="G58" s="359"/>
      <c r="H58" s="359"/>
      <c r="I58" s="359"/>
      <c r="J58" s="359"/>
      <c r="K58" s="359"/>
      <c r="L58" s="359"/>
      <c r="M58" s="359"/>
      <c r="N58" s="359"/>
      <c r="O58" s="508"/>
    </row>
    <row r="59" ht="15.75" customHeight="1">
      <c r="A59" s="450"/>
      <c r="B59" s="512"/>
      <c r="C59" s="513"/>
      <c r="D59" s="513"/>
      <c r="E59" s="513"/>
      <c r="F59" s="513"/>
      <c r="G59" s="513"/>
      <c r="H59" s="513"/>
      <c r="I59" s="513"/>
      <c r="J59" s="513"/>
      <c r="K59" s="513"/>
      <c r="L59" s="513"/>
      <c r="M59" s="513"/>
      <c r="N59" s="513"/>
      <c r="O59" s="450"/>
      <c r="Q59" s="450"/>
      <c r="R59" s="450"/>
      <c r="S59" s="450"/>
      <c r="T59" s="450"/>
      <c r="U59" s="450"/>
      <c r="V59" s="450"/>
      <c r="W59" s="450"/>
      <c r="X59" s="450"/>
      <c r="Y59" s="450"/>
      <c r="Z59" s="450"/>
      <c r="AA59" s="450"/>
      <c r="AB59" s="450"/>
    </row>
    <row r="60" ht="15.75" customHeight="1"/>
    <row r="61" ht="15.75" customHeight="1">
      <c r="C61" s="104">
        <v>25.0</v>
      </c>
      <c r="D61" s="104">
        <v>26.0</v>
      </c>
      <c r="E61" s="104">
        <v>27.0</v>
      </c>
      <c r="F61" s="104">
        <v>28.0</v>
      </c>
      <c r="G61" s="104">
        <v>29.0</v>
      </c>
      <c r="H61" s="104">
        <v>30.0</v>
      </c>
      <c r="I61" s="104">
        <v>31.0</v>
      </c>
      <c r="J61" s="104">
        <v>32.0</v>
      </c>
      <c r="K61" s="104">
        <v>33.0</v>
      </c>
      <c r="L61" s="104">
        <v>34.0</v>
      </c>
      <c r="M61" s="104">
        <v>35.0</v>
      </c>
      <c r="N61" s="104">
        <v>36.0</v>
      </c>
      <c r="O61" s="104">
        <v>37.0</v>
      </c>
      <c r="P61" s="104">
        <v>38.0</v>
      </c>
    </row>
    <row r="62" ht="15.75" customHeight="1">
      <c r="A62" s="514" t="s">
        <v>109</v>
      </c>
      <c r="B62" s="19"/>
      <c r="C62" s="498">
        <f>DATE(YEAR(Projected_Start_Date)+2,1,1)</f>
        <v>43101</v>
      </c>
      <c r="D62" s="498">
        <f t="shared" ref="D62:N62" si="57">EDATE(C62,1)</f>
        <v>43132</v>
      </c>
      <c r="E62" s="498">
        <f t="shared" si="57"/>
        <v>43160</v>
      </c>
      <c r="F62" s="498">
        <f t="shared" si="57"/>
        <v>43191</v>
      </c>
      <c r="G62" s="498">
        <f t="shared" si="57"/>
        <v>43221</v>
      </c>
      <c r="H62" s="498">
        <f t="shared" si="57"/>
        <v>43252</v>
      </c>
      <c r="I62" s="498">
        <f t="shared" si="57"/>
        <v>43282</v>
      </c>
      <c r="J62" s="498">
        <f t="shared" si="57"/>
        <v>43313</v>
      </c>
      <c r="K62" s="498">
        <f t="shared" si="57"/>
        <v>43344</v>
      </c>
      <c r="L62" s="498">
        <f t="shared" si="57"/>
        <v>43374</v>
      </c>
      <c r="M62" s="498">
        <f t="shared" si="57"/>
        <v>43405</v>
      </c>
      <c r="N62" s="498">
        <f t="shared" si="57"/>
        <v>43435</v>
      </c>
      <c r="O62" s="499" t="s">
        <v>263</v>
      </c>
    </row>
    <row r="63" ht="15.75" customHeight="1">
      <c r="A63" s="53" t="str">
        <f>A16</f>
        <v>Business Loans</v>
      </c>
      <c r="B63" s="12" t="s">
        <v>485</v>
      </c>
      <c r="C63" s="153">
        <f t="shared" ref="C63:M63" si="58">IF(AND($B$8&lt;=C62,$I$8&gt;=D62),ABS(PPMT($D$8/12,C134,$E$8+(COLUMN()-E61)+24,$C$8)),0)</f>
        <v>0</v>
      </c>
      <c r="D63" s="153">
        <f t="shared" si="58"/>
        <v>0</v>
      </c>
      <c r="E63" s="153">
        <f t="shared" si="58"/>
        <v>0</v>
      </c>
      <c r="F63" s="153">
        <f t="shared" si="58"/>
        <v>0</v>
      </c>
      <c r="G63" s="153">
        <f t="shared" si="58"/>
        <v>0</v>
      </c>
      <c r="H63" s="153">
        <f t="shared" si="58"/>
        <v>0</v>
      </c>
      <c r="I63" s="153">
        <f t="shared" si="58"/>
        <v>0</v>
      </c>
      <c r="J63" s="153">
        <f t="shared" si="58"/>
        <v>0</v>
      </c>
      <c r="K63" s="153">
        <f t="shared" si="58"/>
        <v>0</v>
      </c>
      <c r="L63" s="153">
        <f t="shared" si="58"/>
        <v>0</v>
      </c>
      <c r="M63" s="153">
        <f t="shared" si="58"/>
        <v>0</v>
      </c>
      <c r="N63" s="153">
        <f>IF(AND($B$8&lt;=N62,$I$8&gt;=C86),ABS(PPMT($D$8/12,N134,$E$8+(COLUMN()-P61)+24,$C$8)),0)</f>
        <v>0</v>
      </c>
      <c r="O63" s="471">
        <f t="shared" ref="O63:O64" si="60">SUM(C63:N63)</f>
        <v>0</v>
      </c>
    </row>
    <row r="64" ht="15.75" customHeight="1">
      <c r="A64" s="53"/>
      <c r="B64" s="12" t="s">
        <v>486</v>
      </c>
      <c r="C64" s="153">
        <f t="shared" ref="C64:M64" si="59">IF(AND($B$8&lt;=C62,$I$8&gt;=D62),ABS(IPMT($D$8/12,C134,$E$8+(COLUMN()-E61)+24,$C$8)),0)</f>
        <v>0</v>
      </c>
      <c r="D64" s="153">
        <f t="shared" si="59"/>
        <v>0</v>
      </c>
      <c r="E64" s="153">
        <f t="shared" si="59"/>
        <v>0</v>
      </c>
      <c r="F64" s="153">
        <f t="shared" si="59"/>
        <v>0</v>
      </c>
      <c r="G64" s="153">
        <f t="shared" si="59"/>
        <v>0</v>
      </c>
      <c r="H64" s="153">
        <f t="shared" si="59"/>
        <v>0</v>
      </c>
      <c r="I64" s="153">
        <f t="shared" si="59"/>
        <v>0</v>
      </c>
      <c r="J64" s="153">
        <f t="shared" si="59"/>
        <v>0</v>
      </c>
      <c r="K64" s="153">
        <f t="shared" si="59"/>
        <v>0</v>
      </c>
      <c r="L64" s="153">
        <f t="shared" si="59"/>
        <v>0</v>
      </c>
      <c r="M64" s="153">
        <f t="shared" si="59"/>
        <v>0</v>
      </c>
      <c r="N64" s="153">
        <f>IF(AND($B$8&lt;=N62,$I$8&gt;=C86),ABS(IPMT($D$8/12,N134,$E$8+(COLUMN()-P61)+24,$C$8)),0)</f>
        <v>0</v>
      </c>
      <c r="O64" s="471">
        <f t="shared" si="60"/>
        <v>0</v>
      </c>
    </row>
    <row r="65" ht="15.75" customHeight="1">
      <c r="A65" s="53"/>
      <c r="B65" s="12" t="s">
        <v>487</v>
      </c>
      <c r="C65" s="359">
        <f t="shared" ref="C65:M65" si="61">IF(AND($B$8&lt;=C38,$I$8&gt;=D38),ABS($O$41-SUM($C$63:C63)),0)</f>
        <v>0</v>
      </c>
      <c r="D65" s="359">
        <f t="shared" si="61"/>
        <v>0</v>
      </c>
      <c r="E65" s="359">
        <f t="shared" si="61"/>
        <v>0</v>
      </c>
      <c r="F65" s="359">
        <f t="shared" si="61"/>
        <v>0</v>
      </c>
      <c r="G65" s="359">
        <f t="shared" si="61"/>
        <v>0</v>
      </c>
      <c r="H65" s="359">
        <f t="shared" si="61"/>
        <v>0</v>
      </c>
      <c r="I65" s="359">
        <f t="shared" si="61"/>
        <v>0</v>
      </c>
      <c r="J65" s="359">
        <f t="shared" si="61"/>
        <v>0</v>
      </c>
      <c r="K65" s="359">
        <f t="shared" si="61"/>
        <v>0</v>
      </c>
      <c r="L65" s="359">
        <f t="shared" si="61"/>
        <v>0</v>
      </c>
      <c r="M65" s="359">
        <f t="shared" si="61"/>
        <v>0</v>
      </c>
      <c r="N65" s="359">
        <f>IF(AND($B$8&lt;=N38,$I$8&gt;=C86),ABS($O$41-SUM($C$63:N63)),0)</f>
        <v>0</v>
      </c>
      <c r="O65" s="500">
        <f>N65</f>
        <v>0</v>
      </c>
    </row>
    <row r="66" ht="15.75" customHeight="1">
      <c r="A66" s="501" t="str">
        <f>A19</f>
        <v>Commercial Mortgages</v>
      </c>
      <c r="B66" s="502" t="s">
        <v>485</v>
      </c>
      <c r="C66" s="503">
        <f t="shared" ref="C66:M66" si="62">IF(AND($B$9&lt;=C62,$I$9&gt;=D62),ABS(PPMT($D$9/12,C140,$E$9+(COLUMN()-E61)+24,$C$9)),0)</f>
        <v>0</v>
      </c>
      <c r="D66" s="503">
        <f t="shared" si="62"/>
        <v>0</v>
      </c>
      <c r="E66" s="503">
        <f t="shared" si="62"/>
        <v>0</v>
      </c>
      <c r="F66" s="503">
        <f t="shared" si="62"/>
        <v>0</v>
      </c>
      <c r="G66" s="503">
        <f t="shared" si="62"/>
        <v>0</v>
      </c>
      <c r="H66" s="503">
        <f t="shared" si="62"/>
        <v>0</v>
      </c>
      <c r="I66" s="503">
        <f t="shared" si="62"/>
        <v>0</v>
      </c>
      <c r="J66" s="503">
        <f t="shared" si="62"/>
        <v>0</v>
      </c>
      <c r="K66" s="503">
        <f t="shared" si="62"/>
        <v>0</v>
      </c>
      <c r="L66" s="503">
        <f t="shared" si="62"/>
        <v>0</v>
      </c>
      <c r="M66" s="503">
        <f t="shared" si="62"/>
        <v>0</v>
      </c>
      <c r="N66" s="503">
        <f>IF(AND($B$9&lt;=N62,$I$9&gt;=C86),ABS(PPMT($D$9/12,N140,$E$9+(COLUMN()-P61)+24,$C$9)),0)</f>
        <v>0</v>
      </c>
      <c r="O66" s="471">
        <f t="shared" ref="O66:O67" si="64">SUM(C66:N66)</f>
        <v>0</v>
      </c>
    </row>
    <row r="67" ht="15.75" customHeight="1">
      <c r="A67" s="53"/>
      <c r="B67" s="12" t="s">
        <v>486</v>
      </c>
      <c r="C67" s="153">
        <f t="shared" ref="C67:M67" si="63">IF(AND($B$9&lt;=C62,$I$9&gt;=D62),ABS(IPMT($D$9/12,C139,$E$9+(COLUMN()-E61)+24,$C$9)),0)</f>
        <v>0</v>
      </c>
      <c r="D67" s="153">
        <f t="shared" si="63"/>
        <v>0</v>
      </c>
      <c r="E67" s="153">
        <f t="shared" si="63"/>
        <v>0</v>
      </c>
      <c r="F67" s="153">
        <f t="shared" si="63"/>
        <v>0</v>
      </c>
      <c r="G67" s="153">
        <f t="shared" si="63"/>
        <v>0</v>
      </c>
      <c r="H67" s="153">
        <f t="shared" si="63"/>
        <v>0</v>
      </c>
      <c r="I67" s="153">
        <f t="shared" si="63"/>
        <v>0</v>
      </c>
      <c r="J67" s="153">
        <f t="shared" si="63"/>
        <v>0</v>
      </c>
      <c r="K67" s="153">
        <f t="shared" si="63"/>
        <v>0</v>
      </c>
      <c r="L67" s="153">
        <f t="shared" si="63"/>
        <v>0</v>
      </c>
      <c r="M67" s="153">
        <f t="shared" si="63"/>
        <v>0</v>
      </c>
      <c r="N67" s="153">
        <f>IF(AND($B$9&lt;=N62,$I$9&gt;=C86),ABS(IPMT($D$9/12,N139,$E$9+(COLUMN()-P61)+24,$C$9)),0)</f>
        <v>0</v>
      </c>
      <c r="O67" s="471">
        <f t="shared" si="64"/>
        <v>0</v>
      </c>
      <c r="Q67" s="360"/>
    </row>
    <row r="68" ht="15.75" customHeight="1">
      <c r="A68" s="53"/>
      <c r="B68" s="12" t="s">
        <v>487</v>
      </c>
      <c r="C68" s="359">
        <f t="shared" ref="C68:M68" si="65">IF(AND($B$9&lt;=C38,$I$9&gt;=D38),ABS($O$44-SUM($C$66:C66)),0)</f>
        <v>0</v>
      </c>
      <c r="D68" s="359">
        <f t="shared" si="65"/>
        <v>0</v>
      </c>
      <c r="E68" s="359">
        <f t="shared" si="65"/>
        <v>0</v>
      </c>
      <c r="F68" s="359">
        <f t="shared" si="65"/>
        <v>0</v>
      </c>
      <c r="G68" s="359">
        <f t="shared" si="65"/>
        <v>0</v>
      </c>
      <c r="H68" s="359">
        <f t="shared" si="65"/>
        <v>0</v>
      </c>
      <c r="I68" s="359">
        <f t="shared" si="65"/>
        <v>0</v>
      </c>
      <c r="J68" s="359">
        <f t="shared" si="65"/>
        <v>0</v>
      </c>
      <c r="K68" s="359">
        <f t="shared" si="65"/>
        <v>0</v>
      </c>
      <c r="L68" s="359">
        <f t="shared" si="65"/>
        <v>0</v>
      </c>
      <c r="M68" s="359">
        <f t="shared" si="65"/>
        <v>0</v>
      </c>
      <c r="N68" s="359">
        <f>IF(AND($B$9&lt;=N38,$I$9&gt;=C86),ABS($O$44-SUM($C$66:N66)),0)</f>
        <v>0</v>
      </c>
      <c r="O68" s="500">
        <f>N68</f>
        <v>0</v>
      </c>
    </row>
    <row r="69" ht="15.75" customHeight="1">
      <c r="A69" s="501" t="str">
        <f>A22</f>
        <v>Vehicle Loans</v>
      </c>
      <c r="B69" s="502" t="s">
        <v>485</v>
      </c>
      <c r="C69" s="503">
        <f t="shared" ref="C69:M69" si="66">IF(AND($B$10&lt;=C62,$I$10&gt;=D62),ABS(PPMT($D$10/12,C146,$E$10+(COLUMN()-E61)+24,$C$10)),0)</f>
        <v>0</v>
      </c>
      <c r="D69" s="503">
        <f t="shared" si="66"/>
        <v>0</v>
      </c>
      <c r="E69" s="503">
        <f t="shared" si="66"/>
        <v>0</v>
      </c>
      <c r="F69" s="503">
        <f t="shared" si="66"/>
        <v>0</v>
      </c>
      <c r="G69" s="503">
        <f t="shared" si="66"/>
        <v>0</v>
      </c>
      <c r="H69" s="503">
        <f t="shared" si="66"/>
        <v>0</v>
      </c>
      <c r="I69" s="503">
        <f t="shared" si="66"/>
        <v>0</v>
      </c>
      <c r="J69" s="503">
        <f t="shared" si="66"/>
        <v>0</v>
      </c>
      <c r="K69" s="503">
        <f t="shared" si="66"/>
        <v>0</v>
      </c>
      <c r="L69" s="503">
        <f t="shared" si="66"/>
        <v>0</v>
      </c>
      <c r="M69" s="503">
        <f t="shared" si="66"/>
        <v>0</v>
      </c>
      <c r="N69" s="503">
        <f>IF(AND($B$10&lt;=N62,$I$10&gt;=C86),ABS(PPMT($D$10/12,N146,$E$10+(COLUMN()-P61)+24,$C$10)),0)</f>
        <v>0</v>
      </c>
      <c r="O69" s="471">
        <f t="shared" ref="O69:O70" si="68">SUM(C69:N69)</f>
        <v>0</v>
      </c>
    </row>
    <row r="70" ht="15.75" customHeight="1">
      <c r="A70" s="53"/>
      <c r="B70" s="12" t="s">
        <v>486</v>
      </c>
      <c r="C70" s="153">
        <f t="shared" ref="C70:M70" si="67">IF(AND($B$10&lt;=C62,$I$10&gt;=D62),ABS(IPMT($D$10/12,C146,$E$10+(COLUMN()-E61)+24,$C$10)),0)</f>
        <v>0</v>
      </c>
      <c r="D70" s="153">
        <f t="shared" si="67"/>
        <v>0</v>
      </c>
      <c r="E70" s="153">
        <f t="shared" si="67"/>
        <v>0</v>
      </c>
      <c r="F70" s="153">
        <f t="shared" si="67"/>
        <v>0</v>
      </c>
      <c r="G70" s="153">
        <f t="shared" si="67"/>
        <v>0</v>
      </c>
      <c r="H70" s="153">
        <f t="shared" si="67"/>
        <v>0</v>
      </c>
      <c r="I70" s="153">
        <f t="shared" si="67"/>
        <v>0</v>
      </c>
      <c r="J70" s="153">
        <f t="shared" si="67"/>
        <v>0</v>
      </c>
      <c r="K70" s="153">
        <f t="shared" si="67"/>
        <v>0</v>
      </c>
      <c r="L70" s="153">
        <f t="shared" si="67"/>
        <v>0</v>
      </c>
      <c r="M70" s="153">
        <f t="shared" si="67"/>
        <v>0</v>
      </c>
      <c r="N70" s="153">
        <f>IF(AND($B$10&lt;=N62,$I$10&gt;=C86),ABS(IPMT($D$10/12,N146,$E$10+(COLUMN()-P61)+24,$C$10)),0)</f>
        <v>0</v>
      </c>
      <c r="O70" s="471">
        <f t="shared" si="68"/>
        <v>0</v>
      </c>
    </row>
    <row r="71" ht="15.75" customHeight="1">
      <c r="A71" s="53"/>
      <c r="B71" s="12" t="s">
        <v>488</v>
      </c>
      <c r="C71" s="359">
        <f t="shared" ref="C71:M71" si="69">IF(AND($B$10&lt;=C38,$I$10&gt;=D38),ABS($O$47-SUM($C$69:C69)),0)</f>
        <v>0</v>
      </c>
      <c r="D71" s="359">
        <f t="shared" si="69"/>
        <v>0</v>
      </c>
      <c r="E71" s="359">
        <f t="shared" si="69"/>
        <v>0</v>
      </c>
      <c r="F71" s="359">
        <f t="shared" si="69"/>
        <v>0</v>
      </c>
      <c r="G71" s="359">
        <f t="shared" si="69"/>
        <v>0</v>
      </c>
      <c r="H71" s="359">
        <f t="shared" si="69"/>
        <v>0</v>
      </c>
      <c r="I71" s="359">
        <f t="shared" si="69"/>
        <v>0</v>
      </c>
      <c r="J71" s="359">
        <f t="shared" si="69"/>
        <v>0</v>
      </c>
      <c r="K71" s="359">
        <f t="shared" si="69"/>
        <v>0</v>
      </c>
      <c r="L71" s="359">
        <f t="shared" si="69"/>
        <v>0</v>
      </c>
      <c r="M71" s="359">
        <f t="shared" si="69"/>
        <v>0</v>
      </c>
      <c r="N71" s="359">
        <f>IF(AND($B$10&lt;=N38,$I$10&gt;=C86),ABS($O$47-SUM($C$69:N69)),0)</f>
        <v>0</v>
      </c>
      <c r="O71" s="500">
        <f>N71</f>
        <v>0</v>
      </c>
    </row>
    <row r="72" ht="15.75" customHeight="1">
      <c r="A72" s="501" t="str">
        <f>A25</f>
        <v>Credit Card/
Line of Credit Cash Advance</v>
      </c>
      <c r="B72" s="502" t="s">
        <v>485</v>
      </c>
      <c r="C72" s="503">
        <f t="shared" ref="C72:M72" si="70">IF(AND($B$11&lt;=C62,$I$11&gt;=D62),ABS(PPMT($D$11/12,C152,$E$11+(COLUMN()-E61)+24,$C$11)),0)</f>
        <v>0</v>
      </c>
      <c r="D72" s="503">
        <f t="shared" si="70"/>
        <v>0</v>
      </c>
      <c r="E72" s="503">
        <f t="shared" si="70"/>
        <v>0</v>
      </c>
      <c r="F72" s="503">
        <f t="shared" si="70"/>
        <v>0</v>
      </c>
      <c r="G72" s="503">
        <f t="shared" si="70"/>
        <v>0</v>
      </c>
      <c r="H72" s="503">
        <f t="shared" si="70"/>
        <v>0</v>
      </c>
      <c r="I72" s="503">
        <f t="shared" si="70"/>
        <v>0</v>
      </c>
      <c r="J72" s="503">
        <f t="shared" si="70"/>
        <v>0</v>
      </c>
      <c r="K72" s="503">
        <f t="shared" si="70"/>
        <v>0</v>
      </c>
      <c r="L72" s="503">
        <f t="shared" si="70"/>
        <v>0</v>
      </c>
      <c r="M72" s="503">
        <f t="shared" si="70"/>
        <v>0</v>
      </c>
      <c r="N72" s="503">
        <f>IF(AND($B$11&lt;=N62,$I$11&gt;=C86),ABS(PPMT($D$11/12,N152,$E$11+(COLUMN()-P61)+24,$C$11)),0)</f>
        <v>0</v>
      </c>
      <c r="O72" s="471">
        <f t="shared" ref="O72:O73" si="72">SUM(C72:N72)</f>
        <v>0</v>
      </c>
    </row>
    <row r="73" ht="14.25" customHeight="1">
      <c r="A73" s="53"/>
      <c r="B73" s="12" t="s">
        <v>486</v>
      </c>
      <c r="C73" s="153">
        <f t="shared" ref="C73:M73" si="71">IF(AND($B$11&lt;=C62,$I$11&gt;=D62),ABS(IPMT($D$11/12,C152,$E$11+(COLUMN()-E61)+24,$C$11)),0)</f>
        <v>0</v>
      </c>
      <c r="D73" s="153">
        <f t="shared" si="71"/>
        <v>0</v>
      </c>
      <c r="E73" s="153">
        <f t="shared" si="71"/>
        <v>0</v>
      </c>
      <c r="F73" s="153">
        <f t="shared" si="71"/>
        <v>0</v>
      </c>
      <c r="G73" s="153">
        <f t="shared" si="71"/>
        <v>0</v>
      </c>
      <c r="H73" s="153">
        <f t="shared" si="71"/>
        <v>0</v>
      </c>
      <c r="I73" s="153">
        <f t="shared" si="71"/>
        <v>0</v>
      </c>
      <c r="J73" s="153">
        <f t="shared" si="71"/>
        <v>0</v>
      </c>
      <c r="K73" s="153">
        <f t="shared" si="71"/>
        <v>0</v>
      </c>
      <c r="L73" s="153">
        <f t="shared" si="71"/>
        <v>0</v>
      </c>
      <c r="M73" s="153">
        <f t="shared" si="71"/>
        <v>0</v>
      </c>
      <c r="N73" s="153">
        <f>IF(AND($B$11&lt;=N62,$I$11&gt;=C86),ABS(IPMT($D$11/12,N152,$E$11+(COLUMN()-P61)+24,$C$11)),0)</f>
        <v>0</v>
      </c>
      <c r="O73" s="471">
        <f t="shared" si="72"/>
        <v>0</v>
      </c>
    </row>
    <row r="74" ht="15.75" customHeight="1">
      <c r="A74" s="53"/>
      <c r="B74" s="12" t="s">
        <v>488</v>
      </c>
      <c r="C74" s="359">
        <f t="shared" ref="C74:M74" si="73">IF(AND($B$11&lt;=C62,$I$11&gt;=D62),ABS($O$50-SUM($C$72:C72)),0)</f>
        <v>0</v>
      </c>
      <c r="D74" s="359">
        <f t="shared" si="73"/>
        <v>0</v>
      </c>
      <c r="E74" s="359">
        <f t="shared" si="73"/>
        <v>0</v>
      </c>
      <c r="F74" s="359">
        <f t="shared" si="73"/>
        <v>0</v>
      </c>
      <c r="G74" s="359">
        <f t="shared" si="73"/>
        <v>0</v>
      </c>
      <c r="H74" s="359">
        <f t="shared" si="73"/>
        <v>0</v>
      </c>
      <c r="I74" s="359">
        <f t="shared" si="73"/>
        <v>0</v>
      </c>
      <c r="J74" s="359">
        <f t="shared" si="73"/>
        <v>0</v>
      </c>
      <c r="K74" s="359">
        <f t="shared" si="73"/>
        <v>0</v>
      </c>
      <c r="L74" s="359">
        <f t="shared" si="73"/>
        <v>0</v>
      </c>
      <c r="M74" s="359">
        <f t="shared" si="73"/>
        <v>0</v>
      </c>
      <c r="N74" s="359">
        <f>IF(AND($B$11&lt;=N62,$I$11&gt;=C86),ABS($O$50-SUM($C$72:N72)),0)</f>
        <v>0</v>
      </c>
      <c r="O74" s="500">
        <f>N74</f>
        <v>0</v>
      </c>
    </row>
    <row r="75" ht="15.75" customHeight="1">
      <c r="A75" s="501" t="str">
        <f>A28</f>
        <v>Other Debt</v>
      </c>
      <c r="B75" s="502" t="s">
        <v>485</v>
      </c>
      <c r="C75" s="503">
        <f t="shared" ref="C75:M75" si="74">IF(AND($B$12&lt;=C62,$I$12&gt;=D62),ABS(PPMT($D$12/12,C158,$E$12+(COLUMN()-E61)+24,$C$12)),0)</f>
        <v>0</v>
      </c>
      <c r="D75" s="503">
        <f t="shared" si="74"/>
        <v>0</v>
      </c>
      <c r="E75" s="503">
        <f t="shared" si="74"/>
        <v>0</v>
      </c>
      <c r="F75" s="503">
        <f t="shared" si="74"/>
        <v>0</v>
      </c>
      <c r="G75" s="503">
        <f t="shared" si="74"/>
        <v>0</v>
      </c>
      <c r="H75" s="503">
        <f t="shared" si="74"/>
        <v>0</v>
      </c>
      <c r="I75" s="503">
        <f t="shared" si="74"/>
        <v>0</v>
      </c>
      <c r="J75" s="503">
        <f t="shared" si="74"/>
        <v>0</v>
      </c>
      <c r="K75" s="503">
        <f t="shared" si="74"/>
        <v>0</v>
      </c>
      <c r="L75" s="503">
        <f t="shared" si="74"/>
        <v>0</v>
      </c>
      <c r="M75" s="503">
        <f t="shared" si="74"/>
        <v>0</v>
      </c>
      <c r="N75" s="503">
        <f>IF(AND($B$12&lt;=N62,$I$12&gt;=C86),ABS(PPMT($D$12/12,N158,$E$12+(COLUMN()-P61)+24,$C$12)),0)</f>
        <v>0</v>
      </c>
      <c r="O75" s="471">
        <f t="shared" ref="O75:O76" si="76">SUM(C75:N75)</f>
        <v>0</v>
      </c>
    </row>
    <row r="76" ht="15.75" customHeight="1">
      <c r="A76" s="53"/>
      <c r="B76" s="12" t="s">
        <v>486</v>
      </c>
      <c r="C76" s="153">
        <f t="shared" ref="C76:M76" si="75">IF(AND($B$12&lt;=C62,$I$12&gt;=D62),ABS(IPMT($D$12/12,C158,$E$12+(COLUMN()-E61)+24,$C$12)),0)</f>
        <v>0</v>
      </c>
      <c r="D76" s="153">
        <f t="shared" si="75"/>
        <v>0</v>
      </c>
      <c r="E76" s="153">
        <f t="shared" si="75"/>
        <v>0</v>
      </c>
      <c r="F76" s="153">
        <f t="shared" si="75"/>
        <v>0</v>
      </c>
      <c r="G76" s="153">
        <f t="shared" si="75"/>
        <v>0</v>
      </c>
      <c r="H76" s="153">
        <f t="shared" si="75"/>
        <v>0</v>
      </c>
      <c r="I76" s="153">
        <f t="shared" si="75"/>
        <v>0</v>
      </c>
      <c r="J76" s="153">
        <f t="shared" si="75"/>
        <v>0</v>
      </c>
      <c r="K76" s="153">
        <f t="shared" si="75"/>
        <v>0</v>
      </c>
      <c r="L76" s="153">
        <f t="shared" si="75"/>
        <v>0</v>
      </c>
      <c r="M76" s="153">
        <f t="shared" si="75"/>
        <v>0</v>
      </c>
      <c r="N76" s="153">
        <f>IF(AND($B$12&lt;=N62,$I$12&gt;=C86),ABS(IPMT($D$12/12,N158,$E$12+(COLUMN()-P61)+24,$C$12)),0)</f>
        <v>0</v>
      </c>
      <c r="O76" s="471">
        <f t="shared" si="76"/>
        <v>0</v>
      </c>
    </row>
    <row r="77" ht="15.75" customHeight="1">
      <c r="A77" s="40"/>
      <c r="B77" s="43" t="s">
        <v>488</v>
      </c>
      <c r="C77" s="359">
        <f t="shared" ref="C77:M77" si="77">IF(AND($B$12&lt;=C62,$I$12&gt;=D62),ABS($O$53-SUM($C$75:C75)),0)</f>
        <v>0</v>
      </c>
      <c r="D77" s="359">
        <f t="shared" si="77"/>
        <v>0</v>
      </c>
      <c r="E77" s="359">
        <f t="shared" si="77"/>
        <v>0</v>
      </c>
      <c r="F77" s="359">
        <f t="shared" si="77"/>
        <v>0</v>
      </c>
      <c r="G77" s="359">
        <f t="shared" si="77"/>
        <v>0</v>
      </c>
      <c r="H77" s="359">
        <f t="shared" si="77"/>
        <v>0</v>
      </c>
      <c r="I77" s="359">
        <f t="shared" si="77"/>
        <v>0</v>
      </c>
      <c r="J77" s="359">
        <f t="shared" si="77"/>
        <v>0</v>
      </c>
      <c r="K77" s="359">
        <f t="shared" si="77"/>
        <v>0</v>
      </c>
      <c r="L77" s="359">
        <f t="shared" si="77"/>
        <v>0</v>
      </c>
      <c r="M77" s="359">
        <f t="shared" si="77"/>
        <v>0</v>
      </c>
      <c r="N77" s="359">
        <f>IF(AND($B$12&lt;=N62,$I$12&gt;=C86),ABS($O$53-SUM($C$75:N75)),0)</f>
        <v>0</v>
      </c>
      <c r="O77" s="500">
        <f>N77</f>
        <v>0</v>
      </c>
    </row>
    <row r="78" ht="15.75" customHeight="1">
      <c r="B78" s="378" t="s">
        <v>495</v>
      </c>
      <c r="C78" s="515">
        <f t="shared" ref="C78:N78" si="78">SUM(C64,C67,C70,C73,C76)</f>
        <v>0</v>
      </c>
      <c r="D78" s="515">
        <f t="shared" si="78"/>
        <v>0</v>
      </c>
      <c r="E78" s="515">
        <f t="shared" si="78"/>
        <v>0</v>
      </c>
      <c r="F78" s="515">
        <f t="shared" si="78"/>
        <v>0</v>
      </c>
      <c r="G78" s="515">
        <f t="shared" si="78"/>
        <v>0</v>
      </c>
      <c r="H78" s="515">
        <f t="shared" si="78"/>
        <v>0</v>
      </c>
      <c r="I78" s="515">
        <f t="shared" si="78"/>
        <v>0</v>
      </c>
      <c r="J78" s="515">
        <f t="shared" si="78"/>
        <v>0</v>
      </c>
      <c r="K78" s="515">
        <f t="shared" si="78"/>
        <v>0</v>
      </c>
      <c r="L78" s="515">
        <f t="shared" si="78"/>
        <v>0</v>
      </c>
      <c r="M78" s="515">
        <f t="shared" si="78"/>
        <v>0</v>
      </c>
      <c r="N78" s="515">
        <f t="shared" si="78"/>
        <v>0</v>
      </c>
      <c r="O78" s="471">
        <f t="shared" ref="O78:O79" si="80">SUM(C78:N78)</f>
        <v>0</v>
      </c>
    </row>
    <row r="79" ht="15.75" customHeight="1">
      <c r="B79" s="378" t="s">
        <v>496</v>
      </c>
      <c r="C79" s="321">
        <f t="shared" ref="C79:N79" si="79">SUM(C63,C66,C69,C72,C75)</f>
        <v>0</v>
      </c>
      <c r="D79" s="321">
        <f t="shared" si="79"/>
        <v>0</v>
      </c>
      <c r="E79" s="321">
        <f t="shared" si="79"/>
        <v>0</v>
      </c>
      <c r="F79" s="321">
        <f t="shared" si="79"/>
        <v>0</v>
      </c>
      <c r="G79" s="321">
        <f t="shared" si="79"/>
        <v>0</v>
      </c>
      <c r="H79" s="321">
        <f t="shared" si="79"/>
        <v>0</v>
      </c>
      <c r="I79" s="321">
        <f t="shared" si="79"/>
        <v>0</v>
      </c>
      <c r="J79" s="321">
        <f t="shared" si="79"/>
        <v>0</v>
      </c>
      <c r="K79" s="321">
        <f t="shared" si="79"/>
        <v>0</v>
      </c>
      <c r="L79" s="321">
        <f t="shared" si="79"/>
        <v>0</v>
      </c>
      <c r="M79" s="321">
        <f t="shared" si="79"/>
        <v>0</v>
      </c>
      <c r="N79" s="321">
        <f t="shared" si="79"/>
        <v>0</v>
      </c>
      <c r="O79" s="471">
        <f t="shared" si="80"/>
        <v>0</v>
      </c>
    </row>
    <row r="80" ht="15.75" customHeight="1">
      <c r="B80" s="378" t="s">
        <v>491</v>
      </c>
      <c r="C80" s="359">
        <f t="shared" ref="C80:N80" si="81">SUM(C65,C68,C71,C74,C77)</f>
        <v>0</v>
      </c>
      <c r="D80" s="359">
        <f t="shared" si="81"/>
        <v>0</v>
      </c>
      <c r="E80" s="359">
        <f t="shared" si="81"/>
        <v>0</v>
      </c>
      <c r="F80" s="359">
        <f t="shared" si="81"/>
        <v>0</v>
      </c>
      <c r="G80" s="359">
        <f t="shared" si="81"/>
        <v>0</v>
      </c>
      <c r="H80" s="359">
        <f t="shared" si="81"/>
        <v>0</v>
      </c>
      <c r="I80" s="359">
        <f t="shared" si="81"/>
        <v>0</v>
      </c>
      <c r="J80" s="359">
        <f t="shared" si="81"/>
        <v>0</v>
      </c>
      <c r="K80" s="359">
        <f t="shared" si="81"/>
        <v>0</v>
      </c>
      <c r="L80" s="359">
        <f t="shared" si="81"/>
        <v>0</v>
      </c>
      <c r="M80" s="359">
        <f t="shared" si="81"/>
        <v>0</v>
      </c>
      <c r="N80" s="359">
        <f t="shared" si="81"/>
        <v>0</v>
      </c>
      <c r="O80" s="508"/>
    </row>
    <row r="81" ht="15.75" customHeight="1">
      <c r="B81" s="378" t="s">
        <v>492</v>
      </c>
      <c r="C81" s="359">
        <f t="shared" ref="C81:N81" si="82">C80-C68</f>
        <v>0</v>
      </c>
      <c r="D81" s="359">
        <f t="shared" si="82"/>
        <v>0</v>
      </c>
      <c r="E81" s="359">
        <f t="shared" si="82"/>
        <v>0</v>
      </c>
      <c r="F81" s="359">
        <f t="shared" si="82"/>
        <v>0</v>
      </c>
      <c r="G81" s="359">
        <f t="shared" si="82"/>
        <v>0</v>
      </c>
      <c r="H81" s="359">
        <f t="shared" si="82"/>
        <v>0</v>
      </c>
      <c r="I81" s="359">
        <f t="shared" si="82"/>
        <v>0</v>
      </c>
      <c r="J81" s="359">
        <f t="shared" si="82"/>
        <v>0</v>
      </c>
      <c r="K81" s="359">
        <f t="shared" si="82"/>
        <v>0</v>
      </c>
      <c r="L81" s="359">
        <f t="shared" si="82"/>
        <v>0</v>
      </c>
      <c r="M81" s="359">
        <f t="shared" si="82"/>
        <v>0</v>
      </c>
      <c r="N81" s="359">
        <f t="shared" si="82"/>
        <v>0</v>
      </c>
      <c r="O81" s="508"/>
    </row>
    <row r="82" ht="15.75" customHeight="1"/>
    <row r="83" ht="15.75" customHeight="1"/>
    <row r="84" ht="15.75" customHeight="1"/>
    <row r="85" ht="15.75" customHeight="1">
      <c r="C85" s="104">
        <v>37.0</v>
      </c>
      <c r="D85" s="104">
        <v>38.0</v>
      </c>
      <c r="E85" s="104">
        <v>39.0</v>
      </c>
      <c r="F85" s="104">
        <v>40.0</v>
      </c>
      <c r="G85" s="104">
        <v>41.0</v>
      </c>
      <c r="H85" s="104">
        <v>42.0</v>
      </c>
      <c r="I85" s="104">
        <v>43.0</v>
      </c>
      <c r="J85" s="104">
        <v>44.0</v>
      </c>
      <c r="K85" s="104">
        <v>45.0</v>
      </c>
      <c r="L85" s="104">
        <v>46.0</v>
      </c>
      <c r="M85" s="104">
        <v>47.0</v>
      </c>
      <c r="N85" s="104">
        <v>48.0</v>
      </c>
      <c r="O85" s="104">
        <v>49.0</v>
      </c>
      <c r="P85" s="104">
        <v>50.0</v>
      </c>
      <c r="Q85" s="230"/>
    </row>
    <row r="86" ht="15.75" customHeight="1">
      <c r="A86" s="516" t="s">
        <v>110</v>
      </c>
      <c r="B86" s="19"/>
      <c r="C86" s="498">
        <f>DATE(YEAR(Projected_Start_Date)+3,1,1)</f>
        <v>43466</v>
      </c>
      <c r="D86" s="498">
        <f t="shared" ref="D86:N86" si="83">EDATE(C86,1)</f>
        <v>43497</v>
      </c>
      <c r="E86" s="498">
        <f t="shared" si="83"/>
        <v>43525</v>
      </c>
      <c r="F86" s="498">
        <f t="shared" si="83"/>
        <v>43556</v>
      </c>
      <c r="G86" s="498">
        <f t="shared" si="83"/>
        <v>43586</v>
      </c>
      <c r="H86" s="498">
        <f t="shared" si="83"/>
        <v>43617</v>
      </c>
      <c r="I86" s="498">
        <f t="shared" si="83"/>
        <v>43647</v>
      </c>
      <c r="J86" s="498">
        <f t="shared" si="83"/>
        <v>43678</v>
      </c>
      <c r="K86" s="498">
        <f t="shared" si="83"/>
        <v>43709</v>
      </c>
      <c r="L86" s="498">
        <f t="shared" si="83"/>
        <v>43739</v>
      </c>
      <c r="M86" s="498">
        <f t="shared" si="83"/>
        <v>43770</v>
      </c>
      <c r="N86" s="498">
        <f t="shared" si="83"/>
        <v>43800</v>
      </c>
      <c r="O86" s="499" t="s">
        <v>263</v>
      </c>
    </row>
    <row r="87" ht="15.75" customHeight="1">
      <c r="A87" s="53" t="str">
        <f>A16</f>
        <v>Business Loans</v>
      </c>
      <c r="B87" s="12" t="s">
        <v>485</v>
      </c>
      <c r="C87" s="153">
        <f t="shared" ref="C87:M87" si="84">IF(AND($B$8&lt;=C86,$I$8&gt;=D86),ABS(PPMT($D$8/12,C135,$E$8+(COLUMN()-E85)+36,$C$8)),0)</f>
        <v>0</v>
      </c>
      <c r="D87" s="153">
        <f t="shared" si="84"/>
        <v>0</v>
      </c>
      <c r="E87" s="153">
        <f t="shared" si="84"/>
        <v>0</v>
      </c>
      <c r="F87" s="153">
        <f t="shared" si="84"/>
        <v>0</v>
      </c>
      <c r="G87" s="153">
        <f t="shared" si="84"/>
        <v>0</v>
      </c>
      <c r="H87" s="153">
        <f t="shared" si="84"/>
        <v>0</v>
      </c>
      <c r="I87" s="153">
        <f t="shared" si="84"/>
        <v>0</v>
      </c>
      <c r="J87" s="153">
        <f t="shared" si="84"/>
        <v>0</v>
      </c>
      <c r="K87" s="153">
        <f t="shared" si="84"/>
        <v>0</v>
      </c>
      <c r="L87" s="153">
        <f t="shared" si="84"/>
        <v>0</v>
      </c>
      <c r="M87" s="153">
        <f t="shared" si="84"/>
        <v>0</v>
      </c>
      <c r="N87" s="153">
        <f>IF(AND($B$8&lt;=N86,$I$8&gt;=C109),ABS(PPMT($D$8/12,N135,$E$8+(COLUMN()-P85)+36,$C$8)),0)</f>
        <v>0</v>
      </c>
      <c r="O87" s="471">
        <f t="shared" ref="O87:O88" si="86">SUM(C87:N87)</f>
        <v>0</v>
      </c>
    </row>
    <row r="88" ht="15.75" customHeight="1">
      <c r="A88" s="53"/>
      <c r="B88" s="12" t="s">
        <v>486</v>
      </c>
      <c r="C88" s="153">
        <f t="shared" ref="C88:M88" si="85">IF(AND($B$8&lt;=C86,$I$8&gt;=D86),ABS(IPMT($D$8/12,C135,$E$8+(COLUMN()-E85)+36,$C$8)),0)</f>
        <v>0</v>
      </c>
      <c r="D88" s="153">
        <f t="shared" si="85"/>
        <v>0</v>
      </c>
      <c r="E88" s="153">
        <f t="shared" si="85"/>
        <v>0</v>
      </c>
      <c r="F88" s="153">
        <f t="shared" si="85"/>
        <v>0</v>
      </c>
      <c r="G88" s="153">
        <f t="shared" si="85"/>
        <v>0</v>
      </c>
      <c r="H88" s="153">
        <f t="shared" si="85"/>
        <v>0</v>
      </c>
      <c r="I88" s="153">
        <f t="shared" si="85"/>
        <v>0</v>
      </c>
      <c r="J88" s="153">
        <f t="shared" si="85"/>
        <v>0</v>
      </c>
      <c r="K88" s="153">
        <f t="shared" si="85"/>
        <v>0</v>
      </c>
      <c r="L88" s="153">
        <f t="shared" si="85"/>
        <v>0</v>
      </c>
      <c r="M88" s="153">
        <f t="shared" si="85"/>
        <v>0</v>
      </c>
      <c r="N88" s="153">
        <f>IF(AND($B$8&lt;=N86,$I$8&gt;=C109),ABS(IPMT($D$8/12,N135,$E$8+(COLUMN()-P85)+36,$C$8)),0)</f>
        <v>0</v>
      </c>
      <c r="O88" s="471">
        <f t="shared" si="86"/>
        <v>0</v>
      </c>
    </row>
    <row r="89" ht="15.75" customHeight="1">
      <c r="A89" s="53"/>
      <c r="B89" s="12" t="s">
        <v>487</v>
      </c>
      <c r="C89" s="359">
        <f t="shared" ref="C89:M89" si="87">IF(AND($B$8&lt;=C86,$I$8&gt;=D86),ABS($O$65-SUM($C$87:C87)),0)</f>
        <v>0</v>
      </c>
      <c r="D89" s="359">
        <f t="shared" si="87"/>
        <v>0</v>
      </c>
      <c r="E89" s="359">
        <f t="shared" si="87"/>
        <v>0</v>
      </c>
      <c r="F89" s="359">
        <f t="shared" si="87"/>
        <v>0</v>
      </c>
      <c r="G89" s="359">
        <f t="shared" si="87"/>
        <v>0</v>
      </c>
      <c r="H89" s="359">
        <f t="shared" si="87"/>
        <v>0</v>
      </c>
      <c r="I89" s="359">
        <f t="shared" si="87"/>
        <v>0</v>
      </c>
      <c r="J89" s="359">
        <f t="shared" si="87"/>
        <v>0</v>
      </c>
      <c r="K89" s="359">
        <f t="shared" si="87"/>
        <v>0</v>
      </c>
      <c r="L89" s="359">
        <f t="shared" si="87"/>
        <v>0</v>
      </c>
      <c r="M89" s="359">
        <f t="shared" si="87"/>
        <v>0</v>
      </c>
      <c r="N89" s="359">
        <f>IF(AND($B$8&lt;=N86,$I$8&gt;=C109),ABS($O$65-SUM($C$87:N87)),0)</f>
        <v>0</v>
      </c>
      <c r="O89" s="500">
        <f>N89</f>
        <v>0</v>
      </c>
    </row>
    <row r="90" ht="15.75" customHeight="1">
      <c r="A90" s="501" t="str">
        <f>A19</f>
        <v>Commercial Mortgages</v>
      </c>
      <c r="B90" s="502" t="s">
        <v>485</v>
      </c>
      <c r="C90" s="503">
        <f t="shared" ref="C90:M90" si="88">IF(AND($B$9&lt;=C86,$I$9&gt;=D86),ABS(PPMT($D$9/12,C141,$E$9+(COLUMN()-E85)+36,$C$9)),0)</f>
        <v>0</v>
      </c>
      <c r="D90" s="503">
        <f t="shared" si="88"/>
        <v>0</v>
      </c>
      <c r="E90" s="503">
        <f t="shared" si="88"/>
        <v>0</v>
      </c>
      <c r="F90" s="503">
        <f t="shared" si="88"/>
        <v>0</v>
      </c>
      <c r="G90" s="503">
        <f t="shared" si="88"/>
        <v>0</v>
      </c>
      <c r="H90" s="503">
        <f t="shared" si="88"/>
        <v>0</v>
      </c>
      <c r="I90" s="503">
        <f t="shared" si="88"/>
        <v>0</v>
      </c>
      <c r="J90" s="503">
        <f t="shared" si="88"/>
        <v>0</v>
      </c>
      <c r="K90" s="503">
        <f t="shared" si="88"/>
        <v>0</v>
      </c>
      <c r="L90" s="503">
        <f t="shared" si="88"/>
        <v>0</v>
      </c>
      <c r="M90" s="503">
        <f t="shared" si="88"/>
        <v>0</v>
      </c>
      <c r="N90" s="503">
        <f>IF(AND($B$9&lt;=N86,$I$9&gt;=C109),ABS(PPMT($D$9/12,N141,$E$9+(COLUMN()-P85)+36,$C$9)),0)</f>
        <v>0</v>
      </c>
      <c r="O90" s="471">
        <f t="shared" ref="O90:O91" si="90">SUM(C90:N90)</f>
        <v>0</v>
      </c>
    </row>
    <row r="91" ht="15.75" customHeight="1">
      <c r="A91" s="53"/>
      <c r="B91" s="12" t="s">
        <v>486</v>
      </c>
      <c r="C91" s="153">
        <f t="shared" ref="C91:M91" si="89">IF(AND($B$9&lt;=C86,$I$9&gt;=D86),ABS(IPMT($D$9/12,C141,$E$9+(COLUMN()-E85)+36,$C$9)),0)</f>
        <v>0</v>
      </c>
      <c r="D91" s="153">
        <f t="shared" si="89"/>
        <v>0</v>
      </c>
      <c r="E91" s="153">
        <f t="shared" si="89"/>
        <v>0</v>
      </c>
      <c r="F91" s="153">
        <f t="shared" si="89"/>
        <v>0</v>
      </c>
      <c r="G91" s="153">
        <f t="shared" si="89"/>
        <v>0</v>
      </c>
      <c r="H91" s="153">
        <f t="shared" si="89"/>
        <v>0</v>
      </c>
      <c r="I91" s="153">
        <f t="shared" si="89"/>
        <v>0</v>
      </c>
      <c r="J91" s="153">
        <f t="shared" si="89"/>
        <v>0</v>
      </c>
      <c r="K91" s="153">
        <f t="shared" si="89"/>
        <v>0</v>
      </c>
      <c r="L91" s="153">
        <f t="shared" si="89"/>
        <v>0</v>
      </c>
      <c r="M91" s="153">
        <f t="shared" si="89"/>
        <v>0</v>
      </c>
      <c r="N91" s="153">
        <f>IF(AND($B$9&lt;=N86,$I$9&gt;=C109),ABS(IPMT($D$9/12,N141,$E$9+(COLUMN()-P85)+36,$C$9)),0)</f>
        <v>0</v>
      </c>
      <c r="O91" s="471">
        <f t="shared" si="90"/>
        <v>0</v>
      </c>
      <c r="Q91" s="360"/>
    </row>
    <row r="92" ht="15.75" customHeight="1">
      <c r="A92" s="53"/>
      <c r="B92" s="12" t="s">
        <v>487</v>
      </c>
      <c r="C92" s="359">
        <f t="shared" ref="C92:M92" si="91">IF(AND($B$9&lt;=C86,$I$9&gt;=D86),ABS($O$68-SUM($C90:C90)),0)</f>
        <v>0</v>
      </c>
      <c r="D92" s="359">
        <f t="shared" si="91"/>
        <v>0</v>
      </c>
      <c r="E92" s="359">
        <f t="shared" si="91"/>
        <v>0</v>
      </c>
      <c r="F92" s="359">
        <f t="shared" si="91"/>
        <v>0</v>
      </c>
      <c r="G92" s="359">
        <f t="shared" si="91"/>
        <v>0</v>
      </c>
      <c r="H92" s="359">
        <f t="shared" si="91"/>
        <v>0</v>
      </c>
      <c r="I92" s="359">
        <f t="shared" si="91"/>
        <v>0</v>
      </c>
      <c r="J92" s="359">
        <f t="shared" si="91"/>
        <v>0</v>
      </c>
      <c r="K92" s="359">
        <f t="shared" si="91"/>
        <v>0</v>
      </c>
      <c r="L92" s="359">
        <f t="shared" si="91"/>
        <v>0</v>
      </c>
      <c r="M92" s="359">
        <f t="shared" si="91"/>
        <v>0</v>
      </c>
      <c r="N92" s="359">
        <f>IF(AND($B$9&lt;=N86,$I$9&gt;=C109),ABS($O$68-SUM($C90:N90)),0)</f>
        <v>0</v>
      </c>
      <c r="O92" s="500">
        <f>N92</f>
        <v>0</v>
      </c>
    </row>
    <row r="93" ht="15.75" customHeight="1">
      <c r="A93" s="501" t="str">
        <f>A22</f>
        <v>Vehicle Loans</v>
      </c>
      <c r="B93" s="502" t="s">
        <v>485</v>
      </c>
      <c r="C93" s="503">
        <f t="shared" ref="C93:M93" si="92">IF(AND($B$10&lt;=C86,$I$10&gt;=D86),ABS(PPMT($D$10/12,C147,$E$10+(COLUMN()-E85)+36,$C$10)),0)</f>
        <v>0</v>
      </c>
      <c r="D93" s="503">
        <f t="shared" si="92"/>
        <v>0</v>
      </c>
      <c r="E93" s="503">
        <f t="shared" si="92"/>
        <v>0</v>
      </c>
      <c r="F93" s="503">
        <f t="shared" si="92"/>
        <v>0</v>
      </c>
      <c r="G93" s="503">
        <f t="shared" si="92"/>
        <v>0</v>
      </c>
      <c r="H93" s="503">
        <f t="shared" si="92"/>
        <v>0</v>
      </c>
      <c r="I93" s="503">
        <f t="shared" si="92"/>
        <v>0</v>
      </c>
      <c r="J93" s="503">
        <f t="shared" si="92"/>
        <v>0</v>
      </c>
      <c r="K93" s="503">
        <f t="shared" si="92"/>
        <v>0</v>
      </c>
      <c r="L93" s="503">
        <f t="shared" si="92"/>
        <v>0</v>
      </c>
      <c r="M93" s="503">
        <f t="shared" si="92"/>
        <v>0</v>
      </c>
      <c r="N93" s="503">
        <f>IF(AND($B$10&lt;=N86,$I$10&gt;=C109),ABS(PPMT($D$10/12,N147,$E$10+(COLUMN()-P85)+36,$C$10)),0)</f>
        <v>0</v>
      </c>
      <c r="O93" s="471">
        <f t="shared" ref="O93:O94" si="94">SUM(C93:N93)</f>
        <v>0</v>
      </c>
    </row>
    <row r="94" ht="15.75" customHeight="1">
      <c r="A94" s="53"/>
      <c r="B94" s="12" t="s">
        <v>486</v>
      </c>
      <c r="C94" s="153">
        <f t="shared" ref="C94:M94" si="93">IF(AND($B$10&lt;=C86,$I$10&gt;=D86),ABS(IPMT($D$10/12,C147,$E$10+(COLUMN()-E85)+36,$C$10)),0)</f>
        <v>0</v>
      </c>
      <c r="D94" s="153">
        <f t="shared" si="93"/>
        <v>0</v>
      </c>
      <c r="E94" s="153">
        <f t="shared" si="93"/>
        <v>0</v>
      </c>
      <c r="F94" s="153">
        <f t="shared" si="93"/>
        <v>0</v>
      </c>
      <c r="G94" s="153">
        <f t="shared" si="93"/>
        <v>0</v>
      </c>
      <c r="H94" s="153">
        <f t="shared" si="93"/>
        <v>0</v>
      </c>
      <c r="I94" s="153">
        <f t="shared" si="93"/>
        <v>0</v>
      </c>
      <c r="J94" s="153">
        <f t="shared" si="93"/>
        <v>0</v>
      </c>
      <c r="K94" s="153">
        <f t="shared" si="93"/>
        <v>0</v>
      </c>
      <c r="L94" s="153">
        <f t="shared" si="93"/>
        <v>0</v>
      </c>
      <c r="M94" s="153">
        <f t="shared" si="93"/>
        <v>0</v>
      </c>
      <c r="N94" s="153">
        <f>IF(AND($B$10&lt;=N86,$I$10&gt;=C109),ABS(IPMT($D$10/12,N147,$E$10+(COLUMN()-P85)+36,$C$10)),0)</f>
        <v>0</v>
      </c>
      <c r="O94" s="471">
        <f t="shared" si="94"/>
        <v>0</v>
      </c>
    </row>
    <row r="95" ht="15.75" customHeight="1">
      <c r="A95" s="53"/>
      <c r="B95" s="12" t="s">
        <v>488</v>
      </c>
      <c r="C95" s="359">
        <f t="shared" ref="C95:M95" si="95">IF(AND($B$10&lt;=C86,$I$10&gt;=D86),ABS($O$71-SUM($C93:C93)),0)</f>
        <v>0</v>
      </c>
      <c r="D95" s="359">
        <f t="shared" si="95"/>
        <v>0</v>
      </c>
      <c r="E95" s="359">
        <f t="shared" si="95"/>
        <v>0</v>
      </c>
      <c r="F95" s="359">
        <f t="shared" si="95"/>
        <v>0</v>
      </c>
      <c r="G95" s="359">
        <f t="shared" si="95"/>
        <v>0</v>
      </c>
      <c r="H95" s="359">
        <f t="shared" si="95"/>
        <v>0</v>
      </c>
      <c r="I95" s="359">
        <f t="shared" si="95"/>
        <v>0</v>
      </c>
      <c r="J95" s="359">
        <f t="shared" si="95"/>
        <v>0</v>
      </c>
      <c r="K95" s="359">
        <f t="shared" si="95"/>
        <v>0</v>
      </c>
      <c r="L95" s="359">
        <f t="shared" si="95"/>
        <v>0</v>
      </c>
      <c r="M95" s="359">
        <f t="shared" si="95"/>
        <v>0</v>
      </c>
      <c r="N95" s="359">
        <f>IF(AND($B$10&lt;=N86,$I$10&gt;=C109),ABS($O$71-SUM($C93:N93)),0)</f>
        <v>0</v>
      </c>
      <c r="O95" s="500">
        <f>N95</f>
        <v>0</v>
      </c>
    </row>
    <row r="96" ht="15.75" customHeight="1">
      <c r="A96" s="501" t="str">
        <f>A25</f>
        <v>Credit Card/
Line of Credit Cash Advance</v>
      </c>
      <c r="B96" s="502" t="s">
        <v>485</v>
      </c>
      <c r="C96" s="503">
        <f t="shared" ref="C96:M96" si="96">IF(AND($B$11&lt;=C86,$I$11&gt;=D86),ABS(PPMT($D$11/12,C153,$E$11+(COLUMN()-E85)+36,$C$11)),0)</f>
        <v>0</v>
      </c>
      <c r="D96" s="503">
        <f t="shared" si="96"/>
        <v>0</v>
      </c>
      <c r="E96" s="503">
        <f t="shared" si="96"/>
        <v>0</v>
      </c>
      <c r="F96" s="503">
        <f t="shared" si="96"/>
        <v>0</v>
      </c>
      <c r="G96" s="503">
        <f t="shared" si="96"/>
        <v>0</v>
      </c>
      <c r="H96" s="503">
        <f t="shared" si="96"/>
        <v>0</v>
      </c>
      <c r="I96" s="503">
        <f t="shared" si="96"/>
        <v>0</v>
      </c>
      <c r="J96" s="503">
        <f t="shared" si="96"/>
        <v>0</v>
      </c>
      <c r="K96" s="503">
        <f t="shared" si="96"/>
        <v>0</v>
      </c>
      <c r="L96" s="503">
        <f t="shared" si="96"/>
        <v>0</v>
      </c>
      <c r="M96" s="503">
        <f t="shared" si="96"/>
        <v>0</v>
      </c>
      <c r="N96" s="503">
        <f>IF(AND($B$11&lt;=N86,$I$11&gt;=C109),ABS(PPMT($D$11/12,N153,$E$11+(COLUMN()-P85)+36,$C$11)),0)</f>
        <v>0</v>
      </c>
      <c r="O96" s="471">
        <f t="shared" ref="O96:O97" si="98">SUM(C96:N96)</f>
        <v>0</v>
      </c>
    </row>
    <row r="97" ht="14.25" customHeight="1">
      <c r="A97" s="53"/>
      <c r="B97" s="12" t="s">
        <v>486</v>
      </c>
      <c r="C97" s="153">
        <f t="shared" ref="C97:M97" si="97">IF(AND($B$11&lt;=C86,$I$11&gt;=D86),ABS(IPMT($D$11/12,C153,$E$11+(COLUMN()-E85)+36,$C$11)),0)</f>
        <v>0</v>
      </c>
      <c r="D97" s="153">
        <f t="shared" si="97"/>
        <v>0</v>
      </c>
      <c r="E97" s="153">
        <f t="shared" si="97"/>
        <v>0</v>
      </c>
      <c r="F97" s="153">
        <f t="shared" si="97"/>
        <v>0</v>
      </c>
      <c r="G97" s="153">
        <f t="shared" si="97"/>
        <v>0</v>
      </c>
      <c r="H97" s="153">
        <f t="shared" si="97"/>
        <v>0</v>
      </c>
      <c r="I97" s="153">
        <f t="shared" si="97"/>
        <v>0</v>
      </c>
      <c r="J97" s="153">
        <f t="shared" si="97"/>
        <v>0</v>
      </c>
      <c r="K97" s="153">
        <f t="shared" si="97"/>
        <v>0</v>
      </c>
      <c r="L97" s="153">
        <f t="shared" si="97"/>
        <v>0</v>
      </c>
      <c r="M97" s="153">
        <f t="shared" si="97"/>
        <v>0</v>
      </c>
      <c r="N97" s="153">
        <f>IF(AND($B$11&lt;=N86,$I$11&gt;=C109),ABS(IPMT($D$11/12,N153,$E$11+(COLUMN()-P85)+36,$C$11)),0)</f>
        <v>0</v>
      </c>
      <c r="O97" s="471">
        <f t="shared" si="98"/>
        <v>0</v>
      </c>
    </row>
    <row r="98" ht="15.75" customHeight="1">
      <c r="A98" s="53"/>
      <c r="B98" s="12" t="s">
        <v>488</v>
      </c>
      <c r="C98" s="359">
        <f t="shared" ref="C98:M98" si="99">IF(AND($B$11&lt;=C86,$I$11&gt;=D86),ABS($O$74-SUM($C96:C96)),0)</f>
        <v>0</v>
      </c>
      <c r="D98" s="359">
        <f t="shared" si="99"/>
        <v>0</v>
      </c>
      <c r="E98" s="359">
        <f t="shared" si="99"/>
        <v>0</v>
      </c>
      <c r="F98" s="359">
        <f t="shared" si="99"/>
        <v>0</v>
      </c>
      <c r="G98" s="359">
        <f t="shared" si="99"/>
        <v>0</v>
      </c>
      <c r="H98" s="359">
        <f t="shared" si="99"/>
        <v>0</v>
      </c>
      <c r="I98" s="359">
        <f t="shared" si="99"/>
        <v>0</v>
      </c>
      <c r="J98" s="359">
        <f t="shared" si="99"/>
        <v>0</v>
      </c>
      <c r="K98" s="359">
        <f t="shared" si="99"/>
        <v>0</v>
      </c>
      <c r="L98" s="359">
        <f t="shared" si="99"/>
        <v>0</v>
      </c>
      <c r="M98" s="359">
        <f t="shared" si="99"/>
        <v>0</v>
      </c>
      <c r="N98" s="359">
        <f>IF(AND($B$11&lt;=N86,$I$11&gt;=C109),ABS($O$74-SUM($C96:N96)),0)</f>
        <v>0</v>
      </c>
      <c r="O98" s="500">
        <f>N98</f>
        <v>0</v>
      </c>
    </row>
    <row r="99" ht="15.75" customHeight="1">
      <c r="A99" s="501" t="str">
        <f>A28</f>
        <v>Other Debt</v>
      </c>
      <c r="B99" s="502" t="s">
        <v>485</v>
      </c>
      <c r="C99" s="503">
        <f t="shared" ref="C99:M99" si="100">IF(AND($B$12&lt;=C86,$I$12&gt;=D86),ABS(PPMT($D$12/12,C159,$E$12+(COLUMN()-E85)+36,$C$12)),0)</f>
        <v>0</v>
      </c>
      <c r="D99" s="503">
        <f t="shared" si="100"/>
        <v>0</v>
      </c>
      <c r="E99" s="503">
        <f t="shared" si="100"/>
        <v>0</v>
      </c>
      <c r="F99" s="503">
        <f t="shared" si="100"/>
        <v>0</v>
      </c>
      <c r="G99" s="503">
        <f t="shared" si="100"/>
        <v>0</v>
      </c>
      <c r="H99" s="503">
        <f t="shared" si="100"/>
        <v>0</v>
      </c>
      <c r="I99" s="503">
        <f t="shared" si="100"/>
        <v>0</v>
      </c>
      <c r="J99" s="503">
        <f t="shared" si="100"/>
        <v>0</v>
      </c>
      <c r="K99" s="503">
        <f t="shared" si="100"/>
        <v>0</v>
      </c>
      <c r="L99" s="503">
        <f t="shared" si="100"/>
        <v>0</v>
      </c>
      <c r="M99" s="503">
        <f t="shared" si="100"/>
        <v>0</v>
      </c>
      <c r="N99" s="503">
        <f>IF(AND($B$12&lt;=N86,$I$12&gt;=C109),ABS(PPMT($D$12/12,N159,$E$12+(COLUMN()-P85)+36,$C$12)),0)</f>
        <v>0</v>
      </c>
      <c r="O99" s="471">
        <f t="shared" ref="O99:O100" si="102">SUM(C99:N99)</f>
        <v>0</v>
      </c>
    </row>
    <row r="100" ht="15.75" customHeight="1">
      <c r="A100" s="53"/>
      <c r="B100" s="12" t="s">
        <v>486</v>
      </c>
      <c r="C100" s="153">
        <f t="shared" ref="C100:M100" si="101">IF(AND($B$12&lt;=C86,$I$12&gt;=D86),ABS(IPMT($D$12/12,C159,$E$12+(COLUMN()-E85)+36,$C$12)),0)</f>
        <v>0</v>
      </c>
      <c r="D100" s="153">
        <f t="shared" si="101"/>
        <v>0</v>
      </c>
      <c r="E100" s="153">
        <f t="shared" si="101"/>
        <v>0</v>
      </c>
      <c r="F100" s="153">
        <f t="shared" si="101"/>
        <v>0</v>
      </c>
      <c r="G100" s="153">
        <f t="shared" si="101"/>
        <v>0</v>
      </c>
      <c r="H100" s="153">
        <f t="shared" si="101"/>
        <v>0</v>
      </c>
      <c r="I100" s="153">
        <f t="shared" si="101"/>
        <v>0</v>
      </c>
      <c r="J100" s="153">
        <f t="shared" si="101"/>
        <v>0</v>
      </c>
      <c r="K100" s="153">
        <f t="shared" si="101"/>
        <v>0</v>
      </c>
      <c r="L100" s="153">
        <f t="shared" si="101"/>
        <v>0</v>
      </c>
      <c r="M100" s="153">
        <f t="shared" si="101"/>
        <v>0</v>
      </c>
      <c r="N100" s="153">
        <f>IF(AND($B$12&lt;=N86,$I$12&gt;=C109),ABS(IPMT($D$12/12,N159,$E$12+(COLUMN()-P85)+36,$C$12)),0)</f>
        <v>0</v>
      </c>
      <c r="O100" s="471">
        <f t="shared" si="102"/>
        <v>0</v>
      </c>
    </row>
    <row r="101" ht="15.75" customHeight="1">
      <c r="A101" s="40"/>
      <c r="B101" s="43" t="s">
        <v>488</v>
      </c>
      <c r="C101" s="359">
        <f t="shared" ref="C101:M101" si="103">IF(AND($B$12&lt;=C86,$I$12&gt;=D86),ABS($O$77-SUM($C99:C99)),0)</f>
        <v>0</v>
      </c>
      <c r="D101" s="359">
        <f t="shared" si="103"/>
        <v>0</v>
      </c>
      <c r="E101" s="359">
        <f t="shared" si="103"/>
        <v>0</v>
      </c>
      <c r="F101" s="359">
        <f t="shared" si="103"/>
        <v>0</v>
      </c>
      <c r="G101" s="359">
        <f t="shared" si="103"/>
        <v>0</v>
      </c>
      <c r="H101" s="359">
        <f t="shared" si="103"/>
        <v>0</v>
      </c>
      <c r="I101" s="359">
        <f t="shared" si="103"/>
        <v>0</v>
      </c>
      <c r="J101" s="359">
        <f t="shared" si="103"/>
        <v>0</v>
      </c>
      <c r="K101" s="359">
        <f t="shared" si="103"/>
        <v>0</v>
      </c>
      <c r="L101" s="359">
        <f t="shared" si="103"/>
        <v>0</v>
      </c>
      <c r="M101" s="359">
        <f t="shared" si="103"/>
        <v>0</v>
      </c>
      <c r="N101" s="359">
        <f>IF(AND($B$12&lt;=N86,$I$12&gt;=C109),ABS($O$77-SUM($C99:N99)),0)</f>
        <v>0</v>
      </c>
      <c r="O101" s="500">
        <f>N101</f>
        <v>0</v>
      </c>
    </row>
    <row r="102" ht="15.75" customHeight="1">
      <c r="B102" s="378" t="s">
        <v>513</v>
      </c>
      <c r="C102" s="515">
        <f t="shared" ref="C102:N102" si="104">SUM(C88,C91,C94,C97,C100)</f>
        <v>0</v>
      </c>
      <c r="D102" s="515">
        <f t="shared" si="104"/>
        <v>0</v>
      </c>
      <c r="E102" s="515">
        <f t="shared" si="104"/>
        <v>0</v>
      </c>
      <c r="F102" s="515">
        <f t="shared" si="104"/>
        <v>0</v>
      </c>
      <c r="G102" s="515">
        <f t="shared" si="104"/>
        <v>0</v>
      </c>
      <c r="H102" s="515">
        <f t="shared" si="104"/>
        <v>0</v>
      </c>
      <c r="I102" s="515">
        <f t="shared" si="104"/>
        <v>0</v>
      </c>
      <c r="J102" s="515">
        <f t="shared" si="104"/>
        <v>0</v>
      </c>
      <c r="K102" s="515">
        <f t="shared" si="104"/>
        <v>0</v>
      </c>
      <c r="L102" s="515">
        <f t="shared" si="104"/>
        <v>0</v>
      </c>
      <c r="M102" s="515">
        <f t="shared" si="104"/>
        <v>0</v>
      </c>
      <c r="N102" s="515">
        <f t="shared" si="104"/>
        <v>0</v>
      </c>
      <c r="O102" s="471">
        <f t="shared" ref="O102:O103" si="106">SUM(C102:N102)</f>
        <v>0</v>
      </c>
    </row>
    <row r="103" ht="15.75" customHeight="1">
      <c r="B103" s="378" t="s">
        <v>514</v>
      </c>
      <c r="C103" s="321">
        <f t="shared" ref="C103:N103" si="105">SUM(C87,C90,C93,C96,C99)</f>
        <v>0</v>
      </c>
      <c r="D103" s="321">
        <f t="shared" si="105"/>
        <v>0</v>
      </c>
      <c r="E103" s="321">
        <f t="shared" si="105"/>
        <v>0</v>
      </c>
      <c r="F103" s="321">
        <f t="shared" si="105"/>
        <v>0</v>
      </c>
      <c r="G103" s="321">
        <f t="shared" si="105"/>
        <v>0</v>
      </c>
      <c r="H103" s="321">
        <f t="shared" si="105"/>
        <v>0</v>
      </c>
      <c r="I103" s="321">
        <f t="shared" si="105"/>
        <v>0</v>
      </c>
      <c r="J103" s="321">
        <f t="shared" si="105"/>
        <v>0</v>
      </c>
      <c r="K103" s="321">
        <f t="shared" si="105"/>
        <v>0</v>
      </c>
      <c r="L103" s="321">
        <f t="shared" si="105"/>
        <v>0</v>
      </c>
      <c r="M103" s="321">
        <f t="shared" si="105"/>
        <v>0</v>
      </c>
      <c r="N103" s="321">
        <f t="shared" si="105"/>
        <v>0</v>
      </c>
      <c r="O103" s="471">
        <f t="shared" si="106"/>
        <v>0</v>
      </c>
    </row>
    <row r="104" ht="15.75" customHeight="1">
      <c r="B104" s="378" t="s">
        <v>491</v>
      </c>
      <c r="C104" s="359">
        <f t="shared" ref="C104:N104" si="107">SUM(C89,C92,C95,C98,C101)</f>
        <v>0</v>
      </c>
      <c r="D104" s="359">
        <f t="shared" si="107"/>
        <v>0</v>
      </c>
      <c r="E104" s="359">
        <f t="shared" si="107"/>
        <v>0</v>
      </c>
      <c r="F104" s="359">
        <f t="shared" si="107"/>
        <v>0</v>
      </c>
      <c r="G104" s="359">
        <f t="shared" si="107"/>
        <v>0</v>
      </c>
      <c r="H104" s="359">
        <f t="shared" si="107"/>
        <v>0</v>
      </c>
      <c r="I104" s="359">
        <f t="shared" si="107"/>
        <v>0</v>
      </c>
      <c r="J104" s="359">
        <f t="shared" si="107"/>
        <v>0</v>
      </c>
      <c r="K104" s="359">
        <f t="shared" si="107"/>
        <v>0</v>
      </c>
      <c r="L104" s="359">
        <f t="shared" si="107"/>
        <v>0</v>
      </c>
      <c r="M104" s="359">
        <f t="shared" si="107"/>
        <v>0</v>
      </c>
      <c r="N104" s="359">
        <f t="shared" si="107"/>
        <v>0</v>
      </c>
      <c r="O104" s="508"/>
    </row>
    <row r="105" ht="15.75" customHeight="1">
      <c r="B105" s="378" t="s">
        <v>492</v>
      </c>
      <c r="C105" s="359">
        <f t="shared" ref="C105:N105" si="108">C104-C92</f>
        <v>0</v>
      </c>
      <c r="D105" s="359">
        <f t="shared" si="108"/>
        <v>0</v>
      </c>
      <c r="E105" s="359">
        <f t="shared" si="108"/>
        <v>0</v>
      </c>
      <c r="F105" s="359">
        <f t="shared" si="108"/>
        <v>0</v>
      </c>
      <c r="G105" s="359">
        <f t="shared" si="108"/>
        <v>0</v>
      </c>
      <c r="H105" s="359">
        <f t="shared" si="108"/>
        <v>0</v>
      </c>
      <c r="I105" s="359">
        <f t="shared" si="108"/>
        <v>0</v>
      </c>
      <c r="J105" s="359">
        <f t="shared" si="108"/>
        <v>0</v>
      </c>
      <c r="K105" s="359">
        <f t="shared" si="108"/>
        <v>0</v>
      </c>
      <c r="L105" s="359">
        <f t="shared" si="108"/>
        <v>0</v>
      </c>
      <c r="M105" s="359">
        <f t="shared" si="108"/>
        <v>0</v>
      </c>
      <c r="N105" s="359">
        <f t="shared" si="108"/>
        <v>0</v>
      </c>
      <c r="O105" s="508"/>
    </row>
    <row r="106" ht="15.75" customHeight="1"/>
    <row r="107" ht="15.75" customHeight="1">
      <c r="C107" s="104"/>
      <c r="D107" s="104"/>
      <c r="E107" s="104"/>
      <c r="F107" s="104"/>
      <c r="G107" s="104"/>
      <c r="H107" s="104"/>
      <c r="I107" s="104"/>
      <c r="J107" s="104"/>
      <c r="K107" s="104"/>
      <c r="L107" s="104"/>
      <c r="M107" s="104"/>
      <c r="N107" s="104"/>
      <c r="O107" s="526">
        <f>EDATE(N109,1)</f>
        <v>44197</v>
      </c>
      <c r="P107" s="104"/>
    </row>
    <row r="108" ht="15.75" customHeight="1">
      <c r="C108" s="104">
        <v>49.0</v>
      </c>
      <c r="D108" s="104">
        <v>50.0</v>
      </c>
      <c r="E108" s="104">
        <v>51.0</v>
      </c>
      <c r="F108" s="104">
        <v>52.0</v>
      </c>
      <c r="G108" s="104">
        <v>53.0</v>
      </c>
      <c r="H108" s="104">
        <v>54.0</v>
      </c>
      <c r="I108" s="104">
        <v>55.0</v>
      </c>
      <c r="J108" s="104">
        <v>56.0</v>
      </c>
      <c r="K108" s="104">
        <v>57.0</v>
      </c>
      <c r="L108" s="104">
        <v>58.0</v>
      </c>
      <c r="M108" s="104">
        <v>59.0</v>
      </c>
      <c r="N108" s="104">
        <v>60.0</v>
      </c>
      <c r="O108" s="104">
        <v>61.0</v>
      </c>
      <c r="P108" s="104">
        <v>62.0</v>
      </c>
    </row>
    <row r="109" ht="15.75" customHeight="1">
      <c r="A109" s="516" t="s">
        <v>111</v>
      </c>
      <c r="B109" s="19"/>
      <c r="C109" s="498">
        <f>DATE(YEAR(Projected_Start_Date)+4,1,1)</f>
        <v>43831</v>
      </c>
      <c r="D109" s="498">
        <f t="shared" ref="D109:N109" si="109">EDATE(C109,1)</f>
        <v>43862</v>
      </c>
      <c r="E109" s="498">
        <f t="shared" si="109"/>
        <v>43891</v>
      </c>
      <c r="F109" s="498">
        <f t="shared" si="109"/>
        <v>43922</v>
      </c>
      <c r="G109" s="498">
        <f t="shared" si="109"/>
        <v>43952</v>
      </c>
      <c r="H109" s="498">
        <f t="shared" si="109"/>
        <v>43983</v>
      </c>
      <c r="I109" s="498">
        <f t="shared" si="109"/>
        <v>44013</v>
      </c>
      <c r="J109" s="498">
        <f t="shared" si="109"/>
        <v>44044</v>
      </c>
      <c r="K109" s="498">
        <f t="shared" si="109"/>
        <v>44075</v>
      </c>
      <c r="L109" s="498">
        <f t="shared" si="109"/>
        <v>44105</v>
      </c>
      <c r="M109" s="498">
        <f t="shared" si="109"/>
        <v>44136</v>
      </c>
      <c r="N109" s="498">
        <f t="shared" si="109"/>
        <v>44166</v>
      </c>
      <c r="O109" s="499" t="s">
        <v>263</v>
      </c>
    </row>
    <row r="110" ht="15.75" customHeight="1">
      <c r="A110" s="53" t="str">
        <f>A39</f>
        <v>Business Loans</v>
      </c>
      <c r="B110" s="12" t="s">
        <v>485</v>
      </c>
      <c r="C110" s="153">
        <f t="shared" ref="C110:M110" si="110">IF(AND($B$8&lt;=C109,$I$8&gt;=D109),ABS(PPMT($D$8/12,C136,$E$8+(COLUMN()-E108)+48,$C$8)),0)</f>
        <v>0</v>
      </c>
      <c r="D110" s="153">
        <f t="shared" si="110"/>
        <v>0</v>
      </c>
      <c r="E110" s="153">
        <f t="shared" si="110"/>
        <v>0</v>
      </c>
      <c r="F110" s="153">
        <f t="shared" si="110"/>
        <v>0</v>
      </c>
      <c r="G110" s="153">
        <f t="shared" si="110"/>
        <v>0</v>
      </c>
      <c r="H110" s="153">
        <f t="shared" si="110"/>
        <v>0</v>
      </c>
      <c r="I110" s="153">
        <f t="shared" si="110"/>
        <v>0</v>
      </c>
      <c r="J110" s="153">
        <f t="shared" si="110"/>
        <v>0</v>
      </c>
      <c r="K110" s="153">
        <f t="shared" si="110"/>
        <v>0</v>
      </c>
      <c r="L110" s="153">
        <f t="shared" si="110"/>
        <v>0</v>
      </c>
      <c r="M110" s="153">
        <f t="shared" si="110"/>
        <v>0</v>
      </c>
      <c r="N110" s="153">
        <f>IF(AND($B$8&lt;=N109,$I$8&gt;=O107),ABS(PPMT($D$8/12,N136,$E$8+(COLUMN()-P108)+48,$C$8)),0)</f>
        <v>0</v>
      </c>
      <c r="O110" s="471">
        <f t="shared" ref="O110:O111" si="112">SUM(C110:N110)</f>
        <v>0</v>
      </c>
    </row>
    <row r="111" ht="15.75" customHeight="1">
      <c r="A111" s="53"/>
      <c r="B111" s="12" t="s">
        <v>486</v>
      </c>
      <c r="C111" s="153">
        <f t="shared" ref="C111:M111" si="111">IFERROR(IF(AND($B$8&lt;=C110,$I$8&gt;=D110),ABS(IPMT($D$8/12,C136,$E$8+(COLUMN()-E108)+48,$C$8)),0),0)</f>
        <v>0</v>
      </c>
      <c r="D111" s="153">
        <f t="shared" si="111"/>
        <v>0</v>
      </c>
      <c r="E111" s="153">
        <f t="shared" si="111"/>
        <v>0</v>
      </c>
      <c r="F111" s="153">
        <f t="shared" si="111"/>
        <v>0</v>
      </c>
      <c r="G111" s="153">
        <f t="shared" si="111"/>
        <v>0</v>
      </c>
      <c r="H111" s="153">
        <f t="shared" si="111"/>
        <v>0</v>
      </c>
      <c r="I111" s="153">
        <f t="shared" si="111"/>
        <v>0</v>
      </c>
      <c r="J111" s="153">
        <f t="shared" si="111"/>
        <v>0</v>
      </c>
      <c r="K111" s="153">
        <f t="shared" si="111"/>
        <v>0</v>
      </c>
      <c r="L111" s="153">
        <f t="shared" si="111"/>
        <v>0</v>
      </c>
      <c r="M111" s="153">
        <f t="shared" si="111"/>
        <v>0</v>
      </c>
      <c r="N111" s="153">
        <f>IF(AND($B$8&lt;=N110,$I$8&gt;=O107),ABS(IPMT($D$8/12,N136,$E$8+(COLUMN()-P108)+48,$C$8)),0)</f>
        <v>0</v>
      </c>
      <c r="O111" s="471">
        <f t="shared" si="112"/>
        <v>0</v>
      </c>
    </row>
    <row r="112" ht="15.75" customHeight="1">
      <c r="A112" s="53"/>
      <c r="B112" s="12" t="s">
        <v>487</v>
      </c>
      <c r="C112" s="359">
        <f t="shared" ref="C112:M112" si="113">IF(AND($B$8&lt;=C109,$I$8&gt;=D109),ABS($O$89-SUM($C$110:C110)),0)</f>
        <v>0</v>
      </c>
      <c r="D112" s="359">
        <f t="shared" si="113"/>
        <v>0</v>
      </c>
      <c r="E112" s="359">
        <f t="shared" si="113"/>
        <v>0</v>
      </c>
      <c r="F112" s="359">
        <f t="shared" si="113"/>
        <v>0</v>
      </c>
      <c r="G112" s="359">
        <f t="shared" si="113"/>
        <v>0</v>
      </c>
      <c r="H112" s="359">
        <f t="shared" si="113"/>
        <v>0</v>
      </c>
      <c r="I112" s="359">
        <f t="shared" si="113"/>
        <v>0</v>
      </c>
      <c r="J112" s="359">
        <f t="shared" si="113"/>
        <v>0</v>
      </c>
      <c r="K112" s="359">
        <f t="shared" si="113"/>
        <v>0</v>
      </c>
      <c r="L112" s="359">
        <f t="shared" si="113"/>
        <v>0</v>
      </c>
      <c r="M112" s="359">
        <f t="shared" si="113"/>
        <v>0</v>
      </c>
      <c r="N112" s="359">
        <f>IF(AND($B$8&lt;=N109,$I$8&gt;=O107),ABS($O$89-SUM($C$110:N110)),0)</f>
        <v>0</v>
      </c>
      <c r="O112" s="500">
        <f>N112</f>
        <v>0</v>
      </c>
    </row>
    <row r="113" ht="15.75" customHeight="1">
      <c r="A113" s="501" t="str">
        <f>A42</f>
        <v>Commercial Mortgages</v>
      </c>
      <c r="B113" s="502" t="s">
        <v>485</v>
      </c>
      <c r="C113" s="503">
        <f t="shared" ref="C113:M113" si="114">IF(AND($B$9&lt;=C109,$I$9&gt;=D109),ABS(PPMT($D$9/12,C142,$E$9+(COLUMN()-E108)+48,$C$9)),0)</f>
        <v>0</v>
      </c>
      <c r="D113" s="503">
        <f t="shared" si="114"/>
        <v>0</v>
      </c>
      <c r="E113" s="503">
        <f t="shared" si="114"/>
        <v>0</v>
      </c>
      <c r="F113" s="503">
        <f t="shared" si="114"/>
        <v>0</v>
      </c>
      <c r="G113" s="503">
        <f t="shared" si="114"/>
        <v>0</v>
      </c>
      <c r="H113" s="503">
        <f t="shared" si="114"/>
        <v>0</v>
      </c>
      <c r="I113" s="503">
        <f t="shared" si="114"/>
        <v>0</v>
      </c>
      <c r="J113" s="503">
        <f t="shared" si="114"/>
        <v>0</v>
      </c>
      <c r="K113" s="503">
        <f t="shared" si="114"/>
        <v>0</v>
      </c>
      <c r="L113" s="503">
        <f t="shared" si="114"/>
        <v>0</v>
      </c>
      <c r="M113" s="503">
        <f t="shared" si="114"/>
        <v>0</v>
      </c>
      <c r="N113" s="503">
        <f>IF(AND($B$9&lt;=N109,$I$9&gt;=O107),ABS(PPMT($D$9/12,N142,$E$9+(COLUMN()-P108)+48,$C$9)),0)</f>
        <v>0</v>
      </c>
      <c r="O113" s="471">
        <f t="shared" ref="O113:O114" si="116">SUM(C113:N113)</f>
        <v>0</v>
      </c>
    </row>
    <row r="114" ht="15.75" customHeight="1">
      <c r="A114" s="53"/>
      <c r="B114" s="12" t="s">
        <v>486</v>
      </c>
      <c r="C114" s="153">
        <f t="shared" ref="C114:M114" si="115">IF(AND($B$9&lt;=C109,$I$9&gt;=D109),ABS(IPMT($D$9/12,C142,$E$9+(COLUMN()-E108)+48,$C$9)),0)</f>
        <v>0</v>
      </c>
      <c r="D114" s="153">
        <f t="shared" si="115"/>
        <v>0</v>
      </c>
      <c r="E114" s="153">
        <f t="shared" si="115"/>
        <v>0</v>
      </c>
      <c r="F114" s="153">
        <f t="shared" si="115"/>
        <v>0</v>
      </c>
      <c r="G114" s="153">
        <f t="shared" si="115"/>
        <v>0</v>
      </c>
      <c r="H114" s="153">
        <f t="shared" si="115"/>
        <v>0</v>
      </c>
      <c r="I114" s="153">
        <f t="shared" si="115"/>
        <v>0</v>
      </c>
      <c r="J114" s="153">
        <f t="shared" si="115"/>
        <v>0</v>
      </c>
      <c r="K114" s="153">
        <f t="shared" si="115"/>
        <v>0</v>
      </c>
      <c r="L114" s="153">
        <f t="shared" si="115"/>
        <v>0</v>
      </c>
      <c r="M114" s="153">
        <f t="shared" si="115"/>
        <v>0</v>
      </c>
      <c r="N114" s="153">
        <f>IF(AND($B$9&lt;=N109,$I$9&gt;=O107),ABS(IPMT($D$9/12,N142,$E$9+(COLUMN()-P108)+48,$C$9)),0)</f>
        <v>0</v>
      </c>
      <c r="O114" s="471">
        <f t="shared" si="116"/>
        <v>0</v>
      </c>
      <c r="Q114" s="360"/>
    </row>
    <row r="115" ht="15.75" customHeight="1">
      <c r="A115" s="53"/>
      <c r="B115" s="12" t="s">
        <v>487</v>
      </c>
      <c r="C115" s="359">
        <f t="shared" ref="C115:M115" si="117">IF(AND($B$9&lt;=C109,$I$9&gt;=D109),ABS($O$92-SUM($C$113:C113)),0)</f>
        <v>0</v>
      </c>
      <c r="D115" s="359">
        <f t="shared" si="117"/>
        <v>0</v>
      </c>
      <c r="E115" s="359">
        <f t="shared" si="117"/>
        <v>0</v>
      </c>
      <c r="F115" s="359">
        <f t="shared" si="117"/>
        <v>0</v>
      </c>
      <c r="G115" s="359">
        <f t="shared" si="117"/>
        <v>0</v>
      </c>
      <c r="H115" s="359">
        <f t="shared" si="117"/>
        <v>0</v>
      </c>
      <c r="I115" s="359">
        <f t="shared" si="117"/>
        <v>0</v>
      </c>
      <c r="J115" s="359">
        <f t="shared" si="117"/>
        <v>0</v>
      </c>
      <c r="K115" s="359">
        <f t="shared" si="117"/>
        <v>0</v>
      </c>
      <c r="L115" s="359">
        <f t="shared" si="117"/>
        <v>0</v>
      </c>
      <c r="M115" s="359">
        <f t="shared" si="117"/>
        <v>0</v>
      </c>
      <c r="N115" s="359">
        <f>IF(AND($B$9&lt;=N109,$I$9&gt;=O107),ABS($O$92-SUM($C$113:N113)),0)</f>
        <v>0</v>
      </c>
      <c r="O115" s="500">
        <f>N115</f>
        <v>0</v>
      </c>
    </row>
    <row r="116" ht="15.75" customHeight="1">
      <c r="A116" s="501" t="str">
        <f>A45</f>
        <v>Vehicle Loans</v>
      </c>
      <c r="B116" s="502" t="s">
        <v>485</v>
      </c>
      <c r="C116" s="503">
        <f t="shared" ref="C116:M116" si="118">IF(AND($B$10&lt;=C109,$I$10&gt;=D109),ABS(PPMT($D$10/12,C148,$E$10+(COLUMN()-E108)+48,$C$10)),0)</f>
        <v>0</v>
      </c>
      <c r="D116" s="503">
        <f t="shared" si="118"/>
        <v>0</v>
      </c>
      <c r="E116" s="503">
        <f t="shared" si="118"/>
        <v>0</v>
      </c>
      <c r="F116" s="503">
        <f t="shared" si="118"/>
        <v>0</v>
      </c>
      <c r="G116" s="503">
        <f t="shared" si="118"/>
        <v>0</v>
      </c>
      <c r="H116" s="503">
        <f t="shared" si="118"/>
        <v>0</v>
      </c>
      <c r="I116" s="503">
        <f t="shared" si="118"/>
        <v>0</v>
      </c>
      <c r="J116" s="503">
        <f t="shared" si="118"/>
        <v>0</v>
      </c>
      <c r="K116" s="503">
        <f t="shared" si="118"/>
        <v>0</v>
      </c>
      <c r="L116" s="503">
        <f t="shared" si="118"/>
        <v>0</v>
      </c>
      <c r="M116" s="503">
        <f t="shared" si="118"/>
        <v>0</v>
      </c>
      <c r="N116" s="503">
        <f>IF(AND($B$10&lt;=N109,$I$10&gt;=O107),ABS(PPMT($D$10/12,N148,$E$10+(COLUMN()-P108)+48,$C$10)),0)</f>
        <v>0</v>
      </c>
      <c r="O116" s="471">
        <f t="shared" ref="O116:O117" si="120">SUM(C116:N116)</f>
        <v>0</v>
      </c>
    </row>
    <row r="117" ht="15.75" customHeight="1">
      <c r="A117" s="53"/>
      <c r="B117" s="12" t="s">
        <v>486</v>
      </c>
      <c r="C117" s="153">
        <f t="shared" ref="C117:M117" si="119">IF(AND($B$10&lt;=C109,$I$10&gt;=D109),ABS(IPMT($D$10/12,C148,$E$10+(COLUMN()-E108)+48,$C$10)),0)</f>
        <v>0</v>
      </c>
      <c r="D117" s="153">
        <f t="shared" si="119"/>
        <v>0</v>
      </c>
      <c r="E117" s="153">
        <f t="shared" si="119"/>
        <v>0</v>
      </c>
      <c r="F117" s="153">
        <f t="shared" si="119"/>
        <v>0</v>
      </c>
      <c r="G117" s="153">
        <f t="shared" si="119"/>
        <v>0</v>
      </c>
      <c r="H117" s="153">
        <f t="shared" si="119"/>
        <v>0</v>
      </c>
      <c r="I117" s="153">
        <f t="shared" si="119"/>
        <v>0</v>
      </c>
      <c r="J117" s="153">
        <f t="shared" si="119"/>
        <v>0</v>
      </c>
      <c r="K117" s="153">
        <f t="shared" si="119"/>
        <v>0</v>
      </c>
      <c r="L117" s="153">
        <f t="shared" si="119"/>
        <v>0</v>
      </c>
      <c r="M117" s="153">
        <f t="shared" si="119"/>
        <v>0</v>
      </c>
      <c r="N117" s="153">
        <f>IF(AND($B$10&lt;=N109,$I$10&gt;=O107),ABS(IPMT($D$10/12,N148,$E$10+(COLUMN()-P108)+48,$C$10)),0)</f>
        <v>0</v>
      </c>
      <c r="O117" s="471">
        <f t="shared" si="120"/>
        <v>0</v>
      </c>
    </row>
    <row r="118" ht="15.75" customHeight="1">
      <c r="A118" s="53"/>
      <c r="B118" s="12" t="s">
        <v>488</v>
      </c>
      <c r="C118" s="359">
        <f t="shared" ref="C118:M118" si="121">IF(AND($B$10&lt;=C109,$I$10&gt;=D109),ABS($O$95-SUM($C$116:C116)),0)</f>
        <v>0</v>
      </c>
      <c r="D118" s="359">
        <f t="shared" si="121"/>
        <v>0</v>
      </c>
      <c r="E118" s="359">
        <f t="shared" si="121"/>
        <v>0</v>
      </c>
      <c r="F118" s="359">
        <f t="shared" si="121"/>
        <v>0</v>
      </c>
      <c r="G118" s="359">
        <f t="shared" si="121"/>
        <v>0</v>
      </c>
      <c r="H118" s="359">
        <f t="shared" si="121"/>
        <v>0</v>
      </c>
      <c r="I118" s="359">
        <f t="shared" si="121"/>
        <v>0</v>
      </c>
      <c r="J118" s="359">
        <f t="shared" si="121"/>
        <v>0</v>
      </c>
      <c r="K118" s="359">
        <f t="shared" si="121"/>
        <v>0</v>
      </c>
      <c r="L118" s="359">
        <f t="shared" si="121"/>
        <v>0</v>
      </c>
      <c r="M118" s="359">
        <f t="shared" si="121"/>
        <v>0</v>
      </c>
      <c r="N118" s="359">
        <f>IF(AND($B$10&lt;=N109,$I$10&gt;=O107),ABS($O$95-SUM($C$116:N116)),0)</f>
        <v>0</v>
      </c>
      <c r="O118" s="500">
        <f>N118</f>
        <v>0</v>
      </c>
    </row>
    <row r="119" ht="15.75" customHeight="1">
      <c r="A119" s="501" t="str">
        <f>A48</f>
        <v>Credit Card/
Line of Credit Cash Advance</v>
      </c>
      <c r="B119" s="502" t="s">
        <v>485</v>
      </c>
      <c r="C119" s="503">
        <f t="shared" ref="C119:M119" si="122">IF(AND($B$11&lt;=C109,$I$11&gt;=D109),ABS(PPMT($D$11/12,C154,$E$11+(COLUMN()-E108)+48,$C$11)),0)</f>
        <v>0</v>
      </c>
      <c r="D119" s="503">
        <f t="shared" si="122"/>
        <v>0</v>
      </c>
      <c r="E119" s="503">
        <f t="shared" si="122"/>
        <v>0</v>
      </c>
      <c r="F119" s="503">
        <f t="shared" si="122"/>
        <v>0</v>
      </c>
      <c r="G119" s="503">
        <f t="shared" si="122"/>
        <v>0</v>
      </c>
      <c r="H119" s="503">
        <f t="shared" si="122"/>
        <v>0</v>
      </c>
      <c r="I119" s="503">
        <f t="shared" si="122"/>
        <v>0</v>
      </c>
      <c r="J119" s="503">
        <f t="shared" si="122"/>
        <v>0</v>
      </c>
      <c r="K119" s="503">
        <f t="shared" si="122"/>
        <v>0</v>
      </c>
      <c r="L119" s="503">
        <f t="shared" si="122"/>
        <v>0</v>
      </c>
      <c r="M119" s="503">
        <f t="shared" si="122"/>
        <v>0</v>
      </c>
      <c r="N119" s="503">
        <f>IF(AND($B$11&lt;=N109,$I$11&gt;=O107),ABS(PPMT($D$11/12,N154,$E$11+(COLUMN()-P108)+48,$C$11)),0)</f>
        <v>0</v>
      </c>
      <c r="O119" s="471">
        <f t="shared" ref="O119:O120" si="124">SUM(C119:N119)</f>
        <v>0</v>
      </c>
    </row>
    <row r="120" ht="14.25" customHeight="1">
      <c r="A120" s="53"/>
      <c r="B120" s="12" t="s">
        <v>486</v>
      </c>
      <c r="C120" s="153">
        <f t="shared" ref="C120:M120" si="123">IF(AND($B$11&lt;=C109,$I$11&gt;=D109),ABS(IPMT($D$11/12,C154,$E$11+(COLUMN()-E108)+48,$C$11)),0)</f>
        <v>0</v>
      </c>
      <c r="D120" s="153">
        <f t="shared" si="123"/>
        <v>0</v>
      </c>
      <c r="E120" s="153">
        <f t="shared" si="123"/>
        <v>0</v>
      </c>
      <c r="F120" s="153">
        <f t="shared" si="123"/>
        <v>0</v>
      </c>
      <c r="G120" s="153">
        <f t="shared" si="123"/>
        <v>0</v>
      </c>
      <c r="H120" s="153">
        <f t="shared" si="123"/>
        <v>0</v>
      </c>
      <c r="I120" s="153">
        <f t="shared" si="123"/>
        <v>0</v>
      </c>
      <c r="J120" s="153">
        <f t="shared" si="123"/>
        <v>0</v>
      </c>
      <c r="K120" s="153">
        <f t="shared" si="123"/>
        <v>0</v>
      </c>
      <c r="L120" s="153">
        <f t="shared" si="123"/>
        <v>0</v>
      </c>
      <c r="M120" s="153">
        <f t="shared" si="123"/>
        <v>0</v>
      </c>
      <c r="N120" s="153">
        <f>IF(AND($B$11&lt;=N109,$I$11&gt;=O107),ABS(IPMT($D$11/12,N154,$E$11+(COLUMN()-P108)+48,$C$11)),0)</f>
        <v>0</v>
      </c>
      <c r="O120" s="471">
        <f t="shared" si="124"/>
        <v>0</v>
      </c>
    </row>
    <row r="121" ht="15.75" customHeight="1">
      <c r="A121" s="53"/>
      <c r="B121" s="12" t="s">
        <v>488</v>
      </c>
      <c r="C121" s="359">
        <f t="shared" ref="C121:M121" si="125">IF(AND($B$11&lt;=C109,$I$11&gt;=D109),ABS($O$98-SUM($C$119:C119)),0)</f>
        <v>0</v>
      </c>
      <c r="D121" s="359">
        <f t="shared" si="125"/>
        <v>0</v>
      </c>
      <c r="E121" s="359">
        <f t="shared" si="125"/>
        <v>0</v>
      </c>
      <c r="F121" s="359">
        <f t="shared" si="125"/>
        <v>0</v>
      </c>
      <c r="G121" s="359">
        <f t="shared" si="125"/>
        <v>0</v>
      </c>
      <c r="H121" s="359">
        <f t="shared" si="125"/>
        <v>0</v>
      </c>
      <c r="I121" s="359">
        <f t="shared" si="125"/>
        <v>0</v>
      </c>
      <c r="J121" s="359">
        <f t="shared" si="125"/>
        <v>0</v>
      </c>
      <c r="K121" s="359">
        <f t="shared" si="125"/>
        <v>0</v>
      </c>
      <c r="L121" s="359">
        <f t="shared" si="125"/>
        <v>0</v>
      </c>
      <c r="M121" s="359">
        <f t="shared" si="125"/>
        <v>0</v>
      </c>
      <c r="N121" s="359">
        <f>IF(AND($B$11&lt;=N109,$I$11&gt;=O107),ABS($O$98-SUM($C$119:N119)),0)</f>
        <v>0</v>
      </c>
      <c r="O121" s="500">
        <f>N121</f>
        <v>0</v>
      </c>
    </row>
    <row r="122" ht="15.75" customHeight="1">
      <c r="A122" s="501" t="str">
        <f>A51</f>
        <v>Other Debt</v>
      </c>
      <c r="B122" s="502" t="s">
        <v>485</v>
      </c>
      <c r="C122" s="503">
        <f t="shared" ref="C122:M122" si="126">IF(AND($B$12&lt;=C109,$I$12&gt;=D109),ABS(PPMT($D$12/12,C160,$E$12+(COLUMN()-E108)+48,$C$12)),0)</f>
        <v>0</v>
      </c>
      <c r="D122" s="503">
        <f t="shared" si="126"/>
        <v>0</v>
      </c>
      <c r="E122" s="503">
        <f t="shared" si="126"/>
        <v>0</v>
      </c>
      <c r="F122" s="503">
        <f t="shared" si="126"/>
        <v>0</v>
      </c>
      <c r="G122" s="503">
        <f t="shared" si="126"/>
        <v>0</v>
      </c>
      <c r="H122" s="503">
        <f t="shared" si="126"/>
        <v>0</v>
      </c>
      <c r="I122" s="503">
        <f t="shared" si="126"/>
        <v>0</v>
      </c>
      <c r="J122" s="503">
        <f t="shared" si="126"/>
        <v>0</v>
      </c>
      <c r="K122" s="503">
        <f t="shared" si="126"/>
        <v>0</v>
      </c>
      <c r="L122" s="503">
        <f t="shared" si="126"/>
        <v>0</v>
      </c>
      <c r="M122" s="503">
        <f t="shared" si="126"/>
        <v>0</v>
      </c>
      <c r="N122" s="503">
        <f>IF(AND($B$12&lt;=N109,$I$12&gt;=O107),ABS(PPMT($D$12/12,N160,$E$12+(COLUMN()-P108)+48,$C$12)),0)</f>
        <v>0</v>
      </c>
      <c r="O122" s="471">
        <f t="shared" ref="O122:O123" si="128">SUM(C122:N122)</f>
        <v>0</v>
      </c>
    </row>
    <row r="123" ht="15.75" customHeight="1">
      <c r="A123" s="53"/>
      <c r="B123" s="12" t="s">
        <v>486</v>
      </c>
      <c r="C123" s="153">
        <f t="shared" ref="C123:M123" si="127">IF(AND($B$12&lt;=C109,$I$12&gt;=D109),ABS(IPMT($D$12/12,C160,$E$12+(COLUMN()-E108)+48,$C$12)),0)</f>
        <v>0</v>
      </c>
      <c r="D123" s="153">
        <f t="shared" si="127"/>
        <v>0</v>
      </c>
      <c r="E123" s="153">
        <f t="shared" si="127"/>
        <v>0</v>
      </c>
      <c r="F123" s="153">
        <f t="shared" si="127"/>
        <v>0</v>
      </c>
      <c r="G123" s="153">
        <f t="shared" si="127"/>
        <v>0</v>
      </c>
      <c r="H123" s="153">
        <f t="shared" si="127"/>
        <v>0</v>
      </c>
      <c r="I123" s="153">
        <f t="shared" si="127"/>
        <v>0</v>
      </c>
      <c r="J123" s="153">
        <f t="shared" si="127"/>
        <v>0</v>
      </c>
      <c r="K123" s="153">
        <f t="shared" si="127"/>
        <v>0</v>
      </c>
      <c r="L123" s="153">
        <f t="shared" si="127"/>
        <v>0</v>
      </c>
      <c r="M123" s="153">
        <f t="shared" si="127"/>
        <v>0</v>
      </c>
      <c r="N123" s="153">
        <f>IF(AND($B$12&lt;=N109,$I$12&gt;=O107),ABS(IPMT($D$12/12,N160,$E$12+(COLUMN()-P108)+48,$C$12)),0)</f>
        <v>0</v>
      </c>
      <c r="O123" s="471">
        <f t="shared" si="128"/>
        <v>0</v>
      </c>
    </row>
    <row r="124" ht="15.75" customHeight="1">
      <c r="A124" s="40"/>
      <c r="B124" s="43" t="s">
        <v>488</v>
      </c>
      <c r="C124" s="359">
        <f t="shared" ref="C124:M124" si="129">IF(AND($B$12&lt;=C109,$I$12&gt;=D109),ABS($O$101-SUM($C$122:C122)),0)</f>
        <v>0</v>
      </c>
      <c r="D124" s="359">
        <f t="shared" si="129"/>
        <v>0</v>
      </c>
      <c r="E124" s="359">
        <f t="shared" si="129"/>
        <v>0</v>
      </c>
      <c r="F124" s="359">
        <f t="shared" si="129"/>
        <v>0</v>
      </c>
      <c r="G124" s="359">
        <f t="shared" si="129"/>
        <v>0</v>
      </c>
      <c r="H124" s="359">
        <f t="shared" si="129"/>
        <v>0</v>
      </c>
      <c r="I124" s="359">
        <f t="shared" si="129"/>
        <v>0</v>
      </c>
      <c r="J124" s="359">
        <f t="shared" si="129"/>
        <v>0</v>
      </c>
      <c r="K124" s="359">
        <f t="shared" si="129"/>
        <v>0</v>
      </c>
      <c r="L124" s="359">
        <f t="shared" si="129"/>
        <v>0</v>
      </c>
      <c r="M124" s="359">
        <f t="shared" si="129"/>
        <v>0</v>
      </c>
      <c r="N124" s="359">
        <f>IF(AND($B$12&lt;=N109,$I$12&gt;=O107),ABS($O$101-SUM($C122:N$122)),0)</f>
        <v>0</v>
      </c>
      <c r="O124" s="500">
        <f>N124</f>
        <v>0</v>
      </c>
    </row>
    <row r="125" ht="15.75" customHeight="1">
      <c r="B125" s="378" t="s">
        <v>520</v>
      </c>
      <c r="C125" s="515">
        <f t="shared" ref="C125:N125" si="130">SUM(C111,C114,C117,C120,C123)</f>
        <v>0</v>
      </c>
      <c r="D125" s="515">
        <f t="shared" si="130"/>
        <v>0</v>
      </c>
      <c r="E125" s="515">
        <f t="shared" si="130"/>
        <v>0</v>
      </c>
      <c r="F125" s="515">
        <f t="shared" si="130"/>
        <v>0</v>
      </c>
      <c r="G125" s="515">
        <f t="shared" si="130"/>
        <v>0</v>
      </c>
      <c r="H125" s="515">
        <f t="shared" si="130"/>
        <v>0</v>
      </c>
      <c r="I125" s="515">
        <f t="shared" si="130"/>
        <v>0</v>
      </c>
      <c r="J125" s="515">
        <f t="shared" si="130"/>
        <v>0</v>
      </c>
      <c r="K125" s="515">
        <f t="shared" si="130"/>
        <v>0</v>
      </c>
      <c r="L125" s="515">
        <f t="shared" si="130"/>
        <v>0</v>
      </c>
      <c r="M125" s="515">
        <f t="shared" si="130"/>
        <v>0</v>
      </c>
      <c r="N125" s="515">
        <f t="shared" si="130"/>
        <v>0</v>
      </c>
      <c r="O125" s="471">
        <f t="shared" ref="O125:O126" si="132">SUM(C125:N125)</f>
        <v>0</v>
      </c>
    </row>
    <row r="126" ht="15.75" customHeight="1">
      <c r="B126" s="378" t="s">
        <v>521</v>
      </c>
      <c r="C126" s="321">
        <f t="shared" ref="C126:N126" si="131">SUM(C110,C113,C116,C119,C122)</f>
        <v>0</v>
      </c>
      <c r="D126" s="321">
        <f t="shared" si="131"/>
        <v>0</v>
      </c>
      <c r="E126" s="321">
        <f t="shared" si="131"/>
        <v>0</v>
      </c>
      <c r="F126" s="321">
        <f t="shared" si="131"/>
        <v>0</v>
      </c>
      <c r="G126" s="321">
        <f t="shared" si="131"/>
        <v>0</v>
      </c>
      <c r="H126" s="321">
        <f t="shared" si="131"/>
        <v>0</v>
      </c>
      <c r="I126" s="321">
        <f t="shared" si="131"/>
        <v>0</v>
      </c>
      <c r="J126" s="321">
        <f t="shared" si="131"/>
        <v>0</v>
      </c>
      <c r="K126" s="321">
        <f t="shared" si="131"/>
        <v>0</v>
      </c>
      <c r="L126" s="321">
        <f t="shared" si="131"/>
        <v>0</v>
      </c>
      <c r="M126" s="321">
        <f t="shared" si="131"/>
        <v>0</v>
      </c>
      <c r="N126" s="321">
        <f t="shared" si="131"/>
        <v>0</v>
      </c>
      <c r="O126" s="471">
        <f t="shared" si="132"/>
        <v>0</v>
      </c>
    </row>
    <row r="127" ht="15.75" customHeight="1">
      <c r="B127" s="378" t="s">
        <v>491</v>
      </c>
      <c r="C127" s="359">
        <f t="shared" ref="C127:N127" si="133">SUM(C112,C115,C118,C121,C124)</f>
        <v>0</v>
      </c>
      <c r="D127" s="359">
        <f t="shared" si="133"/>
        <v>0</v>
      </c>
      <c r="E127" s="359">
        <f t="shared" si="133"/>
        <v>0</v>
      </c>
      <c r="F127" s="359">
        <f t="shared" si="133"/>
        <v>0</v>
      </c>
      <c r="G127" s="359">
        <f t="shared" si="133"/>
        <v>0</v>
      </c>
      <c r="H127" s="359">
        <f t="shared" si="133"/>
        <v>0</v>
      </c>
      <c r="I127" s="359">
        <f t="shared" si="133"/>
        <v>0</v>
      </c>
      <c r="J127" s="359">
        <f t="shared" si="133"/>
        <v>0</v>
      </c>
      <c r="K127" s="359">
        <f t="shared" si="133"/>
        <v>0</v>
      </c>
      <c r="L127" s="359">
        <f t="shared" si="133"/>
        <v>0</v>
      </c>
      <c r="M127" s="359">
        <f t="shared" si="133"/>
        <v>0</v>
      </c>
      <c r="N127" s="359">
        <f t="shared" si="133"/>
        <v>0</v>
      </c>
      <c r="O127" s="508"/>
    </row>
    <row r="128" ht="15.75" customHeight="1">
      <c r="B128" s="378" t="s">
        <v>492</v>
      </c>
      <c r="C128" s="359">
        <f t="shared" ref="C128:N128" si="134">C127-C115</f>
        <v>0</v>
      </c>
      <c r="D128" s="359">
        <f t="shared" si="134"/>
        <v>0</v>
      </c>
      <c r="E128" s="359">
        <f t="shared" si="134"/>
        <v>0</v>
      </c>
      <c r="F128" s="359">
        <f t="shared" si="134"/>
        <v>0</v>
      </c>
      <c r="G128" s="359">
        <f t="shared" si="134"/>
        <v>0</v>
      </c>
      <c r="H128" s="359">
        <f t="shared" si="134"/>
        <v>0</v>
      </c>
      <c r="I128" s="359">
        <f t="shared" si="134"/>
        <v>0</v>
      </c>
      <c r="J128" s="359">
        <f t="shared" si="134"/>
        <v>0</v>
      </c>
      <c r="K128" s="359">
        <f t="shared" si="134"/>
        <v>0</v>
      </c>
      <c r="L128" s="359">
        <f t="shared" si="134"/>
        <v>0</v>
      </c>
      <c r="M128" s="359">
        <f t="shared" si="134"/>
        <v>0</v>
      </c>
      <c r="N128" s="359">
        <f t="shared" si="134"/>
        <v>0</v>
      </c>
      <c r="O128" s="508"/>
    </row>
    <row r="129" ht="15.75" customHeight="1"/>
    <row r="130" ht="15.75" customHeight="1"/>
    <row r="131" ht="15.75" customHeight="1">
      <c r="A131" s="25" t="s">
        <v>522</v>
      </c>
    </row>
    <row r="132" ht="15.75" customHeight="1">
      <c r="A132" s="502" t="s">
        <v>295</v>
      </c>
      <c r="B132" s="502" t="s">
        <v>315</v>
      </c>
      <c r="C132" s="268">
        <f>IF(AND($B$8&gt;=C15,$B$8&lt;D15),1,0)</f>
        <v>1</v>
      </c>
      <c r="D132" s="268">
        <f t="shared" ref="D132:M132" si="135">IF(AND($B$8&gt;=D15,$B$8&lt;E15),1,IF(AND($B$8&lt;=D15,$I$8&gt;=E15),C132+1,0))</f>
        <v>0</v>
      </c>
      <c r="E132" s="268">
        <f t="shared" si="135"/>
        <v>0</v>
      </c>
      <c r="F132" s="268">
        <f t="shared" si="135"/>
        <v>0</v>
      </c>
      <c r="G132" s="268">
        <f t="shared" si="135"/>
        <v>0</v>
      </c>
      <c r="H132" s="268">
        <f t="shared" si="135"/>
        <v>0</v>
      </c>
      <c r="I132" s="268">
        <f t="shared" si="135"/>
        <v>0</v>
      </c>
      <c r="J132" s="268">
        <f t="shared" si="135"/>
        <v>0</v>
      </c>
      <c r="K132" s="268">
        <f t="shared" si="135"/>
        <v>0</v>
      </c>
      <c r="L132" s="268">
        <f t="shared" si="135"/>
        <v>0</v>
      </c>
      <c r="M132" s="268">
        <f t="shared" si="135"/>
        <v>0</v>
      </c>
      <c r="N132" s="268">
        <f>IF(AND($B$8&gt;=N15,$B$8&lt;C38),1,IF(AND($B$8&lt;=N15,$I$8&gt;=C38),M132+1,0))</f>
        <v>0</v>
      </c>
      <c r="O132" s="12"/>
      <c r="P132" s="12"/>
      <c r="Q132" s="12"/>
      <c r="R132" s="12"/>
      <c r="S132" s="12"/>
      <c r="T132" s="12"/>
      <c r="U132" s="12"/>
      <c r="V132" s="12"/>
      <c r="W132" s="12"/>
      <c r="X132" s="12"/>
      <c r="Y132" s="12"/>
      <c r="Z132" s="12"/>
      <c r="AA132" s="12"/>
      <c r="AB132" s="12"/>
    </row>
    <row r="133" ht="15.75" customHeight="1">
      <c r="A133" s="12"/>
      <c r="B133" s="12" t="s">
        <v>107</v>
      </c>
      <c r="C133" s="104">
        <f>IF(AND($B$8&gt;=C38,$B$8&lt;D38),1,IF(AND($B$8&lt;=C38,$I$8&gt;=D38),N132+1,0))</f>
        <v>0</v>
      </c>
      <c r="D133" s="104">
        <f t="shared" ref="D133:M133" si="136">IF(AND($B$8&gt;=D38,$B$8&lt;E38),1,IF(AND($B$8&lt;=D38,$I$8&gt;=E38),C133+1,0))</f>
        <v>0</v>
      </c>
      <c r="E133" s="104">
        <f t="shared" si="136"/>
        <v>0</v>
      </c>
      <c r="F133" s="104">
        <f t="shared" si="136"/>
        <v>0</v>
      </c>
      <c r="G133" s="104">
        <f t="shared" si="136"/>
        <v>0</v>
      </c>
      <c r="H133" s="104">
        <f t="shared" si="136"/>
        <v>0</v>
      </c>
      <c r="I133" s="104">
        <f t="shared" si="136"/>
        <v>0</v>
      </c>
      <c r="J133" s="104">
        <f t="shared" si="136"/>
        <v>0</v>
      </c>
      <c r="K133" s="104">
        <f t="shared" si="136"/>
        <v>0</v>
      </c>
      <c r="L133" s="104">
        <f t="shared" si="136"/>
        <v>0</v>
      </c>
      <c r="M133" s="104">
        <f t="shared" si="136"/>
        <v>0</v>
      </c>
      <c r="N133" s="104">
        <f>IF(AND($B$8&gt;=N38,$B$8&lt;C62),1,IF(AND($B$8&lt;=N38,$I$8&gt;=C62),M133+1,0))</f>
        <v>0</v>
      </c>
      <c r="O133" s="12"/>
      <c r="P133" s="12"/>
      <c r="Q133" s="12"/>
      <c r="R133" s="12"/>
      <c r="S133" s="12"/>
      <c r="T133" s="12"/>
      <c r="U133" s="12"/>
      <c r="V133" s="12"/>
      <c r="W133" s="12"/>
      <c r="X133" s="12"/>
      <c r="Y133" s="12"/>
      <c r="Z133" s="12"/>
      <c r="AA133" s="12"/>
      <c r="AB133" s="12"/>
    </row>
    <row r="134" ht="15.75" customHeight="1">
      <c r="A134" s="12"/>
      <c r="B134" s="12" t="s">
        <v>109</v>
      </c>
      <c r="C134" s="104">
        <f>IF(AND($B$8&gt;=C62,$B$8&lt;D62),1,IF(AND($B$8&lt;=C62,$I$8&gt;=D62),N133+1,0))</f>
        <v>0</v>
      </c>
      <c r="D134" s="104">
        <f t="shared" ref="D134:M134" si="137">IF(AND($B$8&gt;=D62,$B$8&lt;E62),1,IF(AND($B$8&lt;=D62,$I$8&gt;=E62),C134+1,0))</f>
        <v>0</v>
      </c>
      <c r="E134" s="104">
        <f t="shared" si="137"/>
        <v>0</v>
      </c>
      <c r="F134" s="104">
        <f t="shared" si="137"/>
        <v>0</v>
      </c>
      <c r="G134" s="104">
        <f t="shared" si="137"/>
        <v>0</v>
      </c>
      <c r="H134" s="104">
        <f t="shared" si="137"/>
        <v>0</v>
      </c>
      <c r="I134" s="104">
        <f t="shared" si="137"/>
        <v>0</v>
      </c>
      <c r="J134" s="104">
        <f t="shared" si="137"/>
        <v>0</v>
      </c>
      <c r="K134" s="104">
        <f t="shared" si="137"/>
        <v>0</v>
      </c>
      <c r="L134" s="104">
        <f t="shared" si="137"/>
        <v>0</v>
      </c>
      <c r="M134" s="104">
        <f t="shared" si="137"/>
        <v>0</v>
      </c>
      <c r="N134" s="104">
        <f>IF(AND($B$8&gt;=N62,$B$8&lt;C86),1,IF(AND($B$8&lt;=N62,$I$8&gt;=C86),M134+1,0))</f>
        <v>0</v>
      </c>
      <c r="O134" s="12"/>
      <c r="P134" s="12"/>
      <c r="Q134" s="12"/>
      <c r="R134" s="12"/>
      <c r="S134" s="12"/>
      <c r="T134" s="12"/>
      <c r="U134" s="12"/>
      <c r="V134" s="12"/>
      <c r="W134" s="12"/>
      <c r="X134" s="12"/>
      <c r="Y134" s="12"/>
      <c r="Z134" s="12"/>
      <c r="AA134" s="12"/>
      <c r="AB134" s="12"/>
    </row>
    <row r="135" ht="15.75" customHeight="1">
      <c r="A135" s="12"/>
      <c r="B135" s="12" t="s">
        <v>110</v>
      </c>
      <c r="C135" s="104">
        <f>IF(AND($B$8&gt;=C86,$B$8&lt;D86),1,IF(AND($B$8&lt;=C86,$I$8&gt;=D86),N134+1,0))</f>
        <v>0</v>
      </c>
      <c r="D135" s="104">
        <f t="shared" ref="D135:M135" si="138">IF(AND($B$8&gt;=D86,$B$8&lt;E86),1,IF(AND($B$8&lt;=D86,$I$8&gt;=E86),C135+1,0))</f>
        <v>0</v>
      </c>
      <c r="E135" s="104">
        <f t="shared" si="138"/>
        <v>0</v>
      </c>
      <c r="F135" s="104">
        <f t="shared" si="138"/>
        <v>0</v>
      </c>
      <c r="G135" s="104">
        <f t="shared" si="138"/>
        <v>0</v>
      </c>
      <c r="H135" s="104">
        <f t="shared" si="138"/>
        <v>0</v>
      </c>
      <c r="I135" s="104">
        <f t="shared" si="138"/>
        <v>0</v>
      </c>
      <c r="J135" s="104">
        <f t="shared" si="138"/>
        <v>0</v>
      </c>
      <c r="K135" s="104">
        <f t="shared" si="138"/>
        <v>0</v>
      </c>
      <c r="L135" s="104">
        <f t="shared" si="138"/>
        <v>0</v>
      </c>
      <c r="M135" s="104">
        <f t="shared" si="138"/>
        <v>0</v>
      </c>
      <c r="N135" s="104">
        <f>IF(AND($B$8&gt;=N86,$B$8&lt;C109),1,IF(AND($B$8&lt;=N86,$I$8&gt;=C109),M135+1,0))</f>
        <v>0</v>
      </c>
      <c r="O135" s="12"/>
      <c r="P135" s="12"/>
      <c r="Q135" s="12"/>
      <c r="R135" s="12"/>
      <c r="S135" s="12"/>
      <c r="T135" s="12"/>
      <c r="U135" s="12"/>
      <c r="V135" s="12"/>
      <c r="W135" s="12"/>
      <c r="X135" s="12"/>
      <c r="Y135" s="12"/>
      <c r="Z135" s="12"/>
      <c r="AA135" s="12"/>
      <c r="AB135" s="12"/>
    </row>
    <row r="136" ht="15.75" customHeight="1">
      <c r="A136" s="12"/>
      <c r="B136" s="12" t="s">
        <v>111</v>
      </c>
      <c r="C136" s="104">
        <f>IF(AND($B$8&gt;=C109,$B$8&lt;D109),1,IF(AND($B$8&lt;=C109,$I$8&gt;=D109),N135+1,0))</f>
        <v>0</v>
      </c>
      <c r="D136" s="104">
        <f t="shared" ref="D136:M136" si="139">IF(AND($B$8&gt;=D109,$B$8&lt;E109),1,IF(AND($B$8&lt;=D109,$I$8&gt;=E109),C136+1,0))</f>
        <v>0</v>
      </c>
      <c r="E136" s="104">
        <f t="shared" si="139"/>
        <v>0</v>
      </c>
      <c r="F136" s="104">
        <f t="shared" si="139"/>
        <v>0</v>
      </c>
      <c r="G136" s="104">
        <f t="shared" si="139"/>
        <v>0</v>
      </c>
      <c r="H136" s="104">
        <f t="shared" si="139"/>
        <v>0</v>
      </c>
      <c r="I136" s="104">
        <f t="shared" si="139"/>
        <v>0</v>
      </c>
      <c r="J136" s="104">
        <f t="shared" si="139"/>
        <v>0</v>
      </c>
      <c r="K136" s="104">
        <f t="shared" si="139"/>
        <v>0</v>
      </c>
      <c r="L136" s="104">
        <f t="shared" si="139"/>
        <v>0</v>
      </c>
      <c r="M136" s="104">
        <f t="shared" si="139"/>
        <v>0</v>
      </c>
      <c r="N136" s="104">
        <f>IF(AND($B$8&gt;=N109,$B$8&lt;O107),1,IF(AND($B$8&lt;=N109,$I$8&gt;=O107),M136+1,0))</f>
        <v>0</v>
      </c>
      <c r="O136" s="12"/>
      <c r="P136" s="12"/>
      <c r="Q136" s="12"/>
      <c r="R136" s="12"/>
      <c r="S136" s="12"/>
      <c r="T136" s="12"/>
      <c r="U136" s="12"/>
      <c r="V136" s="12"/>
      <c r="W136" s="12"/>
      <c r="X136" s="12"/>
      <c r="Y136" s="12"/>
      <c r="Z136" s="12"/>
      <c r="AA136" s="12"/>
      <c r="AB136" s="12"/>
    </row>
    <row r="137" ht="15.75" customHeight="1">
      <c r="A137" s="12"/>
      <c r="B137" s="12"/>
      <c r="C137" s="104"/>
      <c r="D137" s="104"/>
      <c r="E137" s="104"/>
      <c r="F137" s="104"/>
      <c r="G137" s="104"/>
      <c r="H137" s="104"/>
      <c r="I137" s="104"/>
      <c r="J137" s="104"/>
      <c r="K137" s="104"/>
      <c r="L137" s="104"/>
      <c r="M137" s="104"/>
      <c r="N137" s="104"/>
      <c r="O137" s="12"/>
      <c r="P137" s="12"/>
      <c r="Q137" s="12"/>
      <c r="R137" s="12"/>
      <c r="S137" s="12"/>
      <c r="T137" s="12"/>
      <c r="U137" s="12"/>
      <c r="V137" s="12"/>
      <c r="W137" s="12"/>
      <c r="X137" s="12"/>
      <c r="Y137" s="12"/>
      <c r="Z137" s="12"/>
      <c r="AA137" s="12"/>
      <c r="AB137" s="12"/>
    </row>
    <row r="138" ht="15.75" customHeight="1">
      <c r="A138" s="502" t="s">
        <v>297</v>
      </c>
      <c r="B138" s="502" t="s">
        <v>315</v>
      </c>
      <c r="C138" s="268">
        <f>IF(AND($B$9&gt;=C15,$B$9&lt;D15),1,0)</f>
        <v>1</v>
      </c>
      <c r="D138" s="268">
        <f t="shared" ref="D138:M138" si="140">IF(AND($B$9&gt;=D15,$B$9&lt;E15),1,IF(AND($B$9&lt;=D15,$I$9&gt;=E15),C138+1,0))</f>
        <v>0</v>
      </c>
      <c r="E138" s="268">
        <f t="shared" si="140"/>
        <v>0</v>
      </c>
      <c r="F138" s="268">
        <f t="shared" si="140"/>
        <v>0</v>
      </c>
      <c r="G138" s="268">
        <f t="shared" si="140"/>
        <v>0</v>
      </c>
      <c r="H138" s="268">
        <f t="shared" si="140"/>
        <v>0</v>
      </c>
      <c r="I138" s="268">
        <f t="shared" si="140"/>
        <v>0</v>
      </c>
      <c r="J138" s="268">
        <f t="shared" si="140"/>
        <v>0</v>
      </c>
      <c r="K138" s="268">
        <f t="shared" si="140"/>
        <v>0</v>
      </c>
      <c r="L138" s="268">
        <f t="shared" si="140"/>
        <v>0</v>
      </c>
      <c r="M138" s="268">
        <f t="shared" si="140"/>
        <v>0</v>
      </c>
      <c r="N138" s="268">
        <f>IF(AND($B$9&gt;=N15,$B$9&lt;C38),1,IF(AND($B$9&lt;=N15,$I$9&gt;=C38),M138+1,0))</f>
        <v>0</v>
      </c>
      <c r="O138" s="12"/>
      <c r="P138" s="12"/>
      <c r="Q138" s="12"/>
      <c r="R138" s="12"/>
      <c r="S138" s="12"/>
      <c r="T138" s="12"/>
      <c r="U138" s="12"/>
      <c r="V138" s="12"/>
      <c r="W138" s="12"/>
      <c r="X138" s="12"/>
      <c r="Y138" s="12"/>
      <c r="Z138" s="12"/>
      <c r="AA138" s="12"/>
      <c r="AB138" s="12"/>
    </row>
    <row r="139" ht="15.75" customHeight="1">
      <c r="A139" s="12"/>
      <c r="B139" s="12" t="s">
        <v>107</v>
      </c>
      <c r="C139" s="104">
        <f>IF(AND($B$9&gt;=C38,$B$9&lt;D38),1,IF(AND($B$9&lt;=C38,$I$9&gt;D38),N138+1,0))</f>
        <v>0</v>
      </c>
      <c r="D139" s="104">
        <f t="shared" ref="D139:M139" si="141">IF(AND($B$9&gt;=D38,$B$9&lt;E38),1,IF(AND($B$9&lt;=D38,$I$9&gt;=E38),C139+1,0))</f>
        <v>0</v>
      </c>
      <c r="E139" s="104">
        <f t="shared" si="141"/>
        <v>0</v>
      </c>
      <c r="F139" s="104">
        <f t="shared" si="141"/>
        <v>0</v>
      </c>
      <c r="G139" s="104">
        <f t="shared" si="141"/>
        <v>0</v>
      </c>
      <c r="H139" s="104">
        <f t="shared" si="141"/>
        <v>0</v>
      </c>
      <c r="I139" s="104">
        <f t="shared" si="141"/>
        <v>0</v>
      </c>
      <c r="J139" s="104">
        <f t="shared" si="141"/>
        <v>0</v>
      </c>
      <c r="K139" s="104">
        <f t="shared" si="141"/>
        <v>0</v>
      </c>
      <c r="L139" s="104">
        <f t="shared" si="141"/>
        <v>0</v>
      </c>
      <c r="M139" s="104">
        <f t="shared" si="141"/>
        <v>0</v>
      </c>
      <c r="N139" s="104">
        <f>IF(AND($B$9&gt;=N38,$B$9&lt;C62),1,IF(AND($B$9&lt;=N38,$I$9&gt;=C62),M139+1,0))</f>
        <v>0</v>
      </c>
      <c r="O139" s="12"/>
      <c r="P139" s="12"/>
      <c r="Q139" s="12"/>
      <c r="R139" s="12"/>
      <c r="S139" s="12"/>
      <c r="T139" s="12"/>
      <c r="U139" s="12"/>
      <c r="V139" s="12"/>
      <c r="W139" s="12"/>
      <c r="X139" s="12"/>
      <c r="Y139" s="12"/>
      <c r="Z139" s="12"/>
      <c r="AA139" s="12"/>
      <c r="AB139" s="12"/>
    </row>
    <row r="140" ht="15.75" customHeight="1">
      <c r="A140" s="12"/>
      <c r="B140" s="12" t="s">
        <v>109</v>
      </c>
      <c r="C140" s="104">
        <f>IF(AND($B$9&gt;=C62,$B$9&lt;D62),1,IF(AND($B$9&lt;=C62,$I$9&gt;D62),N139+1,0))</f>
        <v>0</v>
      </c>
      <c r="D140" s="104">
        <f t="shared" ref="D140:M140" si="142">IF(AND($B$9&gt;=D62,$B$9&lt;E62),1,IF(AND($B$9&lt;=D62,$I$9&gt;=E62),C140+1,0))</f>
        <v>0</v>
      </c>
      <c r="E140" s="104">
        <f t="shared" si="142"/>
        <v>0</v>
      </c>
      <c r="F140" s="104">
        <f t="shared" si="142"/>
        <v>0</v>
      </c>
      <c r="G140" s="104">
        <f t="shared" si="142"/>
        <v>0</v>
      </c>
      <c r="H140" s="104">
        <f t="shared" si="142"/>
        <v>0</v>
      </c>
      <c r="I140" s="104">
        <f t="shared" si="142"/>
        <v>0</v>
      </c>
      <c r="J140" s="104">
        <f t="shared" si="142"/>
        <v>0</v>
      </c>
      <c r="K140" s="104">
        <f t="shared" si="142"/>
        <v>0</v>
      </c>
      <c r="L140" s="104">
        <f t="shared" si="142"/>
        <v>0</v>
      </c>
      <c r="M140" s="104">
        <f t="shared" si="142"/>
        <v>0</v>
      </c>
      <c r="N140" s="104">
        <f>IF(AND($B$9&gt;=N62,$B$9&lt;C86),1,IF(AND($B$9&lt;=N62,$I$9&gt;=C86),M140+1,0))</f>
        <v>0</v>
      </c>
      <c r="O140" s="12"/>
      <c r="P140" s="12"/>
      <c r="Q140" s="12"/>
      <c r="R140" s="12"/>
      <c r="S140" s="12"/>
      <c r="T140" s="12"/>
      <c r="U140" s="12"/>
      <c r="V140" s="12"/>
      <c r="W140" s="12"/>
      <c r="X140" s="12"/>
      <c r="Y140" s="12"/>
      <c r="Z140" s="12"/>
      <c r="AA140" s="12"/>
      <c r="AB140" s="12"/>
    </row>
    <row r="141" ht="15.75" customHeight="1">
      <c r="A141" s="12"/>
      <c r="B141" s="12" t="s">
        <v>110</v>
      </c>
      <c r="C141" s="104">
        <f>IF(AND($B$9&gt;=C86,$B$9&lt;D86),1,IF(AND($B$9&lt;=C86,$I$9&gt;D86),N140+1,0))</f>
        <v>0</v>
      </c>
      <c r="D141" s="104">
        <f t="shared" ref="D141:M141" si="143">IF(AND($B$9&gt;=D86,$B$9&lt;E86),1,IF(AND($B$9&lt;=D86,$I$9&gt;=E86),C141+1,0))</f>
        <v>0</v>
      </c>
      <c r="E141" s="104">
        <f t="shared" si="143"/>
        <v>0</v>
      </c>
      <c r="F141" s="104">
        <f t="shared" si="143"/>
        <v>0</v>
      </c>
      <c r="G141" s="104">
        <f t="shared" si="143"/>
        <v>0</v>
      </c>
      <c r="H141" s="104">
        <f t="shared" si="143"/>
        <v>0</v>
      </c>
      <c r="I141" s="104">
        <f t="shared" si="143"/>
        <v>0</v>
      </c>
      <c r="J141" s="104">
        <f t="shared" si="143"/>
        <v>0</v>
      </c>
      <c r="K141" s="104">
        <f t="shared" si="143"/>
        <v>0</v>
      </c>
      <c r="L141" s="104">
        <f t="shared" si="143"/>
        <v>0</v>
      </c>
      <c r="M141" s="104">
        <f t="shared" si="143"/>
        <v>0</v>
      </c>
      <c r="N141" s="104">
        <f>IF(AND($B$9&gt;=N86,$B$9&lt;C109),1,IF(AND($B$9&lt;=N86,$I$9&gt;=C109),M141+1,0))</f>
        <v>0</v>
      </c>
      <c r="O141" s="12"/>
      <c r="P141" s="12"/>
      <c r="Q141" s="12"/>
      <c r="R141" s="12"/>
      <c r="S141" s="12"/>
      <c r="T141" s="12"/>
      <c r="U141" s="12"/>
      <c r="V141" s="12"/>
      <c r="W141" s="12"/>
      <c r="X141" s="12"/>
      <c r="Y141" s="12"/>
      <c r="Z141" s="12"/>
      <c r="AA141" s="12"/>
      <c r="AB141" s="12"/>
    </row>
    <row r="142" ht="15.75" customHeight="1">
      <c r="A142" s="12"/>
      <c r="B142" s="12" t="s">
        <v>111</v>
      </c>
      <c r="C142" s="104">
        <f>IF(AND($B$9&gt;=C109,$B$9&lt;D109),1,IF(AND($B$9&lt;=C109,$I$9&gt;D109),N141+1,0))</f>
        <v>0</v>
      </c>
      <c r="D142" s="104">
        <f t="shared" ref="D142:M142" si="144">IF(AND($B$9&gt;=D109,$B$9&lt;E109),1,IF(AND($B$9&lt;=D109,$I$9&gt;=E109),C142+1,0))</f>
        <v>0</v>
      </c>
      <c r="E142" s="104">
        <f t="shared" si="144"/>
        <v>0</v>
      </c>
      <c r="F142" s="104">
        <f t="shared" si="144"/>
        <v>0</v>
      </c>
      <c r="G142" s="104">
        <f t="shared" si="144"/>
        <v>0</v>
      </c>
      <c r="H142" s="104">
        <f t="shared" si="144"/>
        <v>0</v>
      </c>
      <c r="I142" s="104">
        <f t="shared" si="144"/>
        <v>0</v>
      </c>
      <c r="J142" s="104">
        <f t="shared" si="144"/>
        <v>0</v>
      </c>
      <c r="K142" s="104">
        <f t="shared" si="144"/>
        <v>0</v>
      </c>
      <c r="L142" s="104">
        <f t="shared" si="144"/>
        <v>0</v>
      </c>
      <c r="M142" s="104">
        <f t="shared" si="144"/>
        <v>0</v>
      </c>
      <c r="N142" s="104">
        <f>IF(AND($B$9&gt;=N109,$B$9&lt;O107),1,IF(AND($B$9&lt;=N109,$I$9&gt;=O107),M142+1,0))</f>
        <v>0</v>
      </c>
      <c r="O142" s="12"/>
      <c r="P142" s="12"/>
      <c r="Q142" s="12"/>
      <c r="R142" s="12"/>
      <c r="S142" s="12"/>
      <c r="T142" s="12"/>
      <c r="U142" s="12"/>
      <c r="V142" s="12"/>
      <c r="W142" s="12"/>
      <c r="X142" s="12"/>
      <c r="Y142" s="12"/>
      <c r="Z142" s="12"/>
      <c r="AA142" s="12"/>
      <c r="AB142" s="12"/>
    </row>
    <row r="143" ht="15.75" customHeight="1">
      <c r="A143" s="12"/>
      <c r="B143" s="12"/>
      <c r="C143" s="104"/>
      <c r="D143" s="104"/>
      <c r="E143" s="104"/>
      <c r="F143" s="104"/>
      <c r="G143" s="104"/>
      <c r="H143" s="104"/>
      <c r="I143" s="104"/>
      <c r="J143" s="104"/>
      <c r="K143" s="104"/>
      <c r="L143" s="104"/>
      <c r="M143" s="104"/>
      <c r="N143" s="104"/>
      <c r="O143" s="12"/>
      <c r="P143" s="12"/>
      <c r="Q143" s="12"/>
      <c r="R143" s="12"/>
      <c r="S143" s="12"/>
      <c r="T143" s="12"/>
      <c r="U143" s="12"/>
      <c r="V143" s="12"/>
      <c r="W143" s="12"/>
      <c r="X143" s="12"/>
      <c r="Y143" s="12"/>
      <c r="Z143" s="12"/>
      <c r="AA143" s="12"/>
      <c r="AB143" s="12"/>
    </row>
    <row r="144" ht="15.75" customHeight="1">
      <c r="A144" s="502" t="s">
        <v>298</v>
      </c>
      <c r="B144" s="502" t="s">
        <v>315</v>
      </c>
      <c r="C144" s="268">
        <f>IF(AND($B$10&gt;=C15,$B$10&lt;D15),1,0)</f>
        <v>1</v>
      </c>
      <c r="D144" s="268">
        <f t="shared" ref="D144:M144" si="145">IF(AND($B$10&gt;=D15,$B$10&lt;E15),1,IF(AND($B$10&lt;=D15,$I$10&gt;=E15),C144+1,0))</f>
        <v>0</v>
      </c>
      <c r="E144" s="268">
        <f t="shared" si="145"/>
        <v>0</v>
      </c>
      <c r="F144" s="268">
        <f t="shared" si="145"/>
        <v>0</v>
      </c>
      <c r="G144" s="268">
        <f t="shared" si="145"/>
        <v>0</v>
      </c>
      <c r="H144" s="268">
        <f t="shared" si="145"/>
        <v>0</v>
      </c>
      <c r="I144" s="268">
        <f t="shared" si="145"/>
        <v>0</v>
      </c>
      <c r="J144" s="268">
        <f t="shared" si="145"/>
        <v>0</v>
      </c>
      <c r="K144" s="268">
        <f t="shared" si="145"/>
        <v>0</v>
      </c>
      <c r="L144" s="268">
        <f t="shared" si="145"/>
        <v>0</v>
      </c>
      <c r="M144" s="268">
        <f t="shared" si="145"/>
        <v>0</v>
      </c>
      <c r="N144" s="268">
        <f>IF(AND($B$10&gt;=N15,$B$10&lt;C38),1,IF(AND($B$10&lt;=N15,$I$10&gt;=C38),M144+1,0))</f>
        <v>0</v>
      </c>
      <c r="O144" s="12"/>
      <c r="P144" s="12"/>
      <c r="Q144" s="12"/>
      <c r="R144" s="12"/>
      <c r="S144" s="12"/>
      <c r="T144" s="12"/>
      <c r="U144" s="12"/>
      <c r="V144" s="12"/>
      <c r="W144" s="12"/>
      <c r="X144" s="12"/>
      <c r="Y144" s="12"/>
      <c r="Z144" s="12"/>
      <c r="AA144" s="12"/>
      <c r="AB144" s="12"/>
    </row>
    <row r="145" ht="15.75" customHeight="1">
      <c r="A145" s="12"/>
      <c r="B145" s="12" t="s">
        <v>107</v>
      </c>
      <c r="C145" s="104">
        <f>IF(AND($B$10&gt;=C38,$B$10&lt;D38),1,IF(AND($B$10&lt;=C38,$I$10&gt;=D38),N144+1,0))</f>
        <v>0</v>
      </c>
      <c r="D145" s="104">
        <f t="shared" ref="D145:M145" si="146">IF(AND($B$10&gt;=D38,$B$10&lt;E38),1,IF(AND($B$10&lt;=D38,$I$10&gt;=E38),C145+1,0))</f>
        <v>0</v>
      </c>
      <c r="E145" s="104">
        <f t="shared" si="146"/>
        <v>0</v>
      </c>
      <c r="F145" s="104">
        <f t="shared" si="146"/>
        <v>0</v>
      </c>
      <c r="G145" s="104">
        <f t="shared" si="146"/>
        <v>0</v>
      </c>
      <c r="H145" s="104">
        <f t="shared" si="146"/>
        <v>0</v>
      </c>
      <c r="I145" s="104">
        <f t="shared" si="146"/>
        <v>0</v>
      </c>
      <c r="J145" s="104">
        <f t="shared" si="146"/>
        <v>0</v>
      </c>
      <c r="K145" s="104">
        <f t="shared" si="146"/>
        <v>0</v>
      </c>
      <c r="L145" s="104">
        <f t="shared" si="146"/>
        <v>0</v>
      </c>
      <c r="M145" s="104">
        <f t="shared" si="146"/>
        <v>0</v>
      </c>
      <c r="N145" s="104">
        <f>IF(AND($B$10&gt;=N38,$B$10&lt;C62),1,IF(AND($B$10&lt;=N38,$I$10&gt;=C62),M145+1,0))</f>
        <v>0</v>
      </c>
      <c r="O145" s="12"/>
      <c r="P145" s="12"/>
      <c r="Q145" s="12"/>
      <c r="R145" s="12"/>
      <c r="S145" s="12"/>
      <c r="T145" s="12"/>
      <c r="U145" s="12"/>
      <c r="V145" s="12"/>
      <c r="W145" s="12"/>
      <c r="X145" s="12"/>
      <c r="Y145" s="12"/>
      <c r="Z145" s="12"/>
      <c r="AA145" s="12"/>
      <c r="AB145" s="12"/>
    </row>
    <row r="146" ht="15.75" customHeight="1">
      <c r="A146" s="12"/>
      <c r="B146" s="12" t="s">
        <v>109</v>
      </c>
      <c r="C146" s="104">
        <f>IF(AND($B$10&gt;=C62,$B$10&lt;D62),1,IF(AND($B$10&lt;=C62,$I$10&gt;=D62),N145+1,0))</f>
        <v>0</v>
      </c>
      <c r="D146" s="104">
        <f t="shared" ref="D146:M146" si="147">IF(AND($B$10&gt;=D62,$B$10&lt;E62),1,IF(AND($B$10&lt;=D62,$I$10&gt;=E62),C146+1,0))</f>
        <v>0</v>
      </c>
      <c r="E146" s="104">
        <f t="shared" si="147"/>
        <v>0</v>
      </c>
      <c r="F146" s="104">
        <f t="shared" si="147"/>
        <v>0</v>
      </c>
      <c r="G146" s="104">
        <f t="shared" si="147"/>
        <v>0</v>
      </c>
      <c r="H146" s="104">
        <f t="shared" si="147"/>
        <v>0</v>
      </c>
      <c r="I146" s="104">
        <f t="shared" si="147"/>
        <v>0</v>
      </c>
      <c r="J146" s="104">
        <f t="shared" si="147"/>
        <v>0</v>
      </c>
      <c r="K146" s="104">
        <f t="shared" si="147"/>
        <v>0</v>
      </c>
      <c r="L146" s="104">
        <f t="shared" si="147"/>
        <v>0</v>
      </c>
      <c r="M146" s="104">
        <f t="shared" si="147"/>
        <v>0</v>
      </c>
      <c r="N146" s="104">
        <f>IF(AND($B$10&gt;=N62,$B$10&lt;C86),1,IF(AND($B$10&lt;=N62,$I$10&gt;=C86),M146+1,0))</f>
        <v>0</v>
      </c>
      <c r="O146" s="12"/>
      <c r="P146" s="12"/>
      <c r="Q146" s="12"/>
      <c r="R146" s="12"/>
      <c r="S146" s="12"/>
      <c r="T146" s="12"/>
      <c r="U146" s="12"/>
      <c r="V146" s="12"/>
      <c r="W146" s="12"/>
      <c r="X146" s="12"/>
      <c r="Y146" s="12"/>
      <c r="Z146" s="12"/>
      <c r="AA146" s="12"/>
      <c r="AB146" s="12"/>
    </row>
    <row r="147" ht="15.75" customHeight="1">
      <c r="A147" s="12"/>
      <c r="B147" s="12" t="s">
        <v>110</v>
      </c>
      <c r="C147" s="104">
        <f>IF(AND($B$10&gt;=C86,$B$10&lt;D86),1,IF(AND($B$10&lt;=C86,$I$10&gt;=D86),N146+1,0))</f>
        <v>0</v>
      </c>
      <c r="D147" s="104">
        <f t="shared" ref="D147:M147" si="148">IF(AND($B$10&gt;=D86,$B$10&lt;E86),1,IF(AND($B$10&lt;=D86,$I$10&gt;=E86),C147+1,0))</f>
        <v>0</v>
      </c>
      <c r="E147" s="104">
        <f t="shared" si="148"/>
        <v>0</v>
      </c>
      <c r="F147" s="104">
        <f t="shared" si="148"/>
        <v>0</v>
      </c>
      <c r="G147" s="104">
        <f t="shared" si="148"/>
        <v>0</v>
      </c>
      <c r="H147" s="104">
        <f t="shared" si="148"/>
        <v>0</v>
      </c>
      <c r="I147" s="104">
        <f t="shared" si="148"/>
        <v>0</v>
      </c>
      <c r="J147" s="104">
        <f t="shared" si="148"/>
        <v>0</v>
      </c>
      <c r="K147" s="104">
        <f t="shared" si="148"/>
        <v>0</v>
      </c>
      <c r="L147" s="104">
        <f t="shared" si="148"/>
        <v>0</v>
      </c>
      <c r="M147" s="104">
        <f t="shared" si="148"/>
        <v>0</v>
      </c>
      <c r="N147" s="104">
        <f>IF(AND($B$10&gt;=N86,$B$10&lt;C109),1,IF(AND($B$10&lt;=N86,$I$10&gt;=C109),M147+1,0))</f>
        <v>0</v>
      </c>
      <c r="O147" s="12"/>
      <c r="P147" s="12"/>
      <c r="Q147" s="12"/>
      <c r="R147" s="12"/>
      <c r="S147" s="12"/>
      <c r="T147" s="12"/>
      <c r="U147" s="12"/>
      <c r="V147" s="12"/>
      <c r="W147" s="12"/>
      <c r="X147" s="12"/>
      <c r="Y147" s="12"/>
      <c r="Z147" s="12"/>
      <c r="AA147" s="12"/>
      <c r="AB147" s="12"/>
    </row>
    <row r="148" ht="15.75" customHeight="1">
      <c r="A148" s="12"/>
      <c r="B148" s="12" t="s">
        <v>111</v>
      </c>
      <c r="C148" s="104">
        <f>IF(AND($B$10&gt;=C109,$B$10&lt;D109),1,IF(AND($B$10&lt;=C109,$I$10&gt;=D109),N147+1,0))</f>
        <v>0</v>
      </c>
      <c r="D148" s="104">
        <f t="shared" ref="D148:M148" si="149">IF(AND($B$10&gt;=D109,$B$10&lt;E109),1,IF(AND($B$10&lt;=D109,$I$10&gt;=E109),C148+1,0))</f>
        <v>0</v>
      </c>
      <c r="E148" s="104">
        <f t="shared" si="149"/>
        <v>0</v>
      </c>
      <c r="F148" s="104">
        <f t="shared" si="149"/>
        <v>0</v>
      </c>
      <c r="G148" s="104">
        <f t="shared" si="149"/>
        <v>0</v>
      </c>
      <c r="H148" s="104">
        <f t="shared" si="149"/>
        <v>0</v>
      </c>
      <c r="I148" s="104">
        <f t="shared" si="149"/>
        <v>0</v>
      </c>
      <c r="J148" s="104">
        <f t="shared" si="149"/>
        <v>0</v>
      </c>
      <c r="K148" s="104">
        <f t="shared" si="149"/>
        <v>0</v>
      </c>
      <c r="L148" s="104">
        <f t="shared" si="149"/>
        <v>0</v>
      </c>
      <c r="M148" s="104">
        <f t="shared" si="149"/>
        <v>0</v>
      </c>
      <c r="N148" s="104">
        <f>IF(AND($B$10&gt;=N109,$B$10&lt;O107),1,IF(AND($B$10&lt;=N109,$I$10&gt;=O107),M148+1,0))</f>
        <v>0</v>
      </c>
      <c r="O148" s="12"/>
      <c r="P148" s="12"/>
      <c r="Q148" s="12"/>
      <c r="R148" s="12"/>
      <c r="S148" s="12"/>
      <c r="T148" s="12"/>
      <c r="U148" s="12"/>
      <c r="V148" s="12"/>
      <c r="W148" s="12"/>
      <c r="X148" s="12"/>
      <c r="Y148" s="12"/>
      <c r="Z148" s="12"/>
      <c r="AA148" s="12"/>
      <c r="AB148" s="12"/>
    </row>
    <row r="149" ht="15.75" customHeight="1">
      <c r="A149" s="12"/>
      <c r="B149" s="12"/>
      <c r="C149" s="104"/>
      <c r="D149" s="104"/>
      <c r="E149" s="104"/>
      <c r="F149" s="104"/>
      <c r="G149" s="104"/>
      <c r="H149" s="104"/>
      <c r="I149" s="104"/>
      <c r="J149" s="104"/>
      <c r="K149" s="104"/>
      <c r="L149" s="104"/>
      <c r="M149" s="104"/>
      <c r="N149" s="104"/>
      <c r="O149" s="12"/>
      <c r="P149" s="12"/>
      <c r="Q149" s="12"/>
      <c r="R149" s="12"/>
      <c r="S149" s="12"/>
      <c r="T149" s="12"/>
      <c r="U149" s="12"/>
      <c r="V149" s="12"/>
      <c r="W149" s="12"/>
      <c r="X149" s="12"/>
      <c r="Y149" s="12"/>
      <c r="Z149" s="12"/>
      <c r="AA149" s="12"/>
      <c r="AB149" s="12"/>
    </row>
    <row r="150" ht="15.75" customHeight="1">
      <c r="A150" s="502" t="s">
        <v>524</v>
      </c>
      <c r="B150" s="502" t="s">
        <v>315</v>
      </c>
      <c r="C150" s="268">
        <f>IF(AND($B$11&gt;=C15,$B$11&lt;D15),1,0)</f>
        <v>1</v>
      </c>
      <c r="D150" s="268">
        <f t="shared" ref="D150:M150" si="150">IF(AND($B$11&gt;=D15,$B$11&lt;E15),1,IF(AND($B$11&lt;=D15,$I$11&gt;=E15),C150+1,0))</f>
        <v>0</v>
      </c>
      <c r="E150" s="268">
        <f t="shared" si="150"/>
        <v>0</v>
      </c>
      <c r="F150" s="268">
        <f t="shared" si="150"/>
        <v>0</v>
      </c>
      <c r="G150" s="268">
        <f t="shared" si="150"/>
        <v>0</v>
      </c>
      <c r="H150" s="268">
        <f t="shared" si="150"/>
        <v>0</v>
      </c>
      <c r="I150" s="268">
        <f t="shared" si="150"/>
        <v>0</v>
      </c>
      <c r="J150" s="268">
        <f t="shared" si="150"/>
        <v>0</v>
      </c>
      <c r="K150" s="268">
        <f t="shared" si="150"/>
        <v>0</v>
      </c>
      <c r="L150" s="268">
        <f t="shared" si="150"/>
        <v>0</v>
      </c>
      <c r="M150" s="268">
        <f t="shared" si="150"/>
        <v>0</v>
      </c>
      <c r="N150" s="268">
        <f>IF(AND($B$11&gt;=N15,$B$11&lt;C38),1,IF(AND($B$11&lt;=N15,$I$11&gt;=C38),M150+1,0))</f>
        <v>0</v>
      </c>
      <c r="O150" s="12"/>
      <c r="P150" s="12"/>
      <c r="Q150" s="12"/>
      <c r="R150" s="12"/>
      <c r="S150" s="12"/>
      <c r="T150" s="12"/>
      <c r="U150" s="12"/>
      <c r="V150" s="12"/>
      <c r="W150" s="12"/>
      <c r="X150" s="12"/>
      <c r="Y150" s="12"/>
      <c r="Z150" s="12"/>
      <c r="AA150" s="12"/>
      <c r="AB150" s="12"/>
    </row>
    <row r="151" ht="15.75" customHeight="1">
      <c r="A151" s="12"/>
      <c r="B151" s="12" t="s">
        <v>107</v>
      </c>
      <c r="C151" s="104">
        <f>IF(AND($B$11&gt;=C38,$B$11&lt;D38),1,IF(AND($B$11&lt;=C38,$I$11&gt;=D38),N150+1,0))</f>
        <v>0</v>
      </c>
      <c r="D151" s="104">
        <f t="shared" ref="D151:M151" si="151">IF(AND($B$11&gt;=D38,$B$11&lt;E38),1,IF(AND($B$11&lt;=D38,$I$11&gt;=E38),C151+1,0))</f>
        <v>0</v>
      </c>
      <c r="E151" s="104">
        <f t="shared" si="151"/>
        <v>0</v>
      </c>
      <c r="F151" s="104">
        <f t="shared" si="151"/>
        <v>0</v>
      </c>
      <c r="G151" s="104">
        <f t="shared" si="151"/>
        <v>0</v>
      </c>
      <c r="H151" s="104">
        <f t="shared" si="151"/>
        <v>0</v>
      </c>
      <c r="I151" s="104">
        <f t="shared" si="151"/>
        <v>0</v>
      </c>
      <c r="J151" s="104">
        <f t="shared" si="151"/>
        <v>0</v>
      </c>
      <c r="K151" s="104">
        <f t="shared" si="151"/>
        <v>0</v>
      </c>
      <c r="L151" s="104">
        <f t="shared" si="151"/>
        <v>0</v>
      </c>
      <c r="M151" s="104">
        <f t="shared" si="151"/>
        <v>0</v>
      </c>
      <c r="N151" s="104">
        <f>IF(AND($B$11&gt;=N38,$B$11&lt;C62),1,IF(AND($B$11&lt;=N38,$I$11&gt;=C62),M151+1,0))</f>
        <v>0</v>
      </c>
      <c r="O151" s="12"/>
      <c r="P151" s="12"/>
      <c r="Q151" s="12"/>
      <c r="R151" s="12"/>
      <c r="S151" s="12"/>
      <c r="T151" s="12"/>
      <c r="U151" s="12"/>
      <c r="V151" s="12"/>
      <c r="W151" s="12"/>
      <c r="X151" s="12"/>
      <c r="Y151" s="12"/>
      <c r="Z151" s="12"/>
      <c r="AA151" s="12"/>
      <c r="AB151" s="12"/>
    </row>
    <row r="152" ht="15.75" customHeight="1">
      <c r="A152" s="12"/>
      <c r="B152" s="12" t="s">
        <v>109</v>
      </c>
      <c r="C152" s="104">
        <f>IF(AND($B$11&gt;=C62,$B$11&lt;D62),1,IF(AND($B$11&lt;=C62,$I$11&gt;=D62),N151+1,0))</f>
        <v>0</v>
      </c>
      <c r="D152" s="104">
        <f t="shared" ref="D152:M152" si="152">IF(AND($B$11&gt;=D62,$B$11&lt;E62),1,IF(AND($B$11&lt;=D62,$I$11&gt;=E62),C152+1,0))</f>
        <v>0</v>
      </c>
      <c r="E152" s="104">
        <f t="shared" si="152"/>
        <v>0</v>
      </c>
      <c r="F152" s="104">
        <f t="shared" si="152"/>
        <v>0</v>
      </c>
      <c r="G152" s="104">
        <f t="shared" si="152"/>
        <v>0</v>
      </c>
      <c r="H152" s="104">
        <f t="shared" si="152"/>
        <v>0</v>
      </c>
      <c r="I152" s="104">
        <f t="shared" si="152"/>
        <v>0</v>
      </c>
      <c r="J152" s="104">
        <f t="shared" si="152"/>
        <v>0</v>
      </c>
      <c r="K152" s="104">
        <f t="shared" si="152"/>
        <v>0</v>
      </c>
      <c r="L152" s="104">
        <f t="shared" si="152"/>
        <v>0</v>
      </c>
      <c r="M152" s="104">
        <f t="shared" si="152"/>
        <v>0</v>
      </c>
      <c r="N152" s="104">
        <f>IF(AND($B$11&gt;=N62,$B$11&lt;C86),1,IF(AND($B$11&lt;=N62,$I$11&gt;=C86),M152+1,0))</f>
        <v>0</v>
      </c>
      <c r="O152" s="12"/>
      <c r="P152" s="12"/>
      <c r="Q152" s="12"/>
      <c r="R152" s="12"/>
      <c r="S152" s="12"/>
      <c r="T152" s="12"/>
      <c r="U152" s="12"/>
      <c r="V152" s="12"/>
      <c r="W152" s="12"/>
      <c r="X152" s="12"/>
      <c r="Y152" s="12"/>
      <c r="Z152" s="12"/>
      <c r="AA152" s="12"/>
      <c r="AB152" s="12"/>
    </row>
    <row r="153" ht="15.75" customHeight="1">
      <c r="A153" s="12"/>
      <c r="B153" s="12" t="s">
        <v>110</v>
      </c>
      <c r="C153" s="104">
        <f>IF(AND($B$11&gt;=C86,$B$11&lt;D86),1,IF(AND($B$11&lt;=C86,$I$11&gt;=D86),N152+1,0))</f>
        <v>0</v>
      </c>
      <c r="D153" s="104">
        <f t="shared" ref="D153:M153" si="153">IF(AND($B$11&gt;=D86,$B$11&lt;E86),1,IF(AND($B$11&lt;=D86,$I$11&gt;=E86),C153+1,0))</f>
        <v>0</v>
      </c>
      <c r="E153" s="104">
        <f t="shared" si="153"/>
        <v>0</v>
      </c>
      <c r="F153" s="104">
        <f t="shared" si="153"/>
        <v>0</v>
      </c>
      <c r="G153" s="104">
        <f t="shared" si="153"/>
        <v>0</v>
      </c>
      <c r="H153" s="104">
        <f t="shared" si="153"/>
        <v>0</v>
      </c>
      <c r="I153" s="104">
        <f t="shared" si="153"/>
        <v>0</v>
      </c>
      <c r="J153" s="104">
        <f t="shared" si="153"/>
        <v>0</v>
      </c>
      <c r="K153" s="104">
        <f t="shared" si="153"/>
        <v>0</v>
      </c>
      <c r="L153" s="104">
        <f t="shared" si="153"/>
        <v>0</v>
      </c>
      <c r="M153" s="104">
        <f t="shared" si="153"/>
        <v>0</v>
      </c>
      <c r="N153" s="104">
        <f>IF(AND($B$11&gt;=N86,$B$11&lt;C109),1,IF(AND($B$11&lt;=N86,$I$11&gt;=C109),M153+1,0))</f>
        <v>0</v>
      </c>
      <c r="O153" s="12"/>
      <c r="P153" s="12"/>
      <c r="Q153" s="12"/>
      <c r="R153" s="12"/>
      <c r="S153" s="12"/>
      <c r="T153" s="12"/>
      <c r="U153" s="12"/>
      <c r="V153" s="12"/>
      <c r="W153" s="12"/>
      <c r="X153" s="12"/>
      <c r="Y153" s="12"/>
      <c r="Z153" s="12"/>
      <c r="AA153" s="12"/>
      <c r="AB153" s="12"/>
    </row>
    <row r="154" ht="15.75" customHeight="1">
      <c r="A154" s="12"/>
      <c r="B154" s="12" t="s">
        <v>111</v>
      </c>
      <c r="C154" s="104">
        <f>IF(AND($B$11&gt;=C109,$B$11&lt;D109),1,IF(AND($B$11&lt;=C109,$I$11&gt;=D109),N153+1,0))</f>
        <v>0</v>
      </c>
      <c r="D154" s="104">
        <f t="shared" ref="D154:M154" si="154">IF(AND($B$11&gt;=D109,$B$11&lt;E109),1,IF(AND($B$11&lt;=D109,$I$11&gt;=E109),C154+1,0))</f>
        <v>0</v>
      </c>
      <c r="E154" s="104">
        <f t="shared" si="154"/>
        <v>0</v>
      </c>
      <c r="F154" s="104">
        <f t="shared" si="154"/>
        <v>0</v>
      </c>
      <c r="G154" s="104">
        <f t="shared" si="154"/>
        <v>0</v>
      </c>
      <c r="H154" s="104">
        <f t="shared" si="154"/>
        <v>0</v>
      </c>
      <c r="I154" s="104">
        <f t="shared" si="154"/>
        <v>0</v>
      </c>
      <c r="J154" s="104">
        <f t="shared" si="154"/>
        <v>0</v>
      </c>
      <c r="K154" s="104">
        <f t="shared" si="154"/>
        <v>0</v>
      </c>
      <c r="L154" s="104">
        <f t="shared" si="154"/>
        <v>0</v>
      </c>
      <c r="M154" s="104">
        <f t="shared" si="154"/>
        <v>0</v>
      </c>
      <c r="N154" s="104">
        <f>IF(AND($B$11&gt;=N109,$B$11&lt;O107),1,IF(AND($B$11&lt;=N109,$I$11&gt;=O107),M154+1,0))</f>
        <v>0</v>
      </c>
      <c r="O154" s="12"/>
      <c r="P154" s="12"/>
      <c r="Q154" s="12"/>
      <c r="R154" s="12"/>
      <c r="S154" s="12"/>
      <c r="T154" s="12"/>
      <c r="U154" s="12"/>
      <c r="V154" s="12"/>
      <c r="W154" s="12"/>
      <c r="X154" s="12"/>
      <c r="Y154" s="12"/>
      <c r="Z154" s="12"/>
      <c r="AA154" s="12"/>
      <c r="AB154" s="12"/>
    </row>
    <row r="155" ht="15.75" customHeight="1">
      <c r="A155" s="12"/>
      <c r="B155" s="12"/>
      <c r="C155" s="104"/>
      <c r="D155" s="104"/>
      <c r="E155" s="104"/>
      <c r="F155" s="104"/>
      <c r="G155" s="104"/>
      <c r="H155" s="104"/>
      <c r="I155" s="104"/>
      <c r="J155" s="104"/>
      <c r="K155" s="104"/>
      <c r="L155" s="104"/>
      <c r="M155" s="104"/>
      <c r="N155" s="104"/>
      <c r="O155" s="12"/>
      <c r="P155" s="12"/>
      <c r="Q155" s="12"/>
      <c r="R155" s="12"/>
      <c r="S155" s="12"/>
      <c r="T155" s="12"/>
      <c r="U155" s="12"/>
      <c r="V155" s="12"/>
      <c r="W155" s="12"/>
      <c r="X155" s="12"/>
      <c r="Y155" s="12"/>
      <c r="Z155" s="12"/>
      <c r="AA155" s="12"/>
      <c r="AB155" s="12"/>
    </row>
    <row r="156" ht="15.75" customHeight="1">
      <c r="A156" s="502" t="s">
        <v>302</v>
      </c>
      <c r="B156" s="502" t="s">
        <v>315</v>
      </c>
      <c r="C156" s="268">
        <f>IF(AND($B$12&gt;=C15,$B$12&lt;D15),1,0)</f>
        <v>1</v>
      </c>
      <c r="D156" s="268">
        <f t="shared" ref="D156:M156" si="155">IF(AND($B$12&gt;=D15,$B$12&lt;E15),1,IF(AND($B$12&lt;=D15,$I$12&gt;=E15),C156+1,0))</f>
        <v>0</v>
      </c>
      <c r="E156" s="268">
        <f t="shared" si="155"/>
        <v>0</v>
      </c>
      <c r="F156" s="268">
        <f t="shared" si="155"/>
        <v>0</v>
      </c>
      <c r="G156" s="268">
        <f t="shared" si="155"/>
        <v>0</v>
      </c>
      <c r="H156" s="268">
        <f t="shared" si="155"/>
        <v>0</v>
      </c>
      <c r="I156" s="268">
        <f t="shared" si="155"/>
        <v>0</v>
      </c>
      <c r="J156" s="268">
        <f t="shared" si="155"/>
        <v>0</v>
      </c>
      <c r="K156" s="268">
        <f t="shared" si="155"/>
        <v>0</v>
      </c>
      <c r="L156" s="268">
        <f t="shared" si="155"/>
        <v>0</v>
      </c>
      <c r="M156" s="268">
        <f t="shared" si="155"/>
        <v>0</v>
      </c>
      <c r="N156" s="268">
        <f>IF(AND($B$12&gt;=N15,$B$12&lt;C38),1,IF(AND($B$12&lt;=N15,$I$12&gt;=C38),M156+1,0))</f>
        <v>0</v>
      </c>
      <c r="O156" s="12"/>
      <c r="P156" s="12"/>
      <c r="Q156" s="12"/>
      <c r="R156" s="12"/>
      <c r="S156" s="12"/>
      <c r="T156" s="12"/>
      <c r="U156" s="12"/>
      <c r="V156" s="12"/>
      <c r="W156" s="12"/>
      <c r="X156" s="12"/>
      <c r="Y156" s="12"/>
      <c r="Z156" s="12"/>
      <c r="AA156" s="12"/>
      <c r="AB156" s="12"/>
    </row>
    <row r="157" ht="15.75" customHeight="1">
      <c r="A157" s="12"/>
      <c r="B157" s="12" t="s">
        <v>107</v>
      </c>
      <c r="C157" s="104">
        <f>IF(AND($B$12&gt;=C38,$B$12&lt;D38),1,IF(AND($B$12&lt;=C38,$I$12&gt;=D38),N156+1,0))</f>
        <v>0</v>
      </c>
      <c r="D157" s="104">
        <f t="shared" ref="D157:M157" si="156">IF(AND($B$12&gt;=D38,$B$12&lt;E38),1,IF(AND($B$12&lt;=D38,$I$12&gt;=E38),C157+1,0))</f>
        <v>0</v>
      </c>
      <c r="E157" s="104">
        <f t="shared" si="156"/>
        <v>0</v>
      </c>
      <c r="F157" s="104">
        <f t="shared" si="156"/>
        <v>0</v>
      </c>
      <c r="G157" s="104">
        <f t="shared" si="156"/>
        <v>0</v>
      </c>
      <c r="H157" s="104">
        <f t="shared" si="156"/>
        <v>0</v>
      </c>
      <c r="I157" s="104">
        <f t="shared" si="156"/>
        <v>0</v>
      </c>
      <c r="J157" s="104">
        <f t="shared" si="156"/>
        <v>0</v>
      </c>
      <c r="K157" s="104">
        <f t="shared" si="156"/>
        <v>0</v>
      </c>
      <c r="L157" s="104">
        <f t="shared" si="156"/>
        <v>0</v>
      </c>
      <c r="M157" s="104">
        <f t="shared" si="156"/>
        <v>0</v>
      </c>
      <c r="N157" s="104">
        <f>IF(AND($B$12&gt;=N38,$B$12&lt;C62),1,IF(AND($B$12&lt;=N38,$I$12&gt;=C62),M157+1,0))</f>
        <v>0</v>
      </c>
      <c r="O157" s="12"/>
      <c r="P157" s="12"/>
      <c r="Q157" s="12"/>
      <c r="R157" s="12"/>
      <c r="S157" s="12"/>
      <c r="T157" s="12"/>
      <c r="U157" s="12"/>
      <c r="V157" s="12"/>
      <c r="W157" s="12"/>
      <c r="X157" s="12"/>
      <c r="Y157" s="12"/>
      <c r="Z157" s="12"/>
      <c r="AA157" s="12"/>
      <c r="AB157" s="12"/>
    </row>
    <row r="158" ht="15.75" customHeight="1">
      <c r="A158" s="12"/>
      <c r="B158" s="12" t="s">
        <v>109</v>
      </c>
      <c r="C158" s="104">
        <f>IF(AND($B$12&gt;=C62,$B$12&lt;D62),1,IF(AND($B$12&lt;=C62,$I$12&gt;=D62),N157+1,0))</f>
        <v>0</v>
      </c>
      <c r="D158" s="104">
        <f t="shared" ref="D158:M158" si="157">IF(AND($B$12&gt;=D62,$B$12&lt;E62),1,IF(AND($B$12&lt;=D62,$I$12&gt;=E62),C158+1,0))</f>
        <v>0</v>
      </c>
      <c r="E158" s="104">
        <f t="shared" si="157"/>
        <v>0</v>
      </c>
      <c r="F158" s="104">
        <f t="shared" si="157"/>
        <v>0</v>
      </c>
      <c r="G158" s="104">
        <f t="shared" si="157"/>
        <v>0</v>
      </c>
      <c r="H158" s="104">
        <f t="shared" si="157"/>
        <v>0</v>
      </c>
      <c r="I158" s="104">
        <f t="shared" si="157"/>
        <v>0</v>
      </c>
      <c r="J158" s="104">
        <f t="shared" si="157"/>
        <v>0</v>
      </c>
      <c r="K158" s="104">
        <f t="shared" si="157"/>
        <v>0</v>
      </c>
      <c r="L158" s="104">
        <f t="shared" si="157"/>
        <v>0</v>
      </c>
      <c r="M158" s="104">
        <f t="shared" si="157"/>
        <v>0</v>
      </c>
      <c r="N158" s="104">
        <f>IF(AND($B$12&gt;=N62,$B$12&lt;C86),1,IF(AND($B$12&lt;=N62,$I$12&gt;=C86),M158+1,0))</f>
        <v>0</v>
      </c>
      <c r="O158" s="12"/>
      <c r="P158" s="12"/>
      <c r="Q158" s="12"/>
      <c r="R158" s="12"/>
      <c r="S158" s="12"/>
      <c r="T158" s="12"/>
      <c r="U158" s="12"/>
      <c r="V158" s="12"/>
      <c r="W158" s="12"/>
      <c r="X158" s="12"/>
      <c r="Y158" s="12"/>
      <c r="Z158" s="12"/>
      <c r="AA158" s="12"/>
      <c r="AB158" s="12"/>
    </row>
    <row r="159" ht="15.75" customHeight="1">
      <c r="A159" s="12"/>
      <c r="B159" s="12" t="s">
        <v>110</v>
      </c>
      <c r="C159" s="104">
        <f>IF(AND($B$12&gt;=C86,$B$12&lt;D86),1,IF(AND($B$12&lt;=C86,$I$12&gt;=D86),N158+1,0))</f>
        <v>0</v>
      </c>
      <c r="D159" s="104">
        <f t="shared" ref="D159:M159" si="158">IF(AND($B$12&gt;=D86,$B$12&lt;E86),1,IF(AND($B$12&lt;=D86,$I$12&gt;=E86),C159+1,0))</f>
        <v>0</v>
      </c>
      <c r="E159" s="104">
        <f t="shared" si="158"/>
        <v>0</v>
      </c>
      <c r="F159" s="104">
        <f t="shared" si="158"/>
        <v>0</v>
      </c>
      <c r="G159" s="104">
        <f t="shared" si="158"/>
        <v>0</v>
      </c>
      <c r="H159" s="104">
        <f t="shared" si="158"/>
        <v>0</v>
      </c>
      <c r="I159" s="104">
        <f t="shared" si="158"/>
        <v>0</v>
      </c>
      <c r="J159" s="104">
        <f t="shared" si="158"/>
        <v>0</v>
      </c>
      <c r="K159" s="104">
        <f t="shared" si="158"/>
        <v>0</v>
      </c>
      <c r="L159" s="104">
        <f t="shared" si="158"/>
        <v>0</v>
      </c>
      <c r="M159" s="104">
        <f t="shared" si="158"/>
        <v>0</v>
      </c>
      <c r="N159" s="104">
        <f>IF(AND($B$12&gt;=N86,$B$12&lt;C109),1,IF(AND($B$12&lt;=N86,$I$12&gt;=C109),M159+1,0))</f>
        <v>0</v>
      </c>
      <c r="O159" s="12"/>
      <c r="P159" s="12"/>
      <c r="Q159" s="12"/>
      <c r="R159" s="12"/>
      <c r="S159" s="12"/>
      <c r="T159" s="12"/>
      <c r="U159" s="12"/>
      <c r="V159" s="12"/>
      <c r="W159" s="12"/>
      <c r="X159" s="12"/>
      <c r="Y159" s="12"/>
      <c r="Z159" s="12"/>
      <c r="AA159" s="12"/>
      <c r="AB159" s="12"/>
    </row>
    <row r="160" ht="15.75" customHeight="1">
      <c r="A160" s="12"/>
      <c r="B160" s="12" t="s">
        <v>111</v>
      </c>
      <c r="C160" s="104">
        <f>IF(AND($B$12&gt;=C109,$B$12&lt;D109),1,IF(AND($B$12&lt;=C109,$I$12&gt;=D109),N159+1,0))</f>
        <v>0</v>
      </c>
      <c r="D160" s="104">
        <f t="shared" ref="D160:M160" si="159">IF(AND($B$12&gt;=D109,$B$12&lt;E109),1,IF(AND($B$12&lt;=D109,$I$12&gt;=E109),C160+1,0))</f>
        <v>0</v>
      </c>
      <c r="E160" s="104">
        <f t="shared" si="159"/>
        <v>0</v>
      </c>
      <c r="F160" s="104">
        <f t="shared" si="159"/>
        <v>0</v>
      </c>
      <c r="G160" s="104">
        <f t="shared" si="159"/>
        <v>0</v>
      </c>
      <c r="H160" s="104">
        <f t="shared" si="159"/>
        <v>0</v>
      </c>
      <c r="I160" s="104">
        <f t="shared" si="159"/>
        <v>0</v>
      </c>
      <c r="J160" s="104">
        <f t="shared" si="159"/>
        <v>0</v>
      </c>
      <c r="K160" s="104">
        <f t="shared" si="159"/>
        <v>0</v>
      </c>
      <c r="L160" s="104">
        <f t="shared" si="159"/>
        <v>0</v>
      </c>
      <c r="M160" s="104">
        <f t="shared" si="159"/>
        <v>0</v>
      </c>
      <c r="N160" s="104">
        <f>IF(AND($B$12&gt;=N109,$B$12&lt;O107),1,IF(AND($B$12&lt;=N109,$I$12&gt;=O107),M160+1,0))</f>
        <v>0</v>
      </c>
      <c r="O160" s="12"/>
      <c r="P160" s="12"/>
      <c r="Q160" s="12"/>
      <c r="R160" s="12"/>
      <c r="S160" s="12"/>
      <c r="T160" s="12"/>
      <c r="U160" s="12"/>
      <c r="V160" s="12"/>
      <c r="W160" s="12"/>
      <c r="X160" s="12"/>
      <c r="Y160" s="12"/>
      <c r="Z160" s="12"/>
      <c r="AA160" s="12"/>
      <c r="AB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C2"/>
    <mergeCell ref="J8:J13"/>
    <mergeCell ref="P8:P12"/>
    <mergeCell ref="W8:W12"/>
    <mergeCell ref="L3:O3"/>
  </mergeCells>
  <printOptions/>
  <pageMargins bottom="0.75" footer="0.0" header="0.0" left="0.29" right="0.29" top="0.48"/>
  <pageSetup orientation="landscape"/>
  <headerFooter>
    <oddFooter>&amp;CCopyright Protected - Guided Business Plan.com - 888.523.5244</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3.5"/>
    <col customWidth="1" min="2" max="2" width="26.0"/>
    <col customWidth="1" min="3" max="3" width="12.13"/>
    <col customWidth="1" min="4" max="4" width="10.0"/>
    <col customWidth="1" min="5" max="6" width="9.38"/>
    <col customWidth="1" min="7" max="7" width="12.0"/>
    <col customWidth="1" min="8" max="8" width="10.0"/>
    <col customWidth="1" min="9" max="10" width="12.13"/>
    <col customWidth="1" min="11" max="11" width="9.13"/>
    <col customWidth="1" min="12" max="12" width="6.38"/>
    <col customWidth="1" min="13" max="13" width="7.75"/>
    <col customWidth="1" min="14" max="14" width="9.88"/>
    <col customWidth="1" min="15" max="26" width="7.75"/>
  </cols>
  <sheetData>
    <row r="1" ht="27.75" customHeight="1">
      <c r="A1" s="1" t="s">
        <v>381</v>
      </c>
      <c r="B1" s="1"/>
      <c r="C1" s="1"/>
      <c r="D1" s="1"/>
      <c r="E1" s="1"/>
      <c r="F1" s="1"/>
      <c r="G1" s="126"/>
      <c r="H1" s="126"/>
    </row>
    <row r="2">
      <c r="A2" s="5" t="str">
        <f>IF(ISBLANK(Company_Name),"| Pricing Worksheet| ","Pricing Worksheet for "&amp;Company_Name)</f>
        <v>Pricing Worksheet for OTW Paints</v>
      </c>
    </row>
    <row r="3">
      <c r="A3" s="9"/>
      <c r="B3" s="11"/>
      <c r="C3" s="11"/>
      <c r="D3" s="11"/>
      <c r="E3" s="11"/>
      <c r="F3" s="11"/>
      <c r="G3" s="11"/>
      <c r="H3" s="11"/>
      <c r="I3" s="11"/>
      <c r="J3" s="11"/>
      <c r="K3" s="11"/>
      <c r="L3" s="11"/>
      <c r="M3" s="11"/>
      <c r="N3" s="11"/>
    </row>
    <row r="4">
      <c r="A4" s="25"/>
    </row>
    <row r="5">
      <c r="A5" s="517" t="s">
        <v>497</v>
      </c>
      <c r="B5" s="367"/>
      <c r="C5" s="367"/>
      <c r="D5" s="367"/>
      <c r="E5" s="367"/>
      <c r="F5" s="367"/>
      <c r="G5" s="367"/>
      <c r="H5" s="367"/>
    </row>
    <row r="6">
      <c r="A6" s="42" t="s">
        <v>498</v>
      </c>
    </row>
    <row r="7">
      <c r="A7" s="212" t="s">
        <v>499</v>
      </c>
    </row>
    <row r="8" ht="30.75" customHeight="1">
      <c r="A8" s="16"/>
      <c r="B8" s="518" t="s">
        <v>500</v>
      </c>
      <c r="C8" s="518" t="s">
        <v>501</v>
      </c>
      <c r="D8" s="518" t="s">
        <v>502</v>
      </c>
      <c r="E8" s="57" t="s">
        <v>503</v>
      </c>
      <c r="F8" s="57" t="s">
        <v>504</v>
      </c>
      <c r="G8" s="57" t="s">
        <v>505</v>
      </c>
      <c r="H8" s="57" t="s">
        <v>506</v>
      </c>
      <c r="I8" s="57" t="s">
        <v>507</v>
      </c>
      <c r="J8" s="57" t="s">
        <v>462</v>
      </c>
      <c r="K8" s="518" t="s">
        <v>508</v>
      </c>
      <c r="L8" s="518" t="s">
        <v>509</v>
      </c>
      <c r="M8" s="518" t="s">
        <v>510</v>
      </c>
      <c r="N8" s="518" t="s">
        <v>511</v>
      </c>
      <c r="O8" s="16"/>
      <c r="P8" s="16"/>
      <c r="Q8" s="16"/>
      <c r="R8" s="16"/>
      <c r="S8" s="16"/>
      <c r="T8" s="16"/>
      <c r="U8" s="16"/>
      <c r="V8" s="16"/>
      <c r="W8" s="16"/>
      <c r="X8" s="16"/>
      <c r="Y8" s="16"/>
      <c r="Z8" s="16"/>
    </row>
    <row r="9" ht="22.5" customHeight="1">
      <c r="A9" s="42">
        <v>1.0</v>
      </c>
      <c r="B9" s="58" t="str">
        <f>IF(OR(ISBLANK(('A. Background'!B15)),'A. Background'!B15="Product/Service"),"",'A. Background'!B15)</f>
        <v>Paint</v>
      </c>
      <c r="C9" s="246" t="str">
        <f>IF(OR(ISBLANK(('A. Background'!B15)),'A. Background'!B15="Product/Service"),"",'A. Background'!C15)</f>
        <v>1 gal</v>
      </c>
      <c r="D9" s="519">
        <f>IF(ISBLANK(B9),"",'A. Background'!D15)</f>
        <v>70</v>
      </c>
      <c r="E9" s="519"/>
      <c r="F9" s="519">
        <v>22.5</v>
      </c>
      <c r="G9" s="519"/>
      <c r="H9" s="519"/>
      <c r="I9" s="519"/>
      <c r="J9" s="520">
        <f t="shared" ref="J9:J16" si="1">SUM(E9:I9)</f>
        <v>22.5</v>
      </c>
      <c r="K9" s="521">
        <f t="shared" ref="K9:K16" si="2">D9-SUM(E9:I9)</f>
        <v>47.5</v>
      </c>
      <c r="L9" s="522">
        <f t="shared" ref="L9:L16" si="3">IF(J9=0,0,K9/D9)</f>
        <v>0.6785714286</v>
      </c>
      <c r="M9" s="519">
        <v>70.0</v>
      </c>
      <c r="N9" s="519">
        <v>70.0</v>
      </c>
    </row>
    <row r="10" ht="22.5" customHeight="1">
      <c r="A10" s="42">
        <v>2.0</v>
      </c>
      <c r="B10" s="58" t="str">
        <f>IF(OR(ISBLANK(('A. Background'!B16)),'A. Background'!B16="Product/Service"),"",'A. Background'!B16)</f>
        <v>REMOVER</v>
      </c>
      <c r="C10" s="246" t="str">
        <f>IF(OR(ISBLANK(('A. Background'!B16)),'A. Background'!B16="Product/Service"),"",'A. Background'!C16)</f>
        <v>1GAL</v>
      </c>
      <c r="D10" s="519">
        <f>IF(ISBLANK(B10),"",'A. Background'!D16)</f>
        <v>15</v>
      </c>
      <c r="E10" s="58"/>
      <c r="F10" s="58"/>
      <c r="G10" s="58"/>
      <c r="H10" s="58"/>
      <c r="I10" s="58"/>
      <c r="J10" s="520">
        <f t="shared" si="1"/>
        <v>0</v>
      </c>
      <c r="K10" s="521">
        <f t="shared" si="2"/>
        <v>15</v>
      </c>
      <c r="L10" s="522">
        <f t="shared" si="3"/>
        <v>0</v>
      </c>
      <c r="M10" s="519"/>
      <c r="N10" s="519"/>
    </row>
    <row r="11" ht="22.5" customHeight="1">
      <c r="A11" s="42">
        <v>3.0</v>
      </c>
      <c r="B11" s="58" t="str">
        <f>IF(OR(ISBLANK(('A. Background'!B17)),'A. Background'!B17="Product/Service"),"",'A. Background'!B17)</f>
        <v/>
      </c>
      <c r="C11" s="246" t="str">
        <f>IF(OR(ISBLANK(('A. Background'!B17)),'A. Background'!B17="Product/Service"),"",'A. Background'!C17)</f>
        <v/>
      </c>
      <c r="D11" s="519">
        <f>IF(ISBLANK(B11),"",'A. Background'!D17)</f>
        <v>0</v>
      </c>
      <c r="E11" s="58"/>
      <c r="F11" s="58"/>
      <c r="G11" s="58"/>
      <c r="H11" s="58"/>
      <c r="I11" s="58"/>
      <c r="J11" s="520">
        <f t="shared" si="1"/>
        <v>0</v>
      </c>
      <c r="K11" s="521">
        <f t="shared" si="2"/>
        <v>0</v>
      </c>
      <c r="L11" s="522">
        <f t="shared" si="3"/>
        <v>0</v>
      </c>
      <c r="M11" s="519"/>
      <c r="N11" s="519"/>
    </row>
    <row r="12" ht="22.5" customHeight="1">
      <c r="A12" s="42">
        <v>4.0</v>
      </c>
      <c r="B12" s="58" t="str">
        <f>IF(OR(ISBLANK(('A. Background'!B18)),'A. Background'!B18="Product/Service"),"",'A. Background'!B18)</f>
        <v/>
      </c>
      <c r="C12" s="246" t="str">
        <f>IF(OR(ISBLANK(('A. Background'!B18)),'A. Background'!B18="Product/Service"),"",'A. Background'!C18)</f>
        <v/>
      </c>
      <c r="D12" s="519">
        <f>IF(ISBLANK(B12),"",'A. Background'!D18)</f>
        <v>0</v>
      </c>
      <c r="E12" s="58"/>
      <c r="F12" s="58"/>
      <c r="G12" s="58"/>
      <c r="H12" s="58"/>
      <c r="I12" s="58"/>
      <c r="J12" s="520">
        <f t="shared" si="1"/>
        <v>0</v>
      </c>
      <c r="K12" s="521">
        <f t="shared" si="2"/>
        <v>0</v>
      </c>
      <c r="L12" s="522">
        <f t="shared" si="3"/>
        <v>0</v>
      </c>
      <c r="M12" s="519"/>
      <c r="N12" s="519"/>
    </row>
    <row r="13" ht="22.5" customHeight="1">
      <c r="A13" s="42">
        <v>5.0</v>
      </c>
      <c r="B13" s="58" t="str">
        <f>IF(OR(ISBLANK(('A. Background'!B19)),'A. Background'!B19="Product/Service"),"",'A. Background'!B19)</f>
        <v/>
      </c>
      <c r="C13" s="246" t="str">
        <f>IF(OR(ISBLANK(('A. Background'!B19)),'A. Background'!B19="Product/Service"),"",'A. Background'!C19)</f>
        <v/>
      </c>
      <c r="D13" s="519">
        <f>IF(ISBLANK(B13),"",'A. Background'!D19)</f>
        <v>0</v>
      </c>
      <c r="E13" s="58"/>
      <c r="F13" s="58"/>
      <c r="G13" s="58"/>
      <c r="H13" s="58"/>
      <c r="I13" s="58"/>
      <c r="J13" s="520">
        <f t="shared" si="1"/>
        <v>0</v>
      </c>
      <c r="K13" s="521">
        <f t="shared" si="2"/>
        <v>0</v>
      </c>
      <c r="L13" s="522">
        <f t="shared" si="3"/>
        <v>0</v>
      </c>
      <c r="M13" s="519"/>
      <c r="N13" s="519"/>
    </row>
    <row r="14" ht="22.5" customHeight="1">
      <c r="A14" s="42">
        <v>6.0</v>
      </c>
      <c r="B14" s="58" t="str">
        <f>IF(OR(ISBLANK(('A. Background'!B20)),'A. Background'!B20="Product/Service"),"",'A. Background'!B20)</f>
        <v/>
      </c>
      <c r="C14" s="246" t="str">
        <f>IF(OR(ISBLANK(('A. Background'!B20)),'A. Background'!B20="Product/Service"),"",'A. Background'!C20)</f>
        <v/>
      </c>
      <c r="D14" s="519">
        <f>IF(ISBLANK(B14),"",'A. Background'!D20)</f>
        <v>0</v>
      </c>
      <c r="E14" s="58"/>
      <c r="F14" s="58"/>
      <c r="G14" s="58"/>
      <c r="H14" s="58"/>
      <c r="I14" s="58"/>
      <c r="J14" s="520">
        <f t="shared" si="1"/>
        <v>0</v>
      </c>
      <c r="K14" s="521">
        <f t="shared" si="2"/>
        <v>0</v>
      </c>
      <c r="L14" s="522">
        <f t="shared" si="3"/>
        <v>0</v>
      </c>
      <c r="M14" s="519"/>
      <c r="N14" s="519"/>
    </row>
    <row r="15" ht="22.5" customHeight="1">
      <c r="A15" s="42">
        <v>7.0</v>
      </c>
      <c r="B15" s="58" t="str">
        <f>IF(OR(ISBLANK(('A. Background'!B21)),'A. Background'!B21="Product/Service"),"",'A. Background'!B21)</f>
        <v/>
      </c>
      <c r="C15" s="246" t="str">
        <f>IF(OR(ISBLANK(('A. Background'!B21)),'A. Background'!B21="Product/Service"),"",'A. Background'!C21)</f>
        <v/>
      </c>
      <c r="D15" s="519">
        <f>IF(ISBLANK(B15),"",'A. Background'!D21)</f>
        <v>0</v>
      </c>
      <c r="E15" s="58"/>
      <c r="F15" s="58"/>
      <c r="G15" s="58"/>
      <c r="H15" s="58"/>
      <c r="I15" s="58"/>
      <c r="J15" s="520">
        <f t="shared" si="1"/>
        <v>0</v>
      </c>
      <c r="K15" s="521">
        <f t="shared" si="2"/>
        <v>0</v>
      </c>
      <c r="L15" s="522">
        <f t="shared" si="3"/>
        <v>0</v>
      </c>
      <c r="M15" s="519"/>
      <c r="N15" s="519"/>
    </row>
    <row r="16" ht="22.5" customHeight="1">
      <c r="A16" s="42">
        <v>8.0</v>
      </c>
      <c r="B16" s="58" t="str">
        <f>IF(OR(ISBLANK(('A. Background'!B22)),'A. Background'!B22="Product/Service"),"",'A. Background'!B22)</f>
        <v/>
      </c>
      <c r="C16" s="246" t="str">
        <f>IF(OR(ISBLANK(('A. Background'!B22)),'A. Background'!B22="Product/Service"),"",'A. Background'!C22)</f>
        <v/>
      </c>
      <c r="D16" s="519">
        <f>IF(ISBLANK(B16),"",'A. Background'!D22)</f>
        <v>0</v>
      </c>
      <c r="E16" s="58"/>
      <c r="F16" s="58"/>
      <c r="G16" s="58"/>
      <c r="H16" s="58"/>
      <c r="I16" s="58"/>
      <c r="J16" s="520">
        <f t="shared" si="1"/>
        <v>0</v>
      </c>
      <c r="K16" s="521">
        <f t="shared" si="2"/>
        <v>0</v>
      </c>
      <c r="L16" s="522">
        <f t="shared" si="3"/>
        <v>0</v>
      </c>
      <c r="M16" s="519"/>
      <c r="N16" s="519"/>
    </row>
    <row r="18">
      <c r="A18" s="277" t="s">
        <v>512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23" right="0.19"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outlineLevelRow="1"/>
  <cols>
    <col customWidth="1" min="1" max="1" width="22.0"/>
    <col customWidth="1" min="2" max="6" width="12.25"/>
    <col customWidth="1" min="7" max="26" width="7.75"/>
  </cols>
  <sheetData>
    <row r="1">
      <c r="A1" s="1" t="s">
        <v>381</v>
      </c>
      <c r="B1" s="1"/>
      <c r="C1" s="1"/>
      <c r="D1" s="1"/>
      <c r="E1" s="1"/>
      <c r="F1" s="1"/>
    </row>
    <row r="2" ht="19.5" customHeight="1">
      <c r="A2" s="524" t="str">
        <f>IF(ISBLANK(Company_Name),"5-Year Projections","5-Year Projections Summary for "&amp;Company_Name)</f>
        <v>5-Year Projections Summary for OTW Paints</v>
      </c>
      <c r="B2" s="141"/>
      <c r="C2" s="141"/>
      <c r="D2" s="141"/>
      <c r="E2" s="141"/>
      <c r="F2" s="141"/>
    </row>
    <row r="3">
      <c r="A3" s="16"/>
      <c r="B3" s="525" t="s">
        <v>315</v>
      </c>
      <c r="C3" s="525" t="s">
        <v>107</v>
      </c>
      <c r="D3" s="525" t="s">
        <v>109</v>
      </c>
      <c r="E3" s="525" t="s">
        <v>110</v>
      </c>
      <c r="F3" s="525" t="s">
        <v>111</v>
      </c>
    </row>
    <row r="4">
      <c r="A4" s="16"/>
      <c r="B4" s="273">
        <f>IF(ISBLANK(Projected_Start_Date),"",DATE(YEAR(Projected_Start_Date),1,1))</f>
        <v>42370</v>
      </c>
      <c r="C4" s="273">
        <f>IF(ISBLANK(Projected_Start_Date),"",DATE(YEAR(Projected_Start_Date)+1,1,1))</f>
        <v>42736</v>
      </c>
      <c r="D4" s="273">
        <f>IF(ISBLANK(Projected_Start_Date),"",DATE(YEAR(Projected_Start_Date)+2,1,1))</f>
        <v>43101</v>
      </c>
      <c r="E4" s="273">
        <f>IF(ISBLANK(Projected_Start_Date),"",DATE(YEAR(Projected_Start_Date)+3,1,1))</f>
        <v>43466</v>
      </c>
      <c r="F4" s="273">
        <f>IF(ISBLANK(Projected_Start_Date),"",DATE(YEAR(Projected_Start_Date)+4,1,1))</f>
        <v>43831</v>
      </c>
    </row>
    <row r="5" outlineLevel="1">
      <c r="A5" s="434" t="str">
        <f>'Income Statement'!A5</f>
        <v>Revenue</v>
      </c>
      <c r="B5" s="434"/>
      <c r="C5" s="434"/>
      <c r="D5" s="434"/>
      <c r="E5" s="434"/>
      <c r="F5" s="434"/>
    </row>
    <row r="6" outlineLevel="1">
      <c r="A6" s="16" t="str">
        <f>'Income Statement'!A6</f>
        <v>Paint</v>
      </c>
      <c r="B6" s="153">
        <f>'Income Statement'!Q6</f>
        <v>52500</v>
      </c>
      <c r="C6" s="153">
        <f>B6*(1+YR2_Sales_Increase)</f>
        <v>91875</v>
      </c>
      <c r="D6" s="153">
        <f>C6*(1+YR3_Sales_Increase)</f>
        <v>192937.5</v>
      </c>
      <c r="E6" s="153">
        <f>D6*(1+YR4_Sales_Increase)</f>
        <v>482343.75</v>
      </c>
      <c r="F6" s="153">
        <f>E6*(1+YR5_Sales_Increase)</f>
        <v>1567617.188</v>
      </c>
    </row>
    <row r="7" outlineLevel="1">
      <c r="A7" s="16" t="str">
        <f>'Income Statement'!A7</f>
        <v>REMOVER</v>
      </c>
      <c r="B7" s="302">
        <f>'Income Statement'!Q7</f>
        <v>11250</v>
      </c>
      <c r="C7" s="302">
        <f>B7*(1+YR2_Sales_Increase)</f>
        <v>19687.5</v>
      </c>
      <c r="D7" s="302">
        <f>C7*(1+YR3_Sales_Increase)</f>
        <v>41343.75</v>
      </c>
      <c r="E7" s="302">
        <f>D7*(1+YR4_Sales_Increase)</f>
        <v>103359.375</v>
      </c>
      <c r="F7" s="302">
        <f>E7*(1+YR5_Sales_Increase)</f>
        <v>335917.9688</v>
      </c>
    </row>
    <row r="8" outlineLevel="1">
      <c r="A8" s="16" t="str">
        <f>'Income Statement'!A8</f>
        <v/>
      </c>
      <c r="B8" s="302">
        <f>'Income Statement'!Q8</f>
        <v>0</v>
      </c>
      <c r="C8" s="302">
        <f>B8*(1+YR2_Sales_Increase)</f>
        <v>0</v>
      </c>
      <c r="D8" s="302">
        <f>C8*(1+YR3_Sales_Increase)</f>
        <v>0</v>
      </c>
      <c r="E8" s="302">
        <f>D8*(1+YR4_Sales_Increase)</f>
        <v>0</v>
      </c>
      <c r="F8" s="302">
        <f>E8*(1+YR5_Sales_Increase)</f>
        <v>0</v>
      </c>
    </row>
    <row r="9" outlineLevel="1">
      <c r="A9" s="16" t="str">
        <f>'Income Statement'!A9</f>
        <v/>
      </c>
      <c r="B9" s="302">
        <f>'Income Statement'!Q9</f>
        <v>0</v>
      </c>
      <c r="C9" s="302">
        <f>B9*(1+YR2_Sales_Increase)</f>
        <v>0</v>
      </c>
      <c r="D9" s="302">
        <f>C9*(1+YR3_Sales_Increase)</f>
        <v>0</v>
      </c>
      <c r="E9" s="302">
        <f>D9*(1+YR4_Sales_Increase)</f>
        <v>0</v>
      </c>
      <c r="F9" s="302">
        <f>E9*(1+YR5_Sales_Increase)</f>
        <v>0</v>
      </c>
    </row>
    <row r="10" outlineLevel="1">
      <c r="A10" s="16" t="str">
        <f>'Income Statement'!A10</f>
        <v/>
      </c>
      <c r="B10" s="302">
        <f>'Income Statement'!Q10</f>
        <v>0</v>
      </c>
      <c r="C10" s="302">
        <f>B10*(1+YR2_Sales_Increase)</f>
        <v>0</v>
      </c>
      <c r="D10" s="302">
        <f>C10*(1+YR3_Sales_Increase)</f>
        <v>0</v>
      </c>
      <c r="E10" s="302">
        <f>D10*(1+YR4_Sales_Increase)</f>
        <v>0</v>
      </c>
      <c r="F10" s="302">
        <f>E10*(1+YR5_Sales_Increase)</f>
        <v>0</v>
      </c>
    </row>
    <row r="11" outlineLevel="1">
      <c r="A11" s="16" t="str">
        <f>'Income Statement'!A11</f>
        <v/>
      </c>
      <c r="B11" s="302">
        <f>'Income Statement'!Q11</f>
        <v>0</v>
      </c>
      <c r="C11" s="302">
        <f>B11*(1+YR2_Sales_Increase)</f>
        <v>0</v>
      </c>
      <c r="D11" s="302">
        <f>C11*(1+YR3_Sales_Increase)</f>
        <v>0</v>
      </c>
      <c r="E11" s="302">
        <f>D11*(1+YR4_Sales_Increase)</f>
        <v>0</v>
      </c>
      <c r="F11" s="302">
        <f>E11*(1+YR5_Sales_Increase)</f>
        <v>0</v>
      </c>
    </row>
    <row r="12" outlineLevel="1">
      <c r="A12" s="16" t="str">
        <f>'Income Statement'!A12</f>
        <v/>
      </c>
      <c r="B12" s="302">
        <f>'Income Statement'!Q12</f>
        <v>0</v>
      </c>
      <c r="C12" s="302">
        <f>B12*(1+YR2_Sales_Increase)</f>
        <v>0</v>
      </c>
      <c r="D12" s="302">
        <f>C12*(1+YR3_Sales_Increase)</f>
        <v>0</v>
      </c>
      <c r="E12" s="302">
        <f>D12*(1+YR4_Sales_Increase)</f>
        <v>0</v>
      </c>
      <c r="F12" s="302">
        <f>E12*(1+YR5_Sales_Increase)</f>
        <v>0</v>
      </c>
    </row>
    <row r="13" outlineLevel="1">
      <c r="A13" s="16" t="str">
        <f>'Income Statement'!A13</f>
        <v/>
      </c>
      <c r="B13" s="302">
        <f>'Income Statement'!Q13</f>
        <v>0</v>
      </c>
      <c r="C13" s="302">
        <f>B13*(1+YR2_Sales_Increase)</f>
        <v>0</v>
      </c>
      <c r="D13" s="302">
        <f>C13*(1+YR3_Sales_Increase)</f>
        <v>0</v>
      </c>
      <c r="E13" s="302">
        <f>D13*(1+YR4_Sales_Increase)</f>
        <v>0</v>
      </c>
      <c r="F13" s="302">
        <f>E13*(1+YR5_Sales_Increase)</f>
        <v>0</v>
      </c>
    </row>
    <row r="14">
      <c r="A14" s="518" t="s">
        <v>516</v>
      </c>
      <c r="B14" s="321">
        <f t="shared" ref="B14:F14" si="1">SUM(B6:B13)</f>
        <v>63750</v>
      </c>
      <c r="C14" s="321">
        <f t="shared" si="1"/>
        <v>111562.5</v>
      </c>
      <c r="D14" s="321">
        <f t="shared" si="1"/>
        <v>234281.25</v>
      </c>
      <c r="E14" s="321">
        <f t="shared" si="1"/>
        <v>585703.125</v>
      </c>
      <c r="F14" s="321">
        <f t="shared" si="1"/>
        <v>1903535.156</v>
      </c>
    </row>
    <row r="15">
      <c r="A15" s="518"/>
      <c r="B15" s="12"/>
      <c r="C15" s="12"/>
      <c r="D15" s="12"/>
      <c r="E15" s="12"/>
      <c r="F15" s="12"/>
    </row>
    <row r="16" outlineLevel="1">
      <c r="A16" s="434" t="str">
        <f>'Income Statement'!A16</f>
        <v>Cost of Goods Sold</v>
      </c>
      <c r="B16" s="434"/>
      <c r="C16" s="434"/>
      <c r="D16" s="434"/>
      <c r="E16" s="434"/>
      <c r="F16" s="434"/>
    </row>
    <row r="17" outlineLevel="1">
      <c r="A17" s="16" t="str">
        <f>'Income Statement'!A17</f>
        <v>Paint</v>
      </c>
      <c r="B17" s="153">
        <f>'Income Statement'!Q17</f>
        <v>16875</v>
      </c>
      <c r="C17" s="153">
        <f>B17*(1+YR2_Sales_Increase)</f>
        <v>29531.25</v>
      </c>
      <c r="D17" s="153">
        <f>C17*(1+YR3_Sales_Increase)</f>
        <v>62015.625</v>
      </c>
      <c r="E17" s="153">
        <f>D17*(1+YR4_Sales_Increase)</f>
        <v>155039.0625</v>
      </c>
      <c r="F17" s="153">
        <f>E17*(1+YR5_Sales_Increase)</f>
        <v>503876.9531</v>
      </c>
    </row>
    <row r="18" outlineLevel="1">
      <c r="A18" s="16" t="str">
        <f>'Income Statement'!A18</f>
        <v>REMOVER</v>
      </c>
      <c r="B18" s="302">
        <f>'Income Statement'!Q18</f>
        <v>2250</v>
      </c>
      <c r="C18" s="302">
        <f>B18*(1+YR2_Sales_Increase)</f>
        <v>3937.5</v>
      </c>
      <c r="D18" s="302">
        <f>C18*(1+YR3_Sales_Increase)</f>
        <v>8268.75</v>
      </c>
      <c r="E18" s="302">
        <f>D18*(1+YR4_Sales_Increase)</f>
        <v>20671.875</v>
      </c>
      <c r="F18" s="302">
        <f>E18*(1+YR5_Sales_Increase)</f>
        <v>67183.59375</v>
      </c>
    </row>
    <row r="19" outlineLevel="1">
      <c r="A19" s="16" t="str">
        <f>'Income Statement'!A19</f>
        <v/>
      </c>
      <c r="B19" s="302">
        <f>'Income Statement'!Q19</f>
        <v>0</v>
      </c>
      <c r="C19" s="302">
        <f>B19*(1+YR2_Sales_Increase)</f>
        <v>0</v>
      </c>
      <c r="D19" s="302">
        <f>C19*(1+YR3_Sales_Increase)</f>
        <v>0</v>
      </c>
      <c r="E19" s="302">
        <f>D19*(1+YR4_Sales_Increase)</f>
        <v>0</v>
      </c>
      <c r="F19" s="302">
        <f>E19*(1+YR5_Sales_Increase)</f>
        <v>0</v>
      </c>
    </row>
    <row r="20" outlineLevel="1">
      <c r="A20" s="16" t="str">
        <f>'Income Statement'!A20</f>
        <v/>
      </c>
      <c r="B20" s="302">
        <f>'Income Statement'!Q20</f>
        <v>0</v>
      </c>
      <c r="C20" s="302">
        <f>B20*(1+YR2_Sales_Increase)</f>
        <v>0</v>
      </c>
      <c r="D20" s="302">
        <f>C20*(1+YR3_Sales_Increase)</f>
        <v>0</v>
      </c>
      <c r="E20" s="302">
        <f>D20*(1+YR4_Sales_Increase)</f>
        <v>0</v>
      </c>
      <c r="F20" s="302">
        <f>E20*(1+YR5_Sales_Increase)</f>
        <v>0</v>
      </c>
    </row>
    <row r="21" ht="15.75" customHeight="1" outlineLevel="1">
      <c r="A21" s="16" t="str">
        <f>'Income Statement'!A21</f>
        <v/>
      </c>
      <c r="B21" s="302">
        <f>'Income Statement'!Q21</f>
        <v>0</v>
      </c>
      <c r="C21" s="302">
        <f>B21*(1+YR2_Sales_Increase)</f>
        <v>0</v>
      </c>
      <c r="D21" s="302">
        <f>C21*(1+YR3_Sales_Increase)</f>
        <v>0</v>
      </c>
      <c r="E21" s="302">
        <f>D21*(1+YR4_Sales_Increase)</f>
        <v>0</v>
      </c>
      <c r="F21" s="302">
        <f>E21*(1+YR5_Sales_Increase)</f>
        <v>0</v>
      </c>
    </row>
    <row r="22" ht="15.75" customHeight="1" outlineLevel="1">
      <c r="A22" s="16" t="str">
        <f>'Income Statement'!A22</f>
        <v/>
      </c>
      <c r="B22" s="302">
        <f>'Income Statement'!Q22</f>
        <v>0</v>
      </c>
      <c r="C22" s="302">
        <f>B22*(1+YR2_Sales_Increase)</f>
        <v>0</v>
      </c>
      <c r="D22" s="302">
        <f>C22*(1+YR3_Sales_Increase)</f>
        <v>0</v>
      </c>
      <c r="E22" s="302">
        <f>D22*(1+YR4_Sales_Increase)</f>
        <v>0</v>
      </c>
      <c r="F22" s="302">
        <f>E22*(1+YR5_Sales_Increase)</f>
        <v>0</v>
      </c>
    </row>
    <row r="23" ht="15.75" customHeight="1" outlineLevel="1">
      <c r="A23" s="16" t="str">
        <f>'Income Statement'!A23</f>
        <v/>
      </c>
      <c r="B23" s="302">
        <f>'Income Statement'!Q23</f>
        <v>0</v>
      </c>
      <c r="C23" s="302">
        <f>B23*(1+YR2_Sales_Increase)</f>
        <v>0</v>
      </c>
      <c r="D23" s="302">
        <f>C23*(1+YR3_Sales_Increase)</f>
        <v>0</v>
      </c>
      <c r="E23" s="302">
        <f>D23*(1+YR4_Sales_Increase)</f>
        <v>0</v>
      </c>
      <c r="F23" s="302">
        <f>E23*(1+YR5_Sales_Increase)</f>
        <v>0</v>
      </c>
    </row>
    <row r="24" ht="15.75" customHeight="1" outlineLevel="1">
      <c r="A24" s="16" t="str">
        <f>'Income Statement'!A24</f>
        <v/>
      </c>
      <c r="B24" s="302">
        <f>'Income Statement'!Q24</f>
        <v>0</v>
      </c>
      <c r="C24" s="302">
        <f>B24*(1+YR2_Sales_Increase)</f>
        <v>0</v>
      </c>
      <c r="D24" s="302">
        <f>C24*(1+YR3_Sales_Increase)</f>
        <v>0</v>
      </c>
      <c r="E24" s="302">
        <f>D24*(1+YR4_Sales_Increase)</f>
        <v>0</v>
      </c>
      <c r="F24" s="302">
        <f>E24*(1+YR5_Sales_Increase)</f>
        <v>0</v>
      </c>
    </row>
    <row r="25" ht="15.75" customHeight="1">
      <c r="A25" s="518" t="s">
        <v>387</v>
      </c>
      <c r="B25" s="321">
        <f t="shared" ref="B25:F25" si="2">SUM(B17:B24)</f>
        <v>19125</v>
      </c>
      <c r="C25" s="321">
        <f t="shared" si="2"/>
        <v>33468.75</v>
      </c>
      <c r="D25" s="321">
        <f t="shared" si="2"/>
        <v>70284.375</v>
      </c>
      <c r="E25" s="321">
        <f t="shared" si="2"/>
        <v>175710.9375</v>
      </c>
      <c r="F25" s="321">
        <f t="shared" si="2"/>
        <v>571060.5469</v>
      </c>
    </row>
    <row r="26" ht="15.75" customHeight="1">
      <c r="A26" s="518"/>
      <c r="B26" s="12"/>
      <c r="C26" s="12"/>
      <c r="D26" s="12"/>
      <c r="E26" s="12"/>
      <c r="F26" s="12"/>
    </row>
    <row r="27" ht="15.75" customHeight="1">
      <c r="A27" s="518" t="s">
        <v>517</v>
      </c>
      <c r="B27" s="471">
        <f t="shared" ref="B27:F27" si="3">B14-B25</f>
        <v>44625</v>
      </c>
      <c r="C27" s="471">
        <f t="shared" si="3"/>
        <v>78093.75</v>
      </c>
      <c r="D27" s="471">
        <f t="shared" si="3"/>
        <v>163996.875</v>
      </c>
      <c r="E27" s="471">
        <f t="shared" si="3"/>
        <v>409992.1875</v>
      </c>
      <c r="F27" s="471">
        <f t="shared" si="3"/>
        <v>1332474.609</v>
      </c>
    </row>
    <row r="28" ht="15.75" customHeight="1">
      <c r="A28" s="518"/>
      <c r="B28" s="12"/>
      <c r="C28" s="12"/>
      <c r="D28" s="12"/>
      <c r="E28" s="12"/>
      <c r="F28" s="12"/>
    </row>
    <row r="29" ht="15.75" customHeight="1">
      <c r="A29" s="434" t="s">
        <v>518</v>
      </c>
      <c r="B29" s="530"/>
      <c r="C29" s="530"/>
      <c r="D29" s="530"/>
      <c r="E29" s="530"/>
      <c r="F29" s="530"/>
    </row>
    <row r="30" ht="15.75" customHeight="1">
      <c r="A30" s="518" t="s">
        <v>519</v>
      </c>
      <c r="B30" s="321">
        <f>'Personnel Summary'!Q16</f>
        <v>49856.32184</v>
      </c>
      <c r="C30" s="321">
        <f>'Personnel Summary'!S16</f>
        <v>51500</v>
      </c>
      <c r="D30" s="321">
        <f>'Personnel Summary'!T16</f>
        <v>53045</v>
      </c>
      <c r="E30" s="321">
        <f>'Personnel Summary'!U16</f>
        <v>55697.25</v>
      </c>
      <c r="F30" s="321">
        <f>'Personnel Summary'!V16</f>
        <v>58482.1125</v>
      </c>
    </row>
    <row r="31" ht="15.75" customHeight="1">
      <c r="A31" s="16"/>
      <c r="B31" s="12"/>
      <c r="C31" s="12"/>
      <c r="D31" s="12"/>
      <c r="E31" s="12"/>
      <c r="F31" s="12"/>
    </row>
    <row r="32" ht="15.75" customHeight="1" outlineLevel="1">
      <c r="A32" s="434" t="s">
        <v>131</v>
      </c>
      <c r="B32" s="530"/>
      <c r="C32" s="530"/>
      <c r="D32" s="530"/>
      <c r="E32" s="530"/>
      <c r="F32" s="530"/>
    </row>
    <row r="33" ht="15.75" customHeight="1" outlineLevel="1">
      <c r="A33" s="16" t="str">
        <f>'Expenses Summary'!G8</f>
        <v>Mortgage</v>
      </c>
      <c r="B33" s="302">
        <f>'Income Statement'!Q37</f>
        <v>0</v>
      </c>
      <c r="C33" s="302">
        <f>'Income Statement'!Q123</f>
        <v>0</v>
      </c>
      <c r="D33" s="302">
        <f>'Income Statement'!Q210</f>
        <v>0</v>
      </c>
      <c r="E33" s="302">
        <f>'Expenses Summary'!M8</f>
        <v>0</v>
      </c>
      <c r="F33" s="302">
        <f>'Expenses Summary'!N8</f>
        <v>0</v>
      </c>
    </row>
    <row r="34" ht="15.75" customHeight="1" outlineLevel="1">
      <c r="A34" s="16" t="str">
        <f>'Expenses Summary'!G9</f>
        <v>Rent</v>
      </c>
      <c r="B34" s="302">
        <f>'Income Statement'!Q38</f>
        <v>0</v>
      </c>
      <c r="C34" s="302">
        <f>'Income Statement'!Q124</f>
        <v>0</v>
      </c>
      <c r="D34" s="302">
        <f>'Income Statement'!Q211</f>
        <v>0</v>
      </c>
      <c r="E34" s="302">
        <f>'Expenses Summary'!M9</f>
        <v>0</v>
      </c>
      <c r="F34" s="302">
        <f>'Expenses Summary'!N9</f>
        <v>0</v>
      </c>
    </row>
    <row r="35" ht="15.75" customHeight="1" outlineLevel="1">
      <c r="A35" s="16" t="str">
        <f>'Expenses Summary'!G10</f>
        <v>Renovations</v>
      </c>
      <c r="B35" s="302">
        <f>'Income Statement'!Q39</f>
        <v>0</v>
      </c>
      <c r="C35" s="302">
        <f>'Income Statement'!Q125</f>
        <v>0</v>
      </c>
      <c r="D35" s="302">
        <f>'Income Statement'!Q212</f>
        <v>0</v>
      </c>
      <c r="E35" s="302">
        <f>'Expenses Summary'!M10</f>
        <v>0</v>
      </c>
      <c r="F35" s="302">
        <f>'Expenses Summary'!N10</f>
        <v>0</v>
      </c>
    </row>
    <row r="36" ht="15.75" customHeight="1" outlineLevel="1">
      <c r="A36" s="16" t="str">
        <f>'Expenses Summary'!G11</f>
        <v>Equipment Leasing</v>
      </c>
      <c r="B36" s="302">
        <f>'Income Statement'!Q40</f>
        <v>0</v>
      </c>
      <c r="C36" s="302">
        <f>'Income Statement'!Q126</f>
        <v>0</v>
      </c>
      <c r="D36" s="302">
        <f>'Income Statement'!Q213</f>
        <v>0</v>
      </c>
      <c r="E36" s="302">
        <f>'Expenses Summary'!M11</f>
        <v>0</v>
      </c>
      <c r="F36" s="302">
        <f>'Expenses Summary'!N11</f>
        <v>0</v>
      </c>
    </row>
    <row r="37" ht="15.75" customHeight="1" outlineLevel="1">
      <c r="A37" s="16" t="str">
        <f>'Expenses Summary'!G12</f>
        <v>Fixtures Leasing</v>
      </c>
      <c r="B37" s="302">
        <f>'Income Statement'!Q41</f>
        <v>0</v>
      </c>
      <c r="C37" s="302">
        <f>'Income Statement'!Q127</f>
        <v>0</v>
      </c>
      <c r="D37" s="302">
        <f>'Income Statement'!Q214</f>
        <v>0</v>
      </c>
      <c r="E37" s="302">
        <f>'Expenses Summary'!M12</f>
        <v>0</v>
      </c>
      <c r="F37" s="302">
        <f>'Expenses Summary'!N12</f>
        <v>0</v>
      </c>
    </row>
    <row r="38" ht="15.75" customHeight="1" outlineLevel="1">
      <c r="A38" s="16" t="str">
        <f>'Expenses Summary'!G13</f>
        <v>Furniture Rental/Leasing</v>
      </c>
      <c r="B38" s="302">
        <f>'Income Statement'!Q42</f>
        <v>0</v>
      </c>
      <c r="C38" s="302">
        <f>'Income Statement'!Q128</f>
        <v>0</v>
      </c>
      <c r="D38" s="302">
        <f>'Income Statement'!Q215</f>
        <v>0</v>
      </c>
      <c r="E38" s="302">
        <f>'Expenses Summary'!M13</f>
        <v>0</v>
      </c>
      <c r="F38" s="302">
        <f>'Expenses Summary'!N13</f>
        <v>0</v>
      </c>
    </row>
    <row r="39" ht="15.75" customHeight="1" outlineLevel="1">
      <c r="A39" s="16" t="str">
        <f>'Expenses Summary'!G14</f>
        <v>Vehicles Leasing &amp; Other Expenses</v>
      </c>
      <c r="B39" s="302">
        <f>'Income Statement'!Q43</f>
        <v>0</v>
      </c>
      <c r="C39" s="302">
        <f>'Income Statement'!Q129</f>
        <v>0</v>
      </c>
      <c r="D39" s="302">
        <f>'Income Statement'!Q216</f>
        <v>0</v>
      </c>
      <c r="E39" s="302">
        <f>'Expenses Summary'!M14</f>
        <v>0</v>
      </c>
      <c r="F39" s="302">
        <f>'Expenses Summary'!N14</f>
        <v>0</v>
      </c>
    </row>
    <row r="40" ht="15.75" customHeight="1" outlineLevel="1">
      <c r="A40" s="16" t="str">
        <f>'Expenses Summary'!G15</f>
        <v>Mileage</v>
      </c>
      <c r="B40" s="302">
        <f>'Income Statement'!Q44</f>
        <v>0</v>
      </c>
      <c r="C40" s="302">
        <f>'Income Statement'!Q130</f>
        <v>0</v>
      </c>
      <c r="D40" s="302">
        <f>'Income Statement'!Q217</f>
        <v>0</v>
      </c>
      <c r="E40" s="302">
        <f>'Expenses Summary'!M15</f>
        <v>0</v>
      </c>
      <c r="F40" s="302">
        <f>'Expenses Summary'!N15</f>
        <v>0</v>
      </c>
    </row>
    <row r="41" ht="15.75" customHeight="1" outlineLevel="1">
      <c r="A41" s="16" t="str">
        <f>'Expenses Summary'!G16</f>
        <v>Utilities</v>
      </c>
      <c r="B41" s="302">
        <f>'Income Statement'!Q45</f>
        <v>0</v>
      </c>
      <c r="C41" s="302">
        <f>'Income Statement'!Q131</f>
        <v>0</v>
      </c>
      <c r="D41" s="302">
        <f>'Income Statement'!Q218</f>
        <v>0</v>
      </c>
      <c r="E41" s="302">
        <f>'Expenses Summary'!M16</f>
        <v>0</v>
      </c>
      <c r="F41" s="302">
        <f>'Expenses Summary'!N16</f>
        <v>0</v>
      </c>
    </row>
    <row r="42" ht="15.75" customHeight="1" outlineLevel="1">
      <c r="A42" s="16" t="str">
        <f>'Expenses Summary'!G17</f>
        <v>Telephone</v>
      </c>
      <c r="B42" s="302">
        <f>'Income Statement'!Q46</f>
        <v>3000</v>
      </c>
      <c r="C42" s="302">
        <f>'Income Statement'!Q132</f>
        <v>3150</v>
      </c>
      <c r="D42" s="302">
        <f>'Income Statement'!Q219</f>
        <v>3307.5</v>
      </c>
      <c r="E42" s="302">
        <f>'Expenses Summary'!M17</f>
        <v>3472.875</v>
      </c>
      <c r="F42" s="302">
        <f>'Expenses Summary'!N17</f>
        <v>3646.51875</v>
      </c>
    </row>
    <row r="43" ht="15.75" customHeight="1" outlineLevel="1">
      <c r="A43" s="16" t="str">
        <f>'Expenses Summary'!G18</f>
        <v>Insurance</v>
      </c>
      <c r="B43" s="302">
        <f>'Income Statement'!Q47</f>
        <v>12000</v>
      </c>
      <c r="C43" s="302">
        <f>'Income Statement'!Q133</f>
        <v>12600</v>
      </c>
      <c r="D43" s="302">
        <f>'Income Statement'!Q220</f>
        <v>13230</v>
      </c>
      <c r="E43" s="302">
        <f>'Expenses Summary'!M18</f>
        <v>13891.5</v>
      </c>
      <c r="F43" s="302">
        <f>'Expenses Summary'!N18</f>
        <v>14586.075</v>
      </c>
    </row>
    <row r="44" ht="15.75" customHeight="1" outlineLevel="1">
      <c r="A44" s="16" t="str">
        <f>'Expenses Summary'!G19</f>
        <v>Licenses</v>
      </c>
      <c r="B44" s="302">
        <f>'Income Statement'!Q48</f>
        <v>0</v>
      </c>
      <c r="C44" s="302">
        <f>'Income Statement'!Q134</f>
        <v>0</v>
      </c>
      <c r="D44" s="302">
        <f>'Income Statement'!Q221</f>
        <v>0</v>
      </c>
      <c r="E44" s="302">
        <f>'Expenses Summary'!M19</f>
        <v>0</v>
      </c>
      <c r="F44" s="302">
        <f>'Expenses Summary'!N19</f>
        <v>0</v>
      </c>
    </row>
    <row r="45" ht="15.75" customHeight="1" outlineLevel="1">
      <c r="A45" s="16" t="str">
        <f>'Expenses Summary'!G20</f>
        <v>Bank or Merchant Fees</v>
      </c>
      <c r="B45" s="302">
        <f>'Income Statement'!Q49</f>
        <v>0</v>
      </c>
      <c r="C45" s="302">
        <f>'Income Statement'!Q135</f>
        <v>0</v>
      </c>
      <c r="D45" s="302">
        <f>'Income Statement'!Q222</f>
        <v>0</v>
      </c>
      <c r="E45" s="302">
        <f>'Expenses Summary'!M20</f>
        <v>0</v>
      </c>
      <c r="F45" s="302">
        <f>'Expenses Summary'!N20</f>
        <v>0</v>
      </c>
    </row>
    <row r="46" ht="15.75" customHeight="1" outlineLevel="1">
      <c r="A46" s="16" t="str">
        <f>'Expenses Summary'!G21</f>
        <v>Web Maintenance</v>
      </c>
      <c r="B46" s="302">
        <f>'Income Statement'!Q50</f>
        <v>0</v>
      </c>
      <c r="C46" s="302">
        <f>'Income Statement'!Q136</f>
        <v>0</v>
      </c>
      <c r="D46" s="302">
        <f>'Income Statement'!Q223</f>
        <v>0</v>
      </c>
      <c r="E46" s="302">
        <f>'Expenses Summary'!M21</f>
        <v>0</v>
      </c>
      <c r="F46" s="302">
        <f>'Expenses Summary'!N21</f>
        <v>0</v>
      </c>
    </row>
    <row r="47" ht="15.75" customHeight="1" outlineLevel="1">
      <c r="A47" s="16" t="str">
        <f>'Expenses Summary'!G22</f>
        <v>Web Hosting</v>
      </c>
      <c r="B47" s="302">
        <f>'Income Statement'!Q51</f>
        <v>600</v>
      </c>
      <c r="C47" s="302">
        <f>'Income Statement'!Q137</f>
        <v>630</v>
      </c>
      <c r="D47" s="302">
        <f>'Income Statement'!Q224</f>
        <v>661.5</v>
      </c>
      <c r="E47" s="302">
        <f>'Expenses Summary'!M22</f>
        <v>694.575</v>
      </c>
      <c r="F47" s="302">
        <f>'Expenses Summary'!N22</f>
        <v>729.30375</v>
      </c>
    </row>
    <row r="48" ht="15.75" customHeight="1" outlineLevel="1">
      <c r="A48" s="16" t="str">
        <f>'Expenses Summary'!G23</f>
        <v>Software</v>
      </c>
      <c r="B48" s="302">
        <f>'Income Statement'!Q52</f>
        <v>0</v>
      </c>
      <c r="C48" s="302">
        <f>'Income Statement'!Q138</f>
        <v>0</v>
      </c>
      <c r="D48" s="302">
        <f>'Income Statement'!Q225</f>
        <v>0</v>
      </c>
      <c r="E48" s="302">
        <f>'Expenses Summary'!M23</f>
        <v>0</v>
      </c>
      <c r="F48" s="302">
        <f>'Expenses Summary'!N23</f>
        <v>0</v>
      </c>
    </row>
    <row r="49" ht="15.75" customHeight="1" outlineLevel="1">
      <c r="A49" s="16" t="str">
        <f>'Expenses Summary'!G24</f>
        <v>Postage</v>
      </c>
      <c r="B49" s="302">
        <f>'Income Statement'!Q53</f>
        <v>1800</v>
      </c>
      <c r="C49" s="302">
        <f>'Income Statement'!Q139</f>
        <v>1890</v>
      </c>
      <c r="D49" s="302">
        <f>'Income Statement'!Q226</f>
        <v>1984.5</v>
      </c>
      <c r="E49" s="302">
        <f>'Expenses Summary'!M24</f>
        <v>2083.725</v>
      </c>
      <c r="F49" s="302">
        <f>'Expenses Summary'!N24</f>
        <v>2187.91125</v>
      </c>
    </row>
    <row r="50" ht="15.75" customHeight="1" outlineLevel="1">
      <c r="A50" s="16" t="str">
        <f>'Expenses Summary'!G25</f>
        <v>Marketing</v>
      </c>
      <c r="B50" s="302">
        <f>'Income Statement'!Q54</f>
        <v>3000</v>
      </c>
      <c r="C50" s="302">
        <f>'Income Statement'!Q140</f>
        <v>3150</v>
      </c>
      <c r="D50" s="302">
        <f>'Income Statement'!Q227</f>
        <v>3307.5</v>
      </c>
      <c r="E50" s="302">
        <f>'Expenses Summary'!M25</f>
        <v>3472.875</v>
      </c>
      <c r="F50" s="302">
        <f>'Expenses Summary'!N25</f>
        <v>3646.51875</v>
      </c>
    </row>
    <row r="51" ht="15.75" customHeight="1" outlineLevel="1">
      <c r="A51" s="16" t="str">
        <f>'Expenses Summary'!G26</f>
        <v>Professional Fees</v>
      </c>
      <c r="B51" s="302">
        <f>'Income Statement'!Q55</f>
        <v>0</v>
      </c>
      <c r="C51" s="302">
        <f>'Income Statement'!Q141</f>
        <v>0</v>
      </c>
      <c r="D51" s="302">
        <f>'Income Statement'!Q228</f>
        <v>0</v>
      </c>
      <c r="E51" s="302">
        <f>'Expenses Summary'!M26</f>
        <v>0</v>
      </c>
      <c r="F51" s="302">
        <f>'Expenses Summary'!N26</f>
        <v>0</v>
      </c>
    </row>
    <row r="52" ht="15.75" customHeight="1" outlineLevel="1">
      <c r="A52" s="16" t="str">
        <f>'Expenses Summary'!G27</f>
        <v>Contract Labor</v>
      </c>
      <c r="B52" s="302">
        <f>'Income Statement'!Q56</f>
        <v>0</v>
      </c>
      <c r="C52" s="302">
        <f>'Income Statement'!Q142</f>
        <v>0</v>
      </c>
      <c r="D52" s="302">
        <f>'Income Statement'!Q229</f>
        <v>0</v>
      </c>
      <c r="E52" s="302">
        <f>'Expenses Summary'!M27</f>
        <v>0</v>
      </c>
      <c r="F52" s="302">
        <f>'Expenses Summary'!N27</f>
        <v>0</v>
      </c>
    </row>
    <row r="53" ht="15.75" customHeight="1" outlineLevel="1">
      <c r="A53" s="16" t="str">
        <f>'Expenses Summary'!G28</f>
        <v>Sales</v>
      </c>
      <c r="B53" s="302">
        <f>'Income Statement'!Q57</f>
        <v>0</v>
      </c>
      <c r="C53" s="302">
        <f>'Income Statement'!Q143</f>
        <v>0</v>
      </c>
      <c r="D53" s="302">
        <f>'Income Statement'!Q230</f>
        <v>0</v>
      </c>
      <c r="E53" s="302">
        <f>'Expenses Summary'!M28</f>
        <v>0</v>
      </c>
      <c r="F53" s="302">
        <f>'Expenses Summary'!N28</f>
        <v>0</v>
      </c>
    </row>
    <row r="54" ht="15.75" customHeight="1" outlineLevel="1">
      <c r="A54" s="16" t="str">
        <f>'Expenses Summary'!G29</f>
        <v>Travel</v>
      </c>
      <c r="B54" s="302">
        <f>'Income Statement'!Q58</f>
        <v>3000</v>
      </c>
      <c r="C54" s="302">
        <f>'Income Statement'!Q144</f>
        <v>3150</v>
      </c>
      <c r="D54" s="302">
        <f>'Income Statement'!Q231</f>
        <v>3307.5</v>
      </c>
      <c r="E54" s="302">
        <f>'Expenses Summary'!M29</f>
        <v>3472.875</v>
      </c>
      <c r="F54" s="302">
        <f>'Expenses Summary'!N29</f>
        <v>3646.51875</v>
      </c>
    </row>
    <row r="55" ht="15.75" customHeight="1" outlineLevel="1">
      <c r="A55" s="16" t="str">
        <f>'Expenses Summary'!G30</f>
        <v>Supplies</v>
      </c>
      <c r="B55" s="302">
        <f>'Income Statement'!Q59</f>
        <v>2400</v>
      </c>
      <c r="C55" s="302">
        <f>'Income Statement'!Q145</f>
        <v>2520</v>
      </c>
      <c r="D55" s="302">
        <f>'Income Statement'!Q232</f>
        <v>2646</v>
      </c>
      <c r="E55" s="302">
        <f>'Expenses Summary'!M30</f>
        <v>2778.3</v>
      </c>
      <c r="F55" s="302">
        <f>'Expenses Summary'!N30</f>
        <v>2917.215</v>
      </c>
    </row>
    <row r="56" ht="15.75" customHeight="1" outlineLevel="1">
      <c r="A56" s="16" t="str">
        <f>'Expenses Summary'!G31</f>
        <v>Petty Cash</v>
      </c>
      <c r="B56" s="302">
        <f>'Income Statement'!Q60</f>
        <v>0</v>
      </c>
      <c r="C56" s="302">
        <f>'Income Statement'!Q146</f>
        <v>0</v>
      </c>
      <c r="D56" s="302">
        <f>'Income Statement'!Q233</f>
        <v>0</v>
      </c>
      <c r="E56" s="302">
        <f>'Expenses Summary'!M31</f>
        <v>0</v>
      </c>
      <c r="F56" s="302">
        <f>'Expenses Summary'!N31</f>
        <v>0</v>
      </c>
    </row>
    <row r="57" ht="15.75" customHeight="1" outlineLevel="1">
      <c r="A57" s="16" t="str">
        <f>'Expenses Summary'!G32</f>
        <v>Dues_Subscriptions</v>
      </c>
      <c r="B57" s="302">
        <f>'Income Statement'!Q61</f>
        <v>0</v>
      </c>
      <c r="C57" s="302">
        <f>'Income Statement'!Q147</f>
        <v>0</v>
      </c>
      <c r="D57" s="302">
        <f>'Income Statement'!Q234</f>
        <v>0</v>
      </c>
      <c r="E57" s="302">
        <f>'Expenses Summary'!M32</f>
        <v>0</v>
      </c>
      <c r="F57" s="302">
        <f>'Expenses Summary'!N32</f>
        <v>0</v>
      </c>
    </row>
    <row r="58" ht="15.75" customHeight="1" outlineLevel="1">
      <c r="A58" s="16" t="str">
        <f>'Expenses Summary'!G33</f>
        <v>Networking &amp; Education Events</v>
      </c>
      <c r="B58" s="302">
        <f>'Income Statement'!Q62</f>
        <v>0</v>
      </c>
      <c r="C58" s="302">
        <f>'Income Statement'!Q148</f>
        <v>0</v>
      </c>
      <c r="D58" s="302">
        <f>'Income Statement'!Q235</f>
        <v>0</v>
      </c>
      <c r="E58" s="302">
        <f>'Expenses Summary'!M33</f>
        <v>0</v>
      </c>
      <c r="F58" s="302">
        <f>'Expenses Summary'!N33</f>
        <v>0</v>
      </c>
    </row>
    <row r="59" ht="15.75" customHeight="1" outlineLevel="1">
      <c r="A59" s="16" t="str">
        <f>'Expenses Summary'!G34</f>
        <v>Miscellaneous</v>
      </c>
      <c r="B59" s="302">
        <f>'Income Statement'!Q63</f>
        <v>0</v>
      </c>
      <c r="C59" s="302">
        <f>'Income Statement'!Q149</f>
        <v>0</v>
      </c>
      <c r="D59" s="302">
        <f>'Income Statement'!Q236</f>
        <v>0</v>
      </c>
      <c r="E59" s="302">
        <f>'Expenses Summary'!M34</f>
        <v>0</v>
      </c>
      <c r="F59" s="302">
        <f>'Expenses Summary'!N34</f>
        <v>0</v>
      </c>
    </row>
    <row r="60" ht="15.75" customHeight="1" outlineLevel="1">
      <c r="A60" s="16" t="str">
        <f>'Expenses Summary'!G35</f>
        <v>Sales Tax Reserve</v>
      </c>
      <c r="B60" s="302">
        <f>'Income Statement'!Q64</f>
        <v>0</v>
      </c>
      <c r="C60" s="302">
        <f>'Income Statement'!Q150</f>
        <v>0</v>
      </c>
      <c r="D60" s="302">
        <f>'Income Statement'!Q237</f>
        <v>0</v>
      </c>
      <c r="E60" s="302">
        <f>'Expenses Summary'!M35</f>
        <v>0</v>
      </c>
      <c r="F60" s="302">
        <f>'Expenses Summary'!N35</f>
        <v>0</v>
      </c>
    </row>
    <row r="61" ht="15.75" customHeight="1" outlineLevel="1">
      <c r="A61" s="16" t="str">
        <f>'Expenses Summary'!G36</f>
        <v>Discounts &amp; Refunds</v>
      </c>
      <c r="B61" s="302">
        <f>'Income Statement'!Q65</f>
        <v>0</v>
      </c>
      <c r="C61" s="302">
        <f>'Income Statement'!Q151</f>
        <v>0</v>
      </c>
      <c r="D61" s="302">
        <f>'Income Statement'!Q238</f>
        <v>0</v>
      </c>
      <c r="E61" s="302">
        <f>'Expenses Summary'!M36</f>
        <v>0</v>
      </c>
      <c r="F61" s="302">
        <f>'Expenses Summary'!N36</f>
        <v>0</v>
      </c>
    </row>
    <row r="62" ht="15.75" customHeight="1" outlineLevel="1">
      <c r="A62" s="16" t="str">
        <f>'Expenses Summary'!G37</f>
        <v>Sales Commission</v>
      </c>
      <c r="B62" s="302">
        <f>'Income Statement'!Q66</f>
        <v>0</v>
      </c>
      <c r="C62" s="302">
        <f>'Income Statement'!Q152</f>
        <v>0</v>
      </c>
      <c r="D62" s="302">
        <f>'Income Statement'!Q239</f>
        <v>0</v>
      </c>
      <c r="E62" s="302">
        <f>'Expenses Summary'!M37</f>
        <v>0</v>
      </c>
      <c r="F62" s="302">
        <f>'Expenses Summary'!N37</f>
        <v>0</v>
      </c>
    </row>
    <row r="63" ht="15.75" customHeight="1" outlineLevel="1">
      <c r="A63" s="16" t="str">
        <f>'Expenses Summary'!G38</f>
        <v>Merchant Fee Transactions</v>
      </c>
      <c r="B63" s="302">
        <f>'Income Statement'!Q67</f>
        <v>637.5</v>
      </c>
      <c r="C63" s="302">
        <f>'Income Statement'!Q153</f>
        <v>1115.625</v>
      </c>
      <c r="D63" s="302">
        <f>'Income Statement'!Q240</f>
        <v>2342.8125</v>
      </c>
      <c r="E63" s="302">
        <f>'Expenses Summary'!M38</f>
        <v>5857.03125</v>
      </c>
      <c r="F63" s="302">
        <f>'Expenses Summary'!N38</f>
        <v>19035.35156</v>
      </c>
    </row>
    <row r="64" ht="15.75" customHeight="1" outlineLevel="1">
      <c r="A64" s="16" t="str">
        <f>'Expenses Summary'!G39</f>
        <v>Customer Discounts/Refunds</v>
      </c>
      <c r="B64" s="302">
        <f>'Income Statement'!Q68</f>
        <v>637.5</v>
      </c>
      <c r="C64" s="302">
        <f>'Income Statement'!Q154</f>
        <v>1115.625</v>
      </c>
      <c r="D64" s="302">
        <f>'Income Statement'!Q241</f>
        <v>2342.8125</v>
      </c>
      <c r="E64" s="302">
        <f>'Expenses Summary'!M39</f>
        <v>5857.03125</v>
      </c>
      <c r="F64" s="302">
        <f>'Expenses Summary'!N39</f>
        <v>19035.35156</v>
      </c>
    </row>
    <row r="65" ht="15.75" customHeight="1" outlineLevel="1">
      <c r="A65" s="16" t="str">
        <f>'Expenses Summary'!G40</f>
        <v>Other</v>
      </c>
      <c r="B65" s="302">
        <f>'Income Statement'!Q69</f>
        <v>0</v>
      </c>
      <c r="C65" s="302">
        <f>'Income Statement'!Q155</f>
        <v>0</v>
      </c>
      <c r="D65" s="302">
        <f>'Income Statement'!Q242</f>
        <v>0</v>
      </c>
      <c r="E65" s="302">
        <f>'Expenses Summary'!M40</f>
        <v>0</v>
      </c>
      <c r="F65" s="302">
        <f>'Expenses Summary'!N40</f>
        <v>0</v>
      </c>
    </row>
    <row r="66" ht="15.75" customHeight="1" outlineLevel="1">
      <c r="A66" s="16" t="str">
        <f>'Expenses Summary'!G41</f>
        <v>Bad Debt</v>
      </c>
      <c r="B66" s="302">
        <f>'Income Statement'!Q70</f>
        <v>318.75</v>
      </c>
      <c r="C66" s="302">
        <f>'Income Statement'!Q156</f>
        <v>892.5</v>
      </c>
      <c r="D66" s="302">
        <f>'Income Statement'!Q243</f>
        <v>1874.25</v>
      </c>
      <c r="E66" s="302">
        <f>'Expenses Summary'!M41</f>
        <v>2928.515625</v>
      </c>
      <c r="F66" s="302">
        <f>'Expenses Summary'!N41</f>
        <v>9517.675781</v>
      </c>
    </row>
    <row r="67" ht="15.75" customHeight="1" outlineLevel="1">
      <c r="A67" s="16" t="str">
        <f>'Expenses Summary'!G42</f>
        <v>Other Operating Expenses</v>
      </c>
      <c r="B67" s="302">
        <f>'Income Statement'!Q71</f>
        <v>12000</v>
      </c>
      <c r="C67" s="302">
        <f>'Income Statement'!Q157</f>
        <v>12600</v>
      </c>
      <c r="D67" s="302">
        <f>'Income Statement'!Q244</f>
        <v>13230</v>
      </c>
      <c r="E67" s="302">
        <f>'Expenses Summary'!M42</f>
        <v>13891.5</v>
      </c>
      <c r="F67" s="302">
        <f>'Expenses Summary'!N42</f>
        <v>14586.075</v>
      </c>
    </row>
    <row r="68" ht="15.75" customHeight="1">
      <c r="A68" s="518" t="s">
        <v>353</v>
      </c>
      <c r="B68" s="321">
        <f t="shared" ref="B68:F68" si="4">SUM(B33:B67)</f>
        <v>39393.75</v>
      </c>
      <c r="C68" s="321">
        <f t="shared" si="4"/>
        <v>42813.75</v>
      </c>
      <c r="D68" s="321">
        <f t="shared" si="4"/>
        <v>48234.375</v>
      </c>
      <c r="E68" s="321">
        <f t="shared" si="4"/>
        <v>58400.80313</v>
      </c>
      <c r="F68" s="321">
        <f t="shared" si="4"/>
        <v>93534.51516</v>
      </c>
    </row>
    <row r="69" ht="15.75" customHeight="1">
      <c r="A69" s="16"/>
      <c r="B69" s="302"/>
      <c r="C69" s="302"/>
      <c r="D69" s="302"/>
      <c r="E69" s="302"/>
      <c r="F69" s="302"/>
    </row>
    <row r="70" ht="15.75" customHeight="1">
      <c r="A70" s="434" t="s">
        <v>356</v>
      </c>
      <c r="B70" s="530"/>
      <c r="C70" s="530"/>
      <c r="D70" s="530"/>
      <c r="E70" s="530"/>
      <c r="F70" s="530"/>
    </row>
    <row r="71" ht="15.75" customHeight="1">
      <c r="A71" s="12" t="s">
        <v>523</v>
      </c>
      <c r="B71" s="531">
        <f>'Income Statement'!$Q$77</f>
        <v>0</v>
      </c>
      <c r="C71" s="531">
        <f>'Income Statement'!Q163</f>
        <v>0</v>
      </c>
      <c r="D71" s="531">
        <f>'Income Statement'!Q250</f>
        <v>0</v>
      </c>
      <c r="E71" s="532"/>
      <c r="F71" s="532"/>
    </row>
    <row r="72" ht="15.75" customHeight="1">
      <c r="A72" s="16" t="str">
        <f>'Expenses Summary'!G46</f>
        <v>Depreciation</v>
      </c>
      <c r="B72" s="302">
        <f>'Income Statement'!Q78</f>
        <v>0</v>
      </c>
      <c r="C72" s="302">
        <f>'Income Statement'!Q164</f>
        <v>0</v>
      </c>
      <c r="D72" s="302">
        <f>'Income Statement'!Q251</f>
        <v>0</v>
      </c>
      <c r="E72" s="302">
        <f>SUMIFS(Deprec_MonthlyAmt,Deprec_EndDates,"&gt;"&amp;F4)*12</f>
        <v>0</v>
      </c>
      <c r="F72" s="302">
        <f>SUMIFS(Deprec_MonthlyAmt,Deprec_EndDates,"&gt;"&amp;F4)*12</f>
        <v>0</v>
      </c>
    </row>
    <row r="73" ht="15.75" customHeight="1">
      <c r="A73" s="16" t="s">
        <v>453</v>
      </c>
      <c r="B73" s="302">
        <f>YR1_InterestPayments</f>
        <v>0</v>
      </c>
      <c r="C73" s="302">
        <f>'Income Statement'!Q165</f>
        <v>0</v>
      </c>
      <c r="D73" s="302">
        <f>'Income Statement'!Q252</f>
        <v>0</v>
      </c>
      <c r="E73" s="302">
        <f>'Loan Schedule'!O102</f>
        <v>0</v>
      </c>
      <c r="F73" s="302">
        <f>'Loan Schedule'!O125</f>
        <v>0</v>
      </c>
    </row>
    <row r="74" ht="15.75" customHeight="1">
      <c r="A74" s="518" t="s">
        <v>356</v>
      </c>
      <c r="B74" s="321">
        <f t="shared" ref="B74:F74" si="5">SUM(B72:B73)</f>
        <v>0</v>
      </c>
      <c r="C74" s="321">
        <f t="shared" si="5"/>
        <v>0</v>
      </c>
      <c r="D74" s="321">
        <f t="shared" si="5"/>
        <v>0</v>
      </c>
      <c r="E74" s="321">
        <f t="shared" si="5"/>
        <v>0</v>
      </c>
      <c r="F74" s="321">
        <f t="shared" si="5"/>
        <v>0</v>
      </c>
    </row>
    <row r="75" ht="15.75" customHeight="1">
      <c r="A75" s="16"/>
      <c r="B75" s="302"/>
      <c r="C75" s="302"/>
      <c r="D75" s="302"/>
      <c r="E75" s="302"/>
      <c r="F75" s="302"/>
    </row>
    <row r="76" ht="15.75" customHeight="1">
      <c r="A76" s="434" t="s">
        <v>463</v>
      </c>
      <c r="B76" s="530"/>
      <c r="C76" s="530"/>
      <c r="D76" s="530"/>
      <c r="E76" s="530"/>
      <c r="F76" s="530"/>
    </row>
    <row r="77" ht="15.75" customHeight="1">
      <c r="A77" s="16" t="s">
        <v>463</v>
      </c>
      <c r="B77" s="321">
        <f>'Income Statement'!Q83</f>
        <v>0</v>
      </c>
      <c r="C77" s="321">
        <f>'Income Statement'!Q169</f>
        <v>0</v>
      </c>
      <c r="D77" s="321">
        <f>'Income Statement'!Q256</f>
        <v>0</v>
      </c>
      <c r="E77" s="321">
        <f>IncomeTax_Rate*(E27-E30-E68-E74)</f>
        <v>0</v>
      </c>
      <c r="F77" s="321">
        <f>IncomeTax_Rate*(F27-F30-F68-F74)</f>
        <v>0</v>
      </c>
    </row>
    <row r="78" ht="15.75" customHeight="1">
      <c r="A78" s="16"/>
      <c r="B78" s="12"/>
      <c r="C78" s="12"/>
      <c r="D78" s="12"/>
      <c r="E78" s="12"/>
      <c r="F78" s="12"/>
    </row>
    <row r="79" ht="15.75" customHeight="1">
      <c r="A79" s="434" t="s">
        <v>312</v>
      </c>
      <c r="B79" s="530"/>
      <c r="C79" s="530"/>
      <c r="D79" s="530"/>
      <c r="E79" s="530"/>
      <c r="F79" s="530"/>
    </row>
    <row r="80" ht="15.75" customHeight="1">
      <c r="A80" s="16" t="s">
        <v>312</v>
      </c>
      <c r="B80" s="441">
        <f t="shared" ref="B80:F80" si="6">B14-SUM(B25,B30,B68,B74,B77)</f>
        <v>-44625.07184</v>
      </c>
      <c r="C80" s="441">
        <f t="shared" si="6"/>
        <v>-16220</v>
      </c>
      <c r="D80" s="441">
        <f t="shared" si="6"/>
        <v>62717.5</v>
      </c>
      <c r="E80" s="441">
        <f t="shared" si="6"/>
        <v>295894.1344</v>
      </c>
      <c r="F80" s="441">
        <f t="shared" si="6"/>
        <v>1180457.982</v>
      </c>
    </row>
    <row r="81" ht="15.75" customHeight="1">
      <c r="A81" s="16"/>
      <c r="B81" s="12"/>
      <c r="C81" s="12"/>
      <c r="D81" s="12"/>
      <c r="E81" s="12"/>
      <c r="F81" s="12"/>
    </row>
    <row r="82" ht="15.75" customHeight="1">
      <c r="A82" s="16"/>
    </row>
    <row r="83" ht="15.75" customHeight="1">
      <c r="A83" s="16"/>
    </row>
    <row r="84" ht="15.75" customHeight="1">
      <c r="A84" s="16"/>
    </row>
    <row r="85" ht="15.75" customHeight="1">
      <c r="A85" s="16"/>
    </row>
    <row r="86" ht="15.75" customHeight="1">
      <c r="A86" s="16"/>
    </row>
    <row r="87" ht="15.75" customHeight="1">
      <c r="A87" s="16"/>
    </row>
    <row r="88" ht="15.75" customHeight="1">
      <c r="A88" s="16"/>
    </row>
    <row r="89" ht="15.75" customHeight="1">
      <c r="A89" s="16"/>
    </row>
    <row r="90" ht="15.75" customHeight="1">
      <c r="A90" s="16"/>
    </row>
    <row r="91" ht="15.75" customHeight="1">
      <c r="A91" s="16"/>
    </row>
    <row r="92" ht="15.75" customHeight="1">
      <c r="A92" s="16"/>
    </row>
    <row r="93" ht="15.75" customHeight="1">
      <c r="A93" s="16"/>
    </row>
    <row r="94" ht="15.75" customHeight="1">
      <c r="A94" s="16"/>
    </row>
    <row r="95" ht="15.75" customHeight="1">
      <c r="A95" s="16"/>
    </row>
    <row r="96" ht="15.75" customHeight="1">
      <c r="A96" s="16"/>
    </row>
    <row r="97" ht="15.75" customHeight="1">
      <c r="A97" s="16"/>
    </row>
    <row r="98" ht="15.75" customHeight="1">
      <c r="A98" s="16"/>
    </row>
    <row r="99" ht="15.75" customHeight="1">
      <c r="A99" s="16"/>
    </row>
    <row r="100" ht="15.75" customHeight="1">
      <c r="A100" s="16"/>
    </row>
    <row r="101" ht="15.75" customHeight="1">
      <c r="A101" s="16"/>
    </row>
    <row r="102" ht="15.75" customHeight="1">
      <c r="A102" s="16"/>
    </row>
    <row r="103" ht="15.75" customHeight="1">
      <c r="A103" s="16"/>
    </row>
    <row r="104" ht="15.75" customHeight="1">
      <c r="A104" s="16"/>
    </row>
    <row r="105" ht="15.75" customHeight="1">
      <c r="A105" s="16"/>
    </row>
    <row r="106" ht="15.75" customHeight="1">
      <c r="A106" s="16"/>
    </row>
    <row r="107" ht="15.75" customHeight="1">
      <c r="A107" s="16"/>
    </row>
    <row r="108" ht="15.75" customHeight="1">
      <c r="A108" s="16"/>
    </row>
    <row r="109" ht="15.75" customHeight="1">
      <c r="A109" s="16"/>
    </row>
    <row r="110" ht="15.75" customHeight="1">
      <c r="A110" s="16"/>
    </row>
    <row r="111" ht="15.75" customHeight="1">
      <c r="A111" s="16"/>
    </row>
    <row r="112" ht="15.75" customHeight="1">
      <c r="A112" s="16"/>
    </row>
    <row r="113" ht="15.75" customHeight="1">
      <c r="A113" s="16"/>
    </row>
    <row r="114" ht="15.75" customHeight="1">
      <c r="A114" s="16"/>
    </row>
    <row r="115" ht="15.75" customHeight="1">
      <c r="A115" s="16"/>
    </row>
    <row r="116" ht="15.75" customHeight="1">
      <c r="A116" s="16"/>
    </row>
    <row r="117" ht="15.75" customHeight="1">
      <c r="A117" s="16"/>
    </row>
    <row r="118" ht="15.75" customHeight="1">
      <c r="A118" s="16"/>
    </row>
    <row r="119" ht="15.75" customHeight="1">
      <c r="A119" s="16"/>
    </row>
    <row r="120" ht="15.75" customHeight="1">
      <c r="A120" s="16"/>
    </row>
    <row r="121" ht="15.75" customHeight="1">
      <c r="A121" s="16"/>
    </row>
    <row r="122" ht="15.75" customHeight="1">
      <c r="A122" s="16"/>
    </row>
    <row r="123" ht="15.75" customHeight="1">
      <c r="A123" s="16"/>
    </row>
    <row r="124" ht="15.75" customHeight="1">
      <c r="A124" s="16"/>
    </row>
    <row r="125" ht="15.75" customHeight="1">
      <c r="A125" s="16"/>
    </row>
    <row r="126" ht="15.75" customHeight="1">
      <c r="A126" s="16"/>
    </row>
    <row r="127" ht="15.75" customHeight="1">
      <c r="A127" s="16"/>
    </row>
    <row r="128" ht="15.75" customHeight="1">
      <c r="A128" s="16"/>
    </row>
    <row r="129" ht="15.75" customHeight="1">
      <c r="A129" s="16"/>
    </row>
    <row r="130" ht="15.75" customHeight="1">
      <c r="A130" s="16"/>
    </row>
    <row r="131" ht="15.75" customHeight="1">
      <c r="A131" s="16"/>
    </row>
    <row r="132" ht="15.75" customHeight="1">
      <c r="A132" s="16"/>
    </row>
    <row r="133" ht="15.75" customHeight="1">
      <c r="A133" s="16"/>
    </row>
    <row r="134" ht="15.75" customHeight="1">
      <c r="A134" s="16"/>
    </row>
    <row r="135" ht="15.75" customHeight="1">
      <c r="A135" s="16"/>
    </row>
    <row r="136" ht="15.75" customHeight="1">
      <c r="A136" s="16"/>
    </row>
    <row r="137" ht="15.75" customHeight="1">
      <c r="A137" s="16"/>
    </row>
    <row r="138" ht="15.75" customHeight="1">
      <c r="A138" s="16"/>
    </row>
    <row r="139" ht="15.75" customHeight="1">
      <c r="A139" s="16"/>
    </row>
    <row r="140" ht="15.75" customHeight="1">
      <c r="A140" s="16"/>
    </row>
    <row r="141" ht="15.75" customHeight="1">
      <c r="A141" s="16"/>
    </row>
    <row r="142" ht="15.75" customHeight="1">
      <c r="A142" s="16"/>
    </row>
    <row r="143" ht="15.75" customHeight="1">
      <c r="A143" s="16"/>
    </row>
    <row r="144" ht="15.75" customHeight="1">
      <c r="A144" s="16"/>
    </row>
    <row r="145" ht="15.75" customHeight="1">
      <c r="A145" s="16"/>
    </row>
    <row r="146" ht="15.75" customHeight="1">
      <c r="A146" s="16"/>
    </row>
    <row r="147" ht="15.75" customHeight="1">
      <c r="A147" s="16"/>
    </row>
    <row r="148" ht="15.75" customHeight="1">
      <c r="A148" s="16"/>
    </row>
    <row r="149" ht="15.75" customHeight="1">
      <c r="A149" s="16"/>
    </row>
    <row r="150" ht="15.75" customHeight="1">
      <c r="A150" s="16"/>
    </row>
    <row r="151" ht="15.75" customHeight="1">
      <c r="A151" s="16"/>
    </row>
    <row r="152" ht="15.75" customHeight="1">
      <c r="A152" s="16"/>
    </row>
    <row r="153" ht="15.75" customHeight="1">
      <c r="A153" s="16"/>
    </row>
    <row r="154" ht="15.75" customHeight="1">
      <c r="A154" s="16"/>
    </row>
    <row r="155" ht="15.75" customHeight="1">
      <c r="A155" s="16"/>
    </row>
    <row r="156" ht="15.75" customHeight="1">
      <c r="A156" s="16"/>
    </row>
    <row r="157" ht="15.75" customHeight="1">
      <c r="A157" s="16"/>
    </row>
    <row r="158" ht="15.75" customHeight="1">
      <c r="A158" s="16"/>
    </row>
    <row r="159" ht="15.75" customHeight="1">
      <c r="A159" s="16"/>
    </row>
    <row r="160" ht="15.75" customHeight="1">
      <c r="A160" s="16"/>
    </row>
    <row r="161" ht="15.75" customHeight="1">
      <c r="A161" s="16"/>
    </row>
    <row r="162" ht="15.75" customHeight="1">
      <c r="A162" s="16"/>
    </row>
    <row r="163" ht="15.75" customHeight="1">
      <c r="A163" s="16"/>
    </row>
    <row r="164" ht="15.75" customHeight="1">
      <c r="A164" s="16"/>
    </row>
    <row r="165" ht="15.75" customHeight="1">
      <c r="A165" s="16"/>
    </row>
    <row r="166" ht="15.75" customHeight="1">
      <c r="A166" s="16"/>
    </row>
    <row r="167" ht="15.75" customHeight="1">
      <c r="A167" s="16"/>
    </row>
    <row r="168" ht="15.75" customHeight="1">
      <c r="A168" s="16"/>
    </row>
    <row r="169" ht="15.75" customHeight="1">
      <c r="A169" s="16"/>
    </row>
    <row r="170" ht="15.75" customHeight="1">
      <c r="A170" s="16"/>
    </row>
    <row r="171" ht="15.75" customHeight="1">
      <c r="A171" s="16"/>
    </row>
    <row r="172" ht="15.75" customHeight="1">
      <c r="A172" s="16"/>
    </row>
    <row r="173" ht="15.75" customHeight="1">
      <c r="A173" s="16"/>
    </row>
    <row r="174" ht="15.75" customHeight="1">
      <c r="A174" s="16"/>
    </row>
    <row r="175" ht="15.75" customHeight="1">
      <c r="A175" s="16"/>
    </row>
    <row r="176" ht="15.75" customHeight="1">
      <c r="A176" s="16"/>
    </row>
    <row r="177" ht="15.75" customHeight="1">
      <c r="A177" s="16"/>
    </row>
    <row r="178" ht="15.75" customHeight="1">
      <c r="A178" s="16"/>
    </row>
    <row r="179" ht="15.75" customHeight="1">
      <c r="A179" s="16"/>
    </row>
    <row r="180" ht="15.75" customHeight="1">
      <c r="A180" s="16"/>
    </row>
    <row r="181" ht="15.75" customHeight="1">
      <c r="A181" s="16"/>
    </row>
    <row r="182" ht="15.75" customHeight="1">
      <c r="A182" s="16"/>
    </row>
    <row r="183" ht="15.75" customHeight="1">
      <c r="A183" s="16"/>
    </row>
    <row r="184" ht="15.75" customHeight="1">
      <c r="A184" s="16"/>
    </row>
    <row r="185" ht="15.75" customHeight="1">
      <c r="A185" s="16"/>
    </row>
    <row r="186" ht="15.75" customHeight="1">
      <c r="A186" s="16"/>
    </row>
    <row r="187" ht="15.75" customHeight="1">
      <c r="A187" s="16"/>
    </row>
    <row r="188" ht="15.75" customHeight="1">
      <c r="A188" s="16"/>
    </row>
    <row r="189" ht="15.75" customHeight="1">
      <c r="A189" s="16"/>
    </row>
    <row r="190" ht="15.75" customHeight="1">
      <c r="A190" s="16"/>
    </row>
    <row r="191" ht="15.75" customHeight="1">
      <c r="A191" s="16"/>
    </row>
    <row r="192" ht="15.75" customHeight="1">
      <c r="A192" s="16"/>
    </row>
    <row r="193" ht="15.75" customHeight="1">
      <c r="A193" s="16"/>
    </row>
    <row r="194" ht="15.75" customHeight="1">
      <c r="A194" s="16"/>
    </row>
    <row r="195" ht="15.75" customHeight="1">
      <c r="A195" s="16"/>
    </row>
    <row r="196" ht="15.75" customHeight="1">
      <c r="A196" s="16"/>
    </row>
    <row r="197" ht="15.75" customHeight="1">
      <c r="A197" s="16"/>
    </row>
    <row r="198" ht="15.75" customHeight="1">
      <c r="A198" s="16"/>
    </row>
    <row r="199" ht="15.75" customHeight="1">
      <c r="A199" s="16"/>
    </row>
    <row r="200" ht="15.75" customHeight="1">
      <c r="A200" s="16"/>
    </row>
    <row r="201" ht="15.75" customHeight="1">
      <c r="A201" s="16"/>
    </row>
    <row r="202" ht="15.75" customHeight="1">
      <c r="A202" s="16"/>
    </row>
    <row r="203" ht="15.75" customHeight="1">
      <c r="A203" s="16"/>
    </row>
    <row r="204" ht="15.75" customHeight="1">
      <c r="A204" s="16"/>
    </row>
    <row r="205" ht="15.75" customHeight="1">
      <c r="A205" s="16"/>
    </row>
    <row r="206" ht="15.75" customHeight="1">
      <c r="A206" s="16"/>
    </row>
    <row r="207" ht="15.75" customHeight="1">
      <c r="A207" s="16"/>
    </row>
    <row r="208" ht="15.75" customHeight="1">
      <c r="A208" s="16"/>
    </row>
    <row r="209" ht="15.75" customHeight="1">
      <c r="A209" s="16"/>
    </row>
    <row r="210" ht="15.75" customHeight="1">
      <c r="A210" s="16"/>
    </row>
    <row r="211" ht="15.75" customHeight="1">
      <c r="A211" s="16"/>
    </row>
    <row r="212" ht="15.75" customHeight="1">
      <c r="A212" s="16"/>
    </row>
    <row r="213" ht="15.75" customHeight="1">
      <c r="A213" s="16"/>
    </row>
    <row r="214" ht="15.75" customHeight="1">
      <c r="A214" s="16"/>
    </row>
    <row r="215" ht="15.75" customHeight="1">
      <c r="A215" s="16"/>
    </row>
    <row r="216" ht="15.75" customHeight="1">
      <c r="A216" s="16"/>
    </row>
    <row r="217" ht="15.75" customHeight="1">
      <c r="A217" s="16"/>
    </row>
    <row r="218" ht="15.75" customHeight="1">
      <c r="A218" s="16"/>
    </row>
    <row r="219" ht="15.75" customHeight="1">
      <c r="A219" s="16"/>
    </row>
    <row r="220" ht="15.75" customHeight="1">
      <c r="A220" s="16"/>
    </row>
    <row r="221" ht="15.75" customHeight="1">
      <c r="A221" s="16"/>
    </row>
    <row r="222" ht="15.75" customHeight="1">
      <c r="A222" s="16"/>
    </row>
    <row r="223" ht="15.75" customHeight="1">
      <c r="A223" s="16"/>
    </row>
    <row r="224" ht="15.75" customHeight="1">
      <c r="A224" s="16"/>
    </row>
    <row r="225" ht="15.75" customHeight="1">
      <c r="A225" s="16"/>
    </row>
    <row r="226" ht="15.75" customHeight="1">
      <c r="A226" s="16"/>
    </row>
    <row r="227" ht="15.75" customHeight="1">
      <c r="A227" s="16"/>
    </row>
    <row r="228" ht="15.75" customHeight="1">
      <c r="A228" s="16"/>
    </row>
    <row r="229" ht="15.75" customHeight="1">
      <c r="A229" s="16"/>
    </row>
    <row r="230" ht="15.75" customHeight="1">
      <c r="A230" s="16"/>
    </row>
    <row r="231" ht="15.75" customHeight="1">
      <c r="A231" s="16"/>
    </row>
    <row r="232" ht="15.75" customHeight="1">
      <c r="A232" s="16"/>
    </row>
    <row r="233" ht="15.75" customHeight="1">
      <c r="A233" s="16"/>
    </row>
    <row r="234" ht="15.75" customHeight="1">
      <c r="A234" s="16"/>
    </row>
    <row r="235" ht="15.75" customHeight="1">
      <c r="A235" s="16"/>
    </row>
    <row r="236" ht="15.75" customHeight="1">
      <c r="A236" s="16"/>
    </row>
    <row r="237" ht="15.75" customHeight="1">
      <c r="A237" s="16"/>
    </row>
    <row r="238" ht="15.75" customHeight="1">
      <c r="A238" s="16"/>
    </row>
    <row r="239" ht="15.75" customHeight="1">
      <c r="A239" s="16"/>
    </row>
    <row r="240" ht="15.75" customHeight="1">
      <c r="A240" s="16"/>
    </row>
    <row r="241" ht="15.75" customHeight="1">
      <c r="A241" s="16"/>
    </row>
    <row r="242" ht="15.75" customHeight="1">
      <c r="A242" s="16"/>
    </row>
    <row r="243" ht="15.75" customHeight="1">
      <c r="A243" s="16"/>
    </row>
    <row r="244" ht="15.75" customHeight="1">
      <c r="A244" s="16"/>
    </row>
    <row r="245" ht="15.75" customHeight="1">
      <c r="A245" s="16"/>
    </row>
    <row r="246" ht="15.75" customHeight="1">
      <c r="A246" s="16"/>
    </row>
    <row r="247" ht="15.75" customHeight="1">
      <c r="A247" s="16"/>
    </row>
    <row r="248" ht="15.75" customHeight="1">
      <c r="A248" s="16"/>
    </row>
    <row r="249" ht="15.75" customHeight="1">
      <c r="A249" s="16"/>
    </row>
    <row r="250" ht="15.75" customHeight="1">
      <c r="A250" s="16"/>
    </row>
    <row r="251" ht="15.75" customHeight="1">
      <c r="A251" s="16"/>
    </row>
    <row r="252" ht="15.75" customHeight="1">
      <c r="A252" s="16"/>
    </row>
    <row r="253" ht="15.75" customHeight="1">
      <c r="A253" s="16"/>
    </row>
    <row r="254" ht="15.75" customHeight="1">
      <c r="A254" s="16"/>
    </row>
    <row r="255" ht="15.75" customHeight="1">
      <c r="A255" s="16"/>
    </row>
    <row r="256" ht="15.75" customHeight="1">
      <c r="A256" s="16"/>
    </row>
    <row r="257" ht="15.75" customHeight="1">
      <c r="A257" s="16"/>
    </row>
    <row r="258" ht="15.75" customHeight="1">
      <c r="A258" s="16"/>
    </row>
    <row r="259" ht="15.75" customHeight="1">
      <c r="A259" s="16"/>
    </row>
    <row r="260" ht="15.75" customHeight="1">
      <c r="A260" s="16"/>
    </row>
    <row r="261" ht="15.75" customHeight="1">
      <c r="A261" s="16"/>
    </row>
    <row r="262" ht="15.75" customHeight="1">
      <c r="A262" s="16"/>
    </row>
    <row r="263" ht="15.75" customHeight="1">
      <c r="A263" s="16"/>
    </row>
    <row r="264" ht="15.75" customHeight="1">
      <c r="A264" s="16"/>
    </row>
    <row r="265" ht="15.75" customHeight="1">
      <c r="A265" s="16"/>
    </row>
    <row r="266" ht="15.75" customHeight="1">
      <c r="A266" s="16"/>
    </row>
    <row r="267" ht="15.75" customHeight="1">
      <c r="A267" s="16"/>
    </row>
    <row r="268" ht="15.75" customHeight="1">
      <c r="A268" s="16"/>
    </row>
    <row r="269" ht="15.75" customHeight="1">
      <c r="A269" s="16"/>
    </row>
    <row r="270" ht="15.75" customHeight="1">
      <c r="A270" s="16"/>
    </row>
    <row r="271" ht="15.75" customHeight="1">
      <c r="A271" s="16"/>
    </row>
    <row r="272" ht="15.75" customHeight="1">
      <c r="A272" s="16"/>
    </row>
    <row r="273" ht="15.75" customHeight="1">
      <c r="A273" s="16"/>
    </row>
    <row r="274" ht="15.75" customHeight="1">
      <c r="A274" s="16"/>
    </row>
    <row r="275" ht="15.75" customHeight="1">
      <c r="A275" s="16"/>
    </row>
    <row r="276" ht="15.75" customHeight="1">
      <c r="A276" s="16"/>
    </row>
    <row r="277" ht="15.75" customHeight="1">
      <c r="A277" s="16"/>
    </row>
    <row r="278" ht="15.75" customHeight="1">
      <c r="A278" s="16"/>
    </row>
    <row r="279" ht="15.75" customHeight="1">
      <c r="A279" s="16"/>
    </row>
    <row r="280" ht="15.75" customHeight="1">
      <c r="A280" s="16"/>
    </row>
    <row r="281" ht="15.75" customHeight="1">
      <c r="A281" s="16"/>
    </row>
    <row r="282" ht="15.75" customHeight="1">
      <c r="A282" s="16"/>
    </row>
    <row r="283" ht="15.75" customHeight="1">
      <c r="A283" s="16"/>
    </row>
    <row r="284" ht="15.75" customHeight="1">
      <c r="A284" s="16"/>
    </row>
    <row r="285" ht="15.75" customHeight="1">
      <c r="A285" s="16"/>
    </row>
    <row r="286" ht="15.75" customHeight="1">
      <c r="A286" s="16"/>
    </row>
    <row r="287" ht="15.75" customHeight="1">
      <c r="A287" s="16"/>
    </row>
    <row r="288" ht="15.75" customHeight="1">
      <c r="A288" s="16"/>
    </row>
    <row r="289" ht="15.75" customHeight="1">
      <c r="A289" s="16"/>
    </row>
    <row r="290" ht="15.75" customHeight="1">
      <c r="A290" s="16"/>
    </row>
    <row r="291" ht="15.75" customHeight="1">
      <c r="A291" s="16"/>
    </row>
    <row r="292" ht="15.75" customHeight="1">
      <c r="A292" s="16"/>
    </row>
    <row r="293" ht="15.75" customHeight="1">
      <c r="A293" s="16"/>
    </row>
    <row r="294" ht="15.75" customHeight="1">
      <c r="A294" s="16"/>
    </row>
    <row r="295" ht="15.75" customHeight="1">
      <c r="A295" s="16"/>
    </row>
    <row r="296" ht="15.75" customHeight="1">
      <c r="A296" s="16"/>
    </row>
    <row r="297" ht="15.75" customHeight="1">
      <c r="A297" s="16"/>
    </row>
    <row r="298" ht="15.75" customHeight="1">
      <c r="A298" s="16"/>
    </row>
    <row r="299" ht="15.75" customHeight="1">
      <c r="A299" s="16"/>
    </row>
    <row r="300" ht="15.75" customHeight="1">
      <c r="A300" s="16"/>
    </row>
    <row r="301" ht="15.75" customHeight="1">
      <c r="A301" s="16"/>
    </row>
    <row r="302" ht="15.75" customHeight="1">
      <c r="A302" s="16"/>
    </row>
    <row r="303" ht="15.75" customHeight="1">
      <c r="A303" s="16"/>
    </row>
    <row r="304" ht="15.75" customHeight="1">
      <c r="A304" s="16"/>
    </row>
    <row r="305" ht="15.75" customHeight="1">
      <c r="A305" s="16"/>
    </row>
    <row r="306" ht="15.75" customHeight="1">
      <c r="A306" s="16"/>
    </row>
    <row r="307" ht="15.75" customHeight="1">
      <c r="A307" s="16"/>
    </row>
    <row r="308" ht="15.75" customHeight="1">
      <c r="A308" s="16"/>
    </row>
    <row r="309" ht="15.75" customHeight="1">
      <c r="A309" s="16"/>
    </row>
    <row r="310" ht="15.75" customHeight="1">
      <c r="A310" s="16"/>
    </row>
    <row r="311" ht="15.75" customHeight="1">
      <c r="A311" s="16"/>
    </row>
    <row r="312" ht="15.75" customHeight="1">
      <c r="A312" s="16"/>
    </row>
    <row r="313" ht="15.75" customHeight="1">
      <c r="A313" s="16"/>
    </row>
    <row r="314" ht="15.75" customHeight="1">
      <c r="A314" s="16"/>
    </row>
    <row r="315" ht="15.75" customHeight="1">
      <c r="A315" s="16"/>
    </row>
    <row r="316" ht="15.75" customHeight="1">
      <c r="A316" s="16"/>
    </row>
    <row r="317" ht="15.75" customHeight="1">
      <c r="A317" s="16"/>
    </row>
    <row r="318" ht="15.75" customHeight="1">
      <c r="A318" s="16"/>
    </row>
    <row r="319" ht="15.75" customHeight="1">
      <c r="A319" s="16"/>
    </row>
    <row r="320" ht="15.75" customHeight="1">
      <c r="A320" s="16"/>
    </row>
    <row r="321" ht="15.75" customHeight="1">
      <c r="A321" s="16"/>
    </row>
    <row r="322" ht="15.75" customHeight="1">
      <c r="A322" s="16"/>
    </row>
    <row r="323" ht="15.75" customHeight="1">
      <c r="A323" s="16"/>
    </row>
    <row r="324" ht="15.75" customHeight="1">
      <c r="A324" s="16"/>
    </row>
    <row r="325" ht="15.75" customHeight="1">
      <c r="A325" s="16"/>
    </row>
    <row r="326" ht="15.75" customHeight="1">
      <c r="A326" s="16"/>
    </row>
    <row r="327" ht="15.75" customHeight="1">
      <c r="A327" s="16"/>
    </row>
    <row r="328" ht="15.75" customHeight="1">
      <c r="A328" s="16"/>
    </row>
    <row r="329" ht="15.75" customHeight="1">
      <c r="A329" s="16"/>
    </row>
    <row r="330" ht="15.75" customHeight="1">
      <c r="A330" s="16"/>
    </row>
    <row r="331" ht="15.75" customHeight="1">
      <c r="A331" s="16"/>
    </row>
    <row r="332" ht="15.75" customHeight="1">
      <c r="A332" s="16"/>
    </row>
    <row r="333" ht="15.75" customHeight="1">
      <c r="A333" s="16"/>
    </row>
    <row r="334" ht="15.75" customHeight="1">
      <c r="A334" s="16"/>
    </row>
    <row r="335" ht="15.75" customHeight="1">
      <c r="A335" s="16"/>
    </row>
    <row r="336" ht="15.75" customHeight="1">
      <c r="A336" s="16"/>
    </row>
    <row r="337" ht="15.75" customHeight="1">
      <c r="A337" s="16"/>
    </row>
    <row r="338" ht="15.75" customHeight="1">
      <c r="A338" s="16"/>
    </row>
    <row r="339" ht="15.75" customHeight="1">
      <c r="A339" s="16"/>
    </row>
    <row r="340" ht="15.75" customHeight="1">
      <c r="A340" s="16"/>
    </row>
    <row r="341" ht="15.75" customHeight="1">
      <c r="A341" s="16"/>
    </row>
    <row r="342" ht="15.75" customHeight="1">
      <c r="A342" s="16"/>
    </row>
    <row r="343" ht="15.75" customHeight="1">
      <c r="A343" s="16"/>
    </row>
    <row r="344" ht="15.75" customHeight="1">
      <c r="A344" s="16"/>
    </row>
    <row r="345" ht="15.75" customHeight="1">
      <c r="A345" s="16"/>
    </row>
    <row r="346" ht="15.75" customHeight="1">
      <c r="A346" s="16"/>
    </row>
    <row r="347" ht="15.75" customHeight="1">
      <c r="A347" s="16"/>
    </row>
    <row r="348" ht="15.75" customHeight="1">
      <c r="A348" s="16"/>
    </row>
    <row r="349" ht="15.75" customHeight="1">
      <c r="A349" s="16"/>
    </row>
    <row r="350" ht="15.75" customHeight="1">
      <c r="A350" s="16"/>
    </row>
    <row r="351" ht="15.75" customHeight="1">
      <c r="A351" s="16"/>
    </row>
    <row r="352" ht="15.75" customHeight="1">
      <c r="A352" s="16"/>
    </row>
    <row r="353" ht="15.75" customHeight="1">
      <c r="A353" s="16"/>
    </row>
    <row r="354" ht="15.75" customHeight="1">
      <c r="A354" s="16"/>
    </row>
    <row r="355" ht="15.75" customHeight="1">
      <c r="A355" s="16"/>
    </row>
    <row r="356" ht="15.75" customHeight="1">
      <c r="A356" s="16"/>
    </row>
    <row r="357" ht="15.75" customHeight="1">
      <c r="A357" s="16"/>
    </row>
    <row r="358" ht="15.75" customHeight="1">
      <c r="A358" s="16"/>
    </row>
    <row r="359" ht="15.75" customHeight="1">
      <c r="A359" s="16"/>
    </row>
    <row r="360" ht="15.75" customHeight="1">
      <c r="A360" s="16"/>
    </row>
    <row r="361" ht="15.75" customHeight="1">
      <c r="A361" s="16"/>
    </row>
    <row r="362" ht="15.75" customHeight="1">
      <c r="A362" s="16"/>
    </row>
    <row r="363" ht="15.75" customHeight="1">
      <c r="A363" s="16"/>
    </row>
    <row r="364" ht="15.75" customHeight="1">
      <c r="A364" s="16"/>
    </row>
    <row r="365" ht="15.75" customHeight="1">
      <c r="A365" s="16"/>
    </row>
    <row r="366" ht="15.75" customHeight="1">
      <c r="A366" s="16"/>
    </row>
    <row r="367" ht="15.75" customHeight="1">
      <c r="A367" s="16"/>
    </row>
    <row r="368" ht="15.75" customHeight="1">
      <c r="A368" s="16"/>
    </row>
    <row r="369" ht="15.75" customHeight="1">
      <c r="A369" s="16"/>
    </row>
    <row r="370" ht="15.75" customHeight="1">
      <c r="A370" s="16"/>
    </row>
    <row r="371" ht="15.75" customHeight="1">
      <c r="A371" s="16"/>
    </row>
    <row r="372" ht="15.75" customHeight="1">
      <c r="A372" s="16"/>
    </row>
    <row r="373" ht="15.75" customHeight="1">
      <c r="A373" s="16"/>
    </row>
    <row r="374" ht="15.75" customHeight="1">
      <c r="A374" s="16"/>
    </row>
    <row r="375" ht="15.75" customHeight="1">
      <c r="A375" s="16"/>
    </row>
    <row r="376" ht="15.75" customHeight="1">
      <c r="A376" s="16"/>
    </row>
    <row r="377" ht="15.75" customHeight="1">
      <c r="A377" s="16"/>
    </row>
    <row r="378" ht="15.75" customHeight="1">
      <c r="A378" s="16"/>
    </row>
    <row r="379" ht="15.75" customHeight="1">
      <c r="A379" s="16"/>
    </row>
    <row r="380" ht="15.75" customHeight="1">
      <c r="A380" s="16"/>
    </row>
    <row r="381" ht="15.75" customHeight="1">
      <c r="A381" s="16"/>
    </row>
    <row r="382" ht="15.75" customHeight="1">
      <c r="A382" s="16"/>
    </row>
    <row r="383" ht="15.75" customHeight="1">
      <c r="A383" s="16"/>
    </row>
    <row r="384" ht="15.75" customHeight="1">
      <c r="A384" s="16"/>
    </row>
    <row r="385" ht="15.75" customHeight="1">
      <c r="A385" s="16"/>
    </row>
    <row r="386" ht="15.75" customHeight="1">
      <c r="A386" s="16"/>
    </row>
    <row r="387" ht="15.75" customHeight="1">
      <c r="A387" s="16"/>
    </row>
    <row r="388" ht="15.75" customHeight="1">
      <c r="A388" s="16"/>
    </row>
    <row r="389" ht="15.75" customHeight="1">
      <c r="A389" s="16"/>
    </row>
    <row r="390" ht="15.75" customHeight="1">
      <c r="A390" s="16"/>
    </row>
    <row r="391" ht="15.75" customHeight="1">
      <c r="A391" s="16"/>
    </row>
    <row r="392" ht="15.75" customHeight="1">
      <c r="A392" s="16"/>
    </row>
    <row r="393" ht="15.75" customHeight="1">
      <c r="A393" s="16"/>
    </row>
    <row r="394" ht="15.75" customHeight="1">
      <c r="A394" s="16"/>
    </row>
    <row r="395" ht="15.75" customHeight="1">
      <c r="A395" s="16"/>
    </row>
    <row r="396" ht="15.75" customHeight="1">
      <c r="A396" s="16"/>
    </row>
    <row r="397" ht="15.75" customHeight="1">
      <c r="A397" s="16"/>
    </row>
    <row r="398" ht="15.75" customHeight="1">
      <c r="A398" s="16"/>
    </row>
    <row r="399" ht="15.75" customHeight="1">
      <c r="A399" s="16"/>
    </row>
    <row r="400" ht="15.75" customHeight="1">
      <c r="A400" s="16"/>
    </row>
    <row r="401" ht="15.75" customHeight="1">
      <c r="A401" s="16"/>
    </row>
    <row r="402" ht="15.75" customHeight="1">
      <c r="A402" s="16"/>
    </row>
    <row r="403" ht="15.75" customHeight="1">
      <c r="A403" s="16"/>
    </row>
    <row r="404" ht="15.75" customHeight="1">
      <c r="A404" s="16"/>
    </row>
    <row r="405" ht="15.75" customHeight="1">
      <c r="A405" s="16"/>
    </row>
    <row r="406" ht="15.75" customHeight="1">
      <c r="A406" s="16"/>
    </row>
    <row r="407" ht="15.75" customHeight="1">
      <c r="A407" s="16"/>
    </row>
    <row r="408" ht="15.75" customHeight="1">
      <c r="A408" s="16"/>
    </row>
    <row r="409" ht="15.75" customHeight="1">
      <c r="A409" s="16"/>
    </row>
    <row r="410" ht="15.75" customHeight="1">
      <c r="A410" s="16"/>
    </row>
    <row r="411" ht="15.75" customHeight="1">
      <c r="A411" s="16"/>
    </row>
    <row r="412" ht="15.75" customHeight="1">
      <c r="A412" s="16"/>
    </row>
    <row r="413" ht="15.75" customHeight="1">
      <c r="A413" s="16"/>
    </row>
    <row r="414" ht="15.75" customHeight="1">
      <c r="A414" s="16"/>
    </row>
    <row r="415" ht="15.75" customHeight="1">
      <c r="A415" s="16"/>
    </row>
    <row r="416" ht="15.75" customHeight="1">
      <c r="A416" s="16"/>
    </row>
    <row r="417" ht="15.75" customHeight="1">
      <c r="A417" s="16"/>
    </row>
    <row r="418" ht="15.75" customHeight="1">
      <c r="A418" s="16"/>
    </row>
    <row r="419" ht="15.75" customHeight="1">
      <c r="A419" s="16"/>
    </row>
    <row r="420" ht="15.75" customHeight="1">
      <c r="A420" s="16"/>
    </row>
    <row r="421" ht="15.75" customHeight="1">
      <c r="A421" s="16"/>
    </row>
    <row r="422" ht="15.75" customHeight="1">
      <c r="A422" s="16"/>
    </row>
    <row r="423" ht="15.75" customHeight="1">
      <c r="A423" s="16"/>
    </row>
    <row r="424" ht="15.75" customHeight="1">
      <c r="A424" s="16"/>
    </row>
    <row r="425" ht="15.75" customHeight="1">
      <c r="A425" s="16"/>
    </row>
    <row r="426" ht="15.75" customHeight="1">
      <c r="A426" s="16"/>
    </row>
    <row r="427" ht="15.75" customHeight="1">
      <c r="A427" s="16"/>
    </row>
    <row r="428" ht="15.75" customHeight="1">
      <c r="A428" s="16"/>
    </row>
    <row r="429" ht="15.75" customHeight="1">
      <c r="A429" s="16"/>
    </row>
    <row r="430" ht="15.75" customHeight="1">
      <c r="A430" s="16"/>
    </row>
    <row r="431" ht="15.75" customHeight="1">
      <c r="A431" s="16"/>
    </row>
    <row r="432" ht="15.75" customHeight="1">
      <c r="A432" s="16"/>
    </row>
    <row r="433" ht="15.75" customHeight="1">
      <c r="A433" s="16"/>
    </row>
    <row r="434" ht="15.75" customHeight="1">
      <c r="A434" s="16"/>
    </row>
    <row r="435" ht="15.75" customHeight="1">
      <c r="A435" s="16"/>
    </row>
    <row r="436" ht="15.75" customHeight="1">
      <c r="A436" s="16"/>
    </row>
    <row r="437" ht="15.75" customHeight="1">
      <c r="A437" s="16"/>
    </row>
    <row r="438" ht="15.75" customHeight="1">
      <c r="A438" s="16"/>
    </row>
    <row r="439" ht="15.75" customHeight="1">
      <c r="A439" s="16"/>
    </row>
    <row r="440" ht="15.75" customHeight="1">
      <c r="A440" s="16"/>
    </row>
    <row r="441" ht="15.75" customHeight="1">
      <c r="A441" s="16"/>
    </row>
    <row r="442" ht="15.75" customHeight="1">
      <c r="A442" s="16"/>
    </row>
    <row r="443" ht="15.75" customHeight="1">
      <c r="A443" s="16"/>
    </row>
    <row r="444" ht="15.75" customHeight="1">
      <c r="A444" s="16"/>
    </row>
    <row r="445" ht="15.75" customHeight="1">
      <c r="A445" s="16"/>
    </row>
    <row r="446" ht="15.75" customHeight="1">
      <c r="A446" s="16"/>
    </row>
    <row r="447" ht="15.75" customHeight="1">
      <c r="A447" s="16"/>
    </row>
    <row r="448" ht="15.75" customHeight="1">
      <c r="A448" s="16"/>
    </row>
    <row r="449" ht="15.75" customHeight="1">
      <c r="A449" s="16"/>
    </row>
    <row r="450" ht="15.75" customHeight="1">
      <c r="A450" s="16"/>
    </row>
    <row r="451" ht="15.75" customHeight="1">
      <c r="A451" s="16"/>
    </row>
    <row r="452" ht="15.75" customHeight="1">
      <c r="A452" s="16"/>
    </row>
    <row r="453" ht="15.75" customHeight="1">
      <c r="A453" s="16"/>
    </row>
    <row r="454" ht="15.75" customHeight="1">
      <c r="A454" s="16"/>
    </row>
    <row r="455" ht="15.75" customHeight="1">
      <c r="A455" s="16"/>
    </row>
    <row r="456" ht="15.75" customHeight="1">
      <c r="A456" s="16"/>
    </row>
    <row r="457" ht="15.75" customHeight="1">
      <c r="A457" s="16"/>
    </row>
    <row r="458" ht="15.75" customHeight="1">
      <c r="A458" s="16"/>
    </row>
    <row r="459" ht="15.75" customHeight="1">
      <c r="A459" s="16"/>
    </row>
    <row r="460" ht="15.75" customHeight="1">
      <c r="A460" s="16"/>
    </row>
    <row r="461" ht="15.75" customHeight="1">
      <c r="A461" s="16"/>
    </row>
    <row r="462" ht="15.75" customHeight="1">
      <c r="A462" s="16"/>
    </row>
    <row r="463" ht="15.75" customHeight="1">
      <c r="A463" s="16"/>
    </row>
    <row r="464" ht="15.75" customHeight="1">
      <c r="A464" s="16"/>
    </row>
    <row r="465" ht="15.75" customHeight="1">
      <c r="A465" s="16"/>
    </row>
    <row r="466" ht="15.75" customHeight="1">
      <c r="A466" s="16"/>
    </row>
    <row r="467" ht="15.75" customHeight="1">
      <c r="A467" s="16"/>
    </row>
    <row r="468" ht="15.75" customHeight="1">
      <c r="A468" s="16"/>
    </row>
    <row r="469" ht="15.75" customHeight="1">
      <c r="A469" s="16"/>
    </row>
    <row r="470" ht="15.75" customHeight="1">
      <c r="A470" s="16"/>
    </row>
    <row r="471" ht="15.75" customHeight="1">
      <c r="A471" s="16"/>
    </row>
    <row r="472" ht="15.75" customHeight="1">
      <c r="A472" s="16"/>
    </row>
    <row r="473" ht="15.75" customHeight="1">
      <c r="A473" s="16"/>
    </row>
    <row r="474" ht="15.75" customHeight="1">
      <c r="A474" s="16"/>
    </row>
    <row r="475" ht="15.75" customHeight="1">
      <c r="A475" s="16"/>
    </row>
    <row r="476" ht="15.75" customHeight="1">
      <c r="A476" s="16"/>
    </row>
    <row r="477" ht="15.75" customHeight="1">
      <c r="A477" s="16"/>
    </row>
    <row r="478" ht="15.75" customHeight="1">
      <c r="A478" s="16"/>
    </row>
    <row r="479" ht="15.75" customHeight="1">
      <c r="A479" s="16"/>
    </row>
    <row r="480" ht="15.75" customHeight="1">
      <c r="A480" s="16"/>
    </row>
    <row r="481" ht="15.75" customHeight="1">
      <c r="A481" s="16"/>
    </row>
    <row r="482" ht="15.75" customHeight="1">
      <c r="A482" s="16"/>
    </row>
    <row r="483" ht="15.75" customHeight="1">
      <c r="A483" s="16"/>
    </row>
    <row r="484" ht="15.75" customHeight="1">
      <c r="A484" s="16"/>
    </row>
    <row r="485" ht="15.75" customHeight="1">
      <c r="A485" s="16"/>
    </row>
    <row r="486" ht="15.75" customHeight="1">
      <c r="A486" s="16"/>
    </row>
    <row r="487" ht="15.75" customHeight="1">
      <c r="A487" s="16"/>
    </row>
    <row r="488" ht="15.75" customHeight="1">
      <c r="A488" s="16"/>
    </row>
    <row r="489" ht="15.75" customHeight="1">
      <c r="A489" s="16"/>
    </row>
    <row r="490" ht="15.75" customHeight="1">
      <c r="A490" s="16"/>
    </row>
    <row r="491" ht="15.75" customHeight="1">
      <c r="A491" s="16"/>
    </row>
    <row r="492" ht="15.75" customHeight="1">
      <c r="A492" s="16"/>
    </row>
    <row r="493" ht="15.75" customHeight="1">
      <c r="A493" s="16"/>
    </row>
    <row r="494" ht="15.75" customHeight="1">
      <c r="A494" s="16"/>
    </row>
    <row r="495" ht="15.75" customHeight="1">
      <c r="A495" s="16"/>
    </row>
    <row r="496" ht="15.75" customHeight="1">
      <c r="A496" s="16"/>
    </row>
    <row r="497" ht="15.75" customHeight="1">
      <c r="A497" s="16"/>
    </row>
    <row r="498" ht="15.75" customHeight="1">
      <c r="A498" s="16"/>
    </row>
    <row r="499" ht="15.75" customHeight="1">
      <c r="A499" s="16"/>
    </row>
    <row r="500" ht="15.75" customHeight="1">
      <c r="A500" s="16"/>
    </row>
    <row r="501" ht="15.75" customHeight="1">
      <c r="A501" s="16"/>
    </row>
    <row r="502" ht="15.75" customHeight="1">
      <c r="A502" s="16"/>
    </row>
    <row r="503" ht="15.75" customHeight="1">
      <c r="A503" s="16"/>
    </row>
    <row r="504" ht="15.75" customHeight="1">
      <c r="A504" s="16"/>
    </row>
    <row r="505" ht="15.75" customHeight="1">
      <c r="A505" s="16"/>
    </row>
    <row r="506" ht="15.75" customHeight="1">
      <c r="A506" s="16"/>
    </row>
    <row r="507" ht="15.75" customHeight="1">
      <c r="A507" s="16"/>
    </row>
    <row r="508" ht="15.75" customHeight="1">
      <c r="A508" s="16"/>
    </row>
    <row r="509" ht="15.75" customHeight="1">
      <c r="A509" s="16"/>
    </row>
    <row r="510" ht="15.75" customHeight="1">
      <c r="A510" s="16"/>
    </row>
    <row r="511" ht="15.75" customHeight="1">
      <c r="A511" s="16"/>
    </row>
    <row r="512" ht="15.75" customHeight="1">
      <c r="A512" s="16"/>
    </row>
    <row r="513" ht="15.75" customHeight="1">
      <c r="A513" s="16"/>
    </row>
    <row r="514" ht="15.75" customHeight="1">
      <c r="A514" s="16"/>
    </row>
    <row r="515" ht="15.75" customHeight="1">
      <c r="A515" s="16"/>
    </row>
    <row r="516" ht="15.75" customHeight="1">
      <c r="A516" s="16"/>
    </row>
    <row r="517" ht="15.75" customHeight="1">
      <c r="A517" s="16"/>
    </row>
    <row r="518" ht="15.75" customHeight="1">
      <c r="A518" s="16"/>
    </row>
    <row r="519" ht="15.75" customHeight="1">
      <c r="A519" s="16"/>
    </row>
    <row r="520" ht="15.75" customHeight="1">
      <c r="A520" s="16"/>
    </row>
    <row r="521" ht="15.75" customHeight="1">
      <c r="A521" s="16"/>
    </row>
    <row r="522" ht="15.75" customHeight="1">
      <c r="A522" s="16"/>
    </row>
    <row r="523" ht="15.75" customHeight="1">
      <c r="A523" s="16"/>
    </row>
    <row r="524" ht="15.75" customHeight="1">
      <c r="A524" s="16"/>
    </row>
    <row r="525" ht="15.75" customHeight="1">
      <c r="A525" s="16"/>
    </row>
    <row r="526" ht="15.75" customHeight="1">
      <c r="A526" s="16"/>
    </row>
    <row r="527" ht="15.75" customHeight="1">
      <c r="A527" s="16"/>
    </row>
    <row r="528" ht="15.75" customHeight="1">
      <c r="A528" s="16"/>
    </row>
    <row r="529" ht="15.75" customHeight="1">
      <c r="A529" s="16"/>
    </row>
    <row r="530" ht="15.75" customHeight="1">
      <c r="A530" s="16"/>
    </row>
    <row r="531" ht="15.75" customHeight="1">
      <c r="A531" s="16"/>
    </row>
    <row r="532" ht="15.75" customHeight="1">
      <c r="A532" s="16"/>
    </row>
    <row r="533" ht="15.75" customHeight="1">
      <c r="A533" s="16"/>
    </row>
    <row r="534" ht="15.75" customHeight="1">
      <c r="A534" s="16"/>
    </row>
    <row r="535" ht="15.75" customHeight="1">
      <c r="A535" s="16"/>
    </row>
    <row r="536" ht="15.75" customHeight="1">
      <c r="A536" s="16"/>
    </row>
    <row r="537" ht="15.75" customHeight="1">
      <c r="A537" s="16"/>
    </row>
    <row r="538" ht="15.75" customHeight="1">
      <c r="A538" s="16"/>
    </row>
    <row r="539" ht="15.75" customHeight="1">
      <c r="A539" s="16"/>
    </row>
    <row r="540" ht="15.75" customHeight="1">
      <c r="A540" s="16"/>
    </row>
    <row r="541" ht="15.75" customHeight="1">
      <c r="A541" s="16"/>
    </row>
    <row r="542" ht="15.75" customHeight="1">
      <c r="A542" s="16"/>
    </row>
    <row r="543" ht="15.75" customHeight="1">
      <c r="A543" s="16"/>
    </row>
    <row r="544" ht="15.75" customHeight="1">
      <c r="A544" s="16"/>
    </row>
    <row r="545" ht="15.75" customHeight="1">
      <c r="A545" s="16"/>
    </row>
    <row r="546" ht="15.75" customHeight="1">
      <c r="A546" s="16"/>
    </row>
    <row r="547" ht="15.75" customHeight="1">
      <c r="A547" s="16"/>
    </row>
    <row r="548" ht="15.75" customHeight="1">
      <c r="A548" s="16"/>
    </row>
    <row r="549" ht="15.75" customHeight="1">
      <c r="A549" s="16"/>
    </row>
    <row r="550" ht="15.75" customHeight="1">
      <c r="A550" s="16"/>
    </row>
    <row r="551" ht="15.75" customHeight="1">
      <c r="A551" s="16"/>
    </row>
    <row r="552" ht="15.75" customHeight="1">
      <c r="A552" s="16"/>
    </row>
    <row r="553" ht="15.75" customHeight="1">
      <c r="A553" s="16"/>
    </row>
    <row r="554" ht="15.75" customHeight="1">
      <c r="A554" s="16"/>
    </row>
    <row r="555" ht="15.75" customHeight="1">
      <c r="A555" s="16"/>
    </row>
    <row r="556" ht="15.75" customHeight="1">
      <c r="A556" s="16"/>
    </row>
    <row r="557" ht="15.75" customHeight="1">
      <c r="A557" s="16"/>
    </row>
    <row r="558" ht="15.75" customHeight="1">
      <c r="A558" s="16"/>
    </row>
    <row r="559" ht="15.75" customHeight="1">
      <c r="A559" s="16"/>
    </row>
    <row r="560" ht="15.75" customHeight="1">
      <c r="A560" s="16"/>
    </row>
    <row r="561" ht="15.75" customHeight="1">
      <c r="A561" s="16"/>
    </row>
    <row r="562" ht="15.75" customHeight="1">
      <c r="A562" s="16"/>
    </row>
    <row r="563" ht="15.75" customHeight="1">
      <c r="A563" s="16"/>
    </row>
    <row r="564" ht="15.75" customHeight="1">
      <c r="A564" s="16"/>
    </row>
    <row r="565" ht="15.75" customHeight="1">
      <c r="A565" s="16"/>
    </row>
    <row r="566" ht="15.75" customHeight="1">
      <c r="A566" s="16"/>
    </row>
    <row r="567" ht="15.75" customHeight="1">
      <c r="A567" s="16"/>
    </row>
    <row r="568" ht="15.75" customHeight="1">
      <c r="A568" s="16"/>
    </row>
    <row r="569" ht="15.75" customHeight="1">
      <c r="A569" s="16"/>
    </row>
    <row r="570" ht="15.75" customHeight="1">
      <c r="A570" s="16"/>
    </row>
    <row r="571" ht="15.75" customHeight="1">
      <c r="A571" s="16"/>
    </row>
    <row r="572" ht="15.75" customHeight="1">
      <c r="A572" s="16"/>
    </row>
    <row r="573" ht="15.75" customHeight="1">
      <c r="A573" s="16"/>
    </row>
    <row r="574" ht="15.75" customHeight="1">
      <c r="A574" s="16"/>
    </row>
    <row r="575" ht="15.75" customHeight="1">
      <c r="A575" s="16"/>
    </row>
    <row r="576" ht="15.75" customHeight="1">
      <c r="A576" s="16"/>
    </row>
    <row r="577" ht="15.75" customHeight="1">
      <c r="A577" s="16"/>
    </row>
    <row r="578" ht="15.75" customHeight="1">
      <c r="A578" s="16"/>
    </row>
    <row r="579" ht="15.75" customHeight="1">
      <c r="A579" s="16"/>
    </row>
    <row r="580" ht="15.75" customHeight="1">
      <c r="A580" s="16"/>
    </row>
    <row r="581" ht="15.75" customHeight="1">
      <c r="A581" s="16"/>
    </row>
    <row r="582" ht="15.75" customHeight="1">
      <c r="A582" s="16"/>
    </row>
    <row r="583" ht="15.75" customHeight="1">
      <c r="A583" s="16"/>
    </row>
    <row r="584" ht="15.75" customHeight="1">
      <c r="A584" s="16"/>
    </row>
    <row r="585" ht="15.75" customHeight="1">
      <c r="A585" s="16"/>
    </row>
    <row r="586" ht="15.75" customHeight="1">
      <c r="A586" s="16"/>
    </row>
    <row r="587" ht="15.75" customHeight="1">
      <c r="A587" s="16"/>
    </row>
    <row r="588" ht="15.75" customHeight="1">
      <c r="A588" s="16"/>
    </row>
    <row r="589" ht="15.75" customHeight="1">
      <c r="A589" s="16"/>
    </row>
    <row r="590" ht="15.75" customHeight="1">
      <c r="A590" s="16"/>
    </row>
    <row r="591" ht="15.75" customHeight="1">
      <c r="A591" s="16"/>
    </row>
    <row r="592" ht="15.75" customHeight="1">
      <c r="A592" s="16"/>
    </row>
    <row r="593" ht="15.75" customHeight="1">
      <c r="A593" s="16"/>
    </row>
    <row r="594" ht="15.75" customHeight="1">
      <c r="A594" s="16"/>
    </row>
    <row r="595" ht="15.75" customHeight="1">
      <c r="A595" s="16"/>
    </row>
    <row r="596" ht="15.75" customHeight="1">
      <c r="A596" s="16"/>
    </row>
    <row r="597" ht="15.75" customHeight="1">
      <c r="A597" s="16"/>
    </row>
    <row r="598" ht="15.75" customHeight="1">
      <c r="A598" s="16"/>
    </row>
    <row r="599" ht="15.75" customHeight="1">
      <c r="A599" s="16"/>
    </row>
    <row r="600" ht="15.75" customHeight="1">
      <c r="A600" s="16"/>
    </row>
    <row r="601" ht="15.75" customHeight="1">
      <c r="A601" s="16"/>
    </row>
    <row r="602" ht="15.75" customHeight="1">
      <c r="A602" s="16"/>
    </row>
    <row r="603" ht="15.75" customHeight="1">
      <c r="A603" s="16"/>
    </row>
    <row r="604" ht="15.75" customHeight="1">
      <c r="A604" s="16"/>
    </row>
    <row r="605" ht="15.75" customHeight="1">
      <c r="A605" s="16"/>
    </row>
    <row r="606" ht="15.75" customHeight="1">
      <c r="A606" s="16"/>
    </row>
    <row r="607" ht="15.75" customHeight="1">
      <c r="A607" s="16"/>
    </row>
    <row r="608" ht="15.75" customHeight="1">
      <c r="A608" s="16"/>
    </row>
    <row r="609" ht="15.75" customHeight="1">
      <c r="A609" s="16"/>
    </row>
    <row r="610" ht="15.75" customHeight="1">
      <c r="A610" s="16"/>
    </row>
    <row r="611" ht="15.75" customHeight="1">
      <c r="A611" s="16"/>
    </row>
    <row r="612" ht="15.75" customHeight="1">
      <c r="A612" s="16"/>
    </row>
    <row r="613" ht="15.75" customHeight="1">
      <c r="A613" s="16"/>
    </row>
    <row r="614" ht="15.75" customHeight="1">
      <c r="A614" s="16"/>
    </row>
    <row r="615" ht="15.75" customHeight="1">
      <c r="A615" s="16"/>
    </row>
    <row r="616" ht="15.75" customHeight="1">
      <c r="A616" s="16"/>
    </row>
    <row r="617" ht="15.75" customHeight="1">
      <c r="A617" s="16"/>
    </row>
    <row r="618" ht="15.75" customHeight="1">
      <c r="A618" s="16"/>
    </row>
    <row r="619" ht="15.75" customHeight="1">
      <c r="A619" s="16"/>
    </row>
    <row r="620" ht="15.75" customHeight="1">
      <c r="A620" s="16"/>
    </row>
    <row r="621" ht="15.75" customHeight="1">
      <c r="A621" s="16"/>
    </row>
    <row r="622" ht="15.75" customHeight="1">
      <c r="A622" s="16"/>
    </row>
    <row r="623" ht="15.75" customHeight="1">
      <c r="A623" s="16"/>
    </row>
    <row r="624" ht="15.75" customHeight="1">
      <c r="A624" s="16"/>
    </row>
    <row r="625" ht="15.75" customHeight="1">
      <c r="A625" s="16"/>
    </row>
    <row r="626" ht="15.75" customHeight="1">
      <c r="A626" s="16"/>
    </row>
    <row r="627" ht="15.75" customHeight="1">
      <c r="A627" s="16"/>
    </row>
    <row r="628" ht="15.75" customHeight="1">
      <c r="A628" s="16"/>
    </row>
    <row r="629" ht="15.75" customHeight="1">
      <c r="A629" s="16"/>
    </row>
    <row r="630" ht="15.75" customHeight="1">
      <c r="A630" s="16"/>
    </row>
    <row r="631" ht="15.75" customHeight="1">
      <c r="A631" s="16"/>
    </row>
    <row r="632" ht="15.75" customHeight="1">
      <c r="A632" s="16"/>
    </row>
    <row r="633" ht="15.75" customHeight="1">
      <c r="A633" s="16"/>
    </row>
    <row r="634" ht="15.75" customHeight="1">
      <c r="A634" s="16"/>
    </row>
    <row r="635" ht="15.75" customHeight="1">
      <c r="A635" s="16"/>
    </row>
    <row r="636" ht="15.75" customHeight="1">
      <c r="A636" s="16"/>
    </row>
    <row r="637" ht="15.75" customHeight="1">
      <c r="A637" s="16"/>
    </row>
    <row r="638" ht="15.75" customHeight="1">
      <c r="A638" s="16"/>
    </row>
    <row r="639" ht="15.75" customHeight="1">
      <c r="A639" s="16"/>
    </row>
    <row r="640" ht="15.75" customHeight="1">
      <c r="A640" s="16"/>
    </row>
    <row r="641" ht="15.75" customHeight="1">
      <c r="A641" s="16"/>
    </row>
    <row r="642" ht="15.75" customHeight="1">
      <c r="A642" s="16"/>
    </row>
    <row r="643" ht="15.75" customHeight="1">
      <c r="A643" s="16"/>
    </row>
    <row r="644" ht="15.75" customHeight="1">
      <c r="A644" s="16"/>
    </row>
    <row r="645" ht="15.75" customHeight="1">
      <c r="A645" s="16"/>
    </row>
    <row r="646" ht="15.75" customHeight="1">
      <c r="A646" s="16"/>
    </row>
    <row r="647" ht="15.75" customHeight="1">
      <c r="A647" s="16"/>
    </row>
    <row r="648" ht="15.75" customHeight="1">
      <c r="A648" s="16"/>
    </row>
    <row r="649" ht="15.75" customHeight="1">
      <c r="A649" s="16"/>
    </row>
    <row r="650" ht="15.75" customHeight="1">
      <c r="A650" s="16"/>
    </row>
    <row r="651" ht="15.75" customHeight="1">
      <c r="A651" s="16"/>
    </row>
    <row r="652" ht="15.75" customHeight="1">
      <c r="A652" s="16"/>
    </row>
    <row r="653" ht="15.75" customHeight="1">
      <c r="A653" s="16"/>
    </row>
    <row r="654" ht="15.75" customHeight="1">
      <c r="A654" s="16"/>
    </row>
    <row r="655" ht="15.75" customHeight="1">
      <c r="A655" s="16"/>
    </row>
    <row r="656" ht="15.75" customHeight="1">
      <c r="A656" s="16"/>
    </row>
    <row r="657" ht="15.75" customHeight="1">
      <c r="A657" s="16"/>
    </row>
    <row r="658" ht="15.75" customHeight="1">
      <c r="A658" s="16"/>
    </row>
    <row r="659" ht="15.75" customHeight="1">
      <c r="A659" s="16"/>
    </row>
    <row r="660" ht="15.75" customHeight="1">
      <c r="A660" s="16"/>
    </row>
    <row r="661" ht="15.75" customHeight="1">
      <c r="A661" s="16"/>
    </row>
    <row r="662" ht="15.75" customHeight="1">
      <c r="A662" s="16"/>
    </row>
    <row r="663" ht="15.75" customHeight="1">
      <c r="A663" s="16"/>
    </row>
    <row r="664" ht="15.75" customHeight="1">
      <c r="A664" s="16"/>
    </row>
    <row r="665" ht="15.75" customHeight="1">
      <c r="A665" s="16"/>
    </row>
    <row r="666" ht="15.75" customHeight="1">
      <c r="A666" s="16"/>
    </row>
    <row r="667" ht="15.75" customHeight="1">
      <c r="A667" s="16"/>
    </row>
    <row r="668" ht="15.75" customHeight="1">
      <c r="A668" s="16"/>
    </row>
    <row r="669" ht="15.75" customHeight="1">
      <c r="A669" s="16"/>
    </row>
    <row r="670" ht="15.75" customHeight="1">
      <c r="A670" s="16"/>
    </row>
    <row r="671" ht="15.75" customHeight="1">
      <c r="A671" s="16"/>
    </row>
    <row r="672" ht="15.75" customHeight="1">
      <c r="A672" s="16"/>
    </row>
    <row r="673" ht="15.75" customHeight="1">
      <c r="A673" s="16"/>
    </row>
    <row r="674" ht="15.75" customHeight="1">
      <c r="A674" s="16"/>
    </row>
    <row r="675" ht="15.75" customHeight="1">
      <c r="A675" s="16"/>
    </row>
    <row r="676" ht="15.75" customHeight="1">
      <c r="A676" s="16"/>
    </row>
    <row r="677" ht="15.75" customHeight="1">
      <c r="A677" s="16"/>
    </row>
    <row r="678" ht="15.75" customHeight="1">
      <c r="A678" s="16"/>
    </row>
    <row r="679" ht="15.75" customHeight="1">
      <c r="A679" s="16"/>
    </row>
    <row r="680" ht="15.75" customHeight="1">
      <c r="A680" s="16"/>
    </row>
    <row r="681" ht="15.75" customHeight="1">
      <c r="A681" s="16"/>
    </row>
    <row r="682" ht="15.75" customHeight="1">
      <c r="A682" s="16"/>
    </row>
    <row r="683" ht="15.75" customHeight="1">
      <c r="A683" s="16"/>
    </row>
    <row r="684" ht="15.75" customHeight="1">
      <c r="A684" s="16"/>
    </row>
    <row r="685" ht="15.75" customHeight="1">
      <c r="A685" s="16"/>
    </row>
    <row r="686" ht="15.75" customHeight="1">
      <c r="A686" s="16"/>
    </row>
    <row r="687" ht="15.75" customHeight="1">
      <c r="A687" s="16"/>
    </row>
    <row r="688" ht="15.75" customHeight="1">
      <c r="A688" s="16"/>
    </row>
    <row r="689" ht="15.75" customHeight="1">
      <c r="A689" s="16"/>
    </row>
    <row r="690" ht="15.75" customHeight="1">
      <c r="A690" s="16"/>
    </row>
    <row r="691" ht="15.75" customHeight="1">
      <c r="A691" s="16"/>
    </row>
    <row r="692" ht="15.75" customHeight="1">
      <c r="A692" s="16"/>
    </row>
    <row r="693" ht="15.75" customHeight="1">
      <c r="A693" s="16"/>
    </row>
    <row r="694" ht="15.75" customHeight="1">
      <c r="A694" s="16"/>
    </row>
    <row r="695" ht="15.75" customHeight="1">
      <c r="A695" s="16"/>
    </row>
    <row r="696" ht="15.75" customHeight="1">
      <c r="A696" s="16"/>
    </row>
    <row r="697" ht="15.75" customHeight="1">
      <c r="A697" s="16"/>
    </row>
    <row r="698" ht="15.75" customHeight="1">
      <c r="A698" s="16"/>
    </row>
    <row r="699" ht="15.75" customHeight="1">
      <c r="A699" s="16"/>
    </row>
    <row r="700" ht="15.75" customHeight="1">
      <c r="A700" s="16"/>
    </row>
    <row r="701" ht="15.75" customHeight="1">
      <c r="A701" s="16"/>
    </row>
    <row r="702" ht="15.75" customHeight="1">
      <c r="A702" s="16"/>
    </row>
    <row r="703" ht="15.75" customHeight="1">
      <c r="A703" s="16"/>
    </row>
    <row r="704" ht="15.75" customHeight="1">
      <c r="A704" s="16"/>
    </row>
    <row r="705" ht="15.75" customHeight="1">
      <c r="A705" s="16"/>
    </row>
    <row r="706" ht="15.75" customHeight="1">
      <c r="A706" s="16"/>
    </row>
    <row r="707" ht="15.75" customHeight="1">
      <c r="A707" s="16"/>
    </row>
    <row r="708" ht="15.75" customHeight="1">
      <c r="A708" s="16"/>
    </row>
    <row r="709" ht="15.75" customHeight="1">
      <c r="A709" s="16"/>
    </row>
    <row r="710" ht="15.75" customHeight="1">
      <c r="A710" s="16"/>
    </row>
    <row r="711" ht="15.75" customHeight="1">
      <c r="A711" s="16"/>
    </row>
    <row r="712" ht="15.75" customHeight="1">
      <c r="A712" s="16"/>
    </row>
    <row r="713" ht="15.75" customHeight="1">
      <c r="A713" s="16"/>
    </row>
    <row r="714" ht="15.75" customHeight="1">
      <c r="A714" s="16"/>
    </row>
    <row r="715" ht="15.75" customHeight="1">
      <c r="A715" s="16"/>
    </row>
    <row r="716" ht="15.75" customHeight="1">
      <c r="A716" s="16"/>
    </row>
    <row r="717" ht="15.75" customHeight="1">
      <c r="A717" s="16"/>
    </row>
    <row r="718" ht="15.75" customHeight="1">
      <c r="A718" s="16"/>
    </row>
    <row r="719" ht="15.75" customHeight="1">
      <c r="A719" s="16"/>
    </row>
    <row r="720" ht="15.75" customHeight="1">
      <c r="A720" s="16"/>
    </row>
    <row r="721" ht="15.75" customHeight="1">
      <c r="A721" s="16"/>
    </row>
    <row r="722" ht="15.75" customHeight="1">
      <c r="A722" s="16"/>
    </row>
    <row r="723" ht="15.75" customHeight="1">
      <c r="A723" s="16"/>
    </row>
    <row r="724" ht="15.75" customHeight="1">
      <c r="A724" s="16"/>
    </row>
    <row r="725" ht="15.75" customHeight="1">
      <c r="A725" s="16"/>
    </row>
    <row r="726" ht="15.75" customHeight="1">
      <c r="A726" s="16"/>
    </row>
    <row r="727" ht="15.75" customHeight="1">
      <c r="A727" s="16"/>
    </row>
    <row r="728" ht="15.75" customHeight="1">
      <c r="A728" s="16"/>
    </row>
    <row r="729" ht="15.75" customHeight="1">
      <c r="A729" s="16"/>
    </row>
    <row r="730" ht="15.75" customHeight="1">
      <c r="A730" s="16"/>
    </row>
    <row r="731" ht="15.75" customHeight="1">
      <c r="A731" s="16"/>
    </row>
    <row r="732" ht="15.75" customHeight="1">
      <c r="A732" s="16"/>
    </row>
    <row r="733" ht="15.75" customHeight="1">
      <c r="A733" s="16"/>
    </row>
    <row r="734" ht="15.75" customHeight="1">
      <c r="A734" s="16"/>
    </row>
    <row r="735" ht="15.75" customHeight="1">
      <c r="A735" s="16"/>
    </row>
    <row r="736" ht="15.75" customHeight="1">
      <c r="A736" s="16"/>
    </row>
    <row r="737" ht="15.75" customHeight="1">
      <c r="A737" s="16"/>
    </row>
    <row r="738" ht="15.75" customHeight="1">
      <c r="A738" s="16"/>
    </row>
    <row r="739" ht="15.75" customHeight="1">
      <c r="A739" s="16"/>
    </row>
    <row r="740" ht="15.75" customHeight="1">
      <c r="A740" s="16"/>
    </row>
    <row r="741" ht="15.75" customHeight="1">
      <c r="A741" s="16"/>
    </row>
    <row r="742" ht="15.75" customHeight="1">
      <c r="A742" s="16"/>
    </row>
    <row r="743" ht="15.75" customHeight="1">
      <c r="A743" s="16"/>
    </row>
    <row r="744" ht="15.75" customHeight="1">
      <c r="A744" s="16"/>
    </row>
    <row r="745" ht="15.75" customHeight="1">
      <c r="A745" s="16"/>
    </row>
    <row r="746" ht="15.75" customHeight="1">
      <c r="A746" s="16"/>
    </row>
    <row r="747" ht="15.75" customHeight="1">
      <c r="A747" s="16"/>
    </row>
    <row r="748" ht="15.75" customHeight="1">
      <c r="A748" s="16"/>
    </row>
    <row r="749" ht="15.75" customHeight="1">
      <c r="A749" s="16"/>
    </row>
    <row r="750" ht="15.75" customHeight="1">
      <c r="A750" s="16"/>
    </row>
    <row r="751" ht="15.75" customHeight="1">
      <c r="A751" s="16"/>
    </row>
    <row r="752" ht="15.75" customHeight="1">
      <c r="A752" s="16"/>
    </row>
    <row r="753" ht="15.75" customHeight="1">
      <c r="A753" s="16"/>
    </row>
    <row r="754" ht="15.75" customHeight="1">
      <c r="A754" s="16"/>
    </row>
    <row r="755" ht="15.75" customHeight="1">
      <c r="A755" s="16"/>
    </row>
    <row r="756" ht="15.75" customHeight="1">
      <c r="A756" s="16"/>
    </row>
    <row r="757" ht="15.75" customHeight="1">
      <c r="A757" s="16"/>
    </row>
    <row r="758" ht="15.75" customHeight="1">
      <c r="A758" s="16"/>
    </row>
    <row r="759" ht="15.75" customHeight="1">
      <c r="A759" s="16"/>
    </row>
    <row r="760" ht="15.75" customHeight="1">
      <c r="A760" s="16"/>
    </row>
    <row r="761" ht="15.75" customHeight="1">
      <c r="A761" s="16"/>
    </row>
    <row r="762" ht="15.75" customHeight="1">
      <c r="A762" s="16"/>
    </row>
    <row r="763" ht="15.75" customHeight="1">
      <c r="A763" s="16"/>
    </row>
    <row r="764" ht="15.75" customHeight="1">
      <c r="A764" s="16"/>
    </row>
    <row r="765" ht="15.75" customHeight="1">
      <c r="A765" s="16"/>
    </row>
    <row r="766" ht="15.75" customHeight="1">
      <c r="A766" s="16"/>
    </row>
    <row r="767" ht="15.75" customHeight="1">
      <c r="A767" s="16"/>
    </row>
    <row r="768" ht="15.75" customHeight="1">
      <c r="A768" s="16"/>
    </row>
    <row r="769" ht="15.75" customHeight="1">
      <c r="A769" s="16"/>
    </row>
    <row r="770" ht="15.75" customHeight="1">
      <c r="A770" s="16"/>
    </row>
    <row r="771" ht="15.75" customHeight="1">
      <c r="A771" s="16"/>
    </row>
    <row r="772" ht="15.75" customHeight="1">
      <c r="A772" s="16"/>
    </row>
    <row r="773" ht="15.75" customHeight="1">
      <c r="A773" s="16"/>
    </row>
    <row r="774" ht="15.75" customHeight="1">
      <c r="A774" s="16"/>
    </row>
    <row r="775" ht="15.75" customHeight="1">
      <c r="A775" s="16"/>
    </row>
    <row r="776" ht="15.75" customHeight="1">
      <c r="A776" s="16"/>
    </row>
    <row r="777" ht="15.75" customHeight="1">
      <c r="A777" s="16"/>
    </row>
    <row r="778" ht="15.75" customHeight="1">
      <c r="A778" s="16"/>
    </row>
    <row r="779" ht="15.75" customHeight="1">
      <c r="A779" s="16"/>
    </row>
    <row r="780" ht="15.75" customHeight="1">
      <c r="A780" s="16"/>
    </row>
    <row r="781" ht="15.75" customHeight="1">
      <c r="A781" s="16"/>
    </row>
    <row r="782" ht="15.75" customHeight="1">
      <c r="A782" s="16"/>
    </row>
    <row r="783" ht="15.75" customHeight="1">
      <c r="A783" s="16"/>
    </row>
    <row r="784" ht="15.75" customHeight="1">
      <c r="A784" s="16"/>
    </row>
    <row r="785" ht="15.75" customHeight="1">
      <c r="A785" s="16"/>
    </row>
    <row r="786" ht="15.75" customHeight="1">
      <c r="A786" s="16"/>
    </row>
    <row r="787" ht="15.75" customHeight="1">
      <c r="A787" s="16"/>
    </row>
    <row r="788" ht="15.75" customHeight="1">
      <c r="A788" s="16"/>
    </row>
    <row r="789" ht="15.75" customHeight="1">
      <c r="A789" s="16"/>
    </row>
    <row r="790" ht="15.75" customHeight="1">
      <c r="A790" s="16"/>
    </row>
    <row r="791" ht="15.75" customHeight="1">
      <c r="A791" s="16"/>
    </row>
    <row r="792" ht="15.75" customHeight="1">
      <c r="A792" s="16"/>
    </row>
    <row r="793" ht="15.75" customHeight="1">
      <c r="A793" s="16"/>
    </row>
    <row r="794" ht="15.75" customHeight="1">
      <c r="A794" s="16"/>
    </row>
    <row r="795" ht="15.75" customHeight="1">
      <c r="A795" s="16"/>
    </row>
    <row r="796" ht="15.75" customHeight="1">
      <c r="A796" s="16"/>
    </row>
    <row r="797" ht="15.75" customHeight="1">
      <c r="A797" s="16"/>
    </row>
    <row r="798" ht="15.75" customHeight="1">
      <c r="A798" s="16"/>
    </row>
    <row r="799" ht="15.75" customHeight="1">
      <c r="A799" s="16"/>
    </row>
    <row r="800" ht="15.75" customHeight="1">
      <c r="A800" s="16"/>
    </row>
    <row r="801" ht="15.75" customHeight="1">
      <c r="A801" s="16"/>
    </row>
    <row r="802" ht="15.75" customHeight="1">
      <c r="A802" s="16"/>
    </row>
    <row r="803" ht="15.75" customHeight="1">
      <c r="A803" s="16"/>
    </row>
    <row r="804" ht="15.75" customHeight="1">
      <c r="A804" s="16"/>
    </row>
    <row r="805" ht="15.75" customHeight="1">
      <c r="A805" s="16"/>
    </row>
    <row r="806" ht="15.75" customHeight="1">
      <c r="A806" s="16"/>
    </row>
    <row r="807" ht="15.75" customHeight="1">
      <c r="A807" s="16"/>
    </row>
    <row r="808" ht="15.75" customHeight="1">
      <c r="A808" s="16"/>
    </row>
    <row r="809" ht="15.75" customHeight="1">
      <c r="A809" s="16"/>
    </row>
    <row r="810" ht="15.75" customHeight="1">
      <c r="A810" s="16"/>
    </row>
    <row r="811" ht="15.75" customHeight="1">
      <c r="A811" s="16"/>
    </row>
    <row r="812" ht="15.75" customHeight="1">
      <c r="A812" s="16"/>
    </row>
    <row r="813" ht="15.75" customHeight="1">
      <c r="A813" s="16"/>
    </row>
    <row r="814" ht="15.75" customHeight="1">
      <c r="A814" s="16"/>
    </row>
    <row r="815" ht="15.75" customHeight="1">
      <c r="A815" s="16"/>
    </row>
    <row r="816" ht="15.75" customHeight="1">
      <c r="A816" s="16"/>
    </row>
    <row r="817" ht="15.75" customHeight="1">
      <c r="A817" s="16"/>
    </row>
    <row r="818" ht="15.75" customHeight="1">
      <c r="A818" s="16"/>
    </row>
    <row r="819" ht="15.75" customHeight="1">
      <c r="A819" s="16"/>
    </row>
    <row r="820" ht="15.75" customHeight="1">
      <c r="A820" s="16"/>
    </row>
    <row r="821" ht="15.75" customHeight="1">
      <c r="A821" s="16"/>
    </row>
    <row r="822" ht="15.75" customHeight="1">
      <c r="A822" s="16"/>
    </row>
    <row r="823" ht="15.75" customHeight="1">
      <c r="A823" s="16"/>
    </row>
    <row r="824" ht="15.75" customHeight="1">
      <c r="A824" s="16"/>
    </row>
    <row r="825" ht="15.75" customHeight="1">
      <c r="A825" s="16"/>
    </row>
    <row r="826" ht="15.75" customHeight="1">
      <c r="A826" s="16"/>
    </row>
    <row r="827" ht="15.75" customHeight="1">
      <c r="A827" s="16"/>
    </row>
    <row r="828" ht="15.75" customHeight="1">
      <c r="A828" s="16"/>
    </row>
    <row r="829" ht="15.75" customHeight="1">
      <c r="A829" s="16"/>
    </row>
    <row r="830" ht="15.75" customHeight="1">
      <c r="A830" s="16"/>
    </row>
    <row r="831" ht="15.75" customHeight="1">
      <c r="A831" s="16"/>
    </row>
    <row r="832" ht="15.75" customHeight="1">
      <c r="A832" s="16"/>
    </row>
    <row r="833" ht="15.75" customHeight="1">
      <c r="A833" s="16"/>
    </row>
    <row r="834" ht="15.75" customHeight="1">
      <c r="A834" s="16"/>
    </row>
    <row r="835" ht="15.75" customHeight="1">
      <c r="A835" s="16"/>
    </row>
    <row r="836" ht="15.75" customHeight="1">
      <c r="A836" s="16"/>
    </row>
    <row r="837" ht="15.75" customHeight="1">
      <c r="A837" s="16"/>
    </row>
    <row r="838" ht="15.75" customHeight="1">
      <c r="A838" s="16"/>
    </row>
    <row r="839" ht="15.75" customHeight="1">
      <c r="A839" s="16"/>
    </row>
    <row r="840" ht="15.75" customHeight="1">
      <c r="A840" s="16"/>
    </row>
    <row r="841" ht="15.75" customHeight="1">
      <c r="A841" s="16"/>
    </row>
    <row r="842" ht="15.75" customHeight="1">
      <c r="A842" s="16"/>
    </row>
    <row r="843" ht="15.75" customHeight="1">
      <c r="A843" s="16"/>
    </row>
    <row r="844" ht="15.75" customHeight="1">
      <c r="A844" s="16"/>
    </row>
    <row r="845" ht="15.75" customHeight="1">
      <c r="A845" s="16"/>
    </row>
    <row r="846" ht="15.75" customHeight="1">
      <c r="A846" s="16"/>
    </row>
    <row r="847" ht="15.75" customHeight="1">
      <c r="A847" s="16"/>
    </row>
    <row r="848" ht="15.75" customHeight="1">
      <c r="A848" s="16"/>
    </row>
    <row r="849" ht="15.75" customHeight="1">
      <c r="A849" s="16"/>
    </row>
    <row r="850" ht="15.75" customHeight="1">
      <c r="A850" s="16"/>
    </row>
    <row r="851" ht="15.75" customHeight="1">
      <c r="A851" s="16"/>
    </row>
    <row r="852" ht="15.75" customHeight="1">
      <c r="A852" s="16"/>
    </row>
    <row r="853" ht="15.75" customHeight="1">
      <c r="A853" s="16"/>
    </row>
    <row r="854" ht="15.75" customHeight="1">
      <c r="A854" s="16"/>
    </row>
    <row r="855" ht="15.75" customHeight="1">
      <c r="A855" s="16"/>
    </row>
    <row r="856" ht="15.75" customHeight="1">
      <c r="A856" s="16"/>
    </row>
    <row r="857" ht="15.75" customHeight="1">
      <c r="A857" s="16"/>
    </row>
    <row r="858" ht="15.75" customHeight="1">
      <c r="A858" s="16"/>
    </row>
    <row r="859" ht="15.75" customHeight="1">
      <c r="A859" s="16"/>
    </row>
    <row r="860" ht="15.75" customHeight="1">
      <c r="A860" s="16"/>
    </row>
    <row r="861" ht="15.75" customHeight="1">
      <c r="A861" s="16"/>
    </row>
    <row r="862" ht="15.75" customHeight="1">
      <c r="A862" s="16"/>
    </row>
    <row r="863" ht="15.75" customHeight="1">
      <c r="A863" s="16"/>
    </row>
    <row r="864" ht="15.75" customHeight="1">
      <c r="A864" s="16"/>
    </row>
    <row r="865" ht="15.75" customHeight="1">
      <c r="A865" s="16"/>
    </row>
    <row r="866" ht="15.75" customHeight="1">
      <c r="A866" s="16"/>
    </row>
    <row r="867" ht="15.75" customHeight="1">
      <c r="A867" s="16"/>
    </row>
    <row r="868" ht="15.75" customHeight="1">
      <c r="A868" s="16"/>
    </row>
    <row r="869" ht="15.75" customHeight="1">
      <c r="A869" s="16"/>
    </row>
    <row r="870" ht="15.75" customHeight="1">
      <c r="A870" s="16"/>
    </row>
    <row r="871" ht="15.75" customHeight="1">
      <c r="A871" s="16"/>
    </row>
    <row r="872" ht="15.75" customHeight="1">
      <c r="A872" s="16"/>
    </row>
    <row r="873" ht="15.75" customHeight="1">
      <c r="A873" s="16"/>
    </row>
    <row r="874" ht="15.75" customHeight="1">
      <c r="A874" s="16"/>
    </row>
    <row r="875" ht="15.75" customHeight="1">
      <c r="A875" s="16"/>
    </row>
    <row r="876" ht="15.75" customHeight="1">
      <c r="A876" s="16"/>
    </row>
    <row r="877" ht="15.75" customHeight="1">
      <c r="A877" s="16"/>
    </row>
    <row r="878" ht="15.75" customHeight="1">
      <c r="A878" s="16"/>
    </row>
    <row r="879" ht="15.75" customHeight="1">
      <c r="A879" s="16"/>
    </row>
    <row r="880" ht="15.75" customHeight="1">
      <c r="A880" s="16"/>
    </row>
    <row r="881" ht="15.75" customHeight="1">
      <c r="A881" s="16"/>
    </row>
    <row r="882" ht="15.75" customHeight="1">
      <c r="A882" s="16"/>
    </row>
    <row r="883" ht="15.75" customHeight="1">
      <c r="A883" s="16"/>
    </row>
    <row r="884" ht="15.75" customHeight="1">
      <c r="A884" s="16"/>
    </row>
    <row r="885" ht="15.75" customHeight="1">
      <c r="A885" s="16"/>
    </row>
    <row r="886" ht="15.75" customHeight="1">
      <c r="A886" s="16"/>
    </row>
    <row r="887" ht="15.75" customHeight="1">
      <c r="A887" s="16"/>
    </row>
    <row r="888" ht="15.75" customHeight="1">
      <c r="A888" s="16"/>
    </row>
    <row r="889" ht="15.75" customHeight="1">
      <c r="A889" s="16"/>
    </row>
    <row r="890" ht="15.75" customHeight="1">
      <c r="A890" s="16"/>
    </row>
    <row r="891" ht="15.75" customHeight="1">
      <c r="A891" s="16"/>
    </row>
    <row r="892" ht="15.75" customHeight="1">
      <c r="A892" s="16"/>
    </row>
    <row r="893" ht="15.75" customHeight="1">
      <c r="A893" s="16"/>
    </row>
    <row r="894" ht="15.75" customHeight="1">
      <c r="A894" s="16"/>
    </row>
    <row r="895" ht="15.75" customHeight="1">
      <c r="A895" s="16"/>
    </row>
    <row r="896" ht="15.75" customHeight="1">
      <c r="A896" s="16"/>
    </row>
    <row r="897" ht="15.75" customHeight="1">
      <c r="A897" s="16"/>
    </row>
    <row r="898" ht="15.75" customHeight="1">
      <c r="A898" s="16"/>
    </row>
    <row r="899" ht="15.75" customHeight="1">
      <c r="A899" s="16"/>
    </row>
    <row r="900" ht="15.75" customHeight="1">
      <c r="A900" s="16"/>
    </row>
    <row r="901" ht="15.75" customHeight="1">
      <c r="A901" s="16"/>
    </row>
    <row r="902" ht="15.75" customHeight="1">
      <c r="A902" s="16"/>
    </row>
    <row r="903" ht="15.75" customHeight="1">
      <c r="A903" s="16"/>
    </row>
    <row r="904" ht="15.75" customHeight="1">
      <c r="A904" s="16"/>
    </row>
    <row r="905" ht="15.75" customHeight="1">
      <c r="A905" s="16"/>
    </row>
    <row r="906" ht="15.75" customHeight="1">
      <c r="A906" s="16"/>
    </row>
    <row r="907" ht="15.75" customHeight="1">
      <c r="A907" s="16"/>
    </row>
    <row r="908" ht="15.75" customHeight="1">
      <c r="A908" s="16"/>
    </row>
    <row r="909" ht="15.75" customHeight="1">
      <c r="A909" s="16"/>
    </row>
    <row r="910" ht="15.75" customHeight="1">
      <c r="A910" s="16"/>
    </row>
    <row r="911" ht="15.75" customHeight="1">
      <c r="A911" s="16"/>
    </row>
    <row r="912" ht="15.75" customHeight="1">
      <c r="A912" s="16"/>
    </row>
    <row r="913" ht="15.75" customHeight="1">
      <c r="A913" s="16"/>
    </row>
    <row r="914" ht="15.75" customHeight="1">
      <c r="A914" s="16"/>
    </row>
    <row r="915" ht="15.75" customHeight="1">
      <c r="A915" s="16"/>
    </row>
    <row r="916" ht="15.75" customHeight="1">
      <c r="A916" s="16"/>
    </row>
    <row r="917" ht="15.75" customHeight="1">
      <c r="A917" s="16"/>
    </row>
    <row r="918" ht="15.75" customHeight="1">
      <c r="A918" s="16"/>
    </row>
    <row r="919" ht="15.75" customHeight="1">
      <c r="A919" s="16"/>
    </row>
    <row r="920" ht="15.75" customHeight="1">
      <c r="A920" s="16"/>
    </row>
    <row r="921" ht="15.75" customHeight="1">
      <c r="A921" s="16"/>
    </row>
    <row r="922" ht="15.75" customHeight="1">
      <c r="A922" s="16"/>
    </row>
    <row r="923" ht="15.75" customHeight="1">
      <c r="A923" s="16"/>
    </row>
    <row r="924" ht="15.75" customHeight="1">
      <c r="A924" s="16"/>
    </row>
    <row r="925" ht="15.75" customHeight="1">
      <c r="A925" s="16"/>
    </row>
    <row r="926" ht="15.75" customHeight="1">
      <c r="A926" s="16"/>
    </row>
    <row r="927" ht="15.75" customHeight="1">
      <c r="A927" s="16"/>
    </row>
    <row r="928" ht="15.75" customHeight="1">
      <c r="A928" s="16"/>
    </row>
    <row r="929" ht="15.75" customHeight="1">
      <c r="A929" s="16"/>
    </row>
    <row r="930" ht="15.75" customHeight="1">
      <c r="A930" s="16"/>
    </row>
    <row r="931" ht="15.75" customHeight="1">
      <c r="A931" s="16"/>
    </row>
    <row r="932" ht="15.75" customHeight="1">
      <c r="A932" s="16"/>
    </row>
    <row r="933" ht="15.75" customHeight="1">
      <c r="A933" s="16"/>
    </row>
    <row r="934" ht="15.75" customHeight="1">
      <c r="A934" s="16"/>
    </row>
    <row r="935" ht="15.75" customHeight="1">
      <c r="A935" s="16"/>
    </row>
    <row r="936" ht="15.75" customHeight="1">
      <c r="A936" s="16"/>
    </row>
    <row r="937" ht="15.75" customHeight="1">
      <c r="A937" s="16"/>
    </row>
    <row r="938" ht="15.75" customHeight="1">
      <c r="A938" s="16"/>
    </row>
    <row r="939" ht="15.75" customHeight="1">
      <c r="A939" s="16"/>
    </row>
    <row r="940" ht="15.75" customHeight="1">
      <c r="A940" s="16"/>
    </row>
    <row r="941" ht="15.75" customHeight="1">
      <c r="A941" s="16"/>
    </row>
    <row r="942" ht="15.75" customHeight="1">
      <c r="A942" s="16"/>
    </row>
    <row r="943" ht="15.75" customHeight="1">
      <c r="A943" s="16"/>
    </row>
    <row r="944" ht="15.75" customHeight="1">
      <c r="A944" s="16"/>
    </row>
    <row r="945" ht="15.75" customHeight="1">
      <c r="A945" s="16"/>
    </row>
    <row r="946" ht="15.75" customHeight="1">
      <c r="A946" s="16"/>
    </row>
    <row r="947" ht="15.75" customHeight="1">
      <c r="A947" s="16"/>
    </row>
    <row r="948" ht="15.75" customHeight="1">
      <c r="A948" s="16"/>
    </row>
    <row r="949" ht="15.75" customHeight="1">
      <c r="A949" s="16"/>
    </row>
    <row r="950" ht="15.75" customHeight="1">
      <c r="A950" s="16"/>
    </row>
    <row r="951" ht="15.75" customHeight="1">
      <c r="A951" s="16"/>
    </row>
    <row r="952" ht="15.75" customHeight="1">
      <c r="A952" s="16"/>
    </row>
    <row r="953" ht="15.75" customHeight="1">
      <c r="A953" s="16"/>
    </row>
    <row r="954" ht="15.75" customHeight="1">
      <c r="A954" s="16"/>
    </row>
    <row r="955" ht="15.75" customHeight="1">
      <c r="A955" s="16"/>
    </row>
    <row r="956" ht="15.75" customHeight="1">
      <c r="A956" s="16"/>
    </row>
    <row r="957" ht="15.75" customHeight="1">
      <c r="A957" s="16"/>
    </row>
    <row r="958" ht="15.75" customHeight="1">
      <c r="A958" s="16"/>
    </row>
    <row r="959" ht="15.75" customHeight="1">
      <c r="A959" s="16"/>
    </row>
    <row r="960" ht="15.75" customHeight="1">
      <c r="A960" s="16"/>
    </row>
    <row r="961" ht="15.75" customHeight="1">
      <c r="A961" s="16"/>
    </row>
    <row r="962" ht="15.75" customHeight="1">
      <c r="A962" s="16"/>
    </row>
    <row r="963" ht="15.75" customHeight="1">
      <c r="A963" s="16"/>
    </row>
    <row r="964" ht="15.75" customHeight="1">
      <c r="A964" s="16"/>
    </row>
    <row r="965" ht="15.75" customHeight="1">
      <c r="A965" s="16"/>
    </row>
    <row r="966" ht="15.75" customHeight="1">
      <c r="A966" s="16"/>
    </row>
    <row r="967" ht="15.75" customHeight="1">
      <c r="A967" s="16"/>
    </row>
    <row r="968" ht="15.75" customHeight="1">
      <c r="A968" s="16"/>
    </row>
    <row r="969" ht="15.75" customHeight="1">
      <c r="A969" s="16"/>
    </row>
    <row r="970" ht="15.75" customHeight="1">
      <c r="A970" s="16"/>
    </row>
    <row r="971" ht="15.75" customHeight="1">
      <c r="A971" s="16"/>
    </row>
    <row r="972" ht="15.75" customHeight="1">
      <c r="A972" s="16"/>
    </row>
    <row r="973" ht="15.75" customHeight="1">
      <c r="A973" s="16"/>
    </row>
    <row r="974" ht="15.75" customHeight="1">
      <c r="A974" s="16"/>
    </row>
    <row r="975" ht="15.75" customHeight="1">
      <c r="A975" s="16"/>
    </row>
    <row r="976" ht="15.75" customHeight="1">
      <c r="A976" s="16"/>
    </row>
    <row r="977" ht="15.75" customHeight="1">
      <c r="A977" s="16"/>
    </row>
    <row r="978" ht="15.75" customHeight="1">
      <c r="A978" s="16"/>
    </row>
    <row r="979" ht="15.75" customHeight="1">
      <c r="A979" s="16"/>
    </row>
    <row r="980" ht="15.75" customHeight="1">
      <c r="A980" s="16"/>
    </row>
    <row r="981" ht="15.75" customHeight="1">
      <c r="A981" s="16"/>
    </row>
    <row r="982" ht="15.75" customHeight="1">
      <c r="A982" s="16"/>
    </row>
    <row r="983" ht="15.75" customHeight="1">
      <c r="A983" s="16"/>
    </row>
    <row r="984" ht="15.75" customHeight="1">
      <c r="A984" s="16"/>
    </row>
    <row r="985" ht="15.75" customHeight="1">
      <c r="A985" s="16"/>
    </row>
    <row r="986" ht="15.75" customHeight="1">
      <c r="A986" s="16"/>
    </row>
    <row r="987" ht="15.75" customHeight="1">
      <c r="A987" s="16"/>
    </row>
    <row r="988" ht="15.75" customHeight="1">
      <c r="A988" s="16"/>
    </row>
    <row r="989" ht="15.75" customHeight="1">
      <c r="A989" s="16"/>
    </row>
    <row r="990" ht="15.75" customHeight="1">
      <c r="A990" s="16"/>
    </row>
    <row r="991" ht="15.75" customHeight="1">
      <c r="A991" s="16"/>
    </row>
    <row r="992" ht="15.75" customHeight="1">
      <c r="A992" s="16"/>
    </row>
    <row r="993" ht="15.75" customHeight="1">
      <c r="A993" s="16"/>
    </row>
    <row r="994" ht="15.75" customHeight="1">
      <c r="A994" s="16"/>
    </row>
    <row r="995" ht="15.75" customHeight="1">
      <c r="A995" s="16"/>
    </row>
    <row r="996" ht="15.75" customHeight="1">
      <c r="A996" s="16"/>
    </row>
    <row r="997" ht="15.75" customHeight="1">
      <c r="A997" s="16"/>
    </row>
    <row r="998" ht="15.75" customHeight="1">
      <c r="A998" s="16"/>
    </row>
    <row r="999" ht="15.75" customHeight="1">
      <c r="A999" s="16"/>
    </row>
    <row r="1000" ht="15.75" customHeight="1">
      <c r="A1000" s="16"/>
    </row>
  </sheetData>
  <mergeCells count="1">
    <mergeCell ref="A2:F2"/>
  </mergeCells>
  <printOptions/>
  <pageMargins bottom="0.75" footer="0.0" header="0.0" left="0.38" right="0.3" top="0.5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outlineLevelRow="1"/>
  <cols>
    <col customWidth="1" min="1" max="1" width="22.0"/>
    <col customWidth="1" min="2" max="2" width="12.25"/>
    <col customWidth="1" min="3" max="3" width="7.38"/>
    <col customWidth="1" min="4" max="4" width="12.25"/>
    <col customWidth="1" min="5" max="5" width="5.5"/>
    <col customWidth="1" min="6" max="6" width="12.25"/>
    <col customWidth="1" min="7" max="7" width="5.5"/>
    <col customWidth="1" min="8" max="8" width="12.25"/>
    <col customWidth="1" min="9" max="9" width="5.88"/>
    <col customWidth="1" min="10" max="10" width="12.25"/>
    <col customWidth="1" min="11" max="11" width="6.0"/>
    <col customWidth="1" min="12" max="26" width="7.75"/>
  </cols>
  <sheetData>
    <row r="1">
      <c r="A1" s="1" t="s">
        <v>381</v>
      </c>
      <c r="B1" s="1"/>
      <c r="C1" s="533"/>
      <c r="D1" s="1"/>
      <c r="E1" s="533"/>
      <c r="F1" s="1"/>
      <c r="G1" s="533"/>
      <c r="H1" s="1"/>
      <c r="I1" s="533"/>
      <c r="J1" s="1"/>
      <c r="K1" s="533"/>
    </row>
    <row r="2" ht="19.5" customHeight="1">
      <c r="A2" s="524" t="str">
        <f>IF(ISBLANK(Company_Name),"5-Year Budget Model","5-Year Budget Model for "&amp;Company_Name)</f>
        <v>5-Year Budget Model for OTW Paints</v>
      </c>
      <c r="B2" s="141"/>
      <c r="C2" s="141"/>
      <c r="D2" s="141"/>
      <c r="E2" s="141"/>
      <c r="F2" s="141"/>
      <c r="G2" s="141"/>
      <c r="H2" s="141"/>
      <c r="I2" s="141"/>
      <c r="J2" s="141"/>
      <c r="K2" s="534"/>
    </row>
    <row r="3">
      <c r="A3" s="16"/>
      <c r="B3" s="525" t="s">
        <v>315</v>
      </c>
      <c r="C3" s="535"/>
      <c r="D3" s="525" t="s">
        <v>107</v>
      </c>
      <c r="E3" s="535"/>
      <c r="F3" s="525" t="s">
        <v>109</v>
      </c>
      <c r="G3" s="535"/>
      <c r="H3" s="525" t="s">
        <v>110</v>
      </c>
      <c r="I3" s="535"/>
      <c r="J3" s="525" t="s">
        <v>111</v>
      </c>
      <c r="K3" s="535"/>
    </row>
    <row r="4">
      <c r="A4" s="16"/>
      <c r="B4" s="273">
        <f>IF(ISBLANK(Projected_Start_Date),"",DATE(YEAR(Projected_Start_Date),1,1))</f>
        <v>42370</v>
      </c>
      <c r="C4" s="536"/>
      <c r="D4" s="273">
        <f>IF(ISBLANK(Projected_Start_Date),"",DATE(YEAR(Projected_Start_Date)+1,1,1))</f>
        <v>42736</v>
      </c>
      <c r="E4" s="536"/>
      <c r="F4" s="273">
        <f>IF(ISBLANK(Projected_Start_Date),"",DATE(YEAR(Projected_Start_Date)+2,1,1))</f>
        <v>43101</v>
      </c>
      <c r="G4" s="536"/>
      <c r="H4" s="273">
        <f>IF(ISBLANK(Projected_Start_Date),"",DATE(YEAR(Projected_Start_Date)+3,1,1))</f>
        <v>43466</v>
      </c>
      <c r="I4" s="536"/>
      <c r="J4" s="273">
        <f>IF(ISBLANK(Projected_Start_Date),"",DATE(YEAR(Projected_Start_Date)+4,1,1))</f>
        <v>43831</v>
      </c>
      <c r="K4" s="536"/>
    </row>
    <row r="5" outlineLevel="1">
      <c r="A5" s="434" t="str">
        <f>'Income Statement'!A5</f>
        <v>Revenue</v>
      </c>
      <c r="B5" s="434"/>
      <c r="C5" s="537"/>
      <c r="D5" s="434"/>
      <c r="E5" s="537"/>
      <c r="F5" s="434"/>
      <c r="G5" s="537"/>
      <c r="H5" s="434"/>
      <c r="I5" s="537"/>
      <c r="J5" s="434"/>
      <c r="K5" s="537"/>
    </row>
    <row r="6" outlineLevel="1">
      <c r="A6" s="16" t="str">
        <f>'Income Statement'!A6</f>
        <v>Paint</v>
      </c>
      <c r="B6" s="153">
        <f>'Income Statement'!Q6</f>
        <v>52500</v>
      </c>
      <c r="C6" s="536">
        <f t="shared" ref="C6:C13" si="1">IFERROR(B6/$B$14,0)</f>
        <v>0.8235294118</v>
      </c>
      <c r="D6" s="153">
        <f>B6*(1+YR2_Sales_Increase)</f>
        <v>91875</v>
      </c>
      <c r="E6" s="536">
        <f t="shared" ref="E6:E13" si="2">IFERROR(D6/$D$14,0)</f>
        <v>0.8235294118</v>
      </c>
      <c r="F6" s="153">
        <f>D6*(1+YR3_Sales_Increase)</f>
        <v>192937.5</v>
      </c>
      <c r="G6" s="536">
        <f t="shared" ref="G6:G13" si="3">IFERROR(F6/$F$14,0)</f>
        <v>0.8235294118</v>
      </c>
      <c r="H6" s="153">
        <f>F6*(1+YR4_Sales_Increase)</f>
        <v>482343.75</v>
      </c>
      <c r="I6" s="536">
        <f t="shared" ref="I6:I13" si="4">IFERROR(H6/$H$14,0)</f>
        <v>0.8235294118</v>
      </c>
      <c r="J6" s="153">
        <f>H6*(1+YR5_Sales_Increase)</f>
        <v>1567617.188</v>
      </c>
      <c r="K6" s="536">
        <f t="shared" ref="K6:K13" si="5">IFERROR(J6/$J$14,0)</f>
        <v>0.8235294118</v>
      </c>
    </row>
    <row r="7" outlineLevel="1">
      <c r="A7" s="16" t="str">
        <f>'Income Statement'!A7</f>
        <v>REMOVER</v>
      </c>
      <c r="B7" s="302">
        <f>'Income Statement'!Q7</f>
        <v>11250</v>
      </c>
      <c r="C7" s="536">
        <f t="shared" si="1"/>
        <v>0.1764705882</v>
      </c>
      <c r="D7" s="302">
        <f>B7*(1+YR2_Sales_Increase)</f>
        <v>19687.5</v>
      </c>
      <c r="E7" s="536">
        <f t="shared" si="2"/>
        <v>0.1764705882</v>
      </c>
      <c r="F7" s="302">
        <f>D7*(1+YR3_Sales_Increase)</f>
        <v>41343.75</v>
      </c>
      <c r="G7" s="536">
        <f t="shared" si="3"/>
        <v>0.1764705882</v>
      </c>
      <c r="H7" s="302">
        <f>F7*(1+YR4_Sales_Increase)</f>
        <v>103359.375</v>
      </c>
      <c r="I7" s="536">
        <f t="shared" si="4"/>
        <v>0.1764705882</v>
      </c>
      <c r="J7" s="302">
        <f>H7*(1+YR5_Sales_Increase)</f>
        <v>335917.9688</v>
      </c>
      <c r="K7" s="536">
        <f t="shared" si="5"/>
        <v>0.1764705882</v>
      </c>
    </row>
    <row r="8" outlineLevel="1">
      <c r="A8" s="16" t="str">
        <f>'Income Statement'!A8</f>
        <v/>
      </c>
      <c r="B8" s="302">
        <f>'Income Statement'!Q8</f>
        <v>0</v>
      </c>
      <c r="C8" s="536">
        <f t="shared" si="1"/>
        <v>0</v>
      </c>
      <c r="D8" s="302">
        <f>B8*(1+YR2_Sales_Increase)</f>
        <v>0</v>
      </c>
      <c r="E8" s="536">
        <f t="shared" si="2"/>
        <v>0</v>
      </c>
      <c r="F8" s="302">
        <f>D8*(1+YR3_Sales_Increase)</f>
        <v>0</v>
      </c>
      <c r="G8" s="536">
        <f t="shared" si="3"/>
        <v>0</v>
      </c>
      <c r="H8" s="302">
        <f>F8*(1+YR4_Sales_Increase)</f>
        <v>0</v>
      </c>
      <c r="I8" s="536">
        <f t="shared" si="4"/>
        <v>0</v>
      </c>
      <c r="J8" s="302">
        <f>H8*(1+YR5_Sales_Increase)</f>
        <v>0</v>
      </c>
      <c r="K8" s="536">
        <f t="shared" si="5"/>
        <v>0</v>
      </c>
    </row>
    <row r="9" outlineLevel="1">
      <c r="A9" s="16" t="str">
        <f>'Income Statement'!A9</f>
        <v/>
      </c>
      <c r="B9" s="302">
        <f>'Income Statement'!Q9</f>
        <v>0</v>
      </c>
      <c r="C9" s="536">
        <f t="shared" si="1"/>
        <v>0</v>
      </c>
      <c r="D9" s="302">
        <f>B9*(1+YR2_Sales_Increase)</f>
        <v>0</v>
      </c>
      <c r="E9" s="536">
        <f t="shared" si="2"/>
        <v>0</v>
      </c>
      <c r="F9" s="302">
        <f>D9*(1+YR3_Sales_Increase)</f>
        <v>0</v>
      </c>
      <c r="G9" s="536">
        <f t="shared" si="3"/>
        <v>0</v>
      </c>
      <c r="H9" s="302">
        <f>F9*(1+YR4_Sales_Increase)</f>
        <v>0</v>
      </c>
      <c r="I9" s="536">
        <f t="shared" si="4"/>
        <v>0</v>
      </c>
      <c r="J9" s="302">
        <f>H9*(1+YR5_Sales_Increase)</f>
        <v>0</v>
      </c>
      <c r="K9" s="536">
        <f t="shared" si="5"/>
        <v>0</v>
      </c>
    </row>
    <row r="10" outlineLevel="1">
      <c r="A10" s="16" t="str">
        <f>'Income Statement'!A10</f>
        <v/>
      </c>
      <c r="B10" s="302">
        <f>'Income Statement'!Q10</f>
        <v>0</v>
      </c>
      <c r="C10" s="536">
        <f t="shared" si="1"/>
        <v>0</v>
      </c>
      <c r="D10" s="302">
        <f>B10*(1+YR2_Sales_Increase)</f>
        <v>0</v>
      </c>
      <c r="E10" s="536">
        <f t="shared" si="2"/>
        <v>0</v>
      </c>
      <c r="F10" s="302">
        <f>D10*(1+YR3_Sales_Increase)</f>
        <v>0</v>
      </c>
      <c r="G10" s="536">
        <f t="shared" si="3"/>
        <v>0</v>
      </c>
      <c r="H10" s="302">
        <f>F10*(1+YR4_Sales_Increase)</f>
        <v>0</v>
      </c>
      <c r="I10" s="536">
        <f t="shared" si="4"/>
        <v>0</v>
      </c>
      <c r="J10" s="302">
        <f>H10*(1+YR5_Sales_Increase)</f>
        <v>0</v>
      </c>
      <c r="K10" s="536">
        <f t="shared" si="5"/>
        <v>0</v>
      </c>
    </row>
    <row r="11" outlineLevel="1">
      <c r="A11" s="16" t="str">
        <f>'Income Statement'!A11</f>
        <v/>
      </c>
      <c r="B11" s="302">
        <f>'Income Statement'!Q11</f>
        <v>0</v>
      </c>
      <c r="C11" s="536">
        <f t="shared" si="1"/>
        <v>0</v>
      </c>
      <c r="D11" s="302">
        <f>B11*(1+YR2_Sales_Increase)</f>
        <v>0</v>
      </c>
      <c r="E11" s="536">
        <f t="shared" si="2"/>
        <v>0</v>
      </c>
      <c r="F11" s="302">
        <f>D11*(1+YR3_Sales_Increase)</f>
        <v>0</v>
      </c>
      <c r="G11" s="536">
        <f t="shared" si="3"/>
        <v>0</v>
      </c>
      <c r="H11" s="302">
        <f>F11*(1+YR4_Sales_Increase)</f>
        <v>0</v>
      </c>
      <c r="I11" s="536">
        <f t="shared" si="4"/>
        <v>0</v>
      </c>
      <c r="J11" s="302">
        <f>H11*(1+YR5_Sales_Increase)</f>
        <v>0</v>
      </c>
      <c r="K11" s="536">
        <f t="shared" si="5"/>
        <v>0</v>
      </c>
    </row>
    <row r="12" outlineLevel="1">
      <c r="A12" s="16" t="str">
        <f>'Income Statement'!A12</f>
        <v/>
      </c>
      <c r="B12" s="302">
        <f>'Income Statement'!Q12</f>
        <v>0</v>
      </c>
      <c r="C12" s="536">
        <f t="shared" si="1"/>
        <v>0</v>
      </c>
      <c r="D12" s="302">
        <f>B12*(1+YR2_Sales_Increase)</f>
        <v>0</v>
      </c>
      <c r="E12" s="536">
        <f t="shared" si="2"/>
        <v>0</v>
      </c>
      <c r="F12" s="302">
        <f>D12*(1+YR3_Sales_Increase)</f>
        <v>0</v>
      </c>
      <c r="G12" s="536">
        <f t="shared" si="3"/>
        <v>0</v>
      </c>
      <c r="H12" s="302">
        <f>F12*(1+YR4_Sales_Increase)</f>
        <v>0</v>
      </c>
      <c r="I12" s="536">
        <f t="shared" si="4"/>
        <v>0</v>
      </c>
      <c r="J12" s="302">
        <f>H12*(1+YR5_Sales_Increase)</f>
        <v>0</v>
      </c>
      <c r="K12" s="536">
        <f t="shared" si="5"/>
        <v>0</v>
      </c>
    </row>
    <row r="13" outlineLevel="1">
      <c r="A13" s="16" t="str">
        <f>'Income Statement'!A13</f>
        <v/>
      </c>
      <c r="B13" s="302">
        <f>'Income Statement'!Q13</f>
        <v>0</v>
      </c>
      <c r="C13" s="536">
        <f t="shared" si="1"/>
        <v>0</v>
      </c>
      <c r="D13" s="302">
        <f>B13*(1+YR2_Sales_Increase)</f>
        <v>0</v>
      </c>
      <c r="E13" s="536">
        <f t="shared" si="2"/>
        <v>0</v>
      </c>
      <c r="F13" s="302">
        <f>D13*(1+YR3_Sales_Increase)</f>
        <v>0</v>
      </c>
      <c r="G13" s="536">
        <f t="shared" si="3"/>
        <v>0</v>
      </c>
      <c r="H13" s="302">
        <f>F13*(1+YR4_Sales_Increase)</f>
        <v>0</v>
      </c>
      <c r="I13" s="536">
        <f t="shared" si="4"/>
        <v>0</v>
      </c>
      <c r="J13" s="302">
        <f>H13*(1+YR5_Sales_Increase)</f>
        <v>0</v>
      </c>
      <c r="K13" s="536">
        <f t="shared" si="5"/>
        <v>0</v>
      </c>
    </row>
    <row r="14">
      <c r="A14" s="518" t="s">
        <v>516</v>
      </c>
      <c r="B14" s="538">
        <f>SUM(B6:B13)</f>
        <v>63750</v>
      </c>
      <c r="C14" s="539"/>
      <c r="D14" s="538">
        <f>SUM(D6:D13)</f>
        <v>111562.5</v>
      </c>
      <c r="E14" s="539"/>
      <c r="F14" s="538">
        <f>SUM(F6:F13)</f>
        <v>234281.25</v>
      </c>
      <c r="G14" s="539"/>
      <c r="H14" s="538">
        <f>SUM(H6:H13)</f>
        <v>585703.125</v>
      </c>
      <c r="I14" s="539"/>
      <c r="J14" s="538">
        <f>SUM(J6:J13)</f>
        <v>1903535.156</v>
      </c>
      <c r="K14" s="539"/>
    </row>
    <row r="15">
      <c r="A15" s="518"/>
      <c r="B15" s="12"/>
      <c r="C15" s="536"/>
      <c r="D15" s="12"/>
      <c r="E15" s="536"/>
      <c r="F15" s="12"/>
      <c r="G15" s="536"/>
      <c r="H15" s="12"/>
      <c r="I15" s="536"/>
      <c r="J15" s="12"/>
      <c r="K15" s="536"/>
    </row>
    <row r="16" outlineLevel="1">
      <c r="A16" s="434" t="str">
        <f>'Income Statement'!A16</f>
        <v>Cost of Goods Sold</v>
      </c>
      <c r="B16" s="434"/>
      <c r="C16" s="537"/>
      <c r="D16" s="434"/>
      <c r="E16" s="537"/>
      <c r="F16" s="434"/>
      <c r="G16" s="537"/>
      <c r="H16" s="434"/>
      <c r="I16" s="537"/>
      <c r="J16" s="434"/>
      <c r="K16" s="537"/>
    </row>
    <row r="17" outlineLevel="1">
      <c r="A17" s="16" t="str">
        <f>'Income Statement'!A17</f>
        <v>Paint</v>
      </c>
      <c r="B17" s="153">
        <f>'Income Statement'!Q17</f>
        <v>16875</v>
      </c>
      <c r="C17" s="536">
        <f t="shared" ref="C17:C24" si="6">IFERROR(B17/$B$25,0)</f>
        <v>0.8823529412</v>
      </c>
      <c r="D17" s="153">
        <f>B17*(1+YR2_Sales_Increase)</f>
        <v>29531.25</v>
      </c>
      <c r="E17" s="536">
        <f t="shared" ref="E17:E24" si="7">IFERROR(D17/$D$25,0)</f>
        <v>0.8823529412</v>
      </c>
      <c r="F17" s="153">
        <f>D17*(1+YR3_Sales_Increase)</f>
        <v>62015.625</v>
      </c>
      <c r="G17" s="536">
        <f t="shared" ref="G17:G24" si="8">IFERROR(F17/$F$25,0)</f>
        <v>0.8823529412</v>
      </c>
      <c r="H17" s="153">
        <f>F17*(1+YR4_Sales_Increase)</f>
        <v>155039.0625</v>
      </c>
      <c r="I17" s="536">
        <f t="shared" ref="I17:I24" si="9">IFERROR(H17/$H$25,0)</f>
        <v>0.8823529412</v>
      </c>
      <c r="J17" s="153">
        <f>H17*(1+YR5_Sales_Increase)</f>
        <v>503876.9531</v>
      </c>
      <c r="K17" s="536">
        <f t="shared" ref="K17:K24" si="10">IFERROR(J17/$J$25,0)</f>
        <v>0.8823529412</v>
      </c>
    </row>
    <row r="18" outlineLevel="1">
      <c r="A18" s="16" t="str">
        <f>'Income Statement'!A18</f>
        <v>REMOVER</v>
      </c>
      <c r="B18" s="302">
        <f>'Income Statement'!Q18</f>
        <v>2250</v>
      </c>
      <c r="C18" s="536">
        <f t="shared" si="6"/>
        <v>0.1176470588</v>
      </c>
      <c r="D18" s="302">
        <f>B18*(1+YR2_Sales_Increase)</f>
        <v>3937.5</v>
      </c>
      <c r="E18" s="536">
        <f t="shared" si="7"/>
        <v>0.1176470588</v>
      </c>
      <c r="F18" s="302">
        <f>D18*(1+YR3_Sales_Increase)</f>
        <v>8268.75</v>
      </c>
      <c r="G18" s="536">
        <f t="shared" si="8"/>
        <v>0.1176470588</v>
      </c>
      <c r="H18" s="302">
        <f>F18*(1+YR4_Sales_Increase)</f>
        <v>20671.875</v>
      </c>
      <c r="I18" s="536">
        <f t="shared" si="9"/>
        <v>0.1176470588</v>
      </c>
      <c r="J18" s="302">
        <f>H18*(1+YR5_Sales_Increase)</f>
        <v>67183.59375</v>
      </c>
      <c r="K18" s="536">
        <f t="shared" si="10"/>
        <v>0.1176470588</v>
      </c>
    </row>
    <row r="19" outlineLevel="1">
      <c r="A19" s="16" t="str">
        <f>'Income Statement'!A19</f>
        <v/>
      </c>
      <c r="B19" s="302">
        <f>'Income Statement'!Q19</f>
        <v>0</v>
      </c>
      <c r="C19" s="536">
        <f t="shared" si="6"/>
        <v>0</v>
      </c>
      <c r="D19" s="302">
        <f>B19*(1+YR2_Sales_Increase)</f>
        <v>0</v>
      </c>
      <c r="E19" s="536">
        <f t="shared" si="7"/>
        <v>0</v>
      </c>
      <c r="F19" s="302">
        <f>D19*(1+YR3_Sales_Increase)</f>
        <v>0</v>
      </c>
      <c r="G19" s="536">
        <f t="shared" si="8"/>
        <v>0</v>
      </c>
      <c r="H19" s="302">
        <f>F19*(1+YR4_Sales_Increase)</f>
        <v>0</v>
      </c>
      <c r="I19" s="536">
        <f t="shared" si="9"/>
        <v>0</v>
      </c>
      <c r="J19" s="302">
        <f>H19*(1+YR5_Sales_Increase)</f>
        <v>0</v>
      </c>
      <c r="K19" s="536">
        <f t="shared" si="10"/>
        <v>0</v>
      </c>
    </row>
    <row r="20" outlineLevel="1">
      <c r="A20" s="16" t="str">
        <f>'Income Statement'!A20</f>
        <v/>
      </c>
      <c r="B20" s="302">
        <f>'Income Statement'!Q20</f>
        <v>0</v>
      </c>
      <c r="C20" s="536">
        <f t="shared" si="6"/>
        <v>0</v>
      </c>
      <c r="D20" s="302">
        <f>B20*(1+YR2_Sales_Increase)</f>
        <v>0</v>
      </c>
      <c r="E20" s="536">
        <f t="shared" si="7"/>
        <v>0</v>
      </c>
      <c r="F20" s="302">
        <f>D20*(1+YR3_Sales_Increase)</f>
        <v>0</v>
      </c>
      <c r="G20" s="536">
        <f t="shared" si="8"/>
        <v>0</v>
      </c>
      <c r="H20" s="302">
        <f>F20*(1+YR4_Sales_Increase)</f>
        <v>0</v>
      </c>
      <c r="I20" s="536">
        <f t="shared" si="9"/>
        <v>0</v>
      </c>
      <c r="J20" s="302">
        <f>H20*(1+YR5_Sales_Increase)</f>
        <v>0</v>
      </c>
      <c r="K20" s="536">
        <f t="shared" si="10"/>
        <v>0</v>
      </c>
    </row>
    <row r="21" ht="15.75" customHeight="1" outlineLevel="1">
      <c r="A21" s="16" t="str">
        <f>'Income Statement'!A21</f>
        <v/>
      </c>
      <c r="B21" s="302">
        <f>'Income Statement'!Q21</f>
        <v>0</v>
      </c>
      <c r="C21" s="536">
        <f t="shared" si="6"/>
        <v>0</v>
      </c>
      <c r="D21" s="302">
        <f>B21*(1+YR2_Sales_Increase)</f>
        <v>0</v>
      </c>
      <c r="E21" s="536">
        <f t="shared" si="7"/>
        <v>0</v>
      </c>
      <c r="F21" s="302">
        <f>D21*(1+YR3_Sales_Increase)</f>
        <v>0</v>
      </c>
      <c r="G21" s="536">
        <f t="shared" si="8"/>
        <v>0</v>
      </c>
      <c r="H21" s="302">
        <f>F21*(1+YR4_Sales_Increase)</f>
        <v>0</v>
      </c>
      <c r="I21" s="536">
        <f t="shared" si="9"/>
        <v>0</v>
      </c>
      <c r="J21" s="302">
        <f>H21*(1+YR5_Sales_Increase)</f>
        <v>0</v>
      </c>
      <c r="K21" s="536">
        <f t="shared" si="10"/>
        <v>0</v>
      </c>
    </row>
    <row r="22" ht="15.75" customHeight="1" outlineLevel="1">
      <c r="A22" s="16" t="str">
        <f>'Income Statement'!A22</f>
        <v/>
      </c>
      <c r="B22" s="302">
        <f>'Income Statement'!Q22</f>
        <v>0</v>
      </c>
      <c r="C22" s="536">
        <f t="shared" si="6"/>
        <v>0</v>
      </c>
      <c r="D22" s="302">
        <f>B22*(1+YR2_Sales_Increase)</f>
        <v>0</v>
      </c>
      <c r="E22" s="536">
        <f t="shared" si="7"/>
        <v>0</v>
      </c>
      <c r="F22" s="302">
        <f>D22*(1+YR3_Sales_Increase)</f>
        <v>0</v>
      </c>
      <c r="G22" s="536">
        <f t="shared" si="8"/>
        <v>0</v>
      </c>
      <c r="H22" s="302">
        <f>F22*(1+YR4_Sales_Increase)</f>
        <v>0</v>
      </c>
      <c r="I22" s="536">
        <f t="shared" si="9"/>
        <v>0</v>
      </c>
      <c r="J22" s="302">
        <f>H22*(1+YR5_Sales_Increase)</f>
        <v>0</v>
      </c>
      <c r="K22" s="536">
        <f t="shared" si="10"/>
        <v>0</v>
      </c>
    </row>
    <row r="23" ht="15.75" customHeight="1" outlineLevel="1">
      <c r="A23" s="16" t="str">
        <f>'Income Statement'!A23</f>
        <v/>
      </c>
      <c r="B23" s="302">
        <f>'Income Statement'!Q23</f>
        <v>0</v>
      </c>
      <c r="C23" s="536">
        <f t="shared" si="6"/>
        <v>0</v>
      </c>
      <c r="D23" s="302">
        <f>B23*(1+YR2_Sales_Increase)</f>
        <v>0</v>
      </c>
      <c r="E23" s="536">
        <f t="shared" si="7"/>
        <v>0</v>
      </c>
      <c r="F23" s="302">
        <f>D23*(1+YR3_Sales_Increase)</f>
        <v>0</v>
      </c>
      <c r="G23" s="536">
        <f t="shared" si="8"/>
        <v>0</v>
      </c>
      <c r="H23" s="302">
        <f>F23*(1+YR4_Sales_Increase)</f>
        <v>0</v>
      </c>
      <c r="I23" s="536">
        <f t="shared" si="9"/>
        <v>0</v>
      </c>
      <c r="J23" s="302">
        <f>H23*(1+YR5_Sales_Increase)</f>
        <v>0</v>
      </c>
      <c r="K23" s="536">
        <f t="shared" si="10"/>
        <v>0</v>
      </c>
    </row>
    <row r="24" ht="15.75" customHeight="1" outlineLevel="1">
      <c r="A24" s="16" t="str">
        <f>'Income Statement'!A24</f>
        <v/>
      </c>
      <c r="B24" s="302">
        <f>'Income Statement'!Q24</f>
        <v>0</v>
      </c>
      <c r="C24" s="536">
        <f t="shared" si="6"/>
        <v>0</v>
      </c>
      <c r="D24" s="302">
        <f>B24*(1+YR2_Sales_Increase)</f>
        <v>0</v>
      </c>
      <c r="E24" s="536">
        <f t="shared" si="7"/>
        <v>0</v>
      </c>
      <c r="F24" s="302">
        <f>D24*(1+YR3_Sales_Increase)</f>
        <v>0</v>
      </c>
      <c r="G24" s="536">
        <f t="shared" si="8"/>
        <v>0</v>
      </c>
      <c r="H24" s="302">
        <f>F24*(1+YR4_Sales_Increase)</f>
        <v>0</v>
      </c>
      <c r="I24" s="536">
        <f t="shared" si="9"/>
        <v>0</v>
      </c>
      <c r="J24" s="302">
        <f>H24*(1+YR5_Sales_Increase)</f>
        <v>0</v>
      </c>
      <c r="K24" s="536">
        <f t="shared" si="10"/>
        <v>0</v>
      </c>
    </row>
    <row r="25" ht="15.75" customHeight="1">
      <c r="A25" s="518" t="s">
        <v>387</v>
      </c>
      <c r="B25" s="538">
        <f>SUM(B17:B24)</f>
        <v>19125</v>
      </c>
      <c r="C25" s="539"/>
      <c r="D25" s="538">
        <f>SUM(D17:D24)</f>
        <v>33468.75</v>
      </c>
      <c r="E25" s="539"/>
      <c r="F25" s="538">
        <f>SUM(F17:F24)</f>
        <v>70284.375</v>
      </c>
      <c r="G25" s="539"/>
      <c r="H25" s="538">
        <f>SUM(H17:H24)</f>
        <v>175710.9375</v>
      </c>
      <c r="I25" s="539"/>
      <c r="J25" s="538">
        <f>SUM(J17:J24)</f>
        <v>571060.5469</v>
      </c>
      <c r="K25" s="539"/>
    </row>
    <row r="26" ht="15.75" customHeight="1">
      <c r="A26" s="518"/>
      <c r="B26" s="12"/>
      <c r="C26" s="536"/>
      <c r="D26" s="12"/>
      <c r="E26" s="536"/>
      <c r="F26" s="12"/>
      <c r="G26" s="536"/>
      <c r="H26" s="12"/>
      <c r="I26" s="536"/>
      <c r="J26" s="12"/>
      <c r="K26" s="536"/>
    </row>
    <row r="27" ht="15.75" customHeight="1">
      <c r="A27" s="518" t="s">
        <v>517</v>
      </c>
      <c r="B27" s="471">
        <f>B14-B25</f>
        <v>44625</v>
      </c>
      <c r="C27" s="540">
        <f>IFERROR(B27/B14,0)</f>
        <v>0.7</v>
      </c>
      <c r="D27" s="471">
        <f>D14-D25</f>
        <v>78093.75</v>
      </c>
      <c r="E27" s="540">
        <f>IFERROR(D27/D14,0)</f>
        <v>0.7</v>
      </c>
      <c r="F27" s="471">
        <f>F14-F25</f>
        <v>163996.875</v>
      </c>
      <c r="G27" s="540">
        <f>IFERROR(F27/F14,0)</f>
        <v>0.7</v>
      </c>
      <c r="H27" s="471">
        <f>H14-H25</f>
        <v>409992.1875</v>
      </c>
      <c r="I27" s="540">
        <f>IFERROR(H27/H14,0)</f>
        <v>0.7</v>
      </c>
      <c r="J27" s="471">
        <f>J14-J25</f>
        <v>1332474.609</v>
      </c>
      <c r="K27" s="540">
        <f>IFERROR(J27/J14,0)</f>
        <v>0.7</v>
      </c>
    </row>
    <row r="28" ht="15.75" customHeight="1">
      <c r="A28" s="518"/>
      <c r="B28" s="12"/>
      <c r="C28" s="536"/>
      <c r="D28" s="12"/>
      <c r="E28" s="536"/>
      <c r="F28" s="12"/>
      <c r="G28" s="536"/>
      <c r="H28" s="69"/>
      <c r="I28" s="536"/>
      <c r="J28" s="12"/>
      <c r="K28" s="536"/>
    </row>
    <row r="29" ht="15.75" customHeight="1">
      <c r="A29" s="434" t="s">
        <v>518</v>
      </c>
      <c r="B29" s="530"/>
      <c r="C29" s="541"/>
      <c r="D29" s="530"/>
      <c r="E29" s="541"/>
      <c r="F29" s="530"/>
      <c r="G29" s="541"/>
      <c r="H29" s="530"/>
      <c r="I29" s="541"/>
      <c r="J29" s="530"/>
      <c r="K29" s="378"/>
    </row>
    <row r="30" ht="15.75" customHeight="1">
      <c r="A30" s="518" t="s">
        <v>519</v>
      </c>
      <c r="B30" s="538">
        <f>'Personnel Summary'!Q16</f>
        <v>49856.32184</v>
      </c>
      <c r="C30" s="539">
        <f>IFERROR(B30/B14,0)</f>
        <v>0.7820599504</v>
      </c>
      <c r="D30" s="538">
        <f>'Personnel Summary'!S16</f>
        <v>51500</v>
      </c>
      <c r="E30" s="539">
        <f>IFERROR(D30/D14,0)</f>
        <v>0.4616246499</v>
      </c>
      <c r="F30" s="538">
        <f>'Personnel Summary'!T16</f>
        <v>53045</v>
      </c>
      <c r="G30" s="539">
        <f>IFERROR(F30/F14,0)</f>
        <v>0.2264158997</v>
      </c>
      <c r="H30" s="538">
        <f>'Personnel Summary'!U16</f>
        <v>55697.25</v>
      </c>
      <c r="I30" s="539">
        <f>IFERROR(H30/H14,0)</f>
        <v>0.09509467787</v>
      </c>
      <c r="J30" s="538">
        <f>'Personnel Summary'!V16</f>
        <v>58482.1125</v>
      </c>
      <c r="K30" s="539">
        <f>IFERROR(J30/J14,0)</f>
        <v>0.03072289593</v>
      </c>
    </row>
    <row r="31" ht="15.75" customHeight="1">
      <c r="A31" s="16"/>
      <c r="B31" s="12"/>
      <c r="C31" s="536"/>
      <c r="D31" s="12"/>
      <c r="E31" s="536"/>
      <c r="F31" s="12"/>
      <c r="G31" s="536"/>
      <c r="H31" s="12"/>
      <c r="I31" s="536"/>
      <c r="J31" s="12"/>
      <c r="K31" s="536"/>
    </row>
    <row r="32" ht="15.75" customHeight="1" outlineLevel="1">
      <c r="A32" s="434" t="s">
        <v>131</v>
      </c>
      <c r="B32" s="530"/>
      <c r="C32" s="542"/>
      <c r="D32" s="530"/>
      <c r="E32" s="542"/>
      <c r="F32" s="530"/>
      <c r="G32" s="542"/>
      <c r="H32" s="530"/>
      <c r="I32" s="542"/>
      <c r="J32" s="530"/>
      <c r="K32" s="530"/>
    </row>
    <row r="33" ht="15.75" customHeight="1" outlineLevel="1">
      <c r="A33" s="16" t="str">
        <f>'Expenses Summary'!G8</f>
        <v>Mortgage</v>
      </c>
      <c r="B33" s="302">
        <f>'Income Statement'!Q37</f>
        <v>0</v>
      </c>
      <c r="C33" s="536">
        <f t="shared" ref="C33:C67" si="11">IFERROR(B33/$B$68,0)</f>
        <v>0</v>
      </c>
      <c r="D33" s="302">
        <f>'Income Statement'!Q123</f>
        <v>0</v>
      </c>
      <c r="E33" s="536">
        <f t="shared" ref="E33:E67" si="12">IFERROR(D33/$D$68,0)</f>
        <v>0</v>
      </c>
      <c r="F33" s="302">
        <f>'Income Statement'!Q210</f>
        <v>0</v>
      </c>
      <c r="G33" s="536">
        <f t="shared" ref="G33:G67" si="13">IFERROR(F33/$F$68,0)</f>
        <v>0</v>
      </c>
      <c r="H33" s="302">
        <f>'Expenses Summary'!M8</f>
        <v>0</v>
      </c>
      <c r="I33" s="536">
        <f t="shared" ref="I33:I67" si="14">IFERROR(H33/$H$68,0)</f>
        <v>0</v>
      </c>
      <c r="J33" s="302">
        <f>'Expenses Summary'!N8</f>
        <v>0</v>
      </c>
      <c r="K33" s="536">
        <f t="shared" ref="K33:K67" si="15">IFERROR(J33/$J$68,0)</f>
        <v>0</v>
      </c>
    </row>
    <row r="34" ht="15.75" customHeight="1" outlineLevel="1">
      <c r="A34" s="16" t="str">
        <f>'Expenses Summary'!G9</f>
        <v>Rent</v>
      </c>
      <c r="B34" s="302">
        <f>'Income Statement'!Q38</f>
        <v>0</v>
      </c>
      <c r="C34" s="536">
        <f t="shared" si="11"/>
        <v>0</v>
      </c>
      <c r="D34" s="302">
        <f>'Income Statement'!Q124</f>
        <v>0</v>
      </c>
      <c r="E34" s="536">
        <f t="shared" si="12"/>
        <v>0</v>
      </c>
      <c r="F34" s="302">
        <f>'Income Statement'!Q211</f>
        <v>0</v>
      </c>
      <c r="G34" s="536">
        <f t="shared" si="13"/>
        <v>0</v>
      </c>
      <c r="H34" s="302">
        <f>'Expenses Summary'!M9</f>
        <v>0</v>
      </c>
      <c r="I34" s="536">
        <f t="shared" si="14"/>
        <v>0</v>
      </c>
      <c r="J34" s="302">
        <f>'Expenses Summary'!N9</f>
        <v>0</v>
      </c>
      <c r="K34" s="536">
        <f t="shared" si="15"/>
        <v>0</v>
      </c>
    </row>
    <row r="35" ht="15.75" customHeight="1" outlineLevel="1">
      <c r="A35" s="16" t="str">
        <f>'Expenses Summary'!G10</f>
        <v>Renovations</v>
      </c>
      <c r="B35" s="302">
        <f>'Income Statement'!Q39</f>
        <v>0</v>
      </c>
      <c r="C35" s="536">
        <f t="shared" si="11"/>
        <v>0</v>
      </c>
      <c r="D35" s="302">
        <f>'Income Statement'!Q125</f>
        <v>0</v>
      </c>
      <c r="E35" s="536">
        <f t="shared" si="12"/>
        <v>0</v>
      </c>
      <c r="F35" s="302">
        <f>'Income Statement'!Q212</f>
        <v>0</v>
      </c>
      <c r="G35" s="536">
        <f t="shared" si="13"/>
        <v>0</v>
      </c>
      <c r="H35" s="302">
        <f>'Expenses Summary'!M10</f>
        <v>0</v>
      </c>
      <c r="I35" s="536">
        <f t="shared" si="14"/>
        <v>0</v>
      </c>
      <c r="J35" s="302">
        <f>'Expenses Summary'!N10</f>
        <v>0</v>
      </c>
      <c r="K35" s="536">
        <f t="shared" si="15"/>
        <v>0</v>
      </c>
    </row>
    <row r="36" ht="15.75" customHeight="1" outlineLevel="1">
      <c r="A36" s="16" t="str">
        <f>'Expenses Summary'!G11</f>
        <v>Equipment Leasing</v>
      </c>
      <c r="B36" s="302">
        <f>'Income Statement'!Q40</f>
        <v>0</v>
      </c>
      <c r="C36" s="536">
        <f t="shared" si="11"/>
        <v>0</v>
      </c>
      <c r="D36" s="302">
        <f>'Income Statement'!Q126</f>
        <v>0</v>
      </c>
      <c r="E36" s="536">
        <f t="shared" si="12"/>
        <v>0</v>
      </c>
      <c r="F36" s="302">
        <f>'Income Statement'!Q213</f>
        <v>0</v>
      </c>
      <c r="G36" s="536">
        <f t="shared" si="13"/>
        <v>0</v>
      </c>
      <c r="H36" s="302">
        <f>'Expenses Summary'!M11</f>
        <v>0</v>
      </c>
      <c r="I36" s="536">
        <f t="shared" si="14"/>
        <v>0</v>
      </c>
      <c r="J36" s="302">
        <f>'Expenses Summary'!N11</f>
        <v>0</v>
      </c>
      <c r="K36" s="536">
        <f t="shared" si="15"/>
        <v>0</v>
      </c>
    </row>
    <row r="37" ht="15.75" customHeight="1" outlineLevel="1">
      <c r="A37" s="16" t="str">
        <f>'Expenses Summary'!G12</f>
        <v>Fixtures Leasing</v>
      </c>
      <c r="B37" s="302">
        <f>'Income Statement'!Q41</f>
        <v>0</v>
      </c>
      <c r="C37" s="536">
        <f t="shared" si="11"/>
        <v>0</v>
      </c>
      <c r="D37" s="302">
        <f>'Income Statement'!Q127</f>
        <v>0</v>
      </c>
      <c r="E37" s="536">
        <f t="shared" si="12"/>
        <v>0</v>
      </c>
      <c r="F37" s="302">
        <f>'Income Statement'!Q214</f>
        <v>0</v>
      </c>
      <c r="G37" s="536">
        <f t="shared" si="13"/>
        <v>0</v>
      </c>
      <c r="H37" s="302">
        <f>'Expenses Summary'!M12</f>
        <v>0</v>
      </c>
      <c r="I37" s="536">
        <f t="shared" si="14"/>
        <v>0</v>
      </c>
      <c r="J37" s="302">
        <f>'Expenses Summary'!N12</f>
        <v>0</v>
      </c>
      <c r="K37" s="536">
        <f t="shared" si="15"/>
        <v>0</v>
      </c>
    </row>
    <row r="38" ht="15.75" customHeight="1" outlineLevel="1">
      <c r="A38" s="16" t="str">
        <f>'Expenses Summary'!G13</f>
        <v>Furniture Rental/Leasing</v>
      </c>
      <c r="B38" s="302">
        <f>'Income Statement'!Q42</f>
        <v>0</v>
      </c>
      <c r="C38" s="536">
        <f t="shared" si="11"/>
        <v>0</v>
      </c>
      <c r="D38" s="302">
        <f>'Income Statement'!Q128</f>
        <v>0</v>
      </c>
      <c r="E38" s="536">
        <f t="shared" si="12"/>
        <v>0</v>
      </c>
      <c r="F38" s="302">
        <f>'Income Statement'!Q215</f>
        <v>0</v>
      </c>
      <c r="G38" s="536">
        <f t="shared" si="13"/>
        <v>0</v>
      </c>
      <c r="H38" s="302">
        <f>'Expenses Summary'!M13</f>
        <v>0</v>
      </c>
      <c r="I38" s="536">
        <f t="shared" si="14"/>
        <v>0</v>
      </c>
      <c r="J38" s="302">
        <f>'Expenses Summary'!N13</f>
        <v>0</v>
      </c>
      <c r="K38" s="536">
        <f t="shared" si="15"/>
        <v>0</v>
      </c>
    </row>
    <row r="39" ht="15.75" customHeight="1" outlineLevel="1">
      <c r="A39" s="16" t="str">
        <f>'Expenses Summary'!G14</f>
        <v>Vehicles Leasing &amp; Other Expenses</v>
      </c>
      <c r="B39" s="302">
        <f>'Income Statement'!Q43</f>
        <v>0</v>
      </c>
      <c r="C39" s="536">
        <f t="shared" si="11"/>
        <v>0</v>
      </c>
      <c r="D39" s="302">
        <f>'Income Statement'!Q129</f>
        <v>0</v>
      </c>
      <c r="E39" s="536">
        <f t="shared" si="12"/>
        <v>0</v>
      </c>
      <c r="F39" s="302">
        <f>'Income Statement'!Q216</f>
        <v>0</v>
      </c>
      <c r="G39" s="536">
        <f t="shared" si="13"/>
        <v>0</v>
      </c>
      <c r="H39" s="302">
        <f>'Expenses Summary'!M14</f>
        <v>0</v>
      </c>
      <c r="I39" s="536">
        <f t="shared" si="14"/>
        <v>0</v>
      </c>
      <c r="J39" s="302">
        <f>'Expenses Summary'!N14</f>
        <v>0</v>
      </c>
      <c r="K39" s="536">
        <f t="shared" si="15"/>
        <v>0</v>
      </c>
    </row>
    <row r="40" ht="15.75" customHeight="1" outlineLevel="1">
      <c r="A40" s="16" t="str">
        <f>'Expenses Summary'!G15</f>
        <v>Mileage</v>
      </c>
      <c r="B40" s="302">
        <f>'Income Statement'!Q44</f>
        <v>0</v>
      </c>
      <c r="C40" s="536">
        <f t="shared" si="11"/>
        <v>0</v>
      </c>
      <c r="D40" s="302">
        <f>'Income Statement'!Q130</f>
        <v>0</v>
      </c>
      <c r="E40" s="536">
        <f t="shared" si="12"/>
        <v>0</v>
      </c>
      <c r="F40" s="302">
        <f>'Income Statement'!Q217</f>
        <v>0</v>
      </c>
      <c r="G40" s="536">
        <f t="shared" si="13"/>
        <v>0</v>
      </c>
      <c r="H40" s="302">
        <f>'Expenses Summary'!M15</f>
        <v>0</v>
      </c>
      <c r="I40" s="536">
        <f t="shared" si="14"/>
        <v>0</v>
      </c>
      <c r="J40" s="302">
        <f>'Expenses Summary'!N15</f>
        <v>0</v>
      </c>
      <c r="K40" s="536">
        <f t="shared" si="15"/>
        <v>0</v>
      </c>
    </row>
    <row r="41" ht="15.75" customHeight="1" outlineLevel="1">
      <c r="A41" s="16" t="str">
        <f>'Expenses Summary'!G16</f>
        <v>Utilities</v>
      </c>
      <c r="B41" s="302">
        <f>'Income Statement'!Q45</f>
        <v>0</v>
      </c>
      <c r="C41" s="536">
        <f t="shared" si="11"/>
        <v>0</v>
      </c>
      <c r="D41" s="302">
        <f>'Income Statement'!Q131</f>
        <v>0</v>
      </c>
      <c r="E41" s="536">
        <f t="shared" si="12"/>
        <v>0</v>
      </c>
      <c r="F41" s="302">
        <f>'Income Statement'!Q218</f>
        <v>0</v>
      </c>
      <c r="G41" s="536">
        <f t="shared" si="13"/>
        <v>0</v>
      </c>
      <c r="H41" s="302">
        <f>'Expenses Summary'!M16</f>
        <v>0</v>
      </c>
      <c r="I41" s="536">
        <f t="shared" si="14"/>
        <v>0</v>
      </c>
      <c r="J41" s="302">
        <f>'Expenses Summary'!N16</f>
        <v>0</v>
      </c>
      <c r="K41" s="536">
        <f t="shared" si="15"/>
        <v>0</v>
      </c>
    </row>
    <row r="42" ht="15.75" customHeight="1" outlineLevel="1">
      <c r="A42" s="16" t="str">
        <f>'Expenses Summary'!G17</f>
        <v>Telephone</v>
      </c>
      <c r="B42" s="302">
        <f>'Income Statement'!Q46</f>
        <v>3000</v>
      </c>
      <c r="C42" s="536">
        <f t="shared" si="11"/>
        <v>0.07615421228</v>
      </c>
      <c r="D42" s="302">
        <f>'Income Statement'!Q132</f>
        <v>3150</v>
      </c>
      <c r="E42" s="536">
        <f t="shared" si="12"/>
        <v>0.07357449418</v>
      </c>
      <c r="F42" s="302">
        <f>'Income Statement'!Q219</f>
        <v>3307.5</v>
      </c>
      <c r="G42" s="536">
        <f t="shared" si="13"/>
        <v>0.06857142857</v>
      </c>
      <c r="H42" s="302">
        <f>'Expenses Summary'!M17</f>
        <v>3472.875</v>
      </c>
      <c r="I42" s="536">
        <f t="shared" si="14"/>
        <v>0.05946621988</v>
      </c>
      <c r="J42" s="302">
        <f>'Expenses Summary'!N17</f>
        <v>3646.51875</v>
      </c>
      <c r="K42" s="536">
        <f t="shared" si="15"/>
        <v>0.03898580908</v>
      </c>
    </row>
    <row r="43" ht="15.75" customHeight="1" outlineLevel="1">
      <c r="A43" s="16" t="str">
        <f>'Expenses Summary'!G18</f>
        <v>Insurance</v>
      </c>
      <c r="B43" s="302">
        <f>'Income Statement'!Q47</f>
        <v>12000</v>
      </c>
      <c r="C43" s="536">
        <f t="shared" si="11"/>
        <v>0.3046168491</v>
      </c>
      <c r="D43" s="302">
        <f>'Income Statement'!Q133</f>
        <v>12600</v>
      </c>
      <c r="E43" s="536">
        <f t="shared" si="12"/>
        <v>0.2942979767</v>
      </c>
      <c r="F43" s="302">
        <f>'Income Statement'!Q220</f>
        <v>13230</v>
      </c>
      <c r="G43" s="536">
        <f t="shared" si="13"/>
        <v>0.2742857143</v>
      </c>
      <c r="H43" s="302">
        <f>'Expenses Summary'!M18</f>
        <v>13891.5</v>
      </c>
      <c r="I43" s="536">
        <f t="shared" si="14"/>
        <v>0.2378648795</v>
      </c>
      <c r="J43" s="302">
        <f>'Expenses Summary'!N18</f>
        <v>14586.075</v>
      </c>
      <c r="K43" s="536">
        <f t="shared" si="15"/>
        <v>0.1559432363</v>
      </c>
    </row>
    <row r="44" ht="15.75" customHeight="1" outlineLevel="1">
      <c r="A44" s="16" t="str">
        <f>'Expenses Summary'!G19</f>
        <v>Licenses</v>
      </c>
      <c r="B44" s="302">
        <f>'Income Statement'!Q48</f>
        <v>0</v>
      </c>
      <c r="C44" s="536">
        <f t="shared" si="11"/>
        <v>0</v>
      </c>
      <c r="D44" s="302">
        <f>'Income Statement'!Q134</f>
        <v>0</v>
      </c>
      <c r="E44" s="536">
        <f t="shared" si="12"/>
        <v>0</v>
      </c>
      <c r="F44" s="302">
        <f>'Income Statement'!Q221</f>
        <v>0</v>
      </c>
      <c r="G44" s="536">
        <f t="shared" si="13"/>
        <v>0</v>
      </c>
      <c r="H44" s="302">
        <f>'Expenses Summary'!M19</f>
        <v>0</v>
      </c>
      <c r="I44" s="536">
        <f t="shared" si="14"/>
        <v>0</v>
      </c>
      <c r="J44" s="302">
        <f>'Expenses Summary'!N19</f>
        <v>0</v>
      </c>
      <c r="K44" s="536">
        <f t="shared" si="15"/>
        <v>0</v>
      </c>
    </row>
    <row r="45" ht="15.75" customHeight="1" outlineLevel="1">
      <c r="A45" s="16" t="str">
        <f>'Expenses Summary'!G20</f>
        <v>Bank or Merchant Fees</v>
      </c>
      <c r="B45" s="302">
        <f>'Income Statement'!Q49</f>
        <v>0</v>
      </c>
      <c r="C45" s="536">
        <f t="shared" si="11"/>
        <v>0</v>
      </c>
      <c r="D45" s="302">
        <f>'Income Statement'!Q135</f>
        <v>0</v>
      </c>
      <c r="E45" s="536">
        <f t="shared" si="12"/>
        <v>0</v>
      </c>
      <c r="F45" s="302">
        <f>'Income Statement'!Q222</f>
        <v>0</v>
      </c>
      <c r="G45" s="536">
        <f t="shared" si="13"/>
        <v>0</v>
      </c>
      <c r="H45" s="302">
        <f>'Expenses Summary'!M20</f>
        <v>0</v>
      </c>
      <c r="I45" s="536">
        <f t="shared" si="14"/>
        <v>0</v>
      </c>
      <c r="J45" s="302">
        <f>'Expenses Summary'!N20</f>
        <v>0</v>
      </c>
      <c r="K45" s="536">
        <f t="shared" si="15"/>
        <v>0</v>
      </c>
    </row>
    <row r="46" ht="15.75" customHeight="1" outlineLevel="1">
      <c r="A46" s="16" t="str">
        <f>'Expenses Summary'!G21</f>
        <v>Web Maintenance</v>
      </c>
      <c r="B46" s="302">
        <f>'Income Statement'!Q50</f>
        <v>0</v>
      </c>
      <c r="C46" s="536">
        <f t="shared" si="11"/>
        <v>0</v>
      </c>
      <c r="D46" s="302">
        <f>'Income Statement'!Q136</f>
        <v>0</v>
      </c>
      <c r="E46" s="536">
        <f t="shared" si="12"/>
        <v>0</v>
      </c>
      <c r="F46" s="302">
        <f>'Income Statement'!Q223</f>
        <v>0</v>
      </c>
      <c r="G46" s="536">
        <f t="shared" si="13"/>
        <v>0</v>
      </c>
      <c r="H46" s="302">
        <f>'Expenses Summary'!M21</f>
        <v>0</v>
      </c>
      <c r="I46" s="536">
        <f t="shared" si="14"/>
        <v>0</v>
      </c>
      <c r="J46" s="302">
        <f>'Expenses Summary'!N21</f>
        <v>0</v>
      </c>
      <c r="K46" s="536">
        <f t="shared" si="15"/>
        <v>0</v>
      </c>
    </row>
    <row r="47" ht="15.75" customHeight="1" outlineLevel="1">
      <c r="A47" s="16" t="str">
        <f>'Expenses Summary'!G22</f>
        <v>Web Hosting</v>
      </c>
      <c r="B47" s="302">
        <f>'Income Statement'!Q51</f>
        <v>600</v>
      </c>
      <c r="C47" s="536">
        <f t="shared" si="11"/>
        <v>0.01523084246</v>
      </c>
      <c r="D47" s="302">
        <f>'Income Statement'!Q137</f>
        <v>630</v>
      </c>
      <c r="E47" s="536">
        <f t="shared" si="12"/>
        <v>0.01471489884</v>
      </c>
      <c r="F47" s="302">
        <f>'Income Statement'!Q224</f>
        <v>661.5</v>
      </c>
      <c r="G47" s="536">
        <f t="shared" si="13"/>
        <v>0.01371428571</v>
      </c>
      <c r="H47" s="302">
        <f>'Expenses Summary'!M22</f>
        <v>694.575</v>
      </c>
      <c r="I47" s="536">
        <f t="shared" si="14"/>
        <v>0.01189324398</v>
      </c>
      <c r="J47" s="302">
        <f>'Expenses Summary'!N22</f>
        <v>729.30375</v>
      </c>
      <c r="K47" s="536">
        <f t="shared" si="15"/>
        <v>0.007797161815</v>
      </c>
    </row>
    <row r="48" ht="15.75" customHeight="1" outlineLevel="1">
      <c r="A48" s="16" t="str">
        <f>'Expenses Summary'!G23</f>
        <v>Software</v>
      </c>
      <c r="B48" s="302">
        <f>'Income Statement'!Q52</f>
        <v>0</v>
      </c>
      <c r="C48" s="536">
        <f t="shared" si="11"/>
        <v>0</v>
      </c>
      <c r="D48" s="302">
        <f>'Income Statement'!Q138</f>
        <v>0</v>
      </c>
      <c r="E48" s="536">
        <f t="shared" si="12"/>
        <v>0</v>
      </c>
      <c r="F48" s="302">
        <f>'Income Statement'!Q225</f>
        <v>0</v>
      </c>
      <c r="G48" s="536">
        <f t="shared" si="13"/>
        <v>0</v>
      </c>
      <c r="H48" s="302">
        <f>'Expenses Summary'!M23</f>
        <v>0</v>
      </c>
      <c r="I48" s="536">
        <f t="shared" si="14"/>
        <v>0</v>
      </c>
      <c r="J48" s="302">
        <f>'Expenses Summary'!N23</f>
        <v>0</v>
      </c>
      <c r="K48" s="536">
        <f t="shared" si="15"/>
        <v>0</v>
      </c>
    </row>
    <row r="49" ht="15.75" customHeight="1" outlineLevel="1">
      <c r="A49" s="16" t="str">
        <f>'Expenses Summary'!G24</f>
        <v>Postage</v>
      </c>
      <c r="B49" s="302">
        <f>'Income Statement'!Q53</f>
        <v>1800</v>
      </c>
      <c r="C49" s="536">
        <f t="shared" si="11"/>
        <v>0.04569252737</v>
      </c>
      <c r="D49" s="302">
        <f>'Income Statement'!Q139</f>
        <v>1890</v>
      </c>
      <c r="E49" s="536">
        <f t="shared" si="12"/>
        <v>0.04414469651</v>
      </c>
      <c r="F49" s="302">
        <f>'Income Statement'!Q226</f>
        <v>1984.5</v>
      </c>
      <c r="G49" s="536">
        <f t="shared" si="13"/>
        <v>0.04114285714</v>
      </c>
      <c r="H49" s="302">
        <f>'Expenses Summary'!M24</f>
        <v>2083.725</v>
      </c>
      <c r="I49" s="536">
        <f t="shared" si="14"/>
        <v>0.03567973193</v>
      </c>
      <c r="J49" s="302">
        <f>'Expenses Summary'!N24</f>
        <v>2187.91125</v>
      </c>
      <c r="K49" s="536">
        <f t="shared" si="15"/>
        <v>0.02339148545</v>
      </c>
    </row>
    <row r="50" ht="15.75" customHeight="1" outlineLevel="1">
      <c r="A50" s="16" t="str">
        <f>'Expenses Summary'!G25</f>
        <v>Marketing</v>
      </c>
      <c r="B50" s="302">
        <f>'Income Statement'!Q54</f>
        <v>3000</v>
      </c>
      <c r="C50" s="536">
        <f t="shared" si="11"/>
        <v>0.07615421228</v>
      </c>
      <c r="D50" s="302">
        <f>'Income Statement'!Q140</f>
        <v>3150</v>
      </c>
      <c r="E50" s="536">
        <f t="shared" si="12"/>
        <v>0.07357449418</v>
      </c>
      <c r="F50" s="302">
        <f>'Income Statement'!Q227</f>
        <v>3307.5</v>
      </c>
      <c r="G50" s="536">
        <f t="shared" si="13"/>
        <v>0.06857142857</v>
      </c>
      <c r="H50" s="302">
        <f>'Expenses Summary'!M25</f>
        <v>3472.875</v>
      </c>
      <c r="I50" s="536">
        <f t="shared" si="14"/>
        <v>0.05946621988</v>
      </c>
      <c r="J50" s="302">
        <f>'Expenses Summary'!N25</f>
        <v>3646.51875</v>
      </c>
      <c r="K50" s="536">
        <f t="shared" si="15"/>
        <v>0.03898580908</v>
      </c>
    </row>
    <row r="51" ht="15.75" customHeight="1" outlineLevel="1">
      <c r="A51" s="16" t="str">
        <f>'Expenses Summary'!G26</f>
        <v>Professional Fees</v>
      </c>
      <c r="B51" s="302">
        <f>'Income Statement'!Q55</f>
        <v>0</v>
      </c>
      <c r="C51" s="536">
        <f t="shared" si="11"/>
        <v>0</v>
      </c>
      <c r="D51" s="302">
        <f>'Income Statement'!Q141</f>
        <v>0</v>
      </c>
      <c r="E51" s="536">
        <f t="shared" si="12"/>
        <v>0</v>
      </c>
      <c r="F51" s="302">
        <f>'Income Statement'!Q228</f>
        <v>0</v>
      </c>
      <c r="G51" s="536">
        <f t="shared" si="13"/>
        <v>0</v>
      </c>
      <c r="H51" s="302">
        <f>'Expenses Summary'!M26</f>
        <v>0</v>
      </c>
      <c r="I51" s="536">
        <f t="shared" si="14"/>
        <v>0</v>
      </c>
      <c r="J51" s="302">
        <f>'Expenses Summary'!N26</f>
        <v>0</v>
      </c>
      <c r="K51" s="536">
        <f t="shared" si="15"/>
        <v>0</v>
      </c>
    </row>
    <row r="52" ht="15.75" customHeight="1" outlineLevel="1">
      <c r="A52" s="16" t="str">
        <f>'Expenses Summary'!G27</f>
        <v>Contract Labor</v>
      </c>
      <c r="B52" s="302">
        <f>'Income Statement'!Q56</f>
        <v>0</v>
      </c>
      <c r="C52" s="536">
        <f t="shared" si="11"/>
        <v>0</v>
      </c>
      <c r="D52" s="302">
        <f>'Income Statement'!Q142</f>
        <v>0</v>
      </c>
      <c r="E52" s="536">
        <f t="shared" si="12"/>
        <v>0</v>
      </c>
      <c r="F52" s="302">
        <f>'Income Statement'!Q229</f>
        <v>0</v>
      </c>
      <c r="G52" s="536">
        <f t="shared" si="13"/>
        <v>0</v>
      </c>
      <c r="H52" s="302">
        <f>'Expenses Summary'!M27</f>
        <v>0</v>
      </c>
      <c r="I52" s="536">
        <f t="shared" si="14"/>
        <v>0</v>
      </c>
      <c r="J52" s="302">
        <f>'Expenses Summary'!N27</f>
        <v>0</v>
      </c>
      <c r="K52" s="536">
        <f t="shared" si="15"/>
        <v>0</v>
      </c>
    </row>
    <row r="53" ht="15.75" customHeight="1" outlineLevel="1">
      <c r="A53" s="16" t="str">
        <f>'Expenses Summary'!G28</f>
        <v>Sales</v>
      </c>
      <c r="B53" s="302">
        <f>'Income Statement'!Q57</f>
        <v>0</v>
      </c>
      <c r="C53" s="536">
        <f t="shared" si="11"/>
        <v>0</v>
      </c>
      <c r="D53" s="302">
        <f>'Income Statement'!Q143</f>
        <v>0</v>
      </c>
      <c r="E53" s="536">
        <f t="shared" si="12"/>
        <v>0</v>
      </c>
      <c r="F53" s="302">
        <f>'Income Statement'!Q230</f>
        <v>0</v>
      </c>
      <c r="G53" s="536">
        <f t="shared" si="13"/>
        <v>0</v>
      </c>
      <c r="H53" s="302">
        <f>'Expenses Summary'!M28</f>
        <v>0</v>
      </c>
      <c r="I53" s="536">
        <f t="shared" si="14"/>
        <v>0</v>
      </c>
      <c r="J53" s="302">
        <f>'Expenses Summary'!N28</f>
        <v>0</v>
      </c>
      <c r="K53" s="536">
        <f t="shared" si="15"/>
        <v>0</v>
      </c>
    </row>
    <row r="54" ht="15.75" customHeight="1" outlineLevel="1">
      <c r="A54" s="16" t="str">
        <f>'Expenses Summary'!G29</f>
        <v>Travel</v>
      </c>
      <c r="B54" s="302">
        <f>'Income Statement'!Q58</f>
        <v>3000</v>
      </c>
      <c r="C54" s="536">
        <f t="shared" si="11"/>
        <v>0.07615421228</v>
      </c>
      <c r="D54" s="302">
        <f>'Income Statement'!Q144</f>
        <v>3150</v>
      </c>
      <c r="E54" s="536">
        <f t="shared" si="12"/>
        <v>0.07357449418</v>
      </c>
      <c r="F54" s="302">
        <f>'Income Statement'!Q231</f>
        <v>3307.5</v>
      </c>
      <c r="G54" s="536">
        <f t="shared" si="13"/>
        <v>0.06857142857</v>
      </c>
      <c r="H54" s="302">
        <f>'Expenses Summary'!M29</f>
        <v>3472.875</v>
      </c>
      <c r="I54" s="536">
        <f t="shared" si="14"/>
        <v>0.05946621988</v>
      </c>
      <c r="J54" s="302">
        <f>'Expenses Summary'!N29</f>
        <v>3646.51875</v>
      </c>
      <c r="K54" s="536">
        <f t="shared" si="15"/>
        <v>0.03898580908</v>
      </c>
    </row>
    <row r="55" ht="15.75" customHeight="1" outlineLevel="1">
      <c r="A55" s="16" t="str">
        <f>'Expenses Summary'!G30</f>
        <v>Supplies</v>
      </c>
      <c r="B55" s="302">
        <f>'Income Statement'!Q59</f>
        <v>2400</v>
      </c>
      <c r="C55" s="536">
        <f t="shared" si="11"/>
        <v>0.06092336982</v>
      </c>
      <c r="D55" s="302">
        <f>'Income Statement'!Q145</f>
        <v>2520</v>
      </c>
      <c r="E55" s="536">
        <f t="shared" si="12"/>
        <v>0.05885959534</v>
      </c>
      <c r="F55" s="302">
        <f>'Income Statement'!Q232</f>
        <v>2646</v>
      </c>
      <c r="G55" s="536">
        <f t="shared" si="13"/>
        <v>0.05485714286</v>
      </c>
      <c r="H55" s="302">
        <f>'Expenses Summary'!M30</f>
        <v>2778.3</v>
      </c>
      <c r="I55" s="536">
        <f t="shared" si="14"/>
        <v>0.04757297591</v>
      </c>
      <c r="J55" s="302">
        <f>'Expenses Summary'!N30</f>
        <v>2917.215</v>
      </c>
      <c r="K55" s="536">
        <f t="shared" si="15"/>
        <v>0.03118864726</v>
      </c>
    </row>
    <row r="56" ht="15.75" customHeight="1" outlineLevel="1">
      <c r="A56" s="16" t="str">
        <f>'Expenses Summary'!G31</f>
        <v>Petty Cash</v>
      </c>
      <c r="B56" s="302">
        <f>'Income Statement'!Q60</f>
        <v>0</v>
      </c>
      <c r="C56" s="536">
        <f t="shared" si="11"/>
        <v>0</v>
      </c>
      <c r="D56" s="302">
        <f>'Income Statement'!Q146</f>
        <v>0</v>
      </c>
      <c r="E56" s="536">
        <f t="shared" si="12"/>
        <v>0</v>
      </c>
      <c r="F56" s="302">
        <f>'Income Statement'!Q233</f>
        <v>0</v>
      </c>
      <c r="G56" s="536">
        <f t="shared" si="13"/>
        <v>0</v>
      </c>
      <c r="H56" s="302">
        <f>'Expenses Summary'!M31</f>
        <v>0</v>
      </c>
      <c r="I56" s="536">
        <f t="shared" si="14"/>
        <v>0</v>
      </c>
      <c r="J56" s="302">
        <f>'Expenses Summary'!N31</f>
        <v>0</v>
      </c>
      <c r="K56" s="536">
        <f t="shared" si="15"/>
        <v>0</v>
      </c>
    </row>
    <row r="57" ht="15.75" customHeight="1" outlineLevel="1">
      <c r="A57" s="16" t="str">
        <f>'Expenses Summary'!G32</f>
        <v>Dues_Subscriptions</v>
      </c>
      <c r="B57" s="302">
        <f>'Income Statement'!Q61</f>
        <v>0</v>
      </c>
      <c r="C57" s="536">
        <f t="shared" si="11"/>
        <v>0</v>
      </c>
      <c r="D57" s="302">
        <f>'Income Statement'!Q147</f>
        <v>0</v>
      </c>
      <c r="E57" s="536">
        <f t="shared" si="12"/>
        <v>0</v>
      </c>
      <c r="F57" s="302">
        <f>'Income Statement'!Q234</f>
        <v>0</v>
      </c>
      <c r="G57" s="536">
        <f t="shared" si="13"/>
        <v>0</v>
      </c>
      <c r="H57" s="302">
        <f>'Expenses Summary'!M32</f>
        <v>0</v>
      </c>
      <c r="I57" s="536">
        <f t="shared" si="14"/>
        <v>0</v>
      </c>
      <c r="J57" s="302">
        <f>'Expenses Summary'!N32</f>
        <v>0</v>
      </c>
      <c r="K57" s="536">
        <f t="shared" si="15"/>
        <v>0</v>
      </c>
    </row>
    <row r="58" ht="15.75" customHeight="1" outlineLevel="1">
      <c r="A58" s="16" t="str">
        <f>'Expenses Summary'!G33</f>
        <v>Networking &amp; Education Events</v>
      </c>
      <c r="B58" s="302">
        <f>'Income Statement'!Q62</f>
        <v>0</v>
      </c>
      <c r="C58" s="536">
        <f t="shared" si="11"/>
        <v>0</v>
      </c>
      <c r="D58" s="302">
        <f>'Income Statement'!Q148</f>
        <v>0</v>
      </c>
      <c r="E58" s="536">
        <f t="shared" si="12"/>
        <v>0</v>
      </c>
      <c r="F58" s="302">
        <f>'Income Statement'!Q235</f>
        <v>0</v>
      </c>
      <c r="G58" s="536">
        <f t="shared" si="13"/>
        <v>0</v>
      </c>
      <c r="H58" s="302">
        <f>'Expenses Summary'!M33</f>
        <v>0</v>
      </c>
      <c r="I58" s="536">
        <f t="shared" si="14"/>
        <v>0</v>
      </c>
      <c r="J58" s="302">
        <f>'Expenses Summary'!N33</f>
        <v>0</v>
      </c>
      <c r="K58" s="536">
        <f t="shared" si="15"/>
        <v>0</v>
      </c>
    </row>
    <row r="59" ht="15.75" customHeight="1" outlineLevel="1">
      <c r="A59" s="16" t="str">
        <f>'Expenses Summary'!G34</f>
        <v>Miscellaneous</v>
      </c>
      <c r="B59" s="302">
        <f>'Income Statement'!Q63</f>
        <v>0</v>
      </c>
      <c r="C59" s="536">
        <f t="shared" si="11"/>
        <v>0</v>
      </c>
      <c r="D59" s="302">
        <f>'Income Statement'!Q149</f>
        <v>0</v>
      </c>
      <c r="E59" s="536">
        <f t="shared" si="12"/>
        <v>0</v>
      </c>
      <c r="F59" s="302">
        <f>'Income Statement'!Q236</f>
        <v>0</v>
      </c>
      <c r="G59" s="536">
        <f t="shared" si="13"/>
        <v>0</v>
      </c>
      <c r="H59" s="302">
        <f>'Expenses Summary'!M34</f>
        <v>0</v>
      </c>
      <c r="I59" s="536">
        <f t="shared" si="14"/>
        <v>0</v>
      </c>
      <c r="J59" s="302">
        <f>'Expenses Summary'!N34</f>
        <v>0</v>
      </c>
      <c r="K59" s="536">
        <f t="shared" si="15"/>
        <v>0</v>
      </c>
    </row>
    <row r="60" ht="15.75" customHeight="1" outlineLevel="1">
      <c r="A60" s="16" t="str">
        <f>'Expenses Summary'!G35</f>
        <v>Sales Tax Reserve</v>
      </c>
      <c r="B60" s="302">
        <f>'Income Statement'!Q64</f>
        <v>0</v>
      </c>
      <c r="C60" s="536">
        <f t="shared" si="11"/>
        <v>0</v>
      </c>
      <c r="D60" s="302">
        <f>'Income Statement'!Q150</f>
        <v>0</v>
      </c>
      <c r="E60" s="536">
        <f t="shared" si="12"/>
        <v>0</v>
      </c>
      <c r="F60" s="302">
        <f>'Income Statement'!Q237</f>
        <v>0</v>
      </c>
      <c r="G60" s="536">
        <f t="shared" si="13"/>
        <v>0</v>
      </c>
      <c r="H60" s="302">
        <f>'Expenses Summary'!M35</f>
        <v>0</v>
      </c>
      <c r="I60" s="536">
        <f t="shared" si="14"/>
        <v>0</v>
      </c>
      <c r="J60" s="302">
        <f>'Expenses Summary'!N35</f>
        <v>0</v>
      </c>
      <c r="K60" s="536">
        <f t="shared" si="15"/>
        <v>0</v>
      </c>
    </row>
    <row r="61" ht="15.75" customHeight="1" outlineLevel="1">
      <c r="A61" s="16" t="str">
        <f>'Expenses Summary'!G36</f>
        <v>Discounts &amp; Refunds</v>
      </c>
      <c r="B61" s="302">
        <f>'Income Statement'!Q65</f>
        <v>0</v>
      </c>
      <c r="C61" s="536">
        <f t="shared" si="11"/>
        <v>0</v>
      </c>
      <c r="D61" s="302">
        <f>'Income Statement'!Q151</f>
        <v>0</v>
      </c>
      <c r="E61" s="536">
        <f t="shared" si="12"/>
        <v>0</v>
      </c>
      <c r="F61" s="302">
        <f>'Income Statement'!Q238</f>
        <v>0</v>
      </c>
      <c r="G61" s="536">
        <f t="shared" si="13"/>
        <v>0</v>
      </c>
      <c r="H61" s="302">
        <f>'Expenses Summary'!M36</f>
        <v>0</v>
      </c>
      <c r="I61" s="536">
        <f t="shared" si="14"/>
        <v>0</v>
      </c>
      <c r="J61" s="302">
        <f>'Expenses Summary'!N36</f>
        <v>0</v>
      </c>
      <c r="K61" s="536">
        <f t="shared" si="15"/>
        <v>0</v>
      </c>
    </row>
    <row r="62" ht="15.75" customHeight="1" outlineLevel="1">
      <c r="A62" s="16" t="str">
        <f>'Expenses Summary'!G37</f>
        <v>Sales Commission</v>
      </c>
      <c r="B62" s="302">
        <f>'Income Statement'!Q66</f>
        <v>0</v>
      </c>
      <c r="C62" s="536">
        <f t="shared" si="11"/>
        <v>0</v>
      </c>
      <c r="D62" s="302">
        <f>'Income Statement'!Q152</f>
        <v>0</v>
      </c>
      <c r="E62" s="536">
        <f t="shared" si="12"/>
        <v>0</v>
      </c>
      <c r="F62" s="302">
        <f>'Income Statement'!Q239</f>
        <v>0</v>
      </c>
      <c r="G62" s="536">
        <f t="shared" si="13"/>
        <v>0</v>
      </c>
      <c r="H62" s="302">
        <f>'Expenses Summary'!M37</f>
        <v>0</v>
      </c>
      <c r="I62" s="536">
        <f t="shared" si="14"/>
        <v>0</v>
      </c>
      <c r="J62" s="302">
        <f>'Expenses Summary'!N37</f>
        <v>0</v>
      </c>
      <c r="K62" s="536">
        <f t="shared" si="15"/>
        <v>0</v>
      </c>
    </row>
    <row r="63" ht="15.75" customHeight="1" outlineLevel="1">
      <c r="A63" s="16" t="str">
        <f>'Expenses Summary'!G38</f>
        <v>Merchant Fee Transactions</v>
      </c>
      <c r="B63" s="302">
        <f>'Income Statement'!Q67</f>
        <v>637.5</v>
      </c>
      <c r="C63" s="536">
        <f t="shared" si="11"/>
        <v>0.01618277011</v>
      </c>
      <c r="D63" s="302">
        <f>'Income Statement'!Q153</f>
        <v>1115.625</v>
      </c>
      <c r="E63" s="536">
        <f t="shared" si="12"/>
        <v>0.02605763335</v>
      </c>
      <c r="F63" s="302">
        <f>'Income Statement'!Q240</f>
        <v>2342.8125</v>
      </c>
      <c r="G63" s="536">
        <f t="shared" si="13"/>
        <v>0.04857142857</v>
      </c>
      <c r="H63" s="302">
        <f>'Expenses Summary'!M38</f>
        <v>5857.03125</v>
      </c>
      <c r="I63" s="536">
        <f t="shared" si="14"/>
        <v>0.1002902518</v>
      </c>
      <c r="J63" s="302">
        <f>'Expenses Summary'!N38</f>
        <v>19035.35156</v>
      </c>
      <c r="K63" s="536">
        <f t="shared" si="15"/>
        <v>0.2035115223</v>
      </c>
    </row>
    <row r="64" ht="15.75" customHeight="1" outlineLevel="1">
      <c r="A64" s="16" t="str">
        <f>'Expenses Summary'!G39</f>
        <v>Customer Discounts/Refunds</v>
      </c>
      <c r="B64" s="302">
        <f>'Income Statement'!Q68</f>
        <v>637.5</v>
      </c>
      <c r="C64" s="536">
        <f t="shared" si="11"/>
        <v>0.01618277011</v>
      </c>
      <c r="D64" s="302">
        <f>'Income Statement'!Q154</f>
        <v>1115.625</v>
      </c>
      <c r="E64" s="536">
        <f t="shared" si="12"/>
        <v>0.02605763335</v>
      </c>
      <c r="F64" s="302">
        <f>'Income Statement'!Q241</f>
        <v>2342.8125</v>
      </c>
      <c r="G64" s="536">
        <f t="shared" si="13"/>
        <v>0.04857142857</v>
      </c>
      <c r="H64" s="302">
        <f>'Expenses Summary'!M39</f>
        <v>5857.03125</v>
      </c>
      <c r="I64" s="536">
        <f t="shared" si="14"/>
        <v>0.1002902518</v>
      </c>
      <c r="J64" s="302">
        <f>'Expenses Summary'!N39</f>
        <v>19035.35156</v>
      </c>
      <c r="K64" s="536">
        <f t="shared" si="15"/>
        <v>0.2035115223</v>
      </c>
    </row>
    <row r="65" ht="15.75" customHeight="1" outlineLevel="1">
      <c r="A65" s="16" t="str">
        <f>'Expenses Summary'!G40</f>
        <v>Other</v>
      </c>
      <c r="B65" s="302">
        <f>'Income Statement'!Q69</f>
        <v>0</v>
      </c>
      <c r="C65" s="536">
        <f t="shared" si="11"/>
        <v>0</v>
      </c>
      <c r="D65" s="302">
        <f>'Income Statement'!Q155</f>
        <v>0</v>
      </c>
      <c r="E65" s="536">
        <f t="shared" si="12"/>
        <v>0</v>
      </c>
      <c r="F65" s="302">
        <f>'Income Statement'!Q242</f>
        <v>0</v>
      </c>
      <c r="G65" s="536">
        <f t="shared" si="13"/>
        <v>0</v>
      </c>
      <c r="H65" s="302">
        <f>'Expenses Summary'!M40</f>
        <v>0</v>
      </c>
      <c r="I65" s="536">
        <f t="shared" si="14"/>
        <v>0</v>
      </c>
      <c r="J65" s="302">
        <f>'Expenses Summary'!N40</f>
        <v>0</v>
      </c>
      <c r="K65" s="536">
        <f t="shared" si="15"/>
        <v>0</v>
      </c>
    </row>
    <row r="66" ht="15.75" customHeight="1" outlineLevel="1">
      <c r="A66" s="16" t="str">
        <f>'Expenses Summary'!G41</f>
        <v>Bad Debt</v>
      </c>
      <c r="B66" s="302">
        <f>'Income Statement'!Q70</f>
        <v>318.75</v>
      </c>
      <c r="C66" s="536">
        <f t="shared" si="11"/>
        <v>0.008091385055</v>
      </c>
      <c r="D66" s="302">
        <f>'Income Statement'!Q156</f>
        <v>892.5</v>
      </c>
      <c r="E66" s="536">
        <f t="shared" si="12"/>
        <v>0.02084610668</v>
      </c>
      <c r="F66" s="302">
        <f>'Income Statement'!Q243</f>
        <v>1874.25</v>
      </c>
      <c r="G66" s="536">
        <f t="shared" si="13"/>
        <v>0.03885714286</v>
      </c>
      <c r="H66" s="302">
        <f>'Expenses Summary'!M41</f>
        <v>2928.515625</v>
      </c>
      <c r="I66" s="536">
        <f t="shared" si="14"/>
        <v>0.05014512589</v>
      </c>
      <c r="J66" s="302">
        <f>'Expenses Summary'!N41</f>
        <v>9517.675781</v>
      </c>
      <c r="K66" s="536">
        <f t="shared" si="15"/>
        <v>0.1017557611</v>
      </c>
    </row>
    <row r="67" ht="15.75" customHeight="1" outlineLevel="1">
      <c r="A67" s="16" t="str">
        <f>'Expenses Summary'!G42</f>
        <v>Other Operating Expenses</v>
      </c>
      <c r="B67" s="302">
        <f>'Income Statement'!Q71</f>
        <v>12000</v>
      </c>
      <c r="C67" s="536">
        <f t="shared" si="11"/>
        <v>0.3046168491</v>
      </c>
      <c r="D67" s="302">
        <f>'Income Statement'!Q157</f>
        <v>12600</v>
      </c>
      <c r="E67" s="536">
        <f t="shared" si="12"/>
        <v>0.2942979767</v>
      </c>
      <c r="F67" s="302">
        <f>'Income Statement'!Q244</f>
        <v>13230</v>
      </c>
      <c r="G67" s="536">
        <f t="shared" si="13"/>
        <v>0.2742857143</v>
      </c>
      <c r="H67" s="302">
        <f>'Expenses Summary'!M42</f>
        <v>13891.5</v>
      </c>
      <c r="I67" s="536">
        <f t="shared" si="14"/>
        <v>0.2378648795</v>
      </c>
      <c r="J67" s="302">
        <f>'Expenses Summary'!N42</f>
        <v>14586.075</v>
      </c>
      <c r="K67" s="536">
        <f t="shared" si="15"/>
        <v>0.1559432363</v>
      </c>
    </row>
    <row r="68" ht="15.75" customHeight="1">
      <c r="A68" s="518" t="s">
        <v>353</v>
      </c>
      <c r="B68" s="538">
        <f>SUM(B33:B67)</f>
        <v>39393.75</v>
      </c>
      <c r="C68" s="536"/>
      <c r="D68" s="538">
        <f>SUM(D33:D67)</f>
        <v>42813.75</v>
      </c>
      <c r="E68" s="536"/>
      <c r="F68" s="538">
        <f>SUM(F33:F67)</f>
        <v>48234.375</v>
      </c>
      <c r="G68" s="536"/>
      <c r="H68" s="538">
        <f>SUM(H33:H67)</f>
        <v>58400.80313</v>
      </c>
      <c r="I68" s="536"/>
      <c r="J68" s="538">
        <f>SUM(J33:J67)</f>
        <v>93534.51516</v>
      </c>
      <c r="K68" s="536"/>
    </row>
    <row r="69" ht="15.75" customHeight="1">
      <c r="A69" s="16"/>
      <c r="B69" s="302"/>
      <c r="C69" s="536"/>
      <c r="D69" s="302"/>
      <c r="E69" s="536"/>
      <c r="F69" s="302"/>
      <c r="G69" s="536"/>
      <c r="H69" s="302"/>
      <c r="I69" s="536"/>
      <c r="J69" s="302"/>
      <c r="K69" s="536"/>
    </row>
    <row r="70" ht="15.75" customHeight="1">
      <c r="A70" s="434" t="s">
        <v>356</v>
      </c>
      <c r="B70" s="530"/>
      <c r="C70" s="542"/>
      <c r="D70" s="530"/>
      <c r="E70" s="542"/>
      <c r="F70" s="530"/>
      <c r="G70" s="542"/>
      <c r="H70" s="530"/>
      <c r="I70" s="542"/>
      <c r="J70" s="530"/>
      <c r="K70" s="530"/>
    </row>
    <row r="71" ht="15.75" customHeight="1">
      <c r="A71" s="12" t="s">
        <v>523</v>
      </c>
      <c r="B71" s="531">
        <f>'Income Statement'!$Q$77</f>
        <v>0</v>
      </c>
      <c r="C71" s="541"/>
      <c r="D71" s="531">
        <f>'Income Statement'!Q163</f>
        <v>0</v>
      </c>
      <c r="E71" s="541"/>
      <c r="F71" s="531">
        <f>'Income Statement'!Q250</f>
        <v>0</v>
      </c>
      <c r="G71" s="541"/>
      <c r="H71" s="532"/>
      <c r="I71" s="543"/>
      <c r="J71" s="532"/>
      <c r="K71" s="543"/>
    </row>
    <row r="72" ht="15.75" customHeight="1">
      <c r="A72" s="16" t="str">
        <f>'Expenses Summary'!G46</f>
        <v>Depreciation</v>
      </c>
      <c r="B72" s="302">
        <f>'Income Statement'!Q78</f>
        <v>0</v>
      </c>
      <c r="C72" s="536"/>
      <c r="D72" s="302">
        <f>'Income Statement'!Q164</f>
        <v>0</v>
      </c>
      <c r="E72" s="536"/>
      <c r="F72" s="302">
        <f>'Income Statement'!Q251</f>
        <v>0</v>
      </c>
      <c r="G72" s="536"/>
      <c r="H72" s="302">
        <f>SUMIFS(Deprec_MonthlyAmt,Deprec_EndDates,"&gt;"&amp;J4)*12</f>
        <v>0</v>
      </c>
      <c r="I72" s="536"/>
      <c r="J72" s="302">
        <f>SUMIFS(Deprec_MonthlyAmt,Deprec_EndDates,"&gt;"&amp;J4)*12</f>
        <v>0</v>
      </c>
      <c r="K72" s="536"/>
    </row>
    <row r="73" ht="15.75" customHeight="1">
      <c r="A73" s="16" t="s">
        <v>453</v>
      </c>
      <c r="B73" s="302">
        <f>YR1_InterestPayments</f>
        <v>0</v>
      </c>
      <c r="C73" s="536"/>
      <c r="D73" s="302">
        <f>'Income Statement'!Q165</f>
        <v>0</v>
      </c>
      <c r="E73" s="536"/>
      <c r="F73" s="302">
        <f>'Income Statement'!Q252</f>
        <v>0</v>
      </c>
      <c r="G73" s="536"/>
      <c r="H73" s="302">
        <f>'Loan Schedule'!O102</f>
        <v>0</v>
      </c>
      <c r="I73" s="536"/>
      <c r="J73" s="302">
        <f>'Loan Schedule'!O125</f>
        <v>0</v>
      </c>
      <c r="K73" s="536"/>
    </row>
    <row r="74" ht="15.75" customHeight="1">
      <c r="A74" s="518" t="s">
        <v>356</v>
      </c>
      <c r="B74" s="538">
        <f>SUM(B72:B73)</f>
        <v>0</v>
      </c>
      <c r="C74" s="539">
        <f>IFERROR(B74/B14,0)</f>
        <v>0</v>
      </c>
      <c r="D74" s="538">
        <f>SUM(D72:D73)</f>
        <v>0</v>
      </c>
      <c r="E74" s="539">
        <f>IFERROR(D74/D14,0)</f>
        <v>0</v>
      </c>
      <c r="F74" s="538">
        <f>SUM(F72:F73)</f>
        <v>0</v>
      </c>
      <c r="G74" s="539">
        <f>IFERROR(F74/F14,0)</f>
        <v>0</v>
      </c>
      <c r="H74" s="538">
        <f>SUM(H72:H73)</f>
        <v>0</v>
      </c>
      <c r="I74" s="539">
        <f>IFERROR(H74/H14,0)</f>
        <v>0</v>
      </c>
      <c r="J74" s="538">
        <f>SUM(J72:J73)</f>
        <v>0</v>
      </c>
      <c r="K74" s="539">
        <f>IFERROR(J74/J14,0)</f>
        <v>0</v>
      </c>
    </row>
    <row r="75" ht="15.75" customHeight="1">
      <c r="A75" s="16"/>
      <c r="B75" s="302"/>
      <c r="C75" s="536"/>
      <c r="D75" s="302"/>
      <c r="E75" s="536"/>
      <c r="F75" s="302"/>
      <c r="G75" s="536"/>
      <c r="H75" s="302"/>
      <c r="I75" s="536"/>
      <c r="J75" s="302"/>
      <c r="K75" s="536"/>
    </row>
    <row r="76" ht="15.75" customHeight="1">
      <c r="A76" s="434" t="s">
        <v>463</v>
      </c>
      <c r="B76" s="530"/>
      <c r="C76" s="541"/>
      <c r="D76" s="530"/>
      <c r="E76" s="541"/>
      <c r="F76" s="530"/>
      <c r="G76" s="541"/>
      <c r="H76" s="530"/>
      <c r="I76" s="541"/>
      <c r="J76" s="530"/>
      <c r="K76" s="378"/>
    </row>
    <row r="77" ht="15.75" customHeight="1">
      <c r="A77" s="16" t="s">
        <v>463</v>
      </c>
      <c r="B77" s="538">
        <f>'Income Statement'!Q83</f>
        <v>0</v>
      </c>
      <c r="C77" s="539">
        <f>IFERROR(B77/B14,0)</f>
        <v>0</v>
      </c>
      <c r="D77" s="538">
        <f>'Income Statement'!Q169</f>
        <v>0</v>
      </c>
      <c r="E77" s="539">
        <f>IFERROR(D77/D14,0)</f>
        <v>0</v>
      </c>
      <c r="F77" s="538">
        <f>'Income Statement'!Q256</f>
        <v>0</v>
      </c>
      <c r="G77" s="539">
        <f>IFERROR(F77/F14,0)</f>
        <v>0</v>
      </c>
      <c r="H77" s="538">
        <f>IF(IncomeTax_Rate*(H27-H30-H68-H74)&lt;0,0,IncomeTax_Rate*(H27-H30-H68-H74))</f>
        <v>0</v>
      </c>
      <c r="I77" s="539">
        <f>IFERROR(H77/H14,0)</f>
        <v>0</v>
      </c>
      <c r="J77" s="538">
        <f>IF(IncomeTax_Rate*(J27-J30-J68-J74)&lt;0,0,IncomeTax_Rate*(J27-J30-J68-J74))</f>
        <v>0</v>
      </c>
      <c r="K77" s="539">
        <f>IFERROR(J77/J14,0)</f>
        <v>0</v>
      </c>
    </row>
    <row r="78" ht="15.75" customHeight="1">
      <c r="A78" s="16"/>
      <c r="B78" s="12"/>
      <c r="C78" s="536"/>
      <c r="D78" s="12"/>
      <c r="E78" s="536"/>
      <c r="F78" s="12"/>
      <c r="G78" s="536"/>
      <c r="H78" s="12"/>
      <c r="I78" s="536"/>
      <c r="J78" s="12"/>
      <c r="K78" s="536"/>
    </row>
    <row r="79" ht="15.75" customHeight="1">
      <c r="A79" s="434" t="s">
        <v>312</v>
      </c>
      <c r="B79" s="530"/>
      <c r="C79" s="542"/>
      <c r="D79" s="530"/>
      <c r="E79" s="542"/>
      <c r="F79" s="530"/>
      <c r="G79" s="542"/>
      <c r="H79" s="530"/>
      <c r="I79" s="542"/>
      <c r="J79" s="530"/>
      <c r="K79" s="530"/>
    </row>
    <row r="80" ht="15.75" customHeight="1">
      <c r="A80" s="16" t="s">
        <v>312</v>
      </c>
      <c r="B80" s="441">
        <f>B14-SUM(B25,B30,B68,B74,B77)</f>
        <v>-44625.07184</v>
      </c>
      <c r="C80" s="546">
        <f>IFERROR(B80/B14,0)</f>
        <v>-0.7000011269</v>
      </c>
      <c r="D80" s="441">
        <f>D14-SUM(D25,D30,D68,D74,D77)</f>
        <v>-16220</v>
      </c>
      <c r="E80" s="546">
        <f>IFERROR(D80/D14,0)</f>
        <v>-0.1453893557</v>
      </c>
      <c r="F80" s="441">
        <f>F14-SUM(F25,F30,F68,F74,F77)</f>
        <v>62717.5</v>
      </c>
      <c r="G80" s="546">
        <f>IFERROR(F80/F14,0)</f>
        <v>0.2677017474</v>
      </c>
      <c r="H80" s="441">
        <f>H14-SUM(H25,H30,H68,H74,H77)</f>
        <v>295894.1344</v>
      </c>
      <c r="I80" s="546">
        <f>IFERROR(H80/H14,0)</f>
        <v>0.5051947339</v>
      </c>
      <c r="J80" s="441">
        <f>J14-SUM(J25,J30,J68,J74,J77)</f>
        <v>1180457.982</v>
      </c>
      <c r="K80" s="546">
        <f>IFERROR(J80/J14,0)</f>
        <v>0.6201398371</v>
      </c>
    </row>
    <row r="81" ht="15.75" customHeight="1">
      <c r="A81" s="16"/>
      <c r="C81" s="536"/>
      <c r="E81" s="536"/>
      <c r="G81" s="536"/>
      <c r="I81" s="536"/>
      <c r="K81" s="536"/>
    </row>
    <row r="82" ht="15.75" customHeight="1">
      <c r="A82" s="16"/>
      <c r="C82" s="536"/>
      <c r="E82" s="536"/>
      <c r="G82" s="536"/>
      <c r="I82" s="536"/>
      <c r="K82" s="536"/>
    </row>
    <row r="83" ht="15.75" customHeight="1">
      <c r="A83" s="16"/>
      <c r="C83" s="536"/>
      <c r="E83" s="536"/>
      <c r="G83" s="536"/>
      <c r="I83" s="536"/>
      <c r="K83" s="536"/>
    </row>
    <row r="84" ht="15.75" customHeight="1">
      <c r="A84" s="16"/>
      <c r="C84" s="536"/>
      <c r="E84" s="536"/>
      <c r="G84" s="536"/>
      <c r="I84" s="536"/>
      <c r="K84" s="536"/>
    </row>
    <row r="85" ht="15.75" customHeight="1">
      <c r="A85" s="16"/>
      <c r="C85" s="536"/>
      <c r="E85" s="536"/>
      <c r="G85" s="536"/>
      <c r="I85" s="536"/>
      <c r="K85" s="536"/>
    </row>
    <row r="86" ht="15.75" customHeight="1">
      <c r="A86" s="16"/>
      <c r="C86" s="536"/>
      <c r="E86" s="536"/>
      <c r="G86" s="536"/>
      <c r="I86" s="536"/>
      <c r="K86" s="536"/>
    </row>
    <row r="87" ht="15.75" customHeight="1">
      <c r="A87" s="16"/>
      <c r="C87" s="536"/>
      <c r="E87" s="536"/>
      <c r="G87" s="536"/>
      <c r="I87" s="536"/>
      <c r="K87" s="536"/>
    </row>
    <row r="88" ht="15.75" customHeight="1">
      <c r="A88" s="16"/>
      <c r="C88" s="536"/>
      <c r="E88" s="536"/>
      <c r="G88" s="536"/>
      <c r="I88" s="536"/>
      <c r="K88" s="536"/>
    </row>
    <row r="89" ht="15.75" customHeight="1">
      <c r="A89" s="16"/>
      <c r="C89" s="536"/>
      <c r="E89" s="536"/>
      <c r="G89" s="536"/>
      <c r="I89" s="536"/>
      <c r="K89" s="536"/>
    </row>
    <row r="90" ht="15.75" customHeight="1">
      <c r="A90" s="16"/>
      <c r="C90" s="536"/>
      <c r="E90" s="536"/>
      <c r="G90" s="536"/>
      <c r="I90" s="536"/>
      <c r="K90" s="536"/>
    </row>
    <row r="91" ht="15.75" customHeight="1">
      <c r="A91" s="16"/>
      <c r="C91" s="536"/>
      <c r="E91" s="536"/>
      <c r="G91" s="536"/>
      <c r="I91" s="536"/>
      <c r="K91" s="536"/>
    </row>
    <row r="92" ht="15.75" customHeight="1">
      <c r="A92" s="16"/>
      <c r="C92" s="536"/>
      <c r="E92" s="536"/>
      <c r="G92" s="536"/>
      <c r="I92" s="536"/>
      <c r="K92" s="536"/>
    </row>
    <row r="93" ht="15.75" customHeight="1">
      <c r="A93" s="16"/>
      <c r="C93" s="536"/>
      <c r="E93" s="536"/>
      <c r="G93" s="536"/>
      <c r="I93" s="536"/>
      <c r="K93" s="536"/>
    </row>
    <row r="94" ht="15.75" customHeight="1">
      <c r="A94" s="16"/>
      <c r="C94" s="536"/>
      <c r="E94" s="536"/>
      <c r="G94" s="536"/>
      <c r="I94" s="536"/>
      <c r="K94" s="536"/>
    </row>
    <row r="95" ht="15.75" customHeight="1">
      <c r="A95" s="16"/>
      <c r="C95" s="536"/>
      <c r="E95" s="536"/>
      <c r="G95" s="536"/>
      <c r="I95" s="536"/>
      <c r="K95" s="536"/>
    </row>
    <row r="96" ht="15.75" customHeight="1">
      <c r="A96" s="16"/>
      <c r="C96" s="536"/>
      <c r="E96" s="536"/>
      <c r="G96" s="536"/>
      <c r="I96" s="536"/>
      <c r="K96" s="536"/>
    </row>
    <row r="97" ht="15.75" customHeight="1">
      <c r="A97" s="16"/>
      <c r="C97" s="536"/>
      <c r="E97" s="536"/>
      <c r="G97" s="536"/>
      <c r="I97" s="536"/>
      <c r="K97" s="536"/>
    </row>
    <row r="98" ht="15.75" customHeight="1">
      <c r="A98" s="16"/>
      <c r="C98" s="536"/>
      <c r="E98" s="536"/>
      <c r="G98" s="536"/>
      <c r="I98" s="536"/>
      <c r="K98" s="536"/>
    </row>
    <row r="99" ht="15.75" customHeight="1">
      <c r="A99" s="16"/>
      <c r="C99" s="536"/>
      <c r="E99" s="536"/>
      <c r="G99" s="536"/>
      <c r="I99" s="536"/>
      <c r="K99" s="536"/>
    </row>
    <row r="100" ht="15.75" customHeight="1">
      <c r="A100" s="16"/>
      <c r="C100" s="536"/>
      <c r="E100" s="536"/>
      <c r="G100" s="536"/>
      <c r="I100" s="536"/>
      <c r="K100" s="536"/>
    </row>
    <row r="101" ht="15.75" customHeight="1">
      <c r="A101" s="16"/>
      <c r="C101" s="536"/>
      <c r="E101" s="536"/>
      <c r="G101" s="536"/>
      <c r="I101" s="536"/>
      <c r="K101" s="536"/>
    </row>
    <row r="102" ht="15.75" customHeight="1">
      <c r="A102" s="16"/>
      <c r="C102" s="536"/>
      <c r="E102" s="536"/>
      <c r="G102" s="536"/>
      <c r="I102" s="536"/>
      <c r="K102" s="536"/>
    </row>
    <row r="103" ht="15.75" customHeight="1">
      <c r="A103" s="16"/>
      <c r="C103" s="536"/>
      <c r="E103" s="536"/>
      <c r="G103" s="536"/>
      <c r="I103" s="536"/>
      <c r="K103" s="536"/>
    </row>
    <row r="104" ht="15.75" customHeight="1">
      <c r="A104" s="16"/>
      <c r="C104" s="536"/>
      <c r="E104" s="536"/>
      <c r="G104" s="536"/>
      <c r="I104" s="536"/>
      <c r="K104" s="536"/>
    </row>
    <row r="105" ht="15.75" customHeight="1">
      <c r="A105" s="16"/>
      <c r="C105" s="536"/>
      <c r="E105" s="536"/>
      <c r="G105" s="536"/>
      <c r="I105" s="536"/>
      <c r="K105" s="536"/>
    </row>
    <row r="106" ht="15.75" customHeight="1">
      <c r="A106" s="16"/>
      <c r="C106" s="536"/>
      <c r="E106" s="536"/>
      <c r="G106" s="536"/>
      <c r="I106" s="536"/>
      <c r="K106" s="536"/>
    </row>
    <row r="107" ht="15.75" customHeight="1">
      <c r="A107" s="16"/>
      <c r="C107" s="536"/>
      <c r="E107" s="536"/>
      <c r="G107" s="536"/>
      <c r="I107" s="536"/>
      <c r="K107" s="536"/>
    </row>
    <row r="108" ht="15.75" customHeight="1">
      <c r="A108" s="16"/>
      <c r="C108" s="536"/>
      <c r="E108" s="536"/>
      <c r="G108" s="536"/>
      <c r="I108" s="536"/>
      <c r="K108" s="536"/>
    </row>
    <row r="109" ht="15.75" customHeight="1">
      <c r="A109" s="16"/>
      <c r="C109" s="536"/>
      <c r="E109" s="536"/>
      <c r="G109" s="536"/>
      <c r="I109" s="536"/>
      <c r="K109" s="536"/>
    </row>
    <row r="110" ht="15.75" customHeight="1">
      <c r="A110" s="16"/>
      <c r="C110" s="536"/>
      <c r="E110" s="536"/>
      <c r="G110" s="536"/>
      <c r="I110" s="536"/>
      <c r="K110" s="536"/>
    </row>
    <row r="111" ht="15.75" customHeight="1">
      <c r="A111" s="16"/>
      <c r="C111" s="536"/>
      <c r="E111" s="536"/>
      <c r="G111" s="536"/>
      <c r="I111" s="536"/>
      <c r="K111" s="536"/>
    </row>
    <row r="112" ht="15.75" customHeight="1">
      <c r="A112" s="16"/>
      <c r="C112" s="536"/>
      <c r="E112" s="536"/>
      <c r="G112" s="536"/>
      <c r="I112" s="536"/>
      <c r="K112" s="536"/>
    </row>
    <row r="113" ht="15.75" customHeight="1">
      <c r="A113" s="16"/>
      <c r="C113" s="536"/>
      <c r="E113" s="536"/>
      <c r="G113" s="536"/>
      <c r="I113" s="536"/>
      <c r="K113" s="536"/>
    </row>
    <row r="114" ht="15.75" customHeight="1">
      <c r="A114" s="16"/>
      <c r="C114" s="536"/>
      <c r="E114" s="536"/>
      <c r="G114" s="536"/>
      <c r="I114" s="536"/>
      <c r="K114" s="536"/>
    </row>
    <row r="115" ht="15.75" customHeight="1">
      <c r="A115" s="16"/>
      <c r="C115" s="536"/>
      <c r="E115" s="536"/>
      <c r="G115" s="536"/>
      <c r="I115" s="536"/>
      <c r="K115" s="536"/>
    </row>
    <row r="116" ht="15.75" customHeight="1">
      <c r="A116" s="16"/>
      <c r="C116" s="536"/>
      <c r="E116" s="536"/>
      <c r="G116" s="536"/>
      <c r="I116" s="536"/>
      <c r="K116" s="536"/>
    </row>
    <row r="117" ht="15.75" customHeight="1">
      <c r="A117" s="16"/>
      <c r="C117" s="536"/>
      <c r="E117" s="536"/>
      <c r="G117" s="536"/>
      <c r="I117" s="536"/>
      <c r="K117" s="536"/>
    </row>
    <row r="118" ht="15.75" customHeight="1">
      <c r="A118" s="16"/>
      <c r="C118" s="536"/>
      <c r="E118" s="536"/>
      <c r="G118" s="536"/>
      <c r="I118" s="536"/>
      <c r="K118" s="536"/>
    </row>
    <row r="119" ht="15.75" customHeight="1">
      <c r="A119" s="16"/>
      <c r="C119" s="536"/>
      <c r="E119" s="536"/>
      <c r="G119" s="536"/>
      <c r="I119" s="536"/>
      <c r="K119" s="536"/>
    </row>
    <row r="120" ht="15.75" customHeight="1">
      <c r="A120" s="16"/>
      <c r="C120" s="536"/>
      <c r="E120" s="536"/>
      <c r="G120" s="536"/>
      <c r="I120" s="536"/>
      <c r="K120" s="536"/>
    </row>
    <row r="121" ht="15.75" customHeight="1">
      <c r="A121" s="16"/>
      <c r="C121" s="536"/>
      <c r="E121" s="536"/>
      <c r="G121" s="536"/>
      <c r="I121" s="536"/>
      <c r="K121" s="536"/>
    </row>
    <row r="122" ht="15.75" customHeight="1">
      <c r="A122" s="16"/>
      <c r="C122" s="536"/>
      <c r="E122" s="536"/>
      <c r="G122" s="536"/>
      <c r="I122" s="536"/>
      <c r="K122" s="536"/>
    </row>
    <row r="123" ht="15.75" customHeight="1">
      <c r="A123" s="16"/>
      <c r="C123" s="536"/>
      <c r="E123" s="536"/>
      <c r="G123" s="536"/>
      <c r="I123" s="536"/>
      <c r="K123" s="536"/>
    </row>
    <row r="124" ht="15.75" customHeight="1">
      <c r="A124" s="16"/>
      <c r="C124" s="536"/>
      <c r="E124" s="536"/>
      <c r="G124" s="536"/>
      <c r="I124" s="536"/>
      <c r="K124" s="536"/>
    </row>
    <row r="125" ht="15.75" customHeight="1">
      <c r="A125" s="16"/>
      <c r="C125" s="536"/>
      <c r="E125" s="536"/>
      <c r="G125" s="536"/>
      <c r="I125" s="536"/>
      <c r="K125" s="536"/>
    </row>
    <row r="126" ht="15.75" customHeight="1">
      <c r="A126" s="16"/>
      <c r="C126" s="536"/>
      <c r="E126" s="536"/>
      <c r="G126" s="536"/>
      <c r="I126" s="536"/>
      <c r="K126" s="536"/>
    </row>
    <row r="127" ht="15.75" customHeight="1">
      <c r="A127" s="16"/>
      <c r="C127" s="536"/>
      <c r="E127" s="536"/>
      <c r="G127" s="536"/>
      <c r="I127" s="536"/>
      <c r="K127" s="536"/>
    </row>
    <row r="128" ht="15.75" customHeight="1">
      <c r="A128" s="16"/>
      <c r="C128" s="536"/>
      <c r="E128" s="536"/>
      <c r="G128" s="536"/>
      <c r="I128" s="536"/>
      <c r="K128" s="536"/>
    </row>
    <row r="129" ht="15.75" customHeight="1">
      <c r="A129" s="16"/>
      <c r="C129" s="536"/>
      <c r="E129" s="536"/>
      <c r="G129" s="536"/>
      <c r="I129" s="536"/>
      <c r="K129" s="536"/>
    </row>
    <row r="130" ht="15.75" customHeight="1">
      <c r="A130" s="16"/>
      <c r="C130" s="536"/>
      <c r="E130" s="536"/>
      <c r="G130" s="536"/>
      <c r="I130" s="536"/>
      <c r="K130" s="536"/>
    </row>
    <row r="131" ht="15.75" customHeight="1">
      <c r="A131" s="16"/>
      <c r="C131" s="536"/>
      <c r="E131" s="536"/>
      <c r="G131" s="536"/>
      <c r="I131" s="536"/>
      <c r="K131" s="536"/>
    </row>
    <row r="132" ht="15.75" customHeight="1">
      <c r="A132" s="16"/>
      <c r="C132" s="536"/>
      <c r="E132" s="536"/>
      <c r="G132" s="536"/>
      <c r="I132" s="536"/>
      <c r="K132" s="536"/>
    </row>
    <row r="133" ht="15.75" customHeight="1">
      <c r="A133" s="16"/>
      <c r="C133" s="536"/>
      <c r="E133" s="536"/>
      <c r="G133" s="536"/>
      <c r="I133" s="536"/>
      <c r="K133" s="536"/>
    </row>
    <row r="134" ht="15.75" customHeight="1">
      <c r="A134" s="16"/>
      <c r="C134" s="536"/>
      <c r="E134" s="536"/>
      <c r="G134" s="536"/>
      <c r="I134" s="536"/>
      <c r="K134" s="536"/>
    </row>
    <row r="135" ht="15.75" customHeight="1">
      <c r="A135" s="16"/>
      <c r="C135" s="536"/>
      <c r="E135" s="536"/>
      <c r="G135" s="536"/>
      <c r="I135" s="536"/>
      <c r="K135" s="536"/>
    </row>
    <row r="136" ht="15.75" customHeight="1">
      <c r="A136" s="16"/>
      <c r="C136" s="536"/>
      <c r="E136" s="536"/>
      <c r="G136" s="536"/>
      <c r="I136" s="536"/>
      <c r="K136" s="536"/>
    </row>
    <row r="137" ht="15.75" customHeight="1">
      <c r="A137" s="16"/>
      <c r="C137" s="536"/>
      <c r="E137" s="536"/>
      <c r="G137" s="536"/>
      <c r="I137" s="536"/>
      <c r="K137" s="536"/>
    </row>
    <row r="138" ht="15.75" customHeight="1">
      <c r="A138" s="16"/>
      <c r="C138" s="536"/>
      <c r="E138" s="536"/>
      <c r="G138" s="536"/>
      <c r="I138" s="536"/>
      <c r="K138" s="536"/>
    </row>
    <row r="139" ht="15.75" customHeight="1">
      <c r="A139" s="16"/>
      <c r="C139" s="536"/>
      <c r="E139" s="536"/>
      <c r="G139" s="536"/>
      <c r="I139" s="536"/>
      <c r="K139" s="536"/>
    </row>
    <row r="140" ht="15.75" customHeight="1">
      <c r="A140" s="16"/>
      <c r="C140" s="536"/>
      <c r="E140" s="536"/>
      <c r="G140" s="536"/>
      <c r="I140" s="536"/>
      <c r="K140" s="536"/>
    </row>
    <row r="141" ht="15.75" customHeight="1">
      <c r="A141" s="16"/>
      <c r="C141" s="536"/>
      <c r="E141" s="536"/>
      <c r="G141" s="536"/>
      <c r="I141" s="536"/>
      <c r="K141" s="536"/>
    </row>
    <row r="142" ht="15.75" customHeight="1">
      <c r="A142" s="16"/>
      <c r="C142" s="536"/>
      <c r="E142" s="536"/>
      <c r="G142" s="536"/>
      <c r="I142" s="536"/>
      <c r="K142" s="536"/>
    </row>
    <row r="143" ht="15.75" customHeight="1">
      <c r="A143" s="16"/>
      <c r="C143" s="536"/>
      <c r="E143" s="536"/>
      <c r="G143" s="536"/>
      <c r="I143" s="536"/>
      <c r="K143" s="536"/>
    </row>
    <row r="144" ht="15.75" customHeight="1">
      <c r="A144" s="16"/>
      <c r="C144" s="536"/>
      <c r="E144" s="536"/>
      <c r="G144" s="536"/>
      <c r="I144" s="536"/>
      <c r="K144" s="536"/>
    </row>
    <row r="145" ht="15.75" customHeight="1">
      <c r="A145" s="16"/>
      <c r="C145" s="536"/>
      <c r="E145" s="536"/>
      <c r="G145" s="536"/>
      <c r="I145" s="536"/>
      <c r="K145" s="536"/>
    </row>
    <row r="146" ht="15.75" customHeight="1">
      <c r="A146" s="16"/>
      <c r="C146" s="536"/>
      <c r="E146" s="536"/>
      <c r="G146" s="536"/>
      <c r="I146" s="536"/>
      <c r="K146" s="536"/>
    </row>
    <row r="147" ht="15.75" customHeight="1">
      <c r="A147" s="16"/>
      <c r="C147" s="536"/>
      <c r="E147" s="536"/>
      <c r="G147" s="536"/>
      <c r="I147" s="536"/>
      <c r="K147" s="536"/>
    </row>
    <row r="148" ht="15.75" customHeight="1">
      <c r="A148" s="16"/>
      <c r="C148" s="536"/>
      <c r="E148" s="536"/>
      <c r="G148" s="536"/>
      <c r="I148" s="536"/>
      <c r="K148" s="536"/>
    </row>
    <row r="149" ht="15.75" customHeight="1">
      <c r="A149" s="16"/>
      <c r="C149" s="536"/>
      <c r="E149" s="536"/>
      <c r="G149" s="536"/>
      <c r="I149" s="536"/>
      <c r="K149" s="536"/>
    </row>
    <row r="150" ht="15.75" customHeight="1">
      <c r="A150" s="16"/>
      <c r="C150" s="536"/>
      <c r="E150" s="536"/>
      <c r="G150" s="536"/>
      <c r="I150" s="536"/>
      <c r="K150" s="536"/>
    </row>
    <row r="151" ht="15.75" customHeight="1">
      <c r="A151" s="16"/>
      <c r="C151" s="536"/>
      <c r="E151" s="536"/>
      <c r="G151" s="536"/>
      <c r="I151" s="536"/>
      <c r="K151" s="536"/>
    </row>
    <row r="152" ht="15.75" customHeight="1">
      <c r="A152" s="16"/>
      <c r="C152" s="536"/>
      <c r="E152" s="536"/>
      <c r="G152" s="536"/>
      <c r="I152" s="536"/>
      <c r="K152" s="536"/>
    </row>
    <row r="153" ht="15.75" customHeight="1">
      <c r="A153" s="16"/>
      <c r="C153" s="536"/>
      <c r="E153" s="536"/>
      <c r="G153" s="536"/>
      <c r="I153" s="536"/>
      <c r="K153" s="536"/>
    </row>
    <row r="154" ht="15.75" customHeight="1">
      <c r="A154" s="16"/>
      <c r="C154" s="536"/>
      <c r="E154" s="536"/>
      <c r="G154" s="536"/>
      <c r="I154" s="536"/>
      <c r="K154" s="536"/>
    </row>
    <row r="155" ht="15.75" customHeight="1">
      <c r="A155" s="16"/>
      <c r="C155" s="536"/>
      <c r="E155" s="536"/>
      <c r="G155" s="536"/>
      <c r="I155" s="536"/>
      <c r="K155" s="536"/>
    </row>
    <row r="156" ht="15.75" customHeight="1">
      <c r="A156" s="16"/>
      <c r="C156" s="536"/>
      <c r="E156" s="536"/>
      <c r="G156" s="536"/>
      <c r="I156" s="536"/>
      <c r="K156" s="536"/>
    </row>
    <row r="157" ht="15.75" customHeight="1">
      <c r="A157" s="16"/>
      <c r="C157" s="536"/>
      <c r="E157" s="536"/>
      <c r="G157" s="536"/>
      <c r="I157" s="536"/>
      <c r="K157" s="536"/>
    </row>
    <row r="158" ht="15.75" customHeight="1">
      <c r="A158" s="16"/>
      <c r="C158" s="536"/>
      <c r="E158" s="536"/>
      <c r="G158" s="536"/>
      <c r="I158" s="536"/>
      <c r="K158" s="536"/>
    </row>
    <row r="159" ht="15.75" customHeight="1">
      <c r="A159" s="16"/>
      <c r="C159" s="536"/>
      <c r="E159" s="536"/>
      <c r="G159" s="536"/>
      <c r="I159" s="536"/>
      <c r="K159" s="536"/>
    </row>
    <row r="160" ht="15.75" customHeight="1">
      <c r="A160" s="16"/>
      <c r="C160" s="536"/>
      <c r="E160" s="536"/>
      <c r="G160" s="536"/>
      <c r="I160" s="536"/>
      <c r="K160" s="536"/>
    </row>
    <row r="161" ht="15.75" customHeight="1">
      <c r="A161" s="16"/>
      <c r="C161" s="536"/>
      <c r="E161" s="536"/>
      <c r="G161" s="536"/>
      <c r="I161" s="536"/>
      <c r="K161" s="536"/>
    </row>
    <row r="162" ht="15.75" customHeight="1">
      <c r="A162" s="16"/>
      <c r="C162" s="536"/>
      <c r="E162" s="536"/>
      <c r="G162" s="536"/>
      <c r="I162" s="536"/>
      <c r="K162" s="536"/>
    </row>
    <row r="163" ht="15.75" customHeight="1">
      <c r="A163" s="16"/>
      <c r="C163" s="536"/>
      <c r="E163" s="536"/>
      <c r="G163" s="536"/>
      <c r="I163" s="536"/>
      <c r="K163" s="536"/>
    </row>
    <row r="164" ht="15.75" customHeight="1">
      <c r="A164" s="16"/>
      <c r="C164" s="536"/>
      <c r="E164" s="536"/>
      <c r="G164" s="536"/>
      <c r="I164" s="536"/>
      <c r="K164" s="536"/>
    </row>
    <row r="165" ht="15.75" customHeight="1">
      <c r="A165" s="16"/>
      <c r="C165" s="536"/>
      <c r="E165" s="536"/>
      <c r="G165" s="536"/>
      <c r="I165" s="536"/>
      <c r="K165" s="536"/>
    </row>
    <row r="166" ht="15.75" customHeight="1">
      <c r="A166" s="16"/>
      <c r="C166" s="536"/>
      <c r="E166" s="536"/>
      <c r="G166" s="536"/>
      <c r="I166" s="536"/>
      <c r="K166" s="536"/>
    </row>
    <row r="167" ht="15.75" customHeight="1">
      <c r="A167" s="16"/>
      <c r="C167" s="536"/>
      <c r="E167" s="536"/>
      <c r="G167" s="536"/>
      <c r="I167" s="536"/>
      <c r="K167" s="536"/>
    </row>
    <row r="168" ht="15.75" customHeight="1">
      <c r="A168" s="16"/>
      <c r="C168" s="536"/>
      <c r="E168" s="536"/>
      <c r="G168" s="536"/>
      <c r="I168" s="536"/>
      <c r="K168" s="536"/>
    </row>
    <row r="169" ht="15.75" customHeight="1">
      <c r="A169" s="16"/>
      <c r="C169" s="536"/>
      <c r="E169" s="536"/>
      <c r="G169" s="536"/>
      <c r="I169" s="536"/>
      <c r="K169" s="536"/>
    </row>
    <row r="170" ht="15.75" customHeight="1">
      <c r="A170" s="16"/>
      <c r="C170" s="536"/>
      <c r="E170" s="536"/>
      <c r="G170" s="536"/>
      <c r="I170" s="536"/>
      <c r="K170" s="536"/>
    </row>
    <row r="171" ht="15.75" customHeight="1">
      <c r="A171" s="16"/>
      <c r="C171" s="536"/>
      <c r="E171" s="536"/>
      <c r="G171" s="536"/>
      <c r="I171" s="536"/>
      <c r="K171" s="536"/>
    </row>
    <row r="172" ht="15.75" customHeight="1">
      <c r="A172" s="16"/>
      <c r="C172" s="536"/>
      <c r="E172" s="536"/>
      <c r="G172" s="536"/>
      <c r="I172" s="536"/>
      <c r="K172" s="536"/>
    </row>
    <row r="173" ht="15.75" customHeight="1">
      <c r="A173" s="16"/>
      <c r="C173" s="536"/>
      <c r="E173" s="536"/>
      <c r="G173" s="536"/>
      <c r="I173" s="536"/>
      <c r="K173" s="536"/>
    </row>
    <row r="174" ht="15.75" customHeight="1">
      <c r="A174" s="16"/>
      <c r="C174" s="536"/>
      <c r="E174" s="536"/>
      <c r="G174" s="536"/>
      <c r="I174" s="536"/>
      <c r="K174" s="536"/>
    </row>
    <row r="175" ht="15.75" customHeight="1">
      <c r="A175" s="16"/>
      <c r="C175" s="536"/>
      <c r="E175" s="536"/>
      <c r="G175" s="536"/>
      <c r="I175" s="536"/>
      <c r="K175" s="536"/>
    </row>
    <row r="176" ht="15.75" customHeight="1">
      <c r="A176" s="16"/>
      <c r="C176" s="536"/>
      <c r="E176" s="536"/>
      <c r="G176" s="536"/>
      <c r="I176" s="536"/>
      <c r="K176" s="536"/>
    </row>
    <row r="177" ht="15.75" customHeight="1">
      <c r="A177" s="16"/>
      <c r="C177" s="536"/>
      <c r="E177" s="536"/>
      <c r="G177" s="536"/>
      <c r="I177" s="536"/>
      <c r="K177" s="536"/>
    </row>
    <row r="178" ht="15.75" customHeight="1">
      <c r="A178" s="16"/>
      <c r="C178" s="536"/>
      <c r="E178" s="536"/>
      <c r="G178" s="536"/>
      <c r="I178" s="536"/>
      <c r="K178" s="536"/>
    </row>
    <row r="179" ht="15.75" customHeight="1">
      <c r="A179" s="16"/>
      <c r="C179" s="536"/>
      <c r="E179" s="536"/>
      <c r="G179" s="536"/>
      <c r="I179" s="536"/>
      <c r="K179" s="536"/>
    </row>
    <row r="180" ht="15.75" customHeight="1">
      <c r="A180" s="16"/>
      <c r="C180" s="536"/>
      <c r="E180" s="536"/>
      <c r="G180" s="536"/>
      <c r="I180" s="536"/>
      <c r="K180" s="536"/>
    </row>
    <row r="181" ht="15.75" customHeight="1">
      <c r="A181" s="16"/>
      <c r="C181" s="536"/>
      <c r="E181" s="536"/>
      <c r="G181" s="536"/>
      <c r="I181" s="536"/>
      <c r="K181" s="536"/>
    </row>
    <row r="182" ht="15.75" customHeight="1">
      <c r="A182" s="16"/>
      <c r="C182" s="536"/>
      <c r="E182" s="536"/>
      <c r="G182" s="536"/>
      <c r="I182" s="536"/>
      <c r="K182" s="536"/>
    </row>
    <row r="183" ht="15.75" customHeight="1">
      <c r="A183" s="16"/>
      <c r="C183" s="536"/>
      <c r="E183" s="536"/>
      <c r="G183" s="536"/>
      <c r="I183" s="536"/>
      <c r="K183" s="536"/>
    </row>
    <row r="184" ht="15.75" customHeight="1">
      <c r="A184" s="16"/>
      <c r="C184" s="536"/>
      <c r="E184" s="536"/>
      <c r="G184" s="536"/>
      <c r="I184" s="536"/>
      <c r="K184" s="536"/>
    </row>
    <row r="185" ht="15.75" customHeight="1">
      <c r="A185" s="16"/>
      <c r="C185" s="536"/>
      <c r="E185" s="536"/>
      <c r="G185" s="536"/>
      <c r="I185" s="536"/>
      <c r="K185" s="536"/>
    </row>
    <row r="186" ht="15.75" customHeight="1">
      <c r="A186" s="16"/>
      <c r="C186" s="536"/>
      <c r="E186" s="536"/>
      <c r="G186" s="536"/>
      <c r="I186" s="536"/>
      <c r="K186" s="536"/>
    </row>
    <row r="187" ht="15.75" customHeight="1">
      <c r="A187" s="16"/>
      <c r="C187" s="536"/>
      <c r="E187" s="536"/>
      <c r="G187" s="536"/>
      <c r="I187" s="536"/>
      <c r="K187" s="536"/>
    </row>
    <row r="188" ht="15.75" customHeight="1">
      <c r="A188" s="16"/>
      <c r="C188" s="536"/>
      <c r="E188" s="536"/>
      <c r="G188" s="536"/>
      <c r="I188" s="536"/>
      <c r="K188" s="536"/>
    </row>
    <row r="189" ht="15.75" customHeight="1">
      <c r="A189" s="16"/>
      <c r="C189" s="536"/>
      <c r="E189" s="536"/>
      <c r="G189" s="536"/>
      <c r="I189" s="536"/>
      <c r="K189" s="536"/>
    </row>
    <row r="190" ht="15.75" customHeight="1">
      <c r="A190" s="16"/>
      <c r="C190" s="536"/>
      <c r="E190" s="536"/>
      <c r="G190" s="536"/>
      <c r="I190" s="536"/>
      <c r="K190" s="536"/>
    </row>
    <row r="191" ht="15.75" customHeight="1">
      <c r="A191" s="16"/>
      <c r="C191" s="536"/>
      <c r="E191" s="536"/>
      <c r="G191" s="536"/>
      <c r="I191" s="536"/>
      <c r="K191" s="536"/>
    </row>
    <row r="192" ht="15.75" customHeight="1">
      <c r="A192" s="16"/>
      <c r="C192" s="536"/>
      <c r="E192" s="536"/>
      <c r="G192" s="536"/>
      <c r="I192" s="536"/>
      <c r="K192" s="536"/>
    </row>
    <row r="193" ht="15.75" customHeight="1">
      <c r="A193" s="16"/>
      <c r="C193" s="536"/>
      <c r="E193" s="536"/>
      <c r="G193" s="536"/>
      <c r="I193" s="536"/>
      <c r="K193" s="536"/>
    </row>
    <row r="194" ht="15.75" customHeight="1">
      <c r="A194" s="16"/>
      <c r="C194" s="536"/>
      <c r="E194" s="536"/>
      <c r="G194" s="536"/>
      <c r="I194" s="536"/>
      <c r="K194" s="536"/>
    </row>
    <row r="195" ht="15.75" customHeight="1">
      <c r="A195" s="16"/>
      <c r="C195" s="536"/>
      <c r="E195" s="536"/>
      <c r="G195" s="536"/>
      <c r="I195" s="536"/>
      <c r="K195" s="536"/>
    </row>
    <row r="196" ht="15.75" customHeight="1">
      <c r="A196" s="16"/>
      <c r="C196" s="536"/>
      <c r="E196" s="536"/>
      <c r="G196" s="536"/>
      <c r="I196" s="536"/>
      <c r="K196" s="536"/>
    </row>
    <row r="197" ht="15.75" customHeight="1">
      <c r="A197" s="16"/>
      <c r="C197" s="536"/>
      <c r="E197" s="536"/>
      <c r="G197" s="536"/>
      <c r="I197" s="536"/>
      <c r="K197" s="536"/>
    </row>
    <row r="198" ht="15.75" customHeight="1">
      <c r="A198" s="16"/>
      <c r="C198" s="536"/>
      <c r="E198" s="536"/>
      <c r="G198" s="536"/>
      <c r="I198" s="536"/>
      <c r="K198" s="536"/>
    </row>
    <row r="199" ht="15.75" customHeight="1">
      <c r="A199" s="16"/>
      <c r="C199" s="536"/>
      <c r="E199" s="536"/>
      <c r="G199" s="536"/>
      <c r="I199" s="536"/>
      <c r="K199" s="536"/>
    </row>
    <row r="200" ht="15.75" customHeight="1">
      <c r="A200" s="16"/>
      <c r="C200" s="536"/>
      <c r="E200" s="536"/>
      <c r="G200" s="536"/>
      <c r="I200" s="536"/>
      <c r="K200" s="536"/>
    </row>
    <row r="201" ht="15.75" customHeight="1">
      <c r="A201" s="16"/>
      <c r="C201" s="536"/>
      <c r="E201" s="536"/>
      <c r="G201" s="536"/>
      <c r="I201" s="536"/>
      <c r="K201" s="536"/>
    </row>
    <row r="202" ht="15.75" customHeight="1">
      <c r="A202" s="16"/>
      <c r="C202" s="536"/>
      <c r="E202" s="536"/>
      <c r="G202" s="536"/>
      <c r="I202" s="536"/>
      <c r="K202" s="536"/>
    </row>
    <row r="203" ht="15.75" customHeight="1">
      <c r="A203" s="16"/>
      <c r="C203" s="536"/>
      <c r="E203" s="536"/>
      <c r="G203" s="536"/>
      <c r="I203" s="536"/>
      <c r="K203" s="536"/>
    </row>
    <row r="204" ht="15.75" customHeight="1">
      <c r="A204" s="16"/>
      <c r="C204" s="536"/>
      <c r="E204" s="536"/>
      <c r="G204" s="536"/>
      <c r="I204" s="536"/>
      <c r="K204" s="536"/>
    </row>
    <row r="205" ht="15.75" customHeight="1">
      <c r="A205" s="16"/>
      <c r="C205" s="536"/>
      <c r="E205" s="536"/>
      <c r="G205" s="536"/>
      <c r="I205" s="536"/>
      <c r="K205" s="536"/>
    </row>
    <row r="206" ht="15.75" customHeight="1">
      <c r="A206" s="16"/>
      <c r="C206" s="536"/>
      <c r="E206" s="536"/>
      <c r="G206" s="536"/>
      <c r="I206" s="536"/>
      <c r="K206" s="536"/>
    </row>
    <row r="207" ht="15.75" customHeight="1">
      <c r="A207" s="16"/>
      <c r="C207" s="536"/>
      <c r="E207" s="536"/>
      <c r="G207" s="536"/>
      <c r="I207" s="536"/>
      <c r="K207" s="536"/>
    </row>
    <row r="208" ht="15.75" customHeight="1">
      <c r="A208" s="16"/>
      <c r="C208" s="536"/>
      <c r="E208" s="536"/>
      <c r="G208" s="536"/>
      <c r="I208" s="536"/>
      <c r="K208" s="536"/>
    </row>
    <row r="209" ht="15.75" customHeight="1">
      <c r="A209" s="16"/>
      <c r="C209" s="536"/>
      <c r="E209" s="536"/>
      <c r="G209" s="536"/>
      <c r="I209" s="536"/>
      <c r="K209" s="536"/>
    </row>
    <row r="210" ht="15.75" customHeight="1">
      <c r="A210" s="16"/>
      <c r="C210" s="536"/>
      <c r="E210" s="536"/>
      <c r="G210" s="536"/>
      <c r="I210" s="536"/>
      <c r="K210" s="536"/>
    </row>
    <row r="211" ht="15.75" customHeight="1">
      <c r="A211" s="16"/>
      <c r="C211" s="536"/>
      <c r="E211" s="536"/>
      <c r="G211" s="536"/>
      <c r="I211" s="536"/>
      <c r="K211" s="536"/>
    </row>
    <row r="212" ht="15.75" customHeight="1">
      <c r="A212" s="16"/>
      <c r="C212" s="536"/>
      <c r="E212" s="536"/>
      <c r="G212" s="536"/>
      <c r="I212" s="536"/>
      <c r="K212" s="536"/>
    </row>
    <row r="213" ht="15.75" customHeight="1">
      <c r="A213" s="16"/>
      <c r="C213" s="536"/>
      <c r="E213" s="536"/>
      <c r="G213" s="536"/>
      <c r="I213" s="536"/>
      <c r="K213" s="536"/>
    </row>
    <row r="214" ht="15.75" customHeight="1">
      <c r="A214" s="16"/>
      <c r="C214" s="536"/>
      <c r="E214" s="536"/>
      <c r="G214" s="536"/>
      <c r="I214" s="536"/>
      <c r="K214" s="536"/>
    </row>
    <row r="215" ht="15.75" customHeight="1">
      <c r="A215" s="16"/>
      <c r="C215" s="536"/>
      <c r="E215" s="536"/>
      <c r="G215" s="536"/>
      <c r="I215" s="536"/>
      <c r="K215" s="536"/>
    </row>
    <row r="216" ht="15.75" customHeight="1">
      <c r="A216" s="16"/>
      <c r="C216" s="536"/>
      <c r="E216" s="536"/>
      <c r="G216" s="536"/>
      <c r="I216" s="536"/>
      <c r="K216" s="536"/>
    </row>
    <row r="217" ht="15.75" customHeight="1">
      <c r="A217" s="16"/>
      <c r="C217" s="536"/>
      <c r="E217" s="536"/>
      <c r="G217" s="536"/>
      <c r="I217" s="536"/>
      <c r="K217" s="536"/>
    </row>
    <row r="218" ht="15.75" customHeight="1">
      <c r="A218" s="16"/>
      <c r="C218" s="536"/>
      <c r="E218" s="536"/>
      <c r="G218" s="536"/>
      <c r="I218" s="536"/>
      <c r="K218" s="536"/>
    </row>
    <row r="219" ht="15.75" customHeight="1">
      <c r="A219" s="16"/>
      <c r="C219" s="536"/>
      <c r="E219" s="536"/>
      <c r="G219" s="536"/>
      <c r="I219" s="536"/>
      <c r="K219" s="536"/>
    </row>
    <row r="220" ht="15.75" customHeight="1">
      <c r="A220" s="16"/>
      <c r="C220" s="536"/>
      <c r="E220" s="536"/>
      <c r="G220" s="536"/>
      <c r="I220" s="536"/>
      <c r="K220" s="536"/>
    </row>
    <row r="221" ht="15.75" customHeight="1">
      <c r="A221" s="16"/>
      <c r="C221" s="536"/>
      <c r="E221" s="536"/>
      <c r="G221" s="536"/>
      <c r="I221" s="536"/>
      <c r="K221" s="536"/>
    </row>
    <row r="222" ht="15.75" customHeight="1">
      <c r="A222" s="16"/>
      <c r="C222" s="536"/>
      <c r="E222" s="536"/>
      <c r="G222" s="536"/>
      <c r="I222" s="536"/>
      <c r="K222" s="536"/>
    </row>
    <row r="223" ht="15.75" customHeight="1">
      <c r="A223" s="16"/>
      <c r="C223" s="536"/>
      <c r="E223" s="536"/>
      <c r="G223" s="536"/>
      <c r="I223" s="536"/>
      <c r="K223" s="536"/>
    </row>
    <row r="224" ht="15.75" customHeight="1">
      <c r="A224" s="16"/>
      <c r="C224" s="536"/>
      <c r="E224" s="536"/>
      <c r="G224" s="536"/>
      <c r="I224" s="536"/>
      <c r="K224" s="536"/>
    </row>
    <row r="225" ht="15.75" customHeight="1">
      <c r="A225" s="16"/>
      <c r="C225" s="536"/>
      <c r="E225" s="536"/>
      <c r="G225" s="536"/>
      <c r="I225" s="536"/>
      <c r="K225" s="536"/>
    </row>
    <row r="226" ht="15.75" customHeight="1">
      <c r="A226" s="16"/>
      <c r="C226" s="536"/>
      <c r="E226" s="536"/>
      <c r="G226" s="536"/>
      <c r="I226" s="536"/>
      <c r="K226" s="536"/>
    </row>
    <row r="227" ht="15.75" customHeight="1">
      <c r="A227" s="16"/>
      <c r="C227" s="536"/>
      <c r="E227" s="536"/>
      <c r="G227" s="536"/>
      <c r="I227" s="536"/>
      <c r="K227" s="536"/>
    </row>
    <row r="228" ht="15.75" customHeight="1">
      <c r="A228" s="16"/>
      <c r="C228" s="536"/>
      <c r="E228" s="536"/>
      <c r="G228" s="536"/>
      <c r="I228" s="536"/>
      <c r="K228" s="536"/>
    </row>
    <row r="229" ht="15.75" customHeight="1">
      <c r="A229" s="16"/>
      <c r="C229" s="536"/>
      <c r="E229" s="536"/>
      <c r="G229" s="536"/>
      <c r="I229" s="536"/>
      <c r="K229" s="536"/>
    </row>
    <row r="230" ht="15.75" customHeight="1">
      <c r="A230" s="16"/>
      <c r="C230" s="536"/>
      <c r="E230" s="536"/>
      <c r="G230" s="536"/>
      <c r="I230" s="536"/>
      <c r="K230" s="536"/>
    </row>
    <row r="231" ht="15.75" customHeight="1">
      <c r="A231" s="16"/>
      <c r="C231" s="536"/>
      <c r="E231" s="536"/>
      <c r="G231" s="536"/>
      <c r="I231" s="536"/>
      <c r="K231" s="536"/>
    </row>
    <row r="232" ht="15.75" customHeight="1">
      <c r="A232" s="16"/>
      <c r="C232" s="536"/>
      <c r="E232" s="536"/>
      <c r="G232" s="536"/>
      <c r="I232" s="536"/>
      <c r="K232" s="536"/>
    </row>
    <row r="233" ht="15.75" customHeight="1">
      <c r="A233" s="16"/>
      <c r="C233" s="536"/>
      <c r="E233" s="536"/>
      <c r="G233" s="536"/>
      <c r="I233" s="536"/>
      <c r="K233" s="536"/>
    </row>
    <row r="234" ht="15.75" customHeight="1">
      <c r="A234" s="16"/>
      <c r="C234" s="536"/>
      <c r="E234" s="536"/>
      <c r="G234" s="536"/>
      <c r="I234" s="536"/>
      <c r="K234" s="536"/>
    </row>
    <row r="235" ht="15.75" customHeight="1">
      <c r="A235" s="16"/>
      <c r="C235" s="536"/>
      <c r="E235" s="536"/>
      <c r="G235" s="536"/>
      <c r="I235" s="536"/>
      <c r="K235" s="536"/>
    </row>
    <row r="236" ht="15.75" customHeight="1">
      <c r="A236" s="16"/>
      <c r="C236" s="536"/>
      <c r="E236" s="536"/>
      <c r="G236" s="536"/>
      <c r="I236" s="536"/>
      <c r="K236" s="536"/>
    </row>
    <row r="237" ht="15.75" customHeight="1">
      <c r="A237" s="16"/>
      <c r="C237" s="536"/>
      <c r="E237" s="536"/>
      <c r="G237" s="536"/>
      <c r="I237" s="536"/>
      <c r="K237" s="536"/>
    </row>
    <row r="238" ht="15.75" customHeight="1">
      <c r="A238" s="16"/>
      <c r="C238" s="536"/>
      <c r="E238" s="536"/>
      <c r="G238" s="536"/>
      <c r="I238" s="536"/>
      <c r="K238" s="536"/>
    </row>
    <row r="239" ht="15.75" customHeight="1">
      <c r="A239" s="16"/>
      <c r="C239" s="536"/>
      <c r="E239" s="536"/>
      <c r="G239" s="536"/>
      <c r="I239" s="536"/>
      <c r="K239" s="536"/>
    </row>
    <row r="240" ht="15.75" customHeight="1">
      <c r="A240" s="16"/>
      <c r="C240" s="536"/>
      <c r="E240" s="536"/>
      <c r="G240" s="536"/>
      <c r="I240" s="536"/>
      <c r="K240" s="536"/>
    </row>
    <row r="241" ht="15.75" customHeight="1">
      <c r="A241" s="16"/>
      <c r="C241" s="536"/>
      <c r="E241" s="536"/>
      <c r="G241" s="536"/>
      <c r="I241" s="536"/>
      <c r="K241" s="536"/>
    </row>
    <row r="242" ht="15.75" customHeight="1">
      <c r="A242" s="16"/>
      <c r="C242" s="536"/>
      <c r="E242" s="536"/>
      <c r="G242" s="536"/>
      <c r="I242" s="536"/>
      <c r="K242" s="536"/>
    </row>
    <row r="243" ht="15.75" customHeight="1">
      <c r="A243" s="16"/>
      <c r="C243" s="536"/>
      <c r="E243" s="536"/>
      <c r="G243" s="536"/>
      <c r="I243" s="536"/>
      <c r="K243" s="536"/>
    </row>
    <row r="244" ht="15.75" customHeight="1">
      <c r="A244" s="16"/>
      <c r="C244" s="536"/>
      <c r="E244" s="536"/>
      <c r="G244" s="536"/>
      <c r="I244" s="536"/>
      <c r="K244" s="536"/>
    </row>
    <row r="245" ht="15.75" customHeight="1">
      <c r="A245" s="16"/>
      <c r="C245" s="536"/>
      <c r="E245" s="536"/>
      <c r="G245" s="536"/>
      <c r="I245" s="536"/>
      <c r="K245" s="536"/>
    </row>
    <row r="246" ht="15.75" customHeight="1">
      <c r="A246" s="16"/>
      <c r="C246" s="536"/>
      <c r="E246" s="536"/>
      <c r="G246" s="536"/>
      <c r="I246" s="536"/>
      <c r="K246" s="536"/>
    </row>
    <row r="247" ht="15.75" customHeight="1">
      <c r="A247" s="16"/>
      <c r="C247" s="536"/>
      <c r="E247" s="536"/>
      <c r="G247" s="536"/>
      <c r="I247" s="536"/>
      <c r="K247" s="536"/>
    </row>
    <row r="248" ht="15.75" customHeight="1">
      <c r="A248" s="16"/>
      <c r="C248" s="536"/>
      <c r="E248" s="536"/>
      <c r="G248" s="536"/>
      <c r="I248" s="536"/>
      <c r="K248" s="536"/>
    </row>
    <row r="249" ht="15.75" customHeight="1">
      <c r="A249" s="16"/>
      <c r="C249" s="536"/>
      <c r="E249" s="536"/>
      <c r="G249" s="536"/>
      <c r="I249" s="536"/>
      <c r="K249" s="536"/>
    </row>
    <row r="250" ht="15.75" customHeight="1">
      <c r="A250" s="16"/>
      <c r="C250" s="536"/>
      <c r="E250" s="536"/>
      <c r="G250" s="536"/>
      <c r="I250" s="536"/>
      <c r="K250" s="536"/>
    </row>
    <row r="251" ht="15.75" customHeight="1">
      <c r="A251" s="16"/>
      <c r="C251" s="536"/>
      <c r="E251" s="536"/>
      <c r="G251" s="536"/>
      <c r="I251" s="536"/>
      <c r="K251" s="536"/>
    </row>
    <row r="252" ht="15.75" customHeight="1">
      <c r="A252" s="16"/>
      <c r="C252" s="536"/>
      <c r="E252" s="536"/>
      <c r="G252" s="536"/>
      <c r="I252" s="536"/>
      <c r="K252" s="536"/>
    </row>
    <row r="253" ht="15.75" customHeight="1">
      <c r="A253" s="16"/>
      <c r="C253" s="536"/>
      <c r="E253" s="536"/>
      <c r="G253" s="536"/>
      <c r="I253" s="536"/>
      <c r="K253" s="536"/>
    </row>
    <row r="254" ht="15.75" customHeight="1">
      <c r="A254" s="16"/>
      <c r="C254" s="536"/>
      <c r="E254" s="536"/>
      <c r="G254" s="536"/>
      <c r="I254" s="536"/>
      <c r="K254" s="536"/>
    </row>
    <row r="255" ht="15.75" customHeight="1">
      <c r="A255" s="16"/>
      <c r="C255" s="536"/>
      <c r="E255" s="536"/>
      <c r="G255" s="536"/>
      <c r="I255" s="536"/>
      <c r="K255" s="536"/>
    </row>
    <row r="256" ht="15.75" customHeight="1">
      <c r="A256" s="16"/>
      <c r="C256" s="536"/>
      <c r="E256" s="536"/>
      <c r="G256" s="536"/>
      <c r="I256" s="536"/>
      <c r="K256" s="536"/>
    </row>
    <row r="257" ht="15.75" customHeight="1">
      <c r="A257" s="16"/>
      <c r="C257" s="536"/>
      <c r="E257" s="536"/>
      <c r="G257" s="536"/>
      <c r="I257" s="536"/>
      <c r="K257" s="536"/>
    </row>
    <row r="258" ht="15.75" customHeight="1">
      <c r="A258" s="16"/>
      <c r="C258" s="536"/>
      <c r="E258" s="536"/>
      <c r="G258" s="536"/>
      <c r="I258" s="536"/>
      <c r="K258" s="536"/>
    </row>
    <row r="259" ht="15.75" customHeight="1">
      <c r="A259" s="16"/>
      <c r="C259" s="536"/>
      <c r="E259" s="536"/>
      <c r="G259" s="536"/>
      <c r="I259" s="536"/>
      <c r="K259" s="536"/>
    </row>
    <row r="260" ht="15.75" customHeight="1">
      <c r="A260" s="16"/>
      <c r="C260" s="536"/>
      <c r="E260" s="536"/>
      <c r="G260" s="536"/>
      <c r="I260" s="536"/>
      <c r="K260" s="536"/>
    </row>
    <row r="261" ht="15.75" customHeight="1">
      <c r="A261" s="16"/>
      <c r="C261" s="536"/>
      <c r="E261" s="536"/>
      <c r="G261" s="536"/>
      <c r="I261" s="536"/>
      <c r="K261" s="536"/>
    </row>
    <row r="262" ht="15.75" customHeight="1">
      <c r="A262" s="16"/>
      <c r="C262" s="536"/>
      <c r="E262" s="536"/>
      <c r="G262" s="536"/>
      <c r="I262" s="536"/>
      <c r="K262" s="536"/>
    </row>
    <row r="263" ht="15.75" customHeight="1">
      <c r="A263" s="16"/>
      <c r="C263" s="536"/>
      <c r="E263" s="536"/>
      <c r="G263" s="536"/>
      <c r="I263" s="536"/>
      <c r="K263" s="536"/>
    </row>
    <row r="264" ht="15.75" customHeight="1">
      <c r="A264" s="16"/>
      <c r="C264" s="536"/>
      <c r="E264" s="536"/>
      <c r="G264" s="536"/>
      <c r="I264" s="536"/>
      <c r="K264" s="536"/>
    </row>
    <row r="265" ht="15.75" customHeight="1">
      <c r="A265" s="16"/>
      <c r="C265" s="536"/>
      <c r="E265" s="536"/>
      <c r="G265" s="536"/>
      <c r="I265" s="536"/>
      <c r="K265" s="536"/>
    </row>
    <row r="266" ht="15.75" customHeight="1">
      <c r="A266" s="16"/>
      <c r="C266" s="536"/>
      <c r="E266" s="536"/>
      <c r="G266" s="536"/>
      <c r="I266" s="536"/>
      <c r="K266" s="536"/>
    </row>
    <row r="267" ht="15.75" customHeight="1">
      <c r="A267" s="16"/>
      <c r="C267" s="536"/>
      <c r="E267" s="536"/>
      <c r="G267" s="536"/>
      <c r="I267" s="536"/>
      <c r="K267" s="536"/>
    </row>
    <row r="268" ht="15.75" customHeight="1">
      <c r="A268" s="16"/>
      <c r="C268" s="536"/>
      <c r="E268" s="536"/>
      <c r="G268" s="536"/>
      <c r="I268" s="536"/>
      <c r="K268" s="536"/>
    </row>
    <row r="269" ht="15.75" customHeight="1">
      <c r="A269" s="16"/>
      <c r="C269" s="536"/>
      <c r="E269" s="536"/>
      <c r="G269" s="536"/>
      <c r="I269" s="536"/>
      <c r="K269" s="536"/>
    </row>
    <row r="270" ht="15.75" customHeight="1">
      <c r="A270" s="16"/>
      <c r="C270" s="536"/>
      <c r="E270" s="536"/>
      <c r="G270" s="536"/>
      <c r="I270" s="536"/>
      <c r="K270" s="536"/>
    </row>
    <row r="271" ht="15.75" customHeight="1">
      <c r="A271" s="16"/>
      <c r="C271" s="536"/>
      <c r="E271" s="536"/>
      <c r="G271" s="536"/>
      <c r="I271" s="536"/>
      <c r="K271" s="536"/>
    </row>
    <row r="272" ht="15.75" customHeight="1">
      <c r="A272" s="16"/>
      <c r="C272" s="536"/>
      <c r="E272" s="536"/>
      <c r="G272" s="536"/>
      <c r="I272" s="536"/>
      <c r="K272" s="536"/>
    </row>
    <row r="273" ht="15.75" customHeight="1">
      <c r="A273" s="16"/>
      <c r="C273" s="536"/>
      <c r="E273" s="536"/>
      <c r="G273" s="536"/>
      <c r="I273" s="536"/>
      <c r="K273" s="536"/>
    </row>
    <row r="274" ht="15.75" customHeight="1">
      <c r="A274" s="16"/>
      <c r="C274" s="536"/>
      <c r="E274" s="536"/>
      <c r="G274" s="536"/>
      <c r="I274" s="536"/>
      <c r="K274" s="536"/>
    </row>
    <row r="275" ht="15.75" customHeight="1">
      <c r="A275" s="16"/>
      <c r="C275" s="536"/>
      <c r="E275" s="536"/>
      <c r="G275" s="536"/>
      <c r="I275" s="536"/>
      <c r="K275" s="536"/>
    </row>
    <row r="276" ht="15.75" customHeight="1">
      <c r="A276" s="16"/>
      <c r="C276" s="536"/>
      <c r="E276" s="536"/>
      <c r="G276" s="536"/>
      <c r="I276" s="536"/>
      <c r="K276" s="536"/>
    </row>
    <row r="277" ht="15.75" customHeight="1">
      <c r="A277" s="16"/>
      <c r="C277" s="536"/>
      <c r="E277" s="536"/>
      <c r="G277" s="536"/>
      <c r="I277" s="536"/>
      <c r="K277" s="536"/>
    </row>
    <row r="278" ht="15.75" customHeight="1">
      <c r="A278" s="16"/>
      <c r="C278" s="536"/>
      <c r="E278" s="536"/>
      <c r="G278" s="536"/>
      <c r="I278" s="536"/>
      <c r="K278" s="536"/>
    </row>
    <row r="279" ht="15.75" customHeight="1">
      <c r="A279" s="16"/>
      <c r="C279" s="536"/>
      <c r="E279" s="536"/>
      <c r="G279" s="536"/>
      <c r="I279" s="536"/>
      <c r="K279" s="536"/>
    </row>
    <row r="280" ht="15.75" customHeight="1">
      <c r="A280" s="16"/>
      <c r="C280" s="536"/>
      <c r="E280" s="536"/>
      <c r="G280" s="536"/>
      <c r="I280" s="536"/>
      <c r="K280" s="536"/>
    </row>
    <row r="281" ht="15.75" customHeight="1">
      <c r="A281" s="16"/>
      <c r="C281" s="536"/>
      <c r="E281" s="536"/>
      <c r="G281" s="536"/>
      <c r="I281" s="536"/>
      <c r="K281" s="536"/>
    </row>
    <row r="282" ht="15.75" customHeight="1">
      <c r="A282" s="16"/>
      <c r="C282" s="536"/>
      <c r="E282" s="536"/>
      <c r="G282" s="536"/>
      <c r="I282" s="536"/>
      <c r="K282" s="536"/>
    </row>
    <row r="283" ht="15.75" customHeight="1">
      <c r="A283" s="16"/>
      <c r="C283" s="536"/>
      <c r="E283" s="536"/>
      <c r="G283" s="536"/>
      <c r="I283" s="536"/>
      <c r="K283" s="536"/>
    </row>
    <row r="284" ht="15.75" customHeight="1">
      <c r="A284" s="16"/>
      <c r="C284" s="536"/>
      <c r="E284" s="536"/>
      <c r="G284" s="536"/>
      <c r="I284" s="536"/>
      <c r="K284" s="536"/>
    </row>
    <row r="285" ht="15.75" customHeight="1">
      <c r="A285" s="16"/>
      <c r="C285" s="536"/>
      <c r="E285" s="536"/>
      <c r="G285" s="536"/>
      <c r="I285" s="536"/>
      <c r="K285" s="536"/>
    </row>
    <row r="286" ht="15.75" customHeight="1">
      <c r="A286" s="16"/>
      <c r="C286" s="536"/>
      <c r="E286" s="536"/>
      <c r="G286" s="536"/>
      <c r="I286" s="536"/>
      <c r="K286" s="536"/>
    </row>
    <row r="287" ht="15.75" customHeight="1">
      <c r="A287" s="16"/>
      <c r="C287" s="536"/>
      <c r="E287" s="536"/>
      <c r="G287" s="536"/>
      <c r="I287" s="536"/>
      <c r="K287" s="536"/>
    </row>
    <row r="288" ht="15.75" customHeight="1">
      <c r="A288" s="16"/>
      <c r="C288" s="536"/>
      <c r="E288" s="536"/>
      <c r="G288" s="536"/>
      <c r="I288" s="536"/>
      <c r="K288" s="536"/>
    </row>
    <row r="289" ht="15.75" customHeight="1">
      <c r="A289" s="16"/>
      <c r="C289" s="536"/>
      <c r="E289" s="536"/>
      <c r="G289" s="536"/>
      <c r="I289" s="536"/>
      <c r="K289" s="536"/>
    </row>
    <row r="290" ht="15.75" customHeight="1">
      <c r="A290" s="16"/>
      <c r="C290" s="536"/>
      <c r="E290" s="536"/>
      <c r="G290" s="536"/>
      <c r="I290" s="536"/>
      <c r="K290" s="536"/>
    </row>
    <row r="291" ht="15.75" customHeight="1">
      <c r="A291" s="16"/>
      <c r="C291" s="536"/>
      <c r="E291" s="536"/>
      <c r="G291" s="536"/>
      <c r="I291" s="536"/>
      <c r="K291" s="536"/>
    </row>
    <row r="292" ht="15.75" customHeight="1">
      <c r="A292" s="16"/>
      <c r="C292" s="536"/>
      <c r="E292" s="536"/>
      <c r="G292" s="536"/>
      <c r="I292" s="536"/>
      <c r="K292" s="536"/>
    </row>
    <row r="293" ht="15.75" customHeight="1">
      <c r="A293" s="16"/>
      <c r="C293" s="536"/>
      <c r="E293" s="536"/>
      <c r="G293" s="536"/>
      <c r="I293" s="536"/>
      <c r="K293" s="536"/>
    </row>
    <row r="294" ht="15.75" customHeight="1">
      <c r="A294" s="16"/>
      <c r="C294" s="536"/>
      <c r="E294" s="536"/>
      <c r="G294" s="536"/>
      <c r="I294" s="536"/>
      <c r="K294" s="536"/>
    </row>
    <row r="295" ht="15.75" customHeight="1">
      <c r="A295" s="16"/>
      <c r="C295" s="536"/>
      <c r="E295" s="536"/>
      <c r="G295" s="536"/>
      <c r="I295" s="536"/>
      <c r="K295" s="536"/>
    </row>
    <row r="296" ht="15.75" customHeight="1">
      <c r="A296" s="16"/>
      <c r="C296" s="536"/>
      <c r="E296" s="536"/>
      <c r="G296" s="536"/>
      <c r="I296" s="536"/>
      <c r="K296" s="536"/>
    </row>
    <row r="297" ht="15.75" customHeight="1">
      <c r="A297" s="16"/>
      <c r="C297" s="536"/>
      <c r="E297" s="536"/>
      <c r="G297" s="536"/>
      <c r="I297" s="536"/>
      <c r="K297" s="536"/>
    </row>
    <row r="298" ht="15.75" customHeight="1">
      <c r="A298" s="16"/>
      <c r="C298" s="536"/>
      <c r="E298" s="536"/>
      <c r="G298" s="536"/>
      <c r="I298" s="536"/>
      <c r="K298" s="536"/>
    </row>
    <row r="299" ht="15.75" customHeight="1">
      <c r="A299" s="16"/>
      <c r="C299" s="536"/>
      <c r="E299" s="536"/>
      <c r="G299" s="536"/>
      <c r="I299" s="536"/>
      <c r="K299" s="536"/>
    </row>
    <row r="300" ht="15.75" customHeight="1">
      <c r="A300" s="16"/>
      <c r="C300" s="536"/>
      <c r="E300" s="536"/>
      <c r="G300" s="536"/>
      <c r="I300" s="536"/>
      <c r="K300" s="536"/>
    </row>
    <row r="301" ht="15.75" customHeight="1">
      <c r="A301" s="16"/>
      <c r="C301" s="536"/>
      <c r="E301" s="536"/>
      <c r="G301" s="536"/>
      <c r="I301" s="536"/>
      <c r="K301" s="536"/>
    </row>
    <row r="302" ht="15.75" customHeight="1">
      <c r="A302" s="16"/>
      <c r="C302" s="536"/>
      <c r="E302" s="536"/>
      <c r="G302" s="536"/>
      <c r="I302" s="536"/>
      <c r="K302" s="536"/>
    </row>
    <row r="303" ht="15.75" customHeight="1">
      <c r="A303" s="16"/>
      <c r="C303" s="536"/>
      <c r="E303" s="536"/>
      <c r="G303" s="536"/>
      <c r="I303" s="536"/>
      <c r="K303" s="536"/>
    </row>
    <row r="304" ht="15.75" customHeight="1">
      <c r="A304" s="16"/>
      <c r="C304" s="536"/>
      <c r="E304" s="536"/>
      <c r="G304" s="536"/>
      <c r="I304" s="536"/>
      <c r="K304" s="536"/>
    </row>
    <row r="305" ht="15.75" customHeight="1">
      <c r="A305" s="16"/>
      <c r="C305" s="536"/>
      <c r="E305" s="536"/>
      <c r="G305" s="536"/>
      <c r="I305" s="536"/>
      <c r="K305" s="536"/>
    </row>
    <row r="306" ht="15.75" customHeight="1">
      <c r="A306" s="16"/>
      <c r="C306" s="536"/>
      <c r="E306" s="536"/>
      <c r="G306" s="536"/>
      <c r="I306" s="536"/>
      <c r="K306" s="536"/>
    </row>
    <row r="307" ht="15.75" customHeight="1">
      <c r="A307" s="16"/>
      <c r="C307" s="536"/>
      <c r="E307" s="536"/>
      <c r="G307" s="536"/>
      <c r="I307" s="536"/>
      <c r="K307" s="536"/>
    </row>
    <row r="308" ht="15.75" customHeight="1">
      <c r="A308" s="16"/>
      <c r="C308" s="536"/>
      <c r="E308" s="536"/>
      <c r="G308" s="536"/>
      <c r="I308" s="536"/>
      <c r="K308" s="536"/>
    </row>
    <row r="309" ht="15.75" customHeight="1">
      <c r="A309" s="16"/>
      <c r="C309" s="536"/>
      <c r="E309" s="536"/>
      <c r="G309" s="536"/>
      <c r="I309" s="536"/>
      <c r="K309" s="536"/>
    </row>
    <row r="310" ht="15.75" customHeight="1">
      <c r="A310" s="16"/>
      <c r="C310" s="536"/>
      <c r="E310" s="536"/>
      <c r="G310" s="536"/>
      <c r="I310" s="536"/>
      <c r="K310" s="536"/>
    </row>
    <row r="311" ht="15.75" customHeight="1">
      <c r="A311" s="16"/>
      <c r="C311" s="536"/>
      <c r="E311" s="536"/>
      <c r="G311" s="536"/>
      <c r="I311" s="536"/>
      <c r="K311" s="536"/>
    </row>
    <row r="312" ht="15.75" customHeight="1">
      <c r="A312" s="16"/>
      <c r="C312" s="536"/>
      <c r="E312" s="536"/>
      <c r="G312" s="536"/>
      <c r="I312" s="536"/>
      <c r="K312" s="536"/>
    </row>
    <row r="313" ht="15.75" customHeight="1">
      <c r="A313" s="16"/>
      <c r="C313" s="536"/>
      <c r="E313" s="536"/>
      <c r="G313" s="536"/>
      <c r="I313" s="536"/>
      <c r="K313" s="536"/>
    </row>
    <row r="314" ht="15.75" customHeight="1">
      <c r="A314" s="16"/>
      <c r="C314" s="536"/>
      <c r="E314" s="536"/>
      <c r="G314" s="536"/>
      <c r="I314" s="536"/>
      <c r="K314" s="536"/>
    </row>
    <row r="315" ht="15.75" customHeight="1">
      <c r="A315" s="16"/>
      <c r="C315" s="536"/>
      <c r="E315" s="536"/>
      <c r="G315" s="536"/>
      <c r="I315" s="536"/>
      <c r="K315" s="536"/>
    </row>
    <row r="316" ht="15.75" customHeight="1">
      <c r="A316" s="16"/>
      <c r="C316" s="536"/>
      <c r="E316" s="536"/>
      <c r="G316" s="536"/>
      <c r="I316" s="536"/>
      <c r="K316" s="536"/>
    </row>
    <row r="317" ht="15.75" customHeight="1">
      <c r="A317" s="16"/>
      <c r="C317" s="536"/>
      <c r="E317" s="536"/>
      <c r="G317" s="536"/>
      <c r="I317" s="536"/>
      <c r="K317" s="536"/>
    </row>
    <row r="318" ht="15.75" customHeight="1">
      <c r="A318" s="16"/>
      <c r="C318" s="536"/>
      <c r="E318" s="536"/>
      <c r="G318" s="536"/>
      <c r="I318" s="536"/>
      <c r="K318" s="536"/>
    </row>
    <row r="319" ht="15.75" customHeight="1">
      <c r="A319" s="16"/>
      <c r="C319" s="536"/>
      <c r="E319" s="536"/>
      <c r="G319" s="536"/>
      <c r="I319" s="536"/>
      <c r="K319" s="536"/>
    </row>
    <row r="320" ht="15.75" customHeight="1">
      <c r="A320" s="16"/>
      <c r="C320" s="536"/>
      <c r="E320" s="536"/>
      <c r="G320" s="536"/>
      <c r="I320" s="536"/>
      <c r="K320" s="536"/>
    </row>
    <row r="321" ht="15.75" customHeight="1">
      <c r="A321" s="16"/>
      <c r="C321" s="536"/>
      <c r="E321" s="536"/>
      <c r="G321" s="536"/>
      <c r="I321" s="536"/>
      <c r="K321" s="536"/>
    </row>
    <row r="322" ht="15.75" customHeight="1">
      <c r="A322" s="16"/>
      <c r="C322" s="536"/>
      <c r="E322" s="536"/>
      <c r="G322" s="536"/>
      <c r="I322" s="536"/>
      <c r="K322" s="536"/>
    </row>
    <row r="323" ht="15.75" customHeight="1">
      <c r="A323" s="16"/>
      <c r="C323" s="536"/>
      <c r="E323" s="536"/>
      <c r="G323" s="536"/>
      <c r="I323" s="536"/>
      <c r="K323" s="536"/>
    </row>
    <row r="324" ht="15.75" customHeight="1">
      <c r="A324" s="16"/>
      <c r="C324" s="536"/>
      <c r="E324" s="536"/>
      <c r="G324" s="536"/>
      <c r="I324" s="536"/>
      <c r="K324" s="536"/>
    </row>
    <row r="325" ht="15.75" customHeight="1">
      <c r="A325" s="16"/>
      <c r="C325" s="536"/>
      <c r="E325" s="536"/>
      <c r="G325" s="536"/>
      <c r="I325" s="536"/>
      <c r="K325" s="536"/>
    </row>
    <row r="326" ht="15.75" customHeight="1">
      <c r="A326" s="16"/>
      <c r="C326" s="536"/>
      <c r="E326" s="536"/>
      <c r="G326" s="536"/>
      <c r="I326" s="536"/>
      <c r="K326" s="536"/>
    </row>
    <row r="327" ht="15.75" customHeight="1">
      <c r="A327" s="16"/>
      <c r="C327" s="536"/>
      <c r="E327" s="536"/>
      <c r="G327" s="536"/>
      <c r="I327" s="536"/>
      <c r="K327" s="536"/>
    </row>
    <row r="328" ht="15.75" customHeight="1">
      <c r="A328" s="16"/>
      <c r="C328" s="536"/>
      <c r="E328" s="536"/>
      <c r="G328" s="536"/>
      <c r="I328" s="536"/>
      <c r="K328" s="536"/>
    </row>
    <row r="329" ht="15.75" customHeight="1">
      <c r="A329" s="16"/>
      <c r="C329" s="536"/>
      <c r="E329" s="536"/>
      <c r="G329" s="536"/>
      <c r="I329" s="536"/>
      <c r="K329" s="536"/>
    </row>
    <row r="330" ht="15.75" customHeight="1">
      <c r="A330" s="16"/>
      <c r="C330" s="536"/>
      <c r="E330" s="536"/>
      <c r="G330" s="536"/>
      <c r="I330" s="536"/>
      <c r="K330" s="536"/>
    </row>
    <row r="331" ht="15.75" customHeight="1">
      <c r="A331" s="16"/>
      <c r="C331" s="536"/>
      <c r="E331" s="536"/>
      <c r="G331" s="536"/>
      <c r="I331" s="536"/>
      <c r="K331" s="536"/>
    </row>
    <row r="332" ht="15.75" customHeight="1">
      <c r="A332" s="16"/>
      <c r="C332" s="536"/>
      <c r="E332" s="536"/>
      <c r="G332" s="536"/>
      <c r="I332" s="536"/>
      <c r="K332" s="536"/>
    </row>
    <row r="333" ht="15.75" customHeight="1">
      <c r="A333" s="16"/>
      <c r="C333" s="536"/>
      <c r="E333" s="536"/>
      <c r="G333" s="536"/>
      <c r="I333" s="536"/>
      <c r="K333" s="536"/>
    </row>
    <row r="334" ht="15.75" customHeight="1">
      <c r="A334" s="16"/>
      <c r="C334" s="536"/>
      <c r="E334" s="536"/>
      <c r="G334" s="536"/>
      <c r="I334" s="536"/>
      <c r="K334" s="536"/>
    </row>
    <row r="335" ht="15.75" customHeight="1">
      <c r="A335" s="16"/>
      <c r="C335" s="536"/>
      <c r="E335" s="536"/>
      <c r="G335" s="536"/>
      <c r="I335" s="536"/>
      <c r="K335" s="536"/>
    </row>
    <row r="336" ht="15.75" customHeight="1">
      <c r="A336" s="16"/>
      <c r="C336" s="536"/>
      <c r="E336" s="536"/>
      <c r="G336" s="536"/>
      <c r="I336" s="536"/>
      <c r="K336" s="536"/>
    </row>
    <row r="337" ht="15.75" customHeight="1">
      <c r="A337" s="16"/>
      <c r="C337" s="536"/>
      <c r="E337" s="536"/>
      <c r="G337" s="536"/>
      <c r="I337" s="536"/>
      <c r="K337" s="536"/>
    </row>
    <row r="338" ht="15.75" customHeight="1">
      <c r="A338" s="16"/>
      <c r="C338" s="536"/>
      <c r="E338" s="536"/>
      <c r="G338" s="536"/>
      <c r="I338" s="536"/>
      <c r="K338" s="536"/>
    </row>
    <row r="339" ht="15.75" customHeight="1">
      <c r="A339" s="16"/>
      <c r="C339" s="536"/>
      <c r="E339" s="536"/>
      <c r="G339" s="536"/>
      <c r="I339" s="536"/>
      <c r="K339" s="536"/>
    </row>
    <row r="340" ht="15.75" customHeight="1">
      <c r="A340" s="16"/>
      <c r="C340" s="536"/>
      <c r="E340" s="536"/>
      <c r="G340" s="536"/>
      <c r="I340" s="536"/>
      <c r="K340" s="536"/>
    </row>
    <row r="341" ht="15.75" customHeight="1">
      <c r="A341" s="16"/>
      <c r="C341" s="536"/>
      <c r="E341" s="536"/>
      <c r="G341" s="536"/>
      <c r="I341" s="536"/>
      <c r="K341" s="536"/>
    </row>
    <row r="342" ht="15.75" customHeight="1">
      <c r="A342" s="16"/>
      <c r="C342" s="536"/>
      <c r="E342" s="536"/>
      <c r="G342" s="536"/>
      <c r="I342" s="536"/>
      <c r="K342" s="536"/>
    </row>
    <row r="343" ht="15.75" customHeight="1">
      <c r="A343" s="16"/>
      <c r="C343" s="536"/>
      <c r="E343" s="536"/>
      <c r="G343" s="536"/>
      <c r="I343" s="536"/>
      <c r="K343" s="536"/>
    </row>
    <row r="344" ht="15.75" customHeight="1">
      <c r="A344" s="16"/>
      <c r="C344" s="536"/>
      <c r="E344" s="536"/>
      <c r="G344" s="536"/>
      <c r="I344" s="536"/>
      <c r="K344" s="536"/>
    </row>
    <row r="345" ht="15.75" customHeight="1">
      <c r="A345" s="16"/>
      <c r="C345" s="536"/>
      <c r="E345" s="536"/>
      <c r="G345" s="536"/>
      <c r="I345" s="536"/>
      <c r="K345" s="536"/>
    </row>
    <row r="346" ht="15.75" customHeight="1">
      <c r="A346" s="16"/>
      <c r="C346" s="536"/>
      <c r="E346" s="536"/>
      <c r="G346" s="536"/>
      <c r="I346" s="536"/>
      <c r="K346" s="536"/>
    </row>
    <row r="347" ht="15.75" customHeight="1">
      <c r="A347" s="16"/>
      <c r="C347" s="536"/>
      <c r="E347" s="536"/>
      <c r="G347" s="536"/>
      <c r="I347" s="536"/>
      <c r="K347" s="536"/>
    </row>
    <row r="348" ht="15.75" customHeight="1">
      <c r="A348" s="16"/>
      <c r="C348" s="536"/>
      <c r="E348" s="536"/>
      <c r="G348" s="536"/>
      <c r="I348" s="536"/>
      <c r="K348" s="536"/>
    </row>
    <row r="349" ht="15.75" customHeight="1">
      <c r="A349" s="16"/>
      <c r="C349" s="536"/>
      <c r="E349" s="536"/>
      <c r="G349" s="536"/>
      <c r="I349" s="536"/>
      <c r="K349" s="536"/>
    </row>
    <row r="350" ht="15.75" customHeight="1">
      <c r="A350" s="16"/>
      <c r="C350" s="536"/>
      <c r="E350" s="536"/>
      <c r="G350" s="536"/>
      <c r="I350" s="536"/>
      <c r="K350" s="536"/>
    </row>
    <row r="351" ht="15.75" customHeight="1">
      <c r="A351" s="16"/>
      <c r="C351" s="536"/>
      <c r="E351" s="536"/>
      <c r="G351" s="536"/>
      <c r="I351" s="536"/>
      <c r="K351" s="536"/>
    </row>
    <row r="352" ht="15.75" customHeight="1">
      <c r="A352" s="16"/>
      <c r="C352" s="536"/>
      <c r="E352" s="536"/>
      <c r="G352" s="536"/>
      <c r="I352" s="536"/>
      <c r="K352" s="536"/>
    </row>
    <row r="353" ht="15.75" customHeight="1">
      <c r="A353" s="16"/>
      <c r="C353" s="536"/>
      <c r="E353" s="536"/>
      <c r="G353" s="536"/>
      <c r="I353" s="536"/>
      <c r="K353" s="536"/>
    </row>
    <row r="354" ht="15.75" customHeight="1">
      <c r="A354" s="16"/>
      <c r="C354" s="536"/>
      <c r="E354" s="536"/>
      <c r="G354" s="536"/>
      <c r="I354" s="536"/>
      <c r="K354" s="536"/>
    </row>
    <row r="355" ht="15.75" customHeight="1">
      <c r="A355" s="16"/>
      <c r="C355" s="536"/>
      <c r="E355" s="536"/>
      <c r="G355" s="536"/>
      <c r="I355" s="536"/>
      <c r="K355" s="536"/>
    </row>
    <row r="356" ht="15.75" customHeight="1">
      <c r="A356" s="16"/>
      <c r="C356" s="536"/>
      <c r="E356" s="536"/>
      <c r="G356" s="536"/>
      <c r="I356" s="536"/>
      <c r="K356" s="536"/>
    </row>
    <row r="357" ht="15.75" customHeight="1">
      <c r="A357" s="16"/>
      <c r="C357" s="536"/>
      <c r="E357" s="536"/>
      <c r="G357" s="536"/>
      <c r="I357" s="536"/>
      <c r="K357" s="536"/>
    </row>
    <row r="358" ht="15.75" customHeight="1">
      <c r="A358" s="16"/>
      <c r="C358" s="536"/>
      <c r="E358" s="536"/>
      <c r="G358" s="536"/>
      <c r="I358" s="536"/>
      <c r="K358" s="536"/>
    </row>
    <row r="359" ht="15.75" customHeight="1">
      <c r="A359" s="16"/>
      <c r="C359" s="536"/>
      <c r="E359" s="536"/>
      <c r="G359" s="536"/>
      <c r="I359" s="536"/>
      <c r="K359" s="536"/>
    </row>
    <row r="360" ht="15.75" customHeight="1">
      <c r="A360" s="16"/>
      <c r="C360" s="536"/>
      <c r="E360" s="536"/>
      <c r="G360" s="536"/>
      <c r="I360" s="536"/>
      <c r="K360" s="536"/>
    </row>
    <row r="361" ht="15.75" customHeight="1">
      <c r="A361" s="16"/>
      <c r="C361" s="536"/>
      <c r="E361" s="536"/>
      <c r="G361" s="536"/>
      <c r="I361" s="536"/>
      <c r="K361" s="536"/>
    </row>
    <row r="362" ht="15.75" customHeight="1">
      <c r="A362" s="16"/>
      <c r="C362" s="536"/>
      <c r="E362" s="536"/>
      <c r="G362" s="536"/>
      <c r="I362" s="536"/>
      <c r="K362" s="536"/>
    </row>
    <row r="363" ht="15.75" customHeight="1">
      <c r="A363" s="16"/>
      <c r="C363" s="536"/>
      <c r="E363" s="536"/>
      <c r="G363" s="536"/>
      <c r="I363" s="536"/>
      <c r="K363" s="536"/>
    </row>
    <row r="364" ht="15.75" customHeight="1">
      <c r="A364" s="16"/>
      <c r="C364" s="536"/>
      <c r="E364" s="536"/>
      <c r="G364" s="536"/>
      <c r="I364" s="536"/>
      <c r="K364" s="536"/>
    </row>
    <row r="365" ht="15.75" customHeight="1">
      <c r="A365" s="16"/>
      <c r="C365" s="536"/>
      <c r="E365" s="536"/>
      <c r="G365" s="536"/>
      <c r="I365" s="536"/>
      <c r="K365" s="536"/>
    </row>
    <row r="366" ht="15.75" customHeight="1">
      <c r="A366" s="16"/>
      <c r="C366" s="536"/>
      <c r="E366" s="536"/>
      <c r="G366" s="536"/>
      <c r="I366" s="536"/>
      <c r="K366" s="536"/>
    </row>
    <row r="367" ht="15.75" customHeight="1">
      <c r="A367" s="16"/>
      <c r="C367" s="536"/>
      <c r="E367" s="536"/>
      <c r="G367" s="536"/>
      <c r="I367" s="536"/>
      <c r="K367" s="536"/>
    </row>
    <row r="368" ht="15.75" customHeight="1">
      <c r="A368" s="16"/>
      <c r="C368" s="536"/>
      <c r="E368" s="536"/>
      <c r="G368" s="536"/>
      <c r="I368" s="536"/>
      <c r="K368" s="536"/>
    </row>
    <row r="369" ht="15.75" customHeight="1">
      <c r="A369" s="16"/>
      <c r="C369" s="536"/>
      <c r="E369" s="536"/>
      <c r="G369" s="536"/>
      <c r="I369" s="536"/>
      <c r="K369" s="536"/>
    </row>
    <row r="370" ht="15.75" customHeight="1">
      <c r="A370" s="16"/>
      <c r="C370" s="536"/>
      <c r="E370" s="536"/>
      <c r="G370" s="536"/>
      <c r="I370" s="536"/>
      <c r="K370" s="536"/>
    </row>
    <row r="371" ht="15.75" customHeight="1">
      <c r="A371" s="16"/>
      <c r="C371" s="536"/>
      <c r="E371" s="536"/>
      <c r="G371" s="536"/>
      <c r="I371" s="536"/>
      <c r="K371" s="536"/>
    </row>
    <row r="372" ht="15.75" customHeight="1">
      <c r="A372" s="16"/>
      <c r="C372" s="536"/>
      <c r="E372" s="536"/>
      <c r="G372" s="536"/>
      <c r="I372" s="536"/>
      <c r="K372" s="536"/>
    </row>
    <row r="373" ht="15.75" customHeight="1">
      <c r="A373" s="16"/>
      <c r="C373" s="536"/>
      <c r="E373" s="536"/>
      <c r="G373" s="536"/>
      <c r="I373" s="536"/>
      <c r="K373" s="536"/>
    </row>
    <row r="374" ht="15.75" customHeight="1">
      <c r="A374" s="16"/>
      <c r="C374" s="536"/>
      <c r="E374" s="536"/>
      <c r="G374" s="536"/>
      <c r="I374" s="536"/>
      <c r="K374" s="536"/>
    </row>
    <row r="375" ht="15.75" customHeight="1">
      <c r="A375" s="16"/>
      <c r="C375" s="536"/>
      <c r="E375" s="536"/>
      <c r="G375" s="536"/>
      <c r="I375" s="536"/>
      <c r="K375" s="536"/>
    </row>
    <row r="376" ht="15.75" customHeight="1">
      <c r="A376" s="16"/>
      <c r="C376" s="536"/>
      <c r="E376" s="536"/>
      <c r="G376" s="536"/>
      <c r="I376" s="536"/>
      <c r="K376" s="536"/>
    </row>
    <row r="377" ht="15.75" customHeight="1">
      <c r="A377" s="16"/>
      <c r="C377" s="536"/>
      <c r="E377" s="536"/>
      <c r="G377" s="536"/>
      <c r="I377" s="536"/>
      <c r="K377" s="536"/>
    </row>
    <row r="378" ht="15.75" customHeight="1">
      <c r="A378" s="16"/>
      <c r="C378" s="536"/>
      <c r="E378" s="536"/>
      <c r="G378" s="536"/>
      <c r="I378" s="536"/>
      <c r="K378" s="536"/>
    </row>
    <row r="379" ht="15.75" customHeight="1">
      <c r="A379" s="16"/>
      <c r="C379" s="536"/>
      <c r="E379" s="536"/>
      <c r="G379" s="536"/>
      <c r="I379" s="536"/>
      <c r="K379" s="536"/>
    </row>
    <row r="380" ht="15.75" customHeight="1">
      <c r="A380" s="16"/>
      <c r="C380" s="536"/>
      <c r="E380" s="536"/>
      <c r="G380" s="536"/>
      <c r="I380" s="536"/>
      <c r="K380" s="536"/>
    </row>
    <row r="381" ht="15.75" customHeight="1">
      <c r="A381" s="16"/>
      <c r="C381" s="536"/>
      <c r="E381" s="536"/>
      <c r="G381" s="536"/>
      <c r="I381" s="536"/>
      <c r="K381" s="536"/>
    </row>
    <row r="382" ht="15.75" customHeight="1">
      <c r="A382" s="16"/>
      <c r="C382" s="536"/>
      <c r="E382" s="536"/>
      <c r="G382" s="536"/>
      <c r="I382" s="536"/>
      <c r="K382" s="536"/>
    </row>
    <row r="383" ht="15.75" customHeight="1">
      <c r="A383" s="16"/>
      <c r="C383" s="536"/>
      <c r="E383" s="536"/>
      <c r="G383" s="536"/>
      <c r="I383" s="536"/>
      <c r="K383" s="536"/>
    </row>
    <row r="384" ht="15.75" customHeight="1">
      <c r="A384" s="16"/>
      <c r="C384" s="536"/>
      <c r="E384" s="536"/>
      <c r="G384" s="536"/>
      <c r="I384" s="536"/>
      <c r="K384" s="536"/>
    </row>
    <row r="385" ht="15.75" customHeight="1">
      <c r="A385" s="16"/>
      <c r="C385" s="536"/>
      <c r="E385" s="536"/>
      <c r="G385" s="536"/>
      <c r="I385" s="536"/>
      <c r="K385" s="536"/>
    </row>
    <row r="386" ht="15.75" customHeight="1">
      <c r="A386" s="16"/>
      <c r="C386" s="536"/>
      <c r="E386" s="536"/>
      <c r="G386" s="536"/>
      <c r="I386" s="536"/>
      <c r="K386" s="536"/>
    </row>
    <row r="387" ht="15.75" customHeight="1">
      <c r="A387" s="16"/>
      <c r="C387" s="536"/>
      <c r="E387" s="536"/>
      <c r="G387" s="536"/>
      <c r="I387" s="536"/>
      <c r="K387" s="536"/>
    </row>
    <row r="388" ht="15.75" customHeight="1">
      <c r="A388" s="16"/>
      <c r="C388" s="536"/>
      <c r="E388" s="536"/>
      <c r="G388" s="536"/>
      <c r="I388" s="536"/>
      <c r="K388" s="536"/>
    </row>
    <row r="389" ht="15.75" customHeight="1">
      <c r="A389" s="16"/>
      <c r="C389" s="536"/>
      <c r="E389" s="536"/>
      <c r="G389" s="536"/>
      <c r="I389" s="536"/>
      <c r="K389" s="536"/>
    </row>
    <row r="390" ht="15.75" customHeight="1">
      <c r="A390" s="16"/>
      <c r="C390" s="536"/>
      <c r="E390" s="536"/>
      <c r="G390" s="536"/>
      <c r="I390" s="536"/>
      <c r="K390" s="536"/>
    </row>
    <row r="391" ht="15.75" customHeight="1">
      <c r="A391" s="16"/>
      <c r="C391" s="536"/>
      <c r="E391" s="536"/>
      <c r="G391" s="536"/>
      <c r="I391" s="536"/>
      <c r="K391" s="536"/>
    </row>
    <row r="392" ht="15.75" customHeight="1">
      <c r="A392" s="16"/>
      <c r="C392" s="536"/>
      <c r="E392" s="536"/>
      <c r="G392" s="536"/>
      <c r="I392" s="536"/>
      <c r="K392" s="536"/>
    </row>
    <row r="393" ht="15.75" customHeight="1">
      <c r="A393" s="16"/>
      <c r="C393" s="536"/>
      <c r="E393" s="536"/>
      <c r="G393" s="536"/>
      <c r="I393" s="536"/>
      <c r="K393" s="536"/>
    </row>
    <row r="394" ht="15.75" customHeight="1">
      <c r="A394" s="16"/>
      <c r="C394" s="536"/>
      <c r="E394" s="536"/>
      <c r="G394" s="536"/>
      <c r="I394" s="536"/>
      <c r="K394" s="536"/>
    </row>
    <row r="395" ht="15.75" customHeight="1">
      <c r="A395" s="16"/>
      <c r="C395" s="536"/>
      <c r="E395" s="536"/>
      <c r="G395" s="536"/>
      <c r="I395" s="536"/>
      <c r="K395" s="536"/>
    </row>
    <row r="396" ht="15.75" customHeight="1">
      <c r="A396" s="16"/>
      <c r="C396" s="536"/>
      <c r="E396" s="536"/>
      <c r="G396" s="536"/>
      <c r="I396" s="536"/>
      <c r="K396" s="536"/>
    </row>
    <row r="397" ht="15.75" customHeight="1">
      <c r="A397" s="16"/>
      <c r="C397" s="536"/>
      <c r="E397" s="536"/>
      <c r="G397" s="536"/>
      <c r="I397" s="536"/>
      <c r="K397" s="536"/>
    </row>
    <row r="398" ht="15.75" customHeight="1">
      <c r="A398" s="16"/>
      <c r="C398" s="536"/>
      <c r="E398" s="536"/>
      <c r="G398" s="536"/>
      <c r="I398" s="536"/>
      <c r="K398" s="536"/>
    </row>
    <row r="399" ht="15.75" customHeight="1">
      <c r="A399" s="16"/>
      <c r="C399" s="536"/>
      <c r="E399" s="536"/>
      <c r="G399" s="536"/>
      <c r="I399" s="536"/>
      <c r="K399" s="536"/>
    </row>
    <row r="400" ht="15.75" customHeight="1">
      <c r="A400" s="16"/>
      <c r="C400" s="536"/>
      <c r="E400" s="536"/>
      <c r="G400" s="536"/>
      <c r="I400" s="536"/>
      <c r="K400" s="536"/>
    </row>
    <row r="401" ht="15.75" customHeight="1">
      <c r="A401" s="16"/>
      <c r="C401" s="536"/>
      <c r="E401" s="536"/>
      <c r="G401" s="536"/>
      <c r="I401" s="536"/>
      <c r="K401" s="536"/>
    </row>
    <row r="402" ht="15.75" customHeight="1">
      <c r="A402" s="16"/>
      <c r="C402" s="536"/>
      <c r="E402" s="536"/>
      <c r="G402" s="536"/>
      <c r="I402" s="536"/>
      <c r="K402" s="536"/>
    </row>
    <row r="403" ht="15.75" customHeight="1">
      <c r="A403" s="16"/>
      <c r="C403" s="536"/>
      <c r="E403" s="536"/>
      <c r="G403" s="536"/>
      <c r="I403" s="536"/>
      <c r="K403" s="536"/>
    </row>
    <row r="404" ht="15.75" customHeight="1">
      <c r="A404" s="16"/>
      <c r="C404" s="536"/>
      <c r="E404" s="536"/>
      <c r="G404" s="536"/>
      <c r="I404" s="536"/>
      <c r="K404" s="536"/>
    </row>
    <row r="405" ht="15.75" customHeight="1">
      <c r="A405" s="16"/>
      <c r="C405" s="536"/>
      <c r="E405" s="536"/>
      <c r="G405" s="536"/>
      <c r="I405" s="536"/>
      <c r="K405" s="536"/>
    </row>
    <row r="406" ht="15.75" customHeight="1">
      <c r="A406" s="16"/>
      <c r="C406" s="536"/>
      <c r="E406" s="536"/>
      <c r="G406" s="536"/>
      <c r="I406" s="536"/>
      <c r="K406" s="536"/>
    </row>
    <row r="407" ht="15.75" customHeight="1">
      <c r="A407" s="16"/>
      <c r="C407" s="536"/>
      <c r="E407" s="536"/>
      <c r="G407" s="536"/>
      <c r="I407" s="536"/>
      <c r="K407" s="536"/>
    </row>
    <row r="408" ht="15.75" customHeight="1">
      <c r="A408" s="16"/>
      <c r="C408" s="536"/>
      <c r="E408" s="536"/>
      <c r="G408" s="536"/>
      <c r="I408" s="536"/>
      <c r="K408" s="536"/>
    </row>
    <row r="409" ht="15.75" customHeight="1">
      <c r="A409" s="16"/>
      <c r="C409" s="536"/>
      <c r="E409" s="536"/>
      <c r="G409" s="536"/>
      <c r="I409" s="536"/>
      <c r="K409" s="536"/>
    </row>
    <row r="410" ht="15.75" customHeight="1">
      <c r="A410" s="16"/>
      <c r="C410" s="536"/>
      <c r="E410" s="536"/>
      <c r="G410" s="536"/>
      <c r="I410" s="536"/>
      <c r="K410" s="536"/>
    </row>
    <row r="411" ht="15.75" customHeight="1">
      <c r="A411" s="16"/>
      <c r="C411" s="536"/>
      <c r="E411" s="536"/>
      <c r="G411" s="536"/>
      <c r="I411" s="536"/>
      <c r="K411" s="536"/>
    </row>
    <row r="412" ht="15.75" customHeight="1">
      <c r="A412" s="16"/>
      <c r="C412" s="536"/>
      <c r="E412" s="536"/>
      <c r="G412" s="536"/>
      <c r="I412" s="536"/>
      <c r="K412" s="536"/>
    </row>
    <row r="413" ht="15.75" customHeight="1">
      <c r="A413" s="16"/>
      <c r="C413" s="536"/>
      <c r="E413" s="536"/>
      <c r="G413" s="536"/>
      <c r="I413" s="536"/>
      <c r="K413" s="536"/>
    </row>
    <row r="414" ht="15.75" customHeight="1">
      <c r="A414" s="16"/>
      <c r="C414" s="536"/>
      <c r="E414" s="536"/>
      <c r="G414" s="536"/>
      <c r="I414" s="536"/>
      <c r="K414" s="536"/>
    </row>
    <row r="415" ht="15.75" customHeight="1">
      <c r="A415" s="16"/>
      <c r="C415" s="536"/>
      <c r="E415" s="536"/>
      <c r="G415" s="536"/>
      <c r="I415" s="536"/>
      <c r="K415" s="536"/>
    </row>
    <row r="416" ht="15.75" customHeight="1">
      <c r="A416" s="16"/>
      <c r="C416" s="536"/>
      <c r="E416" s="536"/>
      <c r="G416" s="536"/>
      <c r="I416" s="536"/>
      <c r="K416" s="536"/>
    </row>
    <row r="417" ht="15.75" customHeight="1">
      <c r="A417" s="16"/>
      <c r="C417" s="536"/>
      <c r="E417" s="536"/>
      <c r="G417" s="536"/>
      <c r="I417" s="536"/>
      <c r="K417" s="536"/>
    </row>
    <row r="418" ht="15.75" customHeight="1">
      <c r="A418" s="16"/>
      <c r="C418" s="536"/>
      <c r="E418" s="536"/>
      <c r="G418" s="536"/>
      <c r="I418" s="536"/>
      <c r="K418" s="536"/>
    </row>
    <row r="419" ht="15.75" customHeight="1">
      <c r="A419" s="16"/>
      <c r="C419" s="536"/>
      <c r="E419" s="536"/>
      <c r="G419" s="536"/>
      <c r="I419" s="536"/>
      <c r="K419" s="536"/>
    </row>
    <row r="420" ht="15.75" customHeight="1">
      <c r="A420" s="16"/>
      <c r="C420" s="536"/>
      <c r="E420" s="536"/>
      <c r="G420" s="536"/>
      <c r="I420" s="536"/>
      <c r="K420" s="536"/>
    </row>
    <row r="421" ht="15.75" customHeight="1">
      <c r="A421" s="16"/>
      <c r="C421" s="536"/>
      <c r="E421" s="536"/>
      <c r="G421" s="536"/>
      <c r="I421" s="536"/>
      <c r="K421" s="536"/>
    </row>
    <row r="422" ht="15.75" customHeight="1">
      <c r="A422" s="16"/>
      <c r="C422" s="536"/>
      <c r="E422" s="536"/>
      <c r="G422" s="536"/>
      <c r="I422" s="536"/>
      <c r="K422" s="536"/>
    </row>
    <row r="423" ht="15.75" customHeight="1">
      <c r="A423" s="16"/>
      <c r="C423" s="536"/>
      <c r="E423" s="536"/>
      <c r="G423" s="536"/>
      <c r="I423" s="536"/>
      <c r="K423" s="536"/>
    </row>
    <row r="424" ht="15.75" customHeight="1">
      <c r="A424" s="16"/>
      <c r="C424" s="536"/>
      <c r="E424" s="536"/>
      <c r="G424" s="536"/>
      <c r="I424" s="536"/>
      <c r="K424" s="536"/>
    </row>
    <row r="425" ht="15.75" customHeight="1">
      <c r="A425" s="16"/>
      <c r="C425" s="536"/>
      <c r="E425" s="536"/>
      <c r="G425" s="536"/>
      <c r="I425" s="536"/>
      <c r="K425" s="536"/>
    </row>
    <row r="426" ht="15.75" customHeight="1">
      <c r="A426" s="16"/>
      <c r="C426" s="536"/>
      <c r="E426" s="536"/>
      <c r="G426" s="536"/>
      <c r="I426" s="536"/>
      <c r="K426" s="536"/>
    </row>
    <row r="427" ht="15.75" customHeight="1">
      <c r="A427" s="16"/>
      <c r="C427" s="536"/>
      <c r="E427" s="536"/>
      <c r="G427" s="536"/>
      <c r="I427" s="536"/>
      <c r="K427" s="536"/>
    </row>
    <row r="428" ht="15.75" customHeight="1">
      <c r="A428" s="16"/>
      <c r="C428" s="536"/>
      <c r="E428" s="536"/>
      <c r="G428" s="536"/>
      <c r="I428" s="536"/>
      <c r="K428" s="536"/>
    </row>
    <row r="429" ht="15.75" customHeight="1">
      <c r="A429" s="16"/>
      <c r="C429" s="536"/>
      <c r="E429" s="536"/>
      <c r="G429" s="536"/>
      <c r="I429" s="536"/>
      <c r="K429" s="536"/>
    </row>
    <row r="430" ht="15.75" customHeight="1">
      <c r="A430" s="16"/>
      <c r="C430" s="536"/>
      <c r="E430" s="536"/>
      <c r="G430" s="536"/>
      <c r="I430" s="536"/>
      <c r="K430" s="536"/>
    </row>
    <row r="431" ht="15.75" customHeight="1">
      <c r="A431" s="16"/>
      <c r="C431" s="536"/>
      <c r="E431" s="536"/>
      <c r="G431" s="536"/>
      <c r="I431" s="536"/>
      <c r="K431" s="536"/>
    </row>
    <row r="432" ht="15.75" customHeight="1">
      <c r="A432" s="16"/>
      <c r="C432" s="536"/>
      <c r="E432" s="536"/>
      <c r="G432" s="536"/>
      <c r="I432" s="536"/>
      <c r="K432" s="536"/>
    </row>
    <row r="433" ht="15.75" customHeight="1">
      <c r="A433" s="16"/>
      <c r="C433" s="536"/>
      <c r="E433" s="536"/>
      <c r="G433" s="536"/>
      <c r="I433" s="536"/>
      <c r="K433" s="536"/>
    </row>
    <row r="434" ht="15.75" customHeight="1">
      <c r="A434" s="16"/>
      <c r="C434" s="536"/>
      <c r="E434" s="536"/>
      <c r="G434" s="536"/>
      <c r="I434" s="536"/>
      <c r="K434" s="536"/>
    </row>
    <row r="435" ht="15.75" customHeight="1">
      <c r="A435" s="16"/>
      <c r="C435" s="536"/>
      <c r="E435" s="536"/>
      <c r="G435" s="536"/>
      <c r="I435" s="536"/>
      <c r="K435" s="536"/>
    </row>
    <row r="436" ht="15.75" customHeight="1">
      <c r="A436" s="16"/>
      <c r="C436" s="536"/>
      <c r="E436" s="536"/>
      <c r="G436" s="536"/>
      <c r="I436" s="536"/>
      <c r="K436" s="536"/>
    </row>
    <row r="437" ht="15.75" customHeight="1">
      <c r="A437" s="16"/>
      <c r="C437" s="536"/>
      <c r="E437" s="536"/>
      <c r="G437" s="536"/>
      <c r="I437" s="536"/>
      <c r="K437" s="536"/>
    </row>
    <row r="438" ht="15.75" customHeight="1">
      <c r="A438" s="16"/>
      <c r="C438" s="536"/>
      <c r="E438" s="536"/>
      <c r="G438" s="536"/>
      <c r="I438" s="536"/>
      <c r="K438" s="536"/>
    </row>
    <row r="439" ht="15.75" customHeight="1">
      <c r="A439" s="16"/>
      <c r="C439" s="536"/>
      <c r="E439" s="536"/>
      <c r="G439" s="536"/>
      <c r="I439" s="536"/>
      <c r="K439" s="536"/>
    </row>
    <row r="440" ht="15.75" customHeight="1">
      <c r="A440" s="16"/>
      <c r="C440" s="536"/>
      <c r="E440" s="536"/>
      <c r="G440" s="536"/>
      <c r="I440" s="536"/>
      <c r="K440" s="536"/>
    </row>
    <row r="441" ht="15.75" customHeight="1">
      <c r="A441" s="16"/>
      <c r="C441" s="536"/>
      <c r="E441" s="536"/>
      <c r="G441" s="536"/>
      <c r="I441" s="536"/>
      <c r="K441" s="536"/>
    </row>
    <row r="442" ht="15.75" customHeight="1">
      <c r="A442" s="16"/>
      <c r="C442" s="536"/>
      <c r="E442" s="536"/>
      <c r="G442" s="536"/>
      <c r="I442" s="536"/>
      <c r="K442" s="536"/>
    </row>
    <row r="443" ht="15.75" customHeight="1">
      <c r="A443" s="16"/>
      <c r="C443" s="536"/>
      <c r="E443" s="536"/>
      <c r="G443" s="536"/>
      <c r="I443" s="536"/>
      <c r="K443" s="536"/>
    </row>
    <row r="444" ht="15.75" customHeight="1">
      <c r="A444" s="16"/>
      <c r="C444" s="536"/>
      <c r="E444" s="536"/>
      <c r="G444" s="536"/>
      <c r="I444" s="536"/>
      <c r="K444" s="536"/>
    </row>
    <row r="445" ht="15.75" customHeight="1">
      <c r="A445" s="16"/>
      <c r="C445" s="536"/>
      <c r="E445" s="536"/>
      <c r="G445" s="536"/>
      <c r="I445" s="536"/>
      <c r="K445" s="536"/>
    </row>
    <row r="446" ht="15.75" customHeight="1">
      <c r="A446" s="16"/>
      <c r="C446" s="536"/>
      <c r="E446" s="536"/>
      <c r="G446" s="536"/>
      <c r="I446" s="536"/>
      <c r="K446" s="536"/>
    </row>
    <row r="447" ht="15.75" customHeight="1">
      <c r="A447" s="16"/>
      <c r="C447" s="536"/>
      <c r="E447" s="536"/>
      <c r="G447" s="536"/>
      <c r="I447" s="536"/>
      <c r="K447" s="536"/>
    </row>
    <row r="448" ht="15.75" customHeight="1">
      <c r="A448" s="16"/>
      <c r="C448" s="536"/>
      <c r="E448" s="536"/>
      <c r="G448" s="536"/>
      <c r="I448" s="536"/>
      <c r="K448" s="536"/>
    </row>
    <row r="449" ht="15.75" customHeight="1">
      <c r="A449" s="16"/>
      <c r="C449" s="536"/>
      <c r="E449" s="536"/>
      <c r="G449" s="536"/>
      <c r="I449" s="536"/>
      <c r="K449" s="536"/>
    </row>
    <row r="450" ht="15.75" customHeight="1">
      <c r="A450" s="16"/>
      <c r="C450" s="536"/>
      <c r="E450" s="536"/>
      <c r="G450" s="536"/>
      <c r="I450" s="536"/>
      <c r="K450" s="536"/>
    </row>
    <row r="451" ht="15.75" customHeight="1">
      <c r="A451" s="16"/>
      <c r="C451" s="536"/>
      <c r="E451" s="536"/>
      <c r="G451" s="536"/>
      <c r="I451" s="536"/>
      <c r="K451" s="536"/>
    </row>
    <row r="452" ht="15.75" customHeight="1">
      <c r="A452" s="16"/>
      <c r="C452" s="536"/>
      <c r="E452" s="536"/>
      <c r="G452" s="536"/>
      <c r="I452" s="536"/>
      <c r="K452" s="536"/>
    </row>
    <row r="453" ht="15.75" customHeight="1">
      <c r="A453" s="16"/>
      <c r="C453" s="536"/>
      <c r="E453" s="536"/>
      <c r="G453" s="536"/>
      <c r="I453" s="536"/>
      <c r="K453" s="536"/>
    </row>
    <row r="454" ht="15.75" customHeight="1">
      <c r="A454" s="16"/>
      <c r="C454" s="536"/>
      <c r="E454" s="536"/>
      <c r="G454" s="536"/>
      <c r="I454" s="536"/>
      <c r="K454" s="536"/>
    </row>
    <row r="455" ht="15.75" customHeight="1">
      <c r="A455" s="16"/>
      <c r="C455" s="536"/>
      <c r="E455" s="536"/>
      <c r="G455" s="536"/>
      <c r="I455" s="536"/>
      <c r="K455" s="536"/>
    </row>
    <row r="456" ht="15.75" customHeight="1">
      <c r="A456" s="16"/>
      <c r="C456" s="536"/>
      <c r="E456" s="536"/>
      <c r="G456" s="536"/>
      <c r="I456" s="536"/>
      <c r="K456" s="536"/>
    </row>
    <row r="457" ht="15.75" customHeight="1">
      <c r="A457" s="16"/>
      <c r="C457" s="536"/>
      <c r="E457" s="536"/>
      <c r="G457" s="536"/>
      <c r="I457" s="536"/>
      <c r="K457" s="536"/>
    </row>
    <row r="458" ht="15.75" customHeight="1">
      <c r="A458" s="16"/>
      <c r="C458" s="536"/>
      <c r="E458" s="536"/>
      <c r="G458" s="536"/>
      <c r="I458" s="536"/>
      <c r="K458" s="536"/>
    </row>
    <row r="459" ht="15.75" customHeight="1">
      <c r="A459" s="16"/>
      <c r="C459" s="536"/>
      <c r="E459" s="536"/>
      <c r="G459" s="536"/>
      <c r="I459" s="536"/>
      <c r="K459" s="536"/>
    </row>
    <row r="460" ht="15.75" customHeight="1">
      <c r="A460" s="16"/>
      <c r="C460" s="536"/>
      <c r="E460" s="536"/>
      <c r="G460" s="536"/>
      <c r="I460" s="536"/>
      <c r="K460" s="536"/>
    </row>
    <row r="461" ht="15.75" customHeight="1">
      <c r="A461" s="16"/>
      <c r="C461" s="536"/>
      <c r="E461" s="536"/>
      <c r="G461" s="536"/>
      <c r="I461" s="536"/>
      <c r="K461" s="536"/>
    </row>
    <row r="462" ht="15.75" customHeight="1">
      <c r="A462" s="16"/>
      <c r="C462" s="536"/>
      <c r="E462" s="536"/>
      <c r="G462" s="536"/>
      <c r="I462" s="536"/>
      <c r="K462" s="536"/>
    </row>
    <row r="463" ht="15.75" customHeight="1">
      <c r="A463" s="16"/>
      <c r="C463" s="536"/>
      <c r="E463" s="536"/>
      <c r="G463" s="536"/>
      <c r="I463" s="536"/>
      <c r="K463" s="536"/>
    </row>
    <row r="464" ht="15.75" customHeight="1">
      <c r="A464" s="16"/>
      <c r="C464" s="536"/>
      <c r="E464" s="536"/>
      <c r="G464" s="536"/>
      <c r="I464" s="536"/>
      <c r="K464" s="536"/>
    </row>
    <row r="465" ht="15.75" customHeight="1">
      <c r="A465" s="16"/>
      <c r="C465" s="536"/>
      <c r="E465" s="536"/>
      <c r="G465" s="536"/>
      <c r="I465" s="536"/>
      <c r="K465" s="536"/>
    </row>
    <row r="466" ht="15.75" customHeight="1">
      <c r="A466" s="16"/>
      <c r="C466" s="536"/>
      <c r="E466" s="536"/>
      <c r="G466" s="536"/>
      <c r="I466" s="536"/>
      <c r="K466" s="536"/>
    </row>
    <row r="467" ht="15.75" customHeight="1">
      <c r="A467" s="16"/>
      <c r="C467" s="536"/>
      <c r="E467" s="536"/>
      <c r="G467" s="536"/>
      <c r="I467" s="536"/>
      <c r="K467" s="536"/>
    </row>
    <row r="468" ht="15.75" customHeight="1">
      <c r="A468" s="16"/>
      <c r="C468" s="536"/>
      <c r="E468" s="536"/>
      <c r="G468" s="536"/>
      <c r="I468" s="536"/>
      <c r="K468" s="536"/>
    </row>
    <row r="469" ht="15.75" customHeight="1">
      <c r="A469" s="16"/>
      <c r="C469" s="536"/>
      <c r="E469" s="536"/>
      <c r="G469" s="536"/>
      <c r="I469" s="536"/>
      <c r="K469" s="536"/>
    </row>
    <row r="470" ht="15.75" customHeight="1">
      <c r="A470" s="16"/>
      <c r="C470" s="536"/>
      <c r="E470" s="536"/>
      <c r="G470" s="536"/>
      <c r="I470" s="536"/>
      <c r="K470" s="536"/>
    </row>
    <row r="471" ht="15.75" customHeight="1">
      <c r="A471" s="16"/>
      <c r="C471" s="536"/>
      <c r="E471" s="536"/>
      <c r="G471" s="536"/>
      <c r="I471" s="536"/>
      <c r="K471" s="536"/>
    </row>
    <row r="472" ht="15.75" customHeight="1">
      <c r="A472" s="16"/>
      <c r="C472" s="536"/>
      <c r="E472" s="536"/>
      <c r="G472" s="536"/>
      <c r="I472" s="536"/>
      <c r="K472" s="536"/>
    </row>
    <row r="473" ht="15.75" customHeight="1">
      <c r="A473" s="16"/>
      <c r="C473" s="536"/>
      <c r="E473" s="536"/>
      <c r="G473" s="536"/>
      <c r="I473" s="536"/>
      <c r="K473" s="536"/>
    </row>
    <row r="474" ht="15.75" customHeight="1">
      <c r="A474" s="16"/>
      <c r="C474" s="536"/>
      <c r="E474" s="536"/>
      <c r="G474" s="536"/>
      <c r="I474" s="536"/>
      <c r="K474" s="536"/>
    </row>
    <row r="475" ht="15.75" customHeight="1">
      <c r="A475" s="16"/>
      <c r="C475" s="536"/>
      <c r="E475" s="536"/>
      <c r="G475" s="536"/>
      <c r="I475" s="536"/>
      <c r="K475" s="536"/>
    </row>
    <row r="476" ht="15.75" customHeight="1">
      <c r="A476" s="16"/>
      <c r="C476" s="536"/>
      <c r="E476" s="536"/>
      <c r="G476" s="536"/>
      <c r="I476" s="536"/>
      <c r="K476" s="536"/>
    </row>
    <row r="477" ht="15.75" customHeight="1">
      <c r="A477" s="16"/>
      <c r="C477" s="536"/>
      <c r="E477" s="536"/>
      <c r="G477" s="536"/>
      <c r="I477" s="536"/>
      <c r="K477" s="536"/>
    </row>
    <row r="478" ht="15.75" customHeight="1">
      <c r="A478" s="16"/>
      <c r="C478" s="536"/>
      <c r="E478" s="536"/>
      <c r="G478" s="536"/>
      <c r="I478" s="536"/>
      <c r="K478" s="536"/>
    </row>
    <row r="479" ht="15.75" customHeight="1">
      <c r="A479" s="16"/>
      <c r="C479" s="536"/>
      <c r="E479" s="536"/>
      <c r="G479" s="536"/>
      <c r="I479" s="536"/>
      <c r="K479" s="536"/>
    </row>
    <row r="480" ht="15.75" customHeight="1">
      <c r="A480" s="16"/>
      <c r="C480" s="536"/>
      <c r="E480" s="536"/>
      <c r="G480" s="536"/>
      <c r="I480" s="536"/>
      <c r="K480" s="536"/>
    </row>
    <row r="481" ht="15.75" customHeight="1">
      <c r="A481" s="16"/>
      <c r="C481" s="536"/>
      <c r="E481" s="536"/>
      <c r="G481" s="536"/>
      <c r="I481" s="536"/>
      <c r="K481" s="536"/>
    </row>
    <row r="482" ht="15.75" customHeight="1">
      <c r="A482" s="16"/>
      <c r="C482" s="536"/>
      <c r="E482" s="536"/>
      <c r="G482" s="536"/>
      <c r="I482" s="536"/>
      <c r="K482" s="536"/>
    </row>
    <row r="483" ht="15.75" customHeight="1">
      <c r="A483" s="16"/>
      <c r="C483" s="536"/>
      <c r="E483" s="536"/>
      <c r="G483" s="536"/>
      <c r="I483" s="536"/>
      <c r="K483" s="536"/>
    </row>
    <row r="484" ht="15.75" customHeight="1">
      <c r="A484" s="16"/>
      <c r="C484" s="536"/>
      <c r="E484" s="536"/>
      <c r="G484" s="536"/>
      <c r="I484" s="536"/>
      <c r="K484" s="536"/>
    </row>
    <row r="485" ht="15.75" customHeight="1">
      <c r="A485" s="16"/>
      <c r="C485" s="536"/>
      <c r="E485" s="536"/>
      <c r="G485" s="536"/>
      <c r="I485" s="536"/>
      <c r="K485" s="536"/>
    </row>
    <row r="486" ht="15.75" customHeight="1">
      <c r="A486" s="16"/>
      <c r="C486" s="536"/>
      <c r="E486" s="536"/>
      <c r="G486" s="536"/>
      <c r="I486" s="536"/>
      <c r="K486" s="536"/>
    </row>
    <row r="487" ht="15.75" customHeight="1">
      <c r="A487" s="16"/>
      <c r="C487" s="536"/>
      <c r="E487" s="536"/>
      <c r="G487" s="536"/>
      <c r="I487" s="536"/>
      <c r="K487" s="536"/>
    </row>
    <row r="488" ht="15.75" customHeight="1">
      <c r="A488" s="16"/>
      <c r="C488" s="536"/>
      <c r="E488" s="536"/>
      <c r="G488" s="536"/>
      <c r="I488" s="536"/>
      <c r="K488" s="536"/>
    </row>
    <row r="489" ht="15.75" customHeight="1">
      <c r="A489" s="16"/>
      <c r="C489" s="536"/>
      <c r="E489" s="536"/>
      <c r="G489" s="536"/>
      <c r="I489" s="536"/>
      <c r="K489" s="536"/>
    </row>
    <row r="490" ht="15.75" customHeight="1">
      <c r="A490" s="16"/>
      <c r="C490" s="536"/>
      <c r="E490" s="536"/>
      <c r="G490" s="536"/>
      <c r="I490" s="536"/>
      <c r="K490" s="536"/>
    </row>
    <row r="491" ht="15.75" customHeight="1">
      <c r="A491" s="16"/>
      <c r="C491" s="536"/>
      <c r="E491" s="536"/>
      <c r="G491" s="536"/>
      <c r="I491" s="536"/>
      <c r="K491" s="536"/>
    </row>
    <row r="492" ht="15.75" customHeight="1">
      <c r="A492" s="16"/>
      <c r="C492" s="536"/>
      <c r="E492" s="536"/>
      <c r="G492" s="536"/>
      <c r="I492" s="536"/>
      <c r="K492" s="536"/>
    </row>
    <row r="493" ht="15.75" customHeight="1">
      <c r="A493" s="16"/>
      <c r="C493" s="536"/>
      <c r="E493" s="536"/>
      <c r="G493" s="536"/>
      <c r="I493" s="536"/>
      <c r="K493" s="536"/>
    </row>
    <row r="494" ht="15.75" customHeight="1">
      <c r="A494" s="16"/>
      <c r="C494" s="536"/>
      <c r="E494" s="536"/>
      <c r="G494" s="536"/>
      <c r="I494" s="536"/>
      <c r="K494" s="536"/>
    </row>
    <row r="495" ht="15.75" customHeight="1">
      <c r="A495" s="16"/>
      <c r="C495" s="536"/>
      <c r="E495" s="536"/>
      <c r="G495" s="536"/>
      <c r="I495" s="536"/>
      <c r="K495" s="536"/>
    </row>
    <row r="496" ht="15.75" customHeight="1">
      <c r="A496" s="16"/>
      <c r="C496" s="536"/>
      <c r="E496" s="536"/>
      <c r="G496" s="536"/>
      <c r="I496" s="536"/>
      <c r="K496" s="536"/>
    </row>
    <row r="497" ht="15.75" customHeight="1">
      <c r="A497" s="16"/>
      <c r="C497" s="536"/>
      <c r="E497" s="536"/>
      <c r="G497" s="536"/>
      <c r="I497" s="536"/>
      <c r="K497" s="536"/>
    </row>
    <row r="498" ht="15.75" customHeight="1">
      <c r="A498" s="16"/>
      <c r="C498" s="536"/>
      <c r="E498" s="536"/>
      <c r="G498" s="536"/>
      <c r="I498" s="536"/>
      <c r="K498" s="536"/>
    </row>
    <row r="499" ht="15.75" customHeight="1">
      <c r="A499" s="16"/>
      <c r="C499" s="536"/>
      <c r="E499" s="536"/>
      <c r="G499" s="536"/>
      <c r="I499" s="536"/>
      <c r="K499" s="536"/>
    </row>
    <row r="500" ht="15.75" customHeight="1">
      <c r="A500" s="16"/>
      <c r="C500" s="536"/>
      <c r="E500" s="536"/>
      <c r="G500" s="536"/>
      <c r="I500" s="536"/>
      <c r="K500" s="536"/>
    </row>
    <row r="501" ht="15.75" customHeight="1">
      <c r="A501" s="16"/>
      <c r="C501" s="536"/>
      <c r="E501" s="536"/>
      <c r="G501" s="536"/>
      <c r="I501" s="536"/>
      <c r="K501" s="536"/>
    </row>
    <row r="502" ht="15.75" customHeight="1">
      <c r="A502" s="16"/>
      <c r="C502" s="536"/>
      <c r="E502" s="536"/>
      <c r="G502" s="536"/>
      <c r="I502" s="536"/>
      <c r="K502" s="536"/>
    </row>
    <row r="503" ht="15.75" customHeight="1">
      <c r="A503" s="16"/>
      <c r="C503" s="536"/>
      <c r="E503" s="536"/>
      <c r="G503" s="536"/>
      <c r="I503" s="536"/>
      <c r="K503" s="536"/>
    </row>
    <row r="504" ht="15.75" customHeight="1">
      <c r="A504" s="16"/>
      <c r="C504" s="536"/>
      <c r="E504" s="536"/>
      <c r="G504" s="536"/>
      <c r="I504" s="536"/>
      <c r="K504" s="536"/>
    </row>
    <row r="505" ht="15.75" customHeight="1">
      <c r="A505" s="16"/>
      <c r="C505" s="536"/>
      <c r="E505" s="536"/>
      <c r="G505" s="536"/>
      <c r="I505" s="536"/>
      <c r="K505" s="536"/>
    </row>
    <row r="506" ht="15.75" customHeight="1">
      <c r="A506" s="16"/>
      <c r="C506" s="536"/>
      <c r="E506" s="536"/>
      <c r="G506" s="536"/>
      <c r="I506" s="536"/>
      <c r="K506" s="536"/>
    </row>
    <row r="507" ht="15.75" customHeight="1">
      <c r="A507" s="16"/>
      <c r="C507" s="536"/>
      <c r="E507" s="536"/>
      <c r="G507" s="536"/>
      <c r="I507" s="536"/>
      <c r="K507" s="536"/>
    </row>
    <row r="508" ht="15.75" customHeight="1">
      <c r="A508" s="16"/>
      <c r="C508" s="536"/>
      <c r="E508" s="536"/>
      <c r="G508" s="536"/>
      <c r="I508" s="536"/>
      <c r="K508" s="536"/>
    </row>
    <row r="509" ht="15.75" customHeight="1">
      <c r="A509" s="16"/>
      <c r="C509" s="536"/>
      <c r="E509" s="536"/>
      <c r="G509" s="536"/>
      <c r="I509" s="536"/>
      <c r="K509" s="536"/>
    </row>
    <row r="510" ht="15.75" customHeight="1">
      <c r="A510" s="16"/>
      <c r="C510" s="536"/>
      <c r="E510" s="536"/>
      <c r="G510" s="536"/>
      <c r="I510" s="536"/>
      <c r="K510" s="536"/>
    </row>
    <row r="511" ht="15.75" customHeight="1">
      <c r="A511" s="16"/>
      <c r="C511" s="536"/>
      <c r="E511" s="536"/>
      <c r="G511" s="536"/>
      <c r="I511" s="536"/>
      <c r="K511" s="536"/>
    </row>
    <row r="512" ht="15.75" customHeight="1">
      <c r="A512" s="16"/>
      <c r="C512" s="536"/>
      <c r="E512" s="536"/>
      <c r="G512" s="536"/>
      <c r="I512" s="536"/>
      <c r="K512" s="536"/>
    </row>
    <row r="513" ht="15.75" customHeight="1">
      <c r="A513" s="16"/>
      <c r="C513" s="536"/>
      <c r="E513" s="536"/>
      <c r="G513" s="536"/>
      <c r="I513" s="536"/>
      <c r="K513" s="536"/>
    </row>
    <row r="514" ht="15.75" customHeight="1">
      <c r="A514" s="16"/>
      <c r="C514" s="536"/>
      <c r="E514" s="536"/>
      <c r="G514" s="536"/>
      <c r="I514" s="536"/>
      <c r="K514" s="536"/>
    </row>
    <row r="515" ht="15.75" customHeight="1">
      <c r="A515" s="16"/>
      <c r="C515" s="536"/>
      <c r="E515" s="536"/>
      <c r="G515" s="536"/>
      <c r="I515" s="536"/>
      <c r="K515" s="536"/>
    </row>
    <row r="516" ht="15.75" customHeight="1">
      <c r="A516" s="16"/>
      <c r="C516" s="536"/>
      <c r="E516" s="536"/>
      <c r="G516" s="536"/>
      <c r="I516" s="536"/>
      <c r="K516" s="536"/>
    </row>
    <row r="517" ht="15.75" customHeight="1">
      <c r="A517" s="16"/>
      <c r="C517" s="536"/>
      <c r="E517" s="536"/>
      <c r="G517" s="536"/>
      <c r="I517" s="536"/>
      <c r="K517" s="536"/>
    </row>
    <row r="518" ht="15.75" customHeight="1">
      <c r="A518" s="16"/>
      <c r="C518" s="536"/>
      <c r="E518" s="536"/>
      <c r="G518" s="536"/>
      <c r="I518" s="536"/>
      <c r="K518" s="536"/>
    </row>
    <row r="519" ht="15.75" customHeight="1">
      <c r="A519" s="16"/>
      <c r="C519" s="536"/>
      <c r="E519" s="536"/>
      <c r="G519" s="536"/>
      <c r="I519" s="536"/>
      <c r="K519" s="536"/>
    </row>
    <row r="520" ht="15.75" customHeight="1">
      <c r="A520" s="16"/>
      <c r="C520" s="536"/>
      <c r="E520" s="536"/>
      <c r="G520" s="536"/>
      <c r="I520" s="536"/>
      <c r="K520" s="536"/>
    </row>
    <row r="521" ht="15.75" customHeight="1">
      <c r="A521" s="16"/>
      <c r="C521" s="536"/>
      <c r="E521" s="536"/>
      <c r="G521" s="536"/>
      <c r="I521" s="536"/>
      <c r="K521" s="536"/>
    </row>
    <row r="522" ht="15.75" customHeight="1">
      <c r="A522" s="16"/>
      <c r="C522" s="536"/>
      <c r="E522" s="536"/>
      <c r="G522" s="536"/>
      <c r="I522" s="536"/>
      <c r="K522" s="536"/>
    </row>
    <row r="523" ht="15.75" customHeight="1">
      <c r="A523" s="16"/>
      <c r="C523" s="536"/>
      <c r="E523" s="536"/>
      <c r="G523" s="536"/>
      <c r="I523" s="536"/>
      <c r="K523" s="536"/>
    </row>
    <row r="524" ht="15.75" customHeight="1">
      <c r="A524" s="16"/>
      <c r="C524" s="536"/>
      <c r="E524" s="536"/>
      <c r="G524" s="536"/>
      <c r="I524" s="536"/>
      <c r="K524" s="536"/>
    </row>
    <row r="525" ht="15.75" customHeight="1">
      <c r="A525" s="16"/>
      <c r="C525" s="536"/>
      <c r="E525" s="536"/>
      <c r="G525" s="536"/>
      <c r="I525" s="536"/>
      <c r="K525" s="536"/>
    </row>
    <row r="526" ht="15.75" customHeight="1">
      <c r="A526" s="16"/>
      <c r="C526" s="536"/>
      <c r="E526" s="536"/>
      <c r="G526" s="536"/>
      <c r="I526" s="536"/>
      <c r="K526" s="536"/>
    </row>
    <row r="527" ht="15.75" customHeight="1">
      <c r="A527" s="16"/>
      <c r="C527" s="536"/>
      <c r="E527" s="536"/>
      <c r="G527" s="536"/>
      <c r="I527" s="536"/>
      <c r="K527" s="536"/>
    </row>
    <row r="528" ht="15.75" customHeight="1">
      <c r="A528" s="16"/>
      <c r="C528" s="536"/>
      <c r="E528" s="536"/>
      <c r="G528" s="536"/>
      <c r="I528" s="536"/>
      <c r="K528" s="536"/>
    </row>
    <row r="529" ht="15.75" customHeight="1">
      <c r="A529" s="16"/>
      <c r="C529" s="536"/>
      <c r="E529" s="536"/>
      <c r="G529" s="536"/>
      <c r="I529" s="536"/>
      <c r="K529" s="536"/>
    </row>
    <row r="530" ht="15.75" customHeight="1">
      <c r="A530" s="16"/>
      <c r="C530" s="536"/>
      <c r="E530" s="536"/>
      <c r="G530" s="536"/>
      <c r="I530" s="536"/>
      <c r="K530" s="536"/>
    </row>
    <row r="531" ht="15.75" customHeight="1">
      <c r="A531" s="16"/>
      <c r="C531" s="536"/>
      <c r="E531" s="536"/>
      <c r="G531" s="536"/>
      <c r="I531" s="536"/>
      <c r="K531" s="536"/>
    </row>
    <row r="532" ht="15.75" customHeight="1">
      <c r="A532" s="16"/>
      <c r="C532" s="536"/>
      <c r="E532" s="536"/>
      <c r="G532" s="536"/>
      <c r="I532" s="536"/>
      <c r="K532" s="536"/>
    </row>
    <row r="533" ht="15.75" customHeight="1">
      <c r="A533" s="16"/>
      <c r="C533" s="536"/>
      <c r="E533" s="536"/>
      <c r="G533" s="536"/>
      <c r="I533" s="536"/>
      <c r="K533" s="536"/>
    </row>
    <row r="534" ht="15.75" customHeight="1">
      <c r="A534" s="16"/>
      <c r="C534" s="536"/>
      <c r="E534" s="536"/>
      <c r="G534" s="536"/>
      <c r="I534" s="536"/>
      <c r="K534" s="536"/>
    </row>
    <row r="535" ht="15.75" customHeight="1">
      <c r="A535" s="16"/>
      <c r="C535" s="536"/>
      <c r="E535" s="536"/>
      <c r="G535" s="536"/>
      <c r="I535" s="536"/>
      <c r="K535" s="536"/>
    </row>
    <row r="536" ht="15.75" customHeight="1">
      <c r="A536" s="16"/>
      <c r="C536" s="536"/>
      <c r="E536" s="536"/>
      <c r="G536" s="536"/>
      <c r="I536" s="536"/>
      <c r="K536" s="536"/>
    </row>
    <row r="537" ht="15.75" customHeight="1">
      <c r="A537" s="16"/>
      <c r="C537" s="536"/>
      <c r="E537" s="536"/>
      <c r="G537" s="536"/>
      <c r="I537" s="536"/>
      <c r="K537" s="536"/>
    </row>
    <row r="538" ht="15.75" customHeight="1">
      <c r="A538" s="16"/>
      <c r="C538" s="536"/>
      <c r="E538" s="536"/>
      <c r="G538" s="536"/>
      <c r="I538" s="536"/>
      <c r="K538" s="536"/>
    </row>
    <row r="539" ht="15.75" customHeight="1">
      <c r="A539" s="16"/>
      <c r="C539" s="536"/>
      <c r="E539" s="536"/>
      <c r="G539" s="536"/>
      <c r="I539" s="536"/>
      <c r="K539" s="536"/>
    </row>
    <row r="540" ht="15.75" customHeight="1">
      <c r="A540" s="16"/>
      <c r="C540" s="536"/>
      <c r="E540" s="536"/>
      <c r="G540" s="536"/>
      <c r="I540" s="536"/>
      <c r="K540" s="536"/>
    </row>
    <row r="541" ht="15.75" customHeight="1">
      <c r="A541" s="16"/>
      <c r="C541" s="536"/>
      <c r="E541" s="536"/>
      <c r="G541" s="536"/>
      <c r="I541" s="536"/>
      <c r="K541" s="536"/>
    </row>
    <row r="542" ht="15.75" customHeight="1">
      <c r="A542" s="16"/>
      <c r="C542" s="536"/>
      <c r="E542" s="536"/>
      <c r="G542" s="536"/>
      <c r="I542" s="536"/>
      <c r="K542" s="536"/>
    </row>
    <row r="543" ht="15.75" customHeight="1">
      <c r="A543" s="16"/>
      <c r="C543" s="536"/>
      <c r="E543" s="536"/>
      <c r="G543" s="536"/>
      <c r="I543" s="536"/>
      <c r="K543" s="536"/>
    </row>
    <row r="544" ht="15.75" customHeight="1">
      <c r="A544" s="16"/>
      <c r="C544" s="536"/>
      <c r="E544" s="536"/>
      <c r="G544" s="536"/>
      <c r="I544" s="536"/>
      <c r="K544" s="536"/>
    </row>
    <row r="545" ht="15.75" customHeight="1">
      <c r="A545" s="16"/>
      <c r="C545" s="536"/>
      <c r="E545" s="536"/>
      <c r="G545" s="536"/>
      <c r="I545" s="536"/>
      <c r="K545" s="536"/>
    </row>
    <row r="546" ht="15.75" customHeight="1">
      <c r="A546" s="16"/>
      <c r="C546" s="536"/>
      <c r="E546" s="536"/>
      <c r="G546" s="536"/>
      <c r="I546" s="536"/>
      <c r="K546" s="536"/>
    </row>
    <row r="547" ht="15.75" customHeight="1">
      <c r="A547" s="16"/>
      <c r="C547" s="536"/>
      <c r="E547" s="536"/>
      <c r="G547" s="536"/>
      <c r="I547" s="536"/>
      <c r="K547" s="536"/>
    </row>
    <row r="548" ht="15.75" customHeight="1">
      <c r="A548" s="16"/>
      <c r="C548" s="536"/>
      <c r="E548" s="536"/>
      <c r="G548" s="536"/>
      <c r="I548" s="536"/>
      <c r="K548" s="536"/>
    </row>
    <row r="549" ht="15.75" customHeight="1">
      <c r="A549" s="16"/>
      <c r="C549" s="536"/>
      <c r="E549" s="536"/>
      <c r="G549" s="536"/>
      <c r="I549" s="536"/>
      <c r="K549" s="536"/>
    </row>
    <row r="550" ht="15.75" customHeight="1">
      <c r="A550" s="16"/>
      <c r="C550" s="536"/>
      <c r="E550" s="536"/>
      <c r="G550" s="536"/>
      <c r="I550" s="536"/>
      <c r="K550" s="536"/>
    </row>
    <row r="551" ht="15.75" customHeight="1">
      <c r="A551" s="16"/>
      <c r="C551" s="536"/>
      <c r="E551" s="536"/>
      <c r="G551" s="536"/>
      <c r="I551" s="536"/>
      <c r="K551" s="536"/>
    </row>
    <row r="552" ht="15.75" customHeight="1">
      <c r="A552" s="16"/>
      <c r="C552" s="536"/>
      <c r="E552" s="536"/>
      <c r="G552" s="536"/>
      <c r="I552" s="536"/>
      <c r="K552" s="536"/>
    </row>
    <row r="553" ht="15.75" customHeight="1">
      <c r="A553" s="16"/>
      <c r="C553" s="536"/>
      <c r="E553" s="536"/>
      <c r="G553" s="536"/>
      <c r="I553" s="536"/>
      <c r="K553" s="536"/>
    </row>
    <row r="554" ht="15.75" customHeight="1">
      <c r="A554" s="16"/>
      <c r="C554" s="536"/>
      <c r="E554" s="536"/>
      <c r="G554" s="536"/>
      <c r="I554" s="536"/>
      <c r="K554" s="536"/>
    </row>
    <row r="555" ht="15.75" customHeight="1">
      <c r="A555" s="16"/>
      <c r="C555" s="536"/>
      <c r="E555" s="536"/>
      <c r="G555" s="536"/>
      <c r="I555" s="536"/>
      <c r="K555" s="536"/>
    </row>
    <row r="556" ht="15.75" customHeight="1">
      <c r="A556" s="16"/>
      <c r="C556" s="536"/>
      <c r="E556" s="536"/>
      <c r="G556" s="536"/>
      <c r="I556" s="536"/>
      <c r="K556" s="536"/>
    </row>
    <row r="557" ht="15.75" customHeight="1">
      <c r="A557" s="16"/>
      <c r="C557" s="536"/>
      <c r="E557" s="536"/>
      <c r="G557" s="536"/>
      <c r="I557" s="536"/>
      <c r="K557" s="536"/>
    </row>
    <row r="558" ht="15.75" customHeight="1">
      <c r="A558" s="16"/>
      <c r="C558" s="536"/>
      <c r="E558" s="536"/>
      <c r="G558" s="536"/>
      <c r="I558" s="536"/>
      <c r="K558" s="536"/>
    </row>
    <row r="559" ht="15.75" customHeight="1">
      <c r="A559" s="16"/>
      <c r="C559" s="536"/>
      <c r="E559" s="536"/>
      <c r="G559" s="536"/>
      <c r="I559" s="536"/>
      <c r="K559" s="536"/>
    </row>
    <row r="560" ht="15.75" customHeight="1">
      <c r="A560" s="16"/>
      <c r="C560" s="536"/>
      <c r="E560" s="536"/>
      <c r="G560" s="536"/>
      <c r="I560" s="536"/>
      <c r="K560" s="536"/>
    </row>
    <row r="561" ht="15.75" customHeight="1">
      <c r="A561" s="16"/>
      <c r="C561" s="536"/>
      <c r="E561" s="536"/>
      <c r="G561" s="536"/>
      <c r="I561" s="536"/>
      <c r="K561" s="536"/>
    </row>
    <row r="562" ht="15.75" customHeight="1">
      <c r="A562" s="16"/>
      <c r="C562" s="536"/>
      <c r="E562" s="536"/>
      <c r="G562" s="536"/>
      <c r="I562" s="536"/>
      <c r="K562" s="536"/>
    </row>
    <row r="563" ht="15.75" customHeight="1">
      <c r="A563" s="16"/>
      <c r="C563" s="536"/>
      <c r="E563" s="536"/>
      <c r="G563" s="536"/>
      <c r="I563" s="536"/>
      <c r="K563" s="536"/>
    </row>
    <row r="564" ht="15.75" customHeight="1">
      <c r="A564" s="16"/>
      <c r="C564" s="536"/>
      <c r="E564" s="536"/>
      <c r="G564" s="536"/>
      <c r="I564" s="536"/>
      <c r="K564" s="536"/>
    </row>
    <row r="565" ht="15.75" customHeight="1">
      <c r="A565" s="16"/>
      <c r="C565" s="536"/>
      <c r="E565" s="536"/>
      <c r="G565" s="536"/>
      <c r="I565" s="536"/>
      <c r="K565" s="536"/>
    </row>
    <row r="566" ht="15.75" customHeight="1">
      <c r="A566" s="16"/>
      <c r="C566" s="536"/>
      <c r="E566" s="536"/>
      <c r="G566" s="536"/>
      <c r="I566" s="536"/>
      <c r="K566" s="536"/>
    </row>
    <row r="567" ht="15.75" customHeight="1">
      <c r="A567" s="16"/>
      <c r="C567" s="536"/>
      <c r="E567" s="536"/>
      <c r="G567" s="536"/>
      <c r="I567" s="536"/>
      <c r="K567" s="536"/>
    </row>
    <row r="568" ht="15.75" customHeight="1">
      <c r="A568" s="16"/>
      <c r="C568" s="536"/>
      <c r="E568" s="536"/>
      <c r="G568" s="536"/>
      <c r="I568" s="536"/>
      <c r="K568" s="536"/>
    </row>
    <row r="569" ht="15.75" customHeight="1">
      <c r="A569" s="16"/>
      <c r="C569" s="536"/>
      <c r="E569" s="536"/>
      <c r="G569" s="536"/>
      <c r="I569" s="536"/>
      <c r="K569" s="536"/>
    </row>
    <row r="570" ht="15.75" customHeight="1">
      <c r="A570" s="16"/>
      <c r="C570" s="536"/>
      <c r="E570" s="536"/>
      <c r="G570" s="536"/>
      <c r="I570" s="536"/>
      <c r="K570" s="536"/>
    </row>
    <row r="571" ht="15.75" customHeight="1">
      <c r="A571" s="16"/>
      <c r="C571" s="536"/>
      <c r="E571" s="536"/>
      <c r="G571" s="536"/>
      <c r="I571" s="536"/>
      <c r="K571" s="536"/>
    </row>
    <row r="572" ht="15.75" customHeight="1">
      <c r="A572" s="16"/>
      <c r="C572" s="536"/>
      <c r="E572" s="536"/>
      <c r="G572" s="536"/>
      <c r="I572" s="536"/>
      <c r="K572" s="536"/>
    </row>
    <row r="573" ht="15.75" customHeight="1">
      <c r="A573" s="16"/>
      <c r="C573" s="536"/>
      <c r="E573" s="536"/>
      <c r="G573" s="536"/>
      <c r="I573" s="536"/>
      <c r="K573" s="536"/>
    </row>
    <row r="574" ht="15.75" customHeight="1">
      <c r="A574" s="16"/>
      <c r="C574" s="536"/>
      <c r="E574" s="536"/>
      <c r="G574" s="536"/>
      <c r="I574" s="536"/>
      <c r="K574" s="536"/>
    </row>
    <row r="575" ht="15.75" customHeight="1">
      <c r="A575" s="16"/>
      <c r="C575" s="536"/>
      <c r="E575" s="536"/>
      <c r="G575" s="536"/>
      <c r="I575" s="536"/>
      <c r="K575" s="536"/>
    </row>
    <row r="576" ht="15.75" customHeight="1">
      <c r="A576" s="16"/>
      <c r="C576" s="536"/>
      <c r="E576" s="536"/>
      <c r="G576" s="536"/>
      <c r="I576" s="536"/>
      <c r="K576" s="536"/>
    </row>
    <row r="577" ht="15.75" customHeight="1">
      <c r="A577" s="16"/>
      <c r="C577" s="536"/>
      <c r="E577" s="536"/>
      <c r="G577" s="536"/>
      <c r="I577" s="536"/>
      <c r="K577" s="536"/>
    </row>
    <row r="578" ht="15.75" customHeight="1">
      <c r="A578" s="16"/>
      <c r="C578" s="536"/>
      <c r="E578" s="536"/>
      <c r="G578" s="536"/>
      <c r="I578" s="536"/>
      <c r="K578" s="536"/>
    </row>
    <row r="579" ht="15.75" customHeight="1">
      <c r="A579" s="16"/>
      <c r="C579" s="536"/>
      <c r="E579" s="536"/>
      <c r="G579" s="536"/>
      <c r="I579" s="536"/>
      <c r="K579" s="536"/>
    </row>
    <row r="580" ht="15.75" customHeight="1">
      <c r="A580" s="16"/>
      <c r="C580" s="536"/>
      <c r="E580" s="536"/>
      <c r="G580" s="536"/>
      <c r="I580" s="536"/>
      <c r="K580" s="536"/>
    </row>
    <row r="581" ht="15.75" customHeight="1">
      <c r="A581" s="16"/>
      <c r="C581" s="536"/>
      <c r="E581" s="536"/>
      <c r="G581" s="536"/>
      <c r="I581" s="536"/>
      <c r="K581" s="536"/>
    </row>
    <row r="582" ht="15.75" customHeight="1">
      <c r="A582" s="16"/>
      <c r="C582" s="536"/>
      <c r="E582" s="536"/>
      <c r="G582" s="536"/>
      <c r="I582" s="536"/>
      <c r="K582" s="536"/>
    </row>
    <row r="583" ht="15.75" customHeight="1">
      <c r="A583" s="16"/>
      <c r="C583" s="536"/>
      <c r="E583" s="536"/>
      <c r="G583" s="536"/>
      <c r="I583" s="536"/>
      <c r="K583" s="536"/>
    </row>
    <row r="584" ht="15.75" customHeight="1">
      <c r="A584" s="16"/>
      <c r="C584" s="536"/>
      <c r="E584" s="536"/>
      <c r="G584" s="536"/>
      <c r="I584" s="536"/>
      <c r="K584" s="536"/>
    </row>
    <row r="585" ht="15.75" customHeight="1">
      <c r="A585" s="16"/>
      <c r="C585" s="536"/>
      <c r="E585" s="536"/>
      <c r="G585" s="536"/>
      <c r="I585" s="536"/>
      <c r="K585" s="536"/>
    </row>
    <row r="586" ht="15.75" customHeight="1">
      <c r="A586" s="16"/>
      <c r="C586" s="536"/>
      <c r="E586" s="536"/>
      <c r="G586" s="536"/>
      <c r="I586" s="536"/>
      <c r="K586" s="536"/>
    </row>
    <row r="587" ht="15.75" customHeight="1">
      <c r="A587" s="16"/>
      <c r="C587" s="536"/>
      <c r="E587" s="536"/>
      <c r="G587" s="536"/>
      <c r="I587" s="536"/>
      <c r="K587" s="536"/>
    </row>
    <row r="588" ht="15.75" customHeight="1">
      <c r="A588" s="16"/>
      <c r="C588" s="536"/>
      <c r="E588" s="536"/>
      <c r="G588" s="536"/>
      <c r="I588" s="536"/>
      <c r="K588" s="536"/>
    </row>
    <row r="589" ht="15.75" customHeight="1">
      <c r="A589" s="16"/>
      <c r="C589" s="536"/>
      <c r="E589" s="536"/>
      <c r="G589" s="536"/>
      <c r="I589" s="536"/>
      <c r="K589" s="536"/>
    </row>
    <row r="590" ht="15.75" customHeight="1">
      <c r="A590" s="16"/>
      <c r="C590" s="536"/>
      <c r="E590" s="536"/>
      <c r="G590" s="536"/>
      <c r="I590" s="536"/>
      <c r="K590" s="536"/>
    </row>
    <row r="591" ht="15.75" customHeight="1">
      <c r="A591" s="16"/>
      <c r="C591" s="536"/>
      <c r="E591" s="536"/>
      <c r="G591" s="536"/>
      <c r="I591" s="536"/>
      <c r="K591" s="536"/>
    </row>
    <row r="592" ht="15.75" customHeight="1">
      <c r="A592" s="16"/>
      <c r="C592" s="536"/>
      <c r="E592" s="536"/>
      <c r="G592" s="536"/>
      <c r="I592" s="536"/>
      <c r="K592" s="536"/>
    </row>
    <row r="593" ht="15.75" customHeight="1">
      <c r="A593" s="16"/>
      <c r="C593" s="536"/>
      <c r="E593" s="536"/>
      <c r="G593" s="536"/>
      <c r="I593" s="536"/>
      <c r="K593" s="536"/>
    </row>
    <row r="594" ht="15.75" customHeight="1">
      <c r="A594" s="16"/>
      <c r="C594" s="536"/>
      <c r="E594" s="536"/>
      <c r="G594" s="536"/>
      <c r="I594" s="536"/>
      <c r="K594" s="536"/>
    </row>
    <row r="595" ht="15.75" customHeight="1">
      <c r="A595" s="16"/>
      <c r="C595" s="536"/>
      <c r="E595" s="536"/>
      <c r="G595" s="536"/>
      <c r="I595" s="536"/>
      <c r="K595" s="536"/>
    </row>
    <row r="596" ht="15.75" customHeight="1">
      <c r="A596" s="16"/>
      <c r="C596" s="536"/>
      <c r="E596" s="536"/>
      <c r="G596" s="536"/>
      <c r="I596" s="536"/>
      <c r="K596" s="536"/>
    </row>
    <row r="597" ht="15.75" customHeight="1">
      <c r="A597" s="16"/>
      <c r="C597" s="536"/>
      <c r="E597" s="536"/>
      <c r="G597" s="536"/>
      <c r="I597" s="536"/>
      <c r="K597" s="536"/>
    </row>
    <row r="598" ht="15.75" customHeight="1">
      <c r="A598" s="16"/>
      <c r="C598" s="536"/>
      <c r="E598" s="536"/>
      <c r="G598" s="536"/>
      <c r="I598" s="536"/>
      <c r="K598" s="536"/>
    </row>
    <row r="599" ht="15.75" customHeight="1">
      <c r="A599" s="16"/>
      <c r="C599" s="536"/>
      <c r="E599" s="536"/>
      <c r="G599" s="536"/>
      <c r="I599" s="536"/>
      <c r="K599" s="536"/>
    </row>
    <row r="600" ht="15.75" customHeight="1">
      <c r="A600" s="16"/>
      <c r="C600" s="536"/>
      <c r="E600" s="536"/>
      <c r="G600" s="536"/>
      <c r="I600" s="536"/>
      <c r="K600" s="536"/>
    </row>
    <row r="601" ht="15.75" customHeight="1">
      <c r="A601" s="16"/>
      <c r="C601" s="536"/>
      <c r="E601" s="536"/>
      <c r="G601" s="536"/>
      <c r="I601" s="536"/>
      <c r="K601" s="536"/>
    </row>
    <row r="602" ht="15.75" customHeight="1">
      <c r="A602" s="16"/>
      <c r="C602" s="536"/>
      <c r="E602" s="536"/>
      <c r="G602" s="536"/>
      <c r="I602" s="536"/>
      <c r="K602" s="536"/>
    </row>
    <row r="603" ht="15.75" customHeight="1">
      <c r="A603" s="16"/>
      <c r="C603" s="536"/>
      <c r="E603" s="536"/>
      <c r="G603" s="536"/>
      <c r="I603" s="536"/>
      <c r="K603" s="536"/>
    </row>
    <row r="604" ht="15.75" customHeight="1">
      <c r="A604" s="16"/>
      <c r="C604" s="536"/>
      <c r="E604" s="536"/>
      <c r="G604" s="536"/>
      <c r="I604" s="536"/>
      <c r="K604" s="536"/>
    </row>
    <row r="605" ht="15.75" customHeight="1">
      <c r="A605" s="16"/>
      <c r="C605" s="536"/>
      <c r="E605" s="536"/>
      <c r="G605" s="536"/>
      <c r="I605" s="536"/>
      <c r="K605" s="536"/>
    </row>
    <row r="606" ht="15.75" customHeight="1">
      <c r="A606" s="16"/>
      <c r="C606" s="536"/>
      <c r="E606" s="536"/>
      <c r="G606" s="536"/>
      <c r="I606" s="536"/>
      <c r="K606" s="536"/>
    </row>
    <row r="607" ht="15.75" customHeight="1">
      <c r="A607" s="16"/>
      <c r="C607" s="536"/>
      <c r="E607" s="536"/>
      <c r="G607" s="536"/>
      <c r="I607" s="536"/>
      <c r="K607" s="536"/>
    </row>
    <row r="608" ht="15.75" customHeight="1">
      <c r="A608" s="16"/>
      <c r="C608" s="536"/>
      <c r="E608" s="536"/>
      <c r="G608" s="536"/>
      <c r="I608" s="536"/>
      <c r="K608" s="536"/>
    </row>
    <row r="609" ht="15.75" customHeight="1">
      <c r="A609" s="16"/>
      <c r="C609" s="536"/>
      <c r="E609" s="536"/>
      <c r="G609" s="536"/>
      <c r="I609" s="536"/>
      <c r="K609" s="536"/>
    </row>
    <row r="610" ht="15.75" customHeight="1">
      <c r="A610" s="16"/>
      <c r="C610" s="536"/>
      <c r="E610" s="536"/>
      <c r="G610" s="536"/>
      <c r="I610" s="536"/>
      <c r="K610" s="536"/>
    </row>
    <row r="611" ht="15.75" customHeight="1">
      <c r="A611" s="16"/>
      <c r="C611" s="536"/>
      <c r="E611" s="536"/>
      <c r="G611" s="536"/>
      <c r="I611" s="536"/>
      <c r="K611" s="536"/>
    </row>
    <row r="612" ht="15.75" customHeight="1">
      <c r="A612" s="16"/>
      <c r="C612" s="536"/>
      <c r="E612" s="536"/>
      <c r="G612" s="536"/>
      <c r="I612" s="536"/>
      <c r="K612" s="536"/>
    </row>
    <row r="613" ht="15.75" customHeight="1">
      <c r="A613" s="16"/>
      <c r="C613" s="536"/>
      <c r="E613" s="536"/>
      <c r="G613" s="536"/>
      <c r="I613" s="536"/>
      <c r="K613" s="536"/>
    </row>
    <row r="614" ht="15.75" customHeight="1">
      <c r="A614" s="16"/>
      <c r="C614" s="536"/>
      <c r="E614" s="536"/>
      <c r="G614" s="536"/>
      <c r="I614" s="536"/>
      <c r="K614" s="536"/>
    </row>
    <row r="615" ht="15.75" customHeight="1">
      <c r="A615" s="16"/>
      <c r="C615" s="536"/>
      <c r="E615" s="536"/>
      <c r="G615" s="536"/>
      <c r="I615" s="536"/>
      <c r="K615" s="536"/>
    </row>
    <row r="616" ht="15.75" customHeight="1">
      <c r="A616" s="16"/>
      <c r="C616" s="536"/>
      <c r="E616" s="536"/>
      <c r="G616" s="536"/>
      <c r="I616" s="536"/>
      <c r="K616" s="536"/>
    </row>
    <row r="617" ht="15.75" customHeight="1">
      <c r="A617" s="16"/>
      <c r="C617" s="536"/>
      <c r="E617" s="536"/>
      <c r="G617" s="536"/>
      <c r="I617" s="536"/>
      <c r="K617" s="536"/>
    </row>
    <row r="618" ht="15.75" customHeight="1">
      <c r="A618" s="16"/>
      <c r="C618" s="536"/>
      <c r="E618" s="536"/>
      <c r="G618" s="536"/>
      <c r="I618" s="536"/>
      <c r="K618" s="536"/>
    </row>
    <row r="619" ht="15.75" customHeight="1">
      <c r="A619" s="16"/>
      <c r="C619" s="536"/>
      <c r="E619" s="536"/>
      <c r="G619" s="536"/>
      <c r="I619" s="536"/>
      <c r="K619" s="536"/>
    </row>
    <row r="620" ht="15.75" customHeight="1">
      <c r="A620" s="16"/>
      <c r="C620" s="536"/>
      <c r="E620" s="536"/>
      <c r="G620" s="536"/>
      <c r="I620" s="536"/>
      <c r="K620" s="536"/>
    </row>
    <row r="621" ht="15.75" customHeight="1">
      <c r="A621" s="16"/>
      <c r="C621" s="536"/>
      <c r="E621" s="536"/>
      <c r="G621" s="536"/>
      <c r="I621" s="536"/>
      <c r="K621" s="536"/>
    </row>
    <row r="622" ht="15.75" customHeight="1">
      <c r="A622" s="16"/>
      <c r="C622" s="536"/>
      <c r="E622" s="536"/>
      <c r="G622" s="536"/>
      <c r="I622" s="536"/>
      <c r="K622" s="536"/>
    </row>
    <row r="623" ht="15.75" customHeight="1">
      <c r="A623" s="16"/>
      <c r="C623" s="536"/>
      <c r="E623" s="536"/>
      <c r="G623" s="536"/>
      <c r="I623" s="536"/>
      <c r="K623" s="536"/>
    </row>
    <row r="624" ht="15.75" customHeight="1">
      <c r="A624" s="16"/>
      <c r="C624" s="536"/>
      <c r="E624" s="536"/>
      <c r="G624" s="536"/>
      <c r="I624" s="536"/>
      <c r="K624" s="536"/>
    </row>
    <row r="625" ht="15.75" customHeight="1">
      <c r="A625" s="16"/>
      <c r="C625" s="536"/>
      <c r="E625" s="536"/>
      <c r="G625" s="536"/>
      <c r="I625" s="536"/>
      <c r="K625" s="536"/>
    </row>
    <row r="626" ht="15.75" customHeight="1">
      <c r="A626" s="16"/>
      <c r="C626" s="536"/>
      <c r="E626" s="536"/>
      <c r="G626" s="536"/>
      <c r="I626" s="536"/>
      <c r="K626" s="536"/>
    </row>
    <row r="627" ht="15.75" customHeight="1">
      <c r="A627" s="16"/>
      <c r="C627" s="536"/>
      <c r="E627" s="536"/>
      <c r="G627" s="536"/>
      <c r="I627" s="536"/>
      <c r="K627" s="536"/>
    </row>
    <row r="628" ht="15.75" customHeight="1">
      <c r="A628" s="16"/>
      <c r="C628" s="536"/>
      <c r="E628" s="536"/>
      <c r="G628" s="536"/>
      <c r="I628" s="536"/>
      <c r="K628" s="536"/>
    </row>
    <row r="629" ht="15.75" customHeight="1">
      <c r="A629" s="16"/>
      <c r="C629" s="536"/>
      <c r="E629" s="536"/>
      <c r="G629" s="536"/>
      <c r="I629" s="536"/>
      <c r="K629" s="536"/>
    </row>
    <row r="630" ht="15.75" customHeight="1">
      <c r="A630" s="16"/>
      <c r="C630" s="536"/>
      <c r="E630" s="536"/>
      <c r="G630" s="536"/>
      <c r="I630" s="536"/>
      <c r="K630" s="536"/>
    </row>
    <row r="631" ht="15.75" customHeight="1">
      <c r="A631" s="16"/>
      <c r="C631" s="536"/>
      <c r="E631" s="536"/>
      <c r="G631" s="536"/>
      <c r="I631" s="536"/>
      <c r="K631" s="536"/>
    </row>
    <row r="632" ht="15.75" customHeight="1">
      <c r="A632" s="16"/>
      <c r="C632" s="536"/>
      <c r="E632" s="536"/>
      <c r="G632" s="536"/>
      <c r="I632" s="536"/>
      <c r="K632" s="536"/>
    </row>
    <row r="633" ht="15.75" customHeight="1">
      <c r="A633" s="16"/>
      <c r="C633" s="536"/>
      <c r="E633" s="536"/>
      <c r="G633" s="536"/>
      <c r="I633" s="536"/>
      <c r="K633" s="536"/>
    </row>
    <row r="634" ht="15.75" customHeight="1">
      <c r="A634" s="16"/>
      <c r="C634" s="536"/>
      <c r="E634" s="536"/>
      <c r="G634" s="536"/>
      <c r="I634" s="536"/>
      <c r="K634" s="536"/>
    </row>
    <row r="635" ht="15.75" customHeight="1">
      <c r="A635" s="16"/>
      <c r="C635" s="536"/>
      <c r="E635" s="536"/>
      <c r="G635" s="536"/>
      <c r="I635" s="536"/>
      <c r="K635" s="536"/>
    </row>
    <row r="636" ht="15.75" customHeight="1">
      <c r="A636" s="16"/>
      <c r="C636" s="536"/>
      <c r="E636" s="536"/>
      <c r="G636" s="536"/>
      <c r="I636" s="536"/>
      <c r="K636" s="536"/>
    </row>
    <row r="637" ht="15.75" customHeight="1">
      <c r="A637" s="16"/>
      <c r="C637" s="536"/>
      <c r="E637" s="536"/>
      <c r="G637" s="536"/>
      <c r="I637" s="536"/>
      <c r="K637" s="536"/>
    </row>
    <row r="638" ht="15.75" customHeight="1">
      <c r="A638" s="16"/>
      <c r="C638" s="536"/>
      <c r="E638" s="536"/>
      <c r="G638" s="536"/>
      <c r="I638" s="536"/>
      <c r="K638" s="536"/>
    </row>
    <row r="639" ht="15.75" customHeight="1">
      <c r="A639" s="16"/>
      <c r="C639" s="536"/>
      <c r="E639" s="536"/>
      <c r="G639" s="536"/>
      <c r="I639" s="536"/>
      <c r="K639" s="536"/>
    </row>
    <row r="640" ht="15.75" customHeight="1">
      <c r="A640" s="16"/>
      <c r="C640" s="536"/>
      <c r="E640" s="536"/>
      <c r="G640" s="536"/>
      <c r="I640" s="536"/>
      <c r="K640" s="536"/>
    </row>
    <row r="641" ht="15.75" customHeight="1">
      <c r="A641" s="16"/>
      <c r="C641" s="536"/>
      <c r="E641" s="536"/>
      <c r="G641" s="536"/>
      <c r="I641" s="536"/>
      <c r="K641" s="536"/>
    </row>
    <row r="642" ht="15.75" customHeight="1">
      <c r="A642" s="16"/>
      <c r="C642" s="536"/>
      <c r="E642" s="536"/>
      <c r="G642" s="536"/>
      <c r="I642" s="536"/>
      <c r="K642" s="536"/>
    </row>
    <row r="643" ht="15.75" customHeight="1">
      <c r="A643" s="16"/>
      <c r="C643" s="536"/>
      <c r="E643" s="536"/>
      <c r="G643" s="536"/>
      <c r="I643" s="536"/>
      <c r="K643" s="536"/>
    </row>
    <row r="644" ht="15.75" customHeight="1">
      <c r="A644" s="16"/>
      <c r="C644" s="536"/>
      <c r="E644" s="536"/>
      <c r="G644" s="536"/>
      <c r="I644" s="536"/>
      <c r="K644" s="536"/>
    </row>
    <row r="645" ht="15.75" customHeight="1">
      <c r="A645" s="16"/>
      <c r="C645" s="536"/>
      <c r="E645" s="536"/>
      <c r="G645" s="536"/>
      <c r="I645" s="536"/>
      <c r="K645" s="536"/>
    </row>
    <row r="646" ht="15.75" customHeight="1">
      <c r="A646" s="16"/>
      <c r="C646" s="536"/>
      <c r="E646" s="536"/>
      <c r="G646" s="536"/>
      <c r="I646" s="536"/>
      <c r="K646" s="536"/>
    </row>
    <row r="647" ht="15.75" customHeight="1">
      <c r="A647" s="16"/>
      <c r="C647" s="536"/>
      <c r="E647" s="536"/>
      <c r="G647" s="536"/>
      <c r="I647" s="536"/>
      <c r="K647" s="536"/>
    </row>
    <row r="648" ht="15.75" customHeight="1">
      <c r="A648" s="16"/>
      <c r="C648" s="536"/>
      <c r="E648" s="536"/>
      <c r="G648" s="536"/>
      <c r="I648" s="536"/>
      <c r="K648" s="536"/>
    </row>
    <row r="649" ht="15.75" customHeight="1">
      <c r="A649" s="16"/>
      <c r="C649" s="536"/>
      <c r="E649" s="536"/>
      <c r="G649" s="536"/>
      <c r="I649" s="536"/>
      <c r="K649" s="536"/>
    </row>
    <row r="650" ht="15.75" customHeight="1">
      <c r="A650" s="16"/>
      <c r="C650" s="536"/>
      <c r="E650" s="536"/>
      <c r="G650" s="536"/>
      <c r="I650" s="536"/>
      <c r="K650" s="536"/>
    </row>
    <row r="651" ht="15.75" customHeight="1">
      <c r="A651" s="16"/>
      <c r="C651" s="536"/>
      <c r="E651" s="536"/>
      <c r="G651" s="536"/>
      <c r="I651" s="536"/>
      <c r="K651" s="536"/>
    </row>
    <row r="652" ht="15.75" customHeight="1">
      <c r="A652" s="16"/>
      <c r="C652" s="536"/>
      <c r="E652" s="536"/>
      <c r="G652" s="536"/>
      <c r="I652" s="536"/>
      <c r="K652" s="536"/>
    </row>
    <row r="653" ht="15.75" customHeight="1">
      <c r="A653" s="16"/>
      <c r="C653" s="536"/>
      <c r="E653" s="536"/>
      <c r="G653" s="536"/>
      <c r="I653" s="536"/>
      <c r="K653" s="536"/>
    </row>
    <row r="654" ht="15.75" customHeight="1">
      <c r="A654" s="16"/>
      <c r="C654" s="536"/>
      <c r="E654" s="536"/>
      <c r="G654" s="536"/>
      <c r="I654" s="536"/>
      <c r="K654" s="536"/>
    </row>
    <row r="655" ht="15.75" customHeight="1">
      <c r="A655" s="16"/>
      <c r="C655" s="536"/>
      <c r="E655" s="536"/>
      <c r="G655" s="536"/>
      <c r="I655" s="536"/>
      <c r="K655" s="536"/>
    </row>
    <row r="656" ht="15.75" customHeight="1">
      <c r="A656" s="16"/>
      <c r="C656" s="536"/>
      <c r="E656" s="536"/>
      <c r="G656" s="536"/>
      <c r="I656" s="536"/>
      <c r="K656" s="536"/>
    </row>
    <row r="657" ht="15.75" customHeight="1">
      <c r="A657" s="16"/>
      <c r="C657" s="536"/>
      <c r="E657" s="536"/>
      <c r="G657" s="536"/>
      <c r="I657" s="536"/>
      <c r="K657" s="536"/>
    </row>
    <row r="658" ht="15.75" customHeight="1">
      <c r="A658" s="16"/>
      <c r="C658" s="536"/>
      <c r="E658" s="536"/>
      <c r="G658" s="536"/>
      <c r="I658" s="536"/>
      <c r="K658" s="536"/>
    </row>
    <row r="659" ht="15.75" customHeight="1">
      <c r="A659" s="16"/>
      <c r="C659" s="536"/>
      <c r="E659" s="536"/>
      <c r="G659" s="536"/>
      <c r="I659" s="536"/>
      <c r="K659" s="536"/>
    </row>
    <row r="660" ht="15.75" customHeight="1">
      <c r="A660" s="16"/>
      <c r="C660" s="536"/>
      <c r="E660" s="536"/>
      <c r="G660" s="536"/>
      <c r="I660" s="536"/>
      <c r="K660" s="536"/>
    </row>
    <row r="661" ht="15.75" customHeight="1">
      <c r="A661" s="16"/>
      <c r="C661" s="536"/>
      <c r="E661" s="536"/>
      <c r="G661" s="536"/>
      <c r="I661" s="536"/>
      <c r="K661" s="536"/>
    </row>
    <row r="662" ht="15.75" customHeight="1">
      <c r="A662" s="16"/>
      <c r="C662" s="536"/>
      <c r="E662" s="536"/>
      <c r="G662" s="536"/>
      <c r="I662" s="536"/>
      <c r="K662" s="536"/>
    </row>
    <row r="663" ht="15.75" customHeight="1">
      <c r="A663" s="16"/>
      <c r="C663" s="536"/>
      <c r="E663" s="536"/>
      <c r="G663" s="536"/>
      <c r="I663" s="536"/>
      <c r="K663" s="536"/>
    </row>
    <row r="664" ht="15.75" customHeight="1">
      <c r="A664" s="16"/>
      <c r="C664" s="536"/>
      <c r="E664" s="536"/>
      <c r="G664" s="536"/>
      <c r="I664" s="536"/>
      <c r="K664" s="536"/>
    </row>
    <row r="665" ht="15.75" customHeight="1">
      <c r="A665" s="16"/>
      <c r="C665" s="536"/>
      <c r="E665" s="536"/>
      <c r="G665" s="536"/>
      <c r="I665" s="536"/>
      <c r="K665" s="536"/>
    </row>
    <row r="666" ht="15.75" customHeight="1">
      <c r="A666" s="16"/>
      <c r="C666" s="536"/>
      <c r="E666" s="536"/>
      <c r="G666" s="536"/>
      <c r="I666" s="536"/>
      <c r="K666" s="536"/>
    </row>
    <row r="667" ht="15.75" customHeight="1">
      <c r="A667" s="16"/>
      <c r="C667" s="536"/>
      <c r="E667" s="536"/>
      <c r="G667" s="536"/>
      <c r="I667" s="536"/>
      <c r="K667" s="536"/>
    </row>
    <row r="668" ht="15.75" customHeight="1">
      <c r="A668" s="16"/>
      <c r="C668" s="536"/>
      <c r="E668" s="536"/>
      <c r="G668" s="536"/>
      <c r="I668" s="536"/>
      <c r="K668" s="536"/>
    </row>
    <row r="669" ht="15.75" customHeight="1">
      <c r="A669" s="16"/>
      <c r="C669" s="536"/>
      <c r="E669" s="536"/>
      <c r="G669" s="536"/>
      <c r="I669" s="536"/>
      <c r="K669" s="536"/>
    </row>
    <row r="670" ht="15.75" customHeight="1">
      <c r="A670" s="16"/>
      <c r="C670" s="536"/>
      <c r="E670" s="536"/>
      <c r="G670" s="536"/>
      <c r="I670" s="536"/>
      <c r="K670" s="536"/>
    </row>
    <row r="671" ht="15.75" customHeight="1">
      <c r="A671" s="16"/>
      <c r="C671" s="536"/>
      <c r="E671" s="536"/>
      <c r="G671" s="536"/>
      <c r="I671" s="536"/>
      <c r="K671" s="536"/>
    </row>
    <row r="672" ht="15.75" customHeight="1">
      <c r="A672" s="16"/>
      <c r="C672" s="536"/>
      <c r="E672" s="536"/>
      <c r="G672" s="536"/>
      <c r="I672" s="536"/>
      <c r="K672" s="536"/>
    </row>
    <row r="673" ht="15.75" customHeight="1">
      <c r="A673" s="16"/>
      <c r="C673" s="536"/>
      <c r="E673" s="536"/>
      <c r="G673" s="536"/>
      <c r="I673" s="536"/>
      <c r="K673" s="536"/>
    </row>
    <row r="674" ht="15.75" customHeight="1">
      <c r="A674" s="16"/>
      <c r="C674" s="536"/>
      <c r="E674" s="536"/>
      <c r="G674" s="536"/>
      <c r="I674" s="536"/>
      <c r="K674" s="536"/>
    </row>
    <row r="675" ht="15.75" customHeight="1">
      <c r="A675" s="16"/>
      <c r="C675" s="536"/>
      <c r="E675" s="536"/>
      <c r="G675" s="536"/>
      <c r="I675" s="536"/>
      <c r="K675" s="536"/>
    </row>
    <row r="676" ht="15.75" customHeight="1">
      <c r="A676" s="16"/>
      <c r="C676" s="536"/>
      <c r="E676" s="536"/>
      <c r="G676" s="536"/>
      <c r="I676" s="536"/>
      <c r="K676" s="536"/>
    </row>
    <row r="677" ht="15.75" customHeight="1">
      <c r="A677" s="16"/>
      <c r="C677" s="536"/>
      <c r="E677" s="536"/>
      <c r="G677" s="536"/>
      <c r="I677" s="536"/>
      <c r="K677" s="536"/>
    </row>
    <row r="678" ht="15.75" customHeight="1">
      <c r="A678" s="16"/>
      <c r="C678" s="536"/>
      <c r="E678" s="536"/>
      <c r="G678" s="536"/>
      <c r="I678" s="536"/>
      <c r="K678" s="536"/>
    </row>
    <row r="679" ht="15.75" customHeight="1">
      <c r="A679" s="16"/>
      <c r="C679" s="536"/>
      <c r="E679" s="536"/>
      <c r="G679" s="536"/>
      <c r="I679" s="536"/>
      <c r="K679" s="536"/>
    </row>
    <row r="680" ht="15.75" customHeight="1">
      <c r="A680" s="16"/>
      <c r="C680" s="536"/>
      <c r="E680" s="536"/>
      <c r="G680" s="536"/>
      <c r="I680" s="536"/>
      <c r="K680" s="536"/>
    </row>
    <row r="681" ht="15.75" customHeight="1">
      <c r="A681" s="16"/>
      <c r="C681" s="536"/>
      <c r="E681" s="536"/>
      <c r="G681" s="536"/>
      <c r="I681" s="536"/>
      <c r="K681" s="536"/>
    </row>
    <row r="682" ht="15.75" customHeight="1">
      <c r="A682" s="16"/>
      <c r="C682" s="536"/>
      <c r="E682" s="536"/>
      <c r="G682" s="536"/>
      <c r="I682" s="536"/>
      <c r="K682" s="536"/>
    </row>
    <row r="683" ht="15.75" customHeight="1">
      <c r="A683" s="16"/>
      <c r="C683" s="536"/>
      <c r="E683" s="536"/>
      <c r="G683" s="536"/>
      <c r="I683" s="536"/>
      <c r="K683" s="536"/>
    </row>
    <row r="684" ht="15.75" customHeight="1">
      <c r="A684" s="16"/>
      <c r="C684" s="536"/>
      <c r="E684" s="536"/>
      <c r="G684" s="536"/>
      <c r="I684" s="536"/>
      <c r="K684" s="536"/>
    </row>
    <row r="685" ht="15.75" customHeight="1">
      <c r="A685" s="16"/>
      <c r="C685" s="536"/>
      <c r="E685" s="536"/>
      <c r="G685" s="536"/>
      <c r="I685" s="536"/>
      <c r="K685" s="536"/>
    </row>
    <row r="686" ht="15.75" customHeight="1">
      <c r="A686" s="16"/>
      <c r="C686" s="536"/>
      <c r="E686" s="536"/>
      <c r="G686" s="536"/>
      <c r="I686" s="536"/>
      <c r="K686" s="536"/>
    </row>
    <row r="687" ht="15.75" customHeight="1">
      <c r="A687" s="16"/>
      <c r="C687" s="536"/>
      <c r="E687" s="536"/>
      <c r="G687" s="536"/>
      <c r="I687" s="536"/>
      <c r="K687" s="536"/>
    </row>
    <row r="688" ht="15.75" customHeight="1">
      <c r="A688" s="16"/>
      <c r="C688" s="536"/>
      <c r="E688" s="536"/>
      <c r="G688" s="536"/>
      <c r="I688" s="536"/>
      <c r="K688" s="536"/>
    </row>
    <row r="689" ht="15.75" customHeight="1">
      <c r="A689" s="16"/>
      <c r="C689" s="536"/>
      <c r="E689" s="536"/>
      <c r="G689" s="536"/>
      <c r="I689" s="536"/>
      <c r="K689" s="536"/>
    </row>
    <row r="690" ht="15.75" customHeight="1">
      <c r="A690" s="16"/>
      <c r="C690" s="536"/>
      <c r="E690" s="536"/>
      <c r="G690" s="536"/>
      <c r="I690" s="536"/>
      <c r="K690" s="536"/>
    </row>
    <row r="691" ht="15.75" customHeight="1">
      <c r="A691" s="16"/>
      <c r="C691" s="536"/>
      <c r="E691" s="536"/>
      <c r="G691" s="536"/>
      <c r="I691" s="536"/>
      <c r="K691" s="536"/>
    </row>
    <row r="692" ht="15.75" customHeight="1">
      <c r="A692" s="16"/>
      <c r="C692" s="536"/>
      <c r="E692" s="536"/>
      <c r="G692" s="536"/>
      <c r="I692" s="536"/>
      <c r="K692" s="536"/>
    </row>
    <row r="693" ht="15.75" customHeight="1">
      <c r="A693" s="16"/>
      <c r="C693" s="536"/>
      <c r="E693" s="536"/>
      <c r="G693" s="536"/>
      <c r="I693" s="536"/>
      <c r="K693" s="536"/>
    </row>
    <row r="694" ht="15.75" customHeight="1">
      <c r="A694" s="16"/>
      <c r="C694" s="536"/>
      <c r="E694" s="536"/>
      <c r="G694" s="536"/>
      <c r="I694" s="536"/>
      <c r="K694" s="536"/>
    </row>
    <row r="695" ht="15.75" customHeight="1">
      <c r="A695" s="16"/>
      <c r="C695" s="536"/>
      <c r="E695" s="536"/>
      <c r="G695" s="536"/>
      <c r="I695" s="536"/>
      <c r="K695" s="536"/>
    </row>
    <row r="696" ht="15.75" customHeight="1">
      <c r="A696" s="16"/>
      <c r="C696" s="536"/>
      <c r="E696" s="536"/>
      <c r="G696" s="536"/>
      <c r="I696" s="536"/>
      <c r="K696" s="536"/>
    </row>
    <row r="697" ht="15.75" customHeight="1">
      <c r="A697" s="16"/>
      <c r="C697" s="536"/>
      <c r="E697" s="536"/>
      <c r="G697" s="536"/>
      <c r="I697" s="536"/>
      <c r="K697" s="536"/>
    </row>
    <row r="698" ht="15.75" customHeight="1">
      <c r="A698" s="16"/>
      <c r="C698" s="536"/>
      <c r="E698" s="536"/>
      <c r="G698" s="536"/>
      <c r="I698" s="536"/>
      <c r="K698" s="536"/>
    </row>
    <row r="699" ht="15.75" customHeight="1">
      <c r="A699" s="16"/>
      <c r="C699" s="536"/>
      <c r="E699" s="536"/>
      <c r="G699" s="536"/>
      <c r="I699" s="536"/>
      <c r="K699" s="536"/>
    </row>
    <row r="700" ht="15.75" customHeight="1">
      <c r="A700" s="16"/>
      <c r="C700" s="536"/>
      <c r="E700" s="536"/>
      <c r="G700" s="536"/>
      <c r="I700" s="536"/>
      <c r="K700" s="536"/>
    </row>
    <row r="701" ht="15.75" customHeight="1">
      <c r="A701" s="16"/>
      <c r="C701" s="536"/>
      <c r="E701" s="536"/>
      <c r="G701" s="536"/>
      <c r="I701" s="536"/>
      <c r="K701" s="536"/>
    </row>
    <row r="702" ht="15.75" customHeight="1">
      <c r="A702" s="16"/>
      <c r="C702" s="536"/>
      <c r="E702" s="536"/>
      <c r="G702" s="536"/>
      <c r="I702" s="536"/>
      <c r="K702" s="536"/>
    </row>
    <row r="703" ht="15.75" customHeight="1">
      <c r="A703" s="16"/>
      <c r="C703" s="536"/>
      <c r="E703" s="536"/>
      <c r="G703" s="536"/>
      <c r="I703" s="536"/>
      <c r="K703" s="536"/>
    </row>
    <row r="704" ht="15.75" customHeight="1">
      <c r="A704" s="16"/>
      <c r="C704" s="536"/>
      <c r="E704" s="536"/>
      <c r="G704" s="536"/>
      <c r="I704" s="536"/>
      <c r="K704" s="536"/>
    </row>
    <row r="705" ht="15.75" customHeight="1">
      <c r="A705" s="16"/>
      <c r="C705" s="536"/>
      <c r="E705" s="536"/>
      <c r="G705" s="536"/>
      <c r="I705" s="536"/>
      <c r="K705" s="536"/>
    </row>
    <row r="706" ht="15.75" customHeight="1">
      <c r="A706" s="16"/>
      <c r="C706" s="536"/>
      <c r="E706" s="536"/>
      <c r="G706" s="536"/>
      <c r="I706" s="536"/>
      <c r="K706" s="536"/>
    </row>
    <row r="707" ht="15.75" customHeight="1">
      <c r="A707" s="16"/>
      <c r="C707" s="536"/>
      <c r="E707" s="536"/>
      <c r="G707" s="536"/>
      <c r="I707" s="536"/>
      <c r="K707" s="536"/>
    </row>
    <row r="708" ht="15.75" customHeight="1">
      <c r="A708" s="16"/>
      <c r="C708" s="536"/>
      <c r="E708" s="536"/>
      <c r="G708" s="536"/>
      <c r="I708" s="536"/>
      <c r="K708" s="536"/>
    </row>
    <row r="709" ht="15.75" customHeight="1">
      <c r="A709" s="16"/>
      <c r="C709" s="536"/>
      <c r="E709" s="536"/>
      <c r="G709" s="536"/>
      <c r="I709" s="536"/>
      <c r="K709" s="536"/>
    </row>
    <row r="710" ht="15.75" customHeight="1">
      <c r="A710" s="16"/>
      <c r="C710" s="536"/>
      <c r="E710" s="536"/>
      <c r="G710" s="536"/>
      <c r="I710" s="536"/>
      <c r="K710" s="536"/>
    </row>
    <row r="711" ht="15.75" customHeight="1">
      <c r="A711" s="16"/>
      <c r="C711" s="536"/>
      <c r="E711" s="536"/>
      <c r="G711" s="536"/>
      <c r="I711" s="536"/>
      <c r="K711" s="536"/>
    </row>
    <row r="712" ht="15.75" customHeight="1">
      <c r="A712" s="16"/>
      <c r="C712" s="536"/>
      <c r="E712" s="536"/>
      <c r="G712" s="536"/>
      <c r="I712" s="536"/>
      <c r="K712" s="536"/>
    </row>
    <row r="713" ht="15.75" customHeight="1">
      <c r="A713" s="16"/>
      <c r="C713" s="536"/>
      <c r="E713" s="536"/>
      <c r="G713" s="536"/>
      <c r="I713" s="536"/>
      <c r="K713" s="536"/>
    </row>
    <row r="714" ht="15.75" customHeight="1">
      <c r="A714" s="16"/>
      <c r="C714" s="536"/>
      <c r="E714" s="536"/>
      <c r="G714" s="536"/>
      <c r="I714" s="536"/>
      <c r="K714" s="536"/>
    </row>
    <row r="715" ht="15.75" customHeight="1">
      <c r="A715" s="16"/>
      <c r="C715" s="536"/>
      <c r="E715" s="536"/>
      <c r="G715" s="536"/>
      <c r="I715" s="536"/>
      <c r="K715" s="536"/>
    </row>
    <row r="716" ht="15.75" customHeight="1">
      <c r="A716" s="16"/>
      <c r="C716" s="536"/>
      <c r="E716" s="536"/>
      <c r="G716" s="536"/>
      <c r="I716" s="536"/>
      <c r="K716" s="536"/>
    </row>
    <row r="717" ht="15.75" customHeight="1">
      <c r="A717" s="16"/>
      <c r="C717" s="536"/>
      <c r="E717" s="536"/>
      <c r="G717" s="536"/>
      <c r="I717" s="536"/>
      <c r="K717" s="536"/>
    </row>
    <row r="718" ht="15.75" customHeight="1">
      <c r="A718" s="16"/>
      <c r="C718" s="536"/>
      <c r="E718" s="536"/>
      <c r="G718" s="536"/>
      <c r="I718" s="536"/>
      <c r="K718" s="536"/>
    </row>
    <row r="719" ht="15.75" customHeight="1">
      <c r="A719" s="16"/>
      <c r="C719" s="536"/>
      <c r="E719" s="536"/>
      <c r="G719" s="536"/>
      <c r="I719" s="536"/>
      <c r="K719" s="536"/>
    </row>
    <row r="720" ht="15.75" customHeight="1">
      <c r="A720" s="16"/>
      <c r="C720" s="536"/>
      <c r="E720" s="536"/>
      <c r="G720" s="536"/>
      <c r="I720" s="536"/>
      <c r="K720" s="536"/>
    </row>
    <row r="721" ht="15.75" customHeight="1">
      <c r="A721" s="16"/>
      <c r="C721" s="536"/>
      <c r="E721" s="536"/>
      <c r="G721" s="536"/>
      <c r="I721" s="536"/>
      <c r="K721" s="536"/>
    </row>
    <row r="722" ht="15.75" customHeight="1">
      <c r="A722" s="16"/>
      <c r="C722" s="536"/>
      <c r="E722" s="536"/>
      <c r="G722" s="536"/>
      <c r="I722" s="536"/>
      <c r="K722" s="536"/>
    </row>
    <row r="723" ht="15.75" customHeight="1">
      <c r="A723" s="16"/>
      <c r="C723" s="536"/>
      <c r="E723" s="536"/>
      <c r="G723" s="536"/>
      <c r="I723" s="536"/>
      <c r="K723" s="536"/>
    </row>
    <row r="724" ht="15.75" customHeight="1">
      <c r="A724" s="16"/>
      <c r="C724" s="536"/>
      <c r="E724" s="536"/>
      <c r="G724" s="536"/>
      <c r="I724" s="536"/>
      <c r="K724" s="536"/>
    </row>
    <row r="725" ht="15.75" customHeight="1">
      <c r="A725" s="16"/>
      <c r="C725" s="536"/>
      <c r="E725" s="536"/>
      <c r="G725" s="536"/>
      <c r="I725" s="536"/>
      <c r="K725" s="536"/>
    </row>
    <row r="726" ht="15.75" customHeight="1">
      <c r="A726" s="16"/>
      <c r="C726" s="536"/>
      <c r="E726" s="536"/>
      <c r="G726" s="536"/>
      <c r="I726" s="536"/>
      <c r="K726" s="536"/>
    </row>
    <row r="727" ht="15.75" customHeight="1">
      <c r="A727" s="16"/>
      <c r="C727" s="536"/>
      <c r="E727" s="536"/>
      <c r="G727" s="536"/>
      <c r="I727" s="536"/>
      <c r="K727" s="536"/>
    </row>
    <row r="728" ht="15.75" customHeight="1">
      <c r="A728" s="16"/>
      <c r="C728" s="536"/>
      <c r="E728" s="536"/>
      <c r="G728" s="536"/>
      <c r="I728" s="536"/>
      <c r="K728" s="536"/>
    </row>
    <row r="729" ht="15.75" customHeight="1">
      <c r="A729" s="16"/>
      <c r="C729" s="536"/>
      <c r="E729" s="536"/>
      <c r="G729" s="536"/>
      <c r="I729" s="536"/>
      <c r="K729" s="536"/>
    </row>
    <row r="730" ht="15.75" customHeight="1">
      <c r="A730" s="16"/>
      <c r="C730" s="536"/>
      <c r="E730" s="536"/>
      <c r="G730" s="536"/>
      <c r="I730" s="536"/>
      <c r="K730" s="536"/>
    </row>
    <row r="731" ht="15.75" customHeight="1">
      <c r="A731" s="16"/>
      <c r="C731" s="536"/>
      <c r="E731" s="536"/>
      <c r="G731" s="536"/>
      <c r="I731" s="536"/>
      <c r="K731" s="536"/>
    </row>
    <row r="732" ht="15.75" customHeight="1">
      <c r="A732" s="16"/>
      <c r="C732" s="536"/>
      <c r="E732" s="536"/>
      <c r="G732" s="536"/>
      <c r="I732" s="536"/>
      <c r="K732" s="536"/>
    </row>
    <row r="733" ht="15.75" customHeight="1">
      <c r="A733" s="16"/>
      <c r="C733" s="536"/>
      <c r="E733" s="536"/>
      <c r="G733" s="536"/>
      <c r="I733" s="536"/>
      <c r="K733" s="536"/>
    </row>
    <row r="734" ht="15.75" customHeight="1">
      <c r="A734" s="16"/>
      <c r="C734" s="536"/>
      <c r="E734" s="536"/>
      <c r="G734" s="536"/>
      <c r="I734" s="536"/>
      <c r="K734" s="536"/>
    </row>
    <row r="735" ht="15.75" customHeight="1">
      <c r="A735" s="16"/>
      <c r="C735" s="536"/>
      <c r="E735" s="536"/>
      <c r="G735" s="536"/>
      <c r="I735" s="536"/>
      <c r="K735" s="536"/>
    </row>
    <row r="736" ht="15.75" customHeight="1">
      <c r="A736" s="16"/>
      <c r="C736" s="536"/>
      <c r="E736" s="536"/>
      <c r="G736" s="536"/>
      <c r="I736" s="536"/>
      <c r="K736" s="536"/>
    </row>
    <row r="737" ht="15.75" customHeight="1">
      <c r="A737" s="16"/>
      <c r="C737" s="536"/>
      <c r="E737" s="536"/>
      <c r="G737" s="536"/>
      <c r="I737" s="536"/>
      <c r="K737" s="536"/>
    </row>
    <row r="738" ht="15.75" customHeight="1">
      <c r="A738" s="16"/>
      <c r="C738" s="536"/>
      <c r="E738" s="536"/>
      <c r="G738" s="536"/>
      <c r="I738" s="536"/>
      <c r="K738" s="536"/>
    </row>
    <row r="739" ht="15.75" customHeight="1">
      <c r="A739" s="16"/>
      <c r="C739" s="536"/>
      <c r="E739" s="536"/>
      <c r="G739" s="536"/>
      <c r="I739" s="536"/>
      <c r="K739" s="536"/>
    </row>
    <row r="740" ht="15.75" customHeight="1">
      <c r="A740" s="16"/>
      <c r="C740" s="536"/>
      <c r="E740" s="536"/>
      <c r="G740" s="536"/>
      <c r="I740" s="536"/>
      <c r="K740" s="536"/>
    </row>
    <row r="741" ht="15.75" customHeight="1">
      <c r="A741" s="16"/>
      <c r="C741" s="536"/>
      <c r="E741" s="536"/>
      <c r="G741" s="536"/>
      <c r="I741" s="536"/>
      <c r="K741" s="536"/>
    </row>
    <row r="742" ht="15.75" customHeight="1">
      <c r="A742" s="16"/>
      <c r="C742" s="536"/>
      <c r="E742" s="536"/>
      <c r="G742" s="536"/>
      <c r="I742" s="536"/>
      <c r="K742" s="536"/>
    </row>
    <row r="743" ht="15.75" customHeight="1">
      <c r="A743" s="16"/>
      <c r="C743" s="536"/>
      <c r="E743" s="536"/>
      <c r="G743" s="536"/>
      <c r="I743" s="536"/>
      <c r="K743" s="536"/>
    </row>
    <row r="744" ht="15.75" customHeight="1">
      <c r="A744" s="16"/>
      <c r="C744" s="536"/>
      <c r="E744" s="536"/>
      <c r="G744" s="536"/>
      <c r="I744" s="536"/>
      <c r="K744" s="536"/>
    </row>
    <row r="745" ht="15.75" customHeight="1">
      <c r="A745" s="16"/>
      <c r="C745" s="536"/>
      <c r="E745" s="536"/>
      <c r="G745" s="536"/>
      <c r="I745" s="536"/>
      <c r="K745" s="536"/>
    </row>
    <row r="746" ht="15.75" customHeight="1">
      <c r="A746" s="16"/>
      <c r="C746" s="536"/>
      <c r="E746" s="536"/>
      <c r="G746" s="536"/>
      <c r="I746" s="536"/>
      <c r="K746" s="536"/>
    </row>
    <row r="747" ht="15.75" customHeight="1">
      <c r="A747" s="16"/>
      <c r="C747" s="536"/>
      <c r="E747" s="536"/>
      <c r="G747" s="536"/>
      <c r="I747" s="536"/>
      <c r="K747" s="536"/>
    </row>
    <row r="748" ht="15.75" customHeight="1">
      <c r="A748" s="16"/>
      <c r="C748" s="536"/>
      <c r="E748" s="536"/>
      <c r="G748" s="536"/>
      <c r="I748" s="536"/>
      <c r="K748" s="536"/>
    </row>
    <row r="749" ht="15.75" customHeight="1">
      <c r="A749" s="16"/>
      <c r="C749" s="536"/>
      <c r="E749" s="536"/>
      <c r="G749" s="536"/>
      <c r="I749" s="536"/>
      <c r="K749" s="536"/>
    </row>
    <row r="750" ht="15.75" customHeight="1">
      <c r="A750" s="16"/>
      <c r="C750" s="536"/>
      <c r="E750" s="536"/>
      <c r="G750" s="536"/>
      <c r="I750" s="536"/>
      <c r="K750" s="536"/>
    </row>
    <row r="751" ht="15.75" customHeight="1">
      <c r="A751" s="16"/>
      <c r="C751" s="536"/>
      <c r="E751" s="536"/>
      <c r="G751" s="536"/>
      <c r="I751" s="536"/>
      <c r="K751" s="536"/>
    </row>
    <row r="752" ht="15.75" customHeight="1">
      <c r="A752" s="16"/>
      <c r="C752" s="536"/>
      <c r="E752" s="536"/>
      <c r="G752" s="536"/>
      <c r="I752" s="536"/>
      <c r="K752" s="536"/>
    </row>
    <row r="753" ht="15.75" customHeight="1">
      <c r="A753" s="16"/>
      <c r="C753" s="536"/>
      <c r="E753" s="536"/>
      <c r="G753" s="536"/>
      <c r="I753" s="536"/>
      <c r="K753" s="536"/>
    </row>
    <row r="754" ht="15.75" customHeight="1">
      <c r="A754" s="16"/>
      <c r="C754" s="536"/>
      <c r="E754" s="536"/>
      <c r="G754" s="536"/>
      <c r="I754" s="536"/>
      <c r="K754" s="536"/>
    </row>
    <row r="755" ht="15.75" customHeight="1">
      <c r="A755" s="16"/>
      <c r="C755" s="536"/>
      <c r="E755" s="536"/>
      <c r="G755" s="536"/>
      <c r="I755" s="536"/>
      <c r="K755" s="536"/>
    </row>
    <row r="756" ht="15.75" customHeight="1">
      <c r="A756" s="16"/>
      <c r="C756" s="536"/>
      <c r="E756" s="536"/>
      <c r="G756" s="536"/>
      <c r="I756" s="536"/>
      <c r="K756" s="536"/>
    </row>
    <row r="757" ht="15.75" customHeight="1">
      <c r="A757" s="16"/>
      <c r="C757" s="536"/>
      <c r="E757" s="536"/>
      <c r="G757" s="536"/>
      <c r="I757" s="536"/>
      <c r="K757" s="536"/>
    </row>
    <row r="758" ht="15.75" customHeight="1">
      <c r="A758" s="16"/>
      <c r="C758" s="536"/>
      <c r="E758" s="536"/>
      <c r="G758" s="536"/>
      <c r="I758" s="536"/>
      <c r="K758" s="536"/>
    </row>
    <row r="759" ht="15.75" customHeight="1">
      <c r="A759" s="16"/>
      <c r="C759" s="536"/>
      <c r="E759" s="536"/>
      <c r="G759" s="536"/>
      <c r="I759" s="536"/>
      <c r="K759" s="536"/>
    </row>
    <row r="760" ht="15.75" customHeight="1">
      <c r="A760" s="16"/>
      <c r="C760" s="536"/>
      <c r="E760" s="536"/>
      <c r="G760" s="536"/>
      <c r="I760" s="536"/>
      <c r="K760" s="536"/>
    </row>
    <row r="761" ht="15.75" customHeight="1">
      <c r="A761" s="16"/>
      <c r="C761" s="536"/>
      <c r="E761" s="536"/>
      <c r="G761" s="536"/>
      <c r="I761" s="536"/>
      <c r="K761" s="536"/>
    </row>
    <row r="762" ht="15.75" customHeight="1">
      <c r="A762" s="16"/>
      <c r="C762" s="536"/>
      <c r="E762" s="536"/>
      <c r="G762" s="536"/>
      <c r="I762" s="536"/>
      <c r="K762" s="536"/>
    </row>
    <row r="763" ht="15.75" customHeight="1">
      <c r="A763" s="16"/>
      <c r="C763" s="536"/>
      <c r="E763" s="536"/>
      <c r="G763" s="536"/>
      <c r="I763" s="536"/>
      <c r="K763" s="536"/>
    </row>
    <row r="764" ht="15.75" customHeight="1">
      <c r="A764" s="16"/>
      <c r="C764" s="536"/>
      <c r="E764" s="536"/>
      <c r="G764" s="536"/>
      <c r="I764" s="536"/>
      <c r="K764" s="536"/>
    </row>
    <row r="765" ht="15.75" customHeight="1">
      <c r="A765" s="16"/>
      <c r="C765" s="536"/>
      <c r="E765" s="536"/>
      <c r="G765" s="536"/>
      <c r="I765" s="536"/>
      <c r="K765" s="536"/>
    </row>
    <row r="766" ht="15.75" customHeight="1">
      <c r="A766" s="16"/>
      <c r="C766" s="536"/>
      <c r="E766" s="536"/>
      <c r="G766" s="536"/>
      <c r="I766" s="536"/>
      <c r="K766" s="536"/>
    </row>
    <row r="767" ht="15.75" customHeight="1">
      <c r="A767" s="16"/>
      <c r="C767" s="536"/>
      <c r="E767" s="536"/>
      <c r="G767" s="536"/>
      <c r="I767" s="536"/>
      <c r="K767" s="536"/>
    </row>
    <row r="768" ht="15.75" customHeight="1">
      <c r="A768" s="16"/>
      <c r="C768" s="536"/>
      <c r="E768" s="536"/>
      <c r="G768" s="536"/>
      <c r="I768" s="536"/>
      <c r="K768" s="536"/>
    </row>
    <row r="769" ht="15.75" customHeight="1">
      <c r="A769" s="16"/>
      <c r="C769" s="536"/>
      <c r="E769" s="536"/>
      <c r="G769" s="536"/>
      <c r="I769" s="536"/>
      <c r="K769" s="536"/>
    </row>
    <row r="770" ht="15.75" customHeight="1">
      <c r="A770" s="16"/>
      <c r="C770" s="536"/>
      <c r="E770" s="536"/>
      <c r="G770" s="536"/>
      <c r="I770" s="536"/>
      <c r="K770" s="536"/>
    </row>
    <row r="771" ht="15.75" customHeight="1">
      <c r="A771" s="16"/>
      <c r="C771" s="536"/>
      <c r="E771" s="536"/>
      <c r="G771" s="536"/>
      <c r="I771" s="536"/>
      <c r="K771" s="536"/>
    </row>
    <row r="772" ht="15.75" customHeight="1">
      <c r="A772" s="16"/>
      <c r="C772" s="536"/>
      <c r="E772" s="536"/>
      <c r="G772" s="536"/>
      <c r="I772" s="536"/>
      <c r="K772" s="536"/>
    </row>
    <row r="773" ht="15.75" customHeight="1">
      <c r="A773" s="16"/>
      <c r="C773" s="536"/>
      <c r="E773" s="536"/>
      <c r="G773" s="536"/>
      <c r="I773" s="536"/>
      <c r="K773" s="536"/>
    </row>
    <row r="774" ht="15.75" customHeight="1">
      <c r="A774" s="16"/>
      <c r="C774" s="536"/>
      <c r="E774" s="536"/>
      <c r="G774" s="536"/>
      <c r="I774" s="536"/>
      <c r="K774" s="536"/>
    </row>
    <row r="775" ht="15.75" customHeight="1">
      <c r="A775" s="16"/>
      <c r="C775" s="536"/>
      <c r="E775" s="536"/>
      <c r="G775" s="536"/>
      <c r="I775" s="536"/>
      <c r="K775" s="536"/>
    </row>
    <row r="776" ht="15.75" customHeight="1">
      <c r="A776" s="16"/>
      <c r="C776" s="536"/>
      <c r="E776" s="536"/>
      <c r="G776" s="536"/>
      <c r="I776" s="536"/>
      <c r="K776" s="536"/>
    </row>
    <row r="777" ht="15.75" customHeight="1">
      <c r="A777" s="16"/>
      <c r="C777" s="536"/>
      <c r="E777" s="536"/>
      <c r="G777" s="536"/>
      <c r="I777" s="536"/>
      <c r="K777" s="536"/>
    </row>
    <row r="778" ht="15.75" customHeight="1">
      <c r="A778" s="16"/>
      <c r="C778" s="536"/>
      <c r="E778" s="536"/>
      <c r="G778" s="536"/>
      <c r="I778" s="536"/>
      <c r="K778" s="536"/>
    </row>
    <row r="779" ht="15.75" customHeight="1">
      <c r="A779" s="16"/>
      <c r="C779" s="536"/>
      <c r="E779" s="536"/>
      <c r="G779" s="536"/>
      <c r="I779" s="536"/>
      <c r="K779" s="536"/>
    </row>
    <row r="780" ht="15.75" customHeight="1">
      <c r="A780" s="16"/>
      <c r="C780" s="536"/>
      <c r="E780" s="536"/>
      <c r="G780" s="536"/>
      <c r="I780" s="536"/>
      <c r="K780" s="536"/>
    </row>
    <row r="781" ht="15.75" customHeight="1">
      <c r="A781" s="16"/>
      <c r="C781" s="536"/>
      <c r="E781" s="536"/>
      <c r="G781" s="536"/>
      <c r="I781" s="536"/>
      <c r="K781" s="536"/>
    </row>
    <row r="782" ht="15.75" customHeight="1">
      <c r="A782" s="16"/>
      <c r="C782" s="536"/>
      <c r="E782" s="536"/>
      <c r="G782" s="536"/>
      <c r="I782" s="536"/>
      <c r="K782" s="536"/>
    </row>
    <row r="783" ht="15.75" customHeight="1">
      <c r="A783" s="16"/>
      <c r="C783" s="536"/>
      <c r="E783" s="536"/>
      <c r="G783" s="536"/>
      <c r="I783" s="536"/>
      <c r="K783" s="536"/>
    </row>
    <row r="784" ht="15.75" customHeight="1">
      <c r="A784" s="16"/>
      <c r="C784" s="536"/>
      <c r="E784" s="536"/>
      <c r="G784" s="536"/>
      <c r="I784" s="536"/>
      <c r="K784" s="536"/>
    </row>
    <row r="785" ht="15.75" customHeight="1">
      <c r="A785" s="16"/>
      <c r="C785" s="536"/>
      <c r="E785" s="536"/>
      <c r="G785" s="536"/>
      <c r="I785" s="536"/>
      <c r="K785" s="536"/>
    </row>
    <row r="786" ht="15.75" customHeight="1">
      <c r="A786" s="16"/>
      <c r="C786" s="536"/>
      <c r="E786" s="536"/>
      <c r="G786" s="536"/>
      <c r="I786" s="536"/>
      <c r="K786" s="536"/>
    </row>
    <row r="787" ht="15.75" customHeight="1">
      <c r="A787" s="16"/>
      <c r="C787" s="536"/>
      <c r="E787" s="536"/>
      <c r="G787" s="536"/>
      <c r="I787" s="536"/>
      <c r="K787" s="536"/>
    </row>
    <row r="788" ht="15.75" customHeight="1">
      <c r="A788" s="16"/>
      <c r="C788" s="536"/>
      <c r="E788" s="536"/>
      <c r="G788" s="536"/>
      <c r="I788" s="536"/>
      <c r="K788" s="536"/>
    </row>
    <row r="789" ht="15.75" customHeight="1">
      <c r="A789" s="16"/>
      <c r="C789" s="536"/>
      <c r="E789" s="536"/>
      <c r="G789" s="536"/>
      <c r="I789" s="536"/>
      <c r="K789" s="536"/>
    </row>
    <row r="790" ht="15.75" customHeight="1">
      <c r="A790" s="16"/>
      <c r="C790" s="536"/>
      <c r="E790" s="536"/>
      <c r="G790" s="536"/>
      <c r="I790" s="536"/>
      <c r="K790" s="536"/>
    </row>
    <row r="791" ht="15.75" customHeight="1">
      <c r="A791" s="16"/>
      <c r="C791" s="536"/>
      <c r="E791" s="536"/>
      <c r="G791" s="536"/>
      <c r="I791" s="536"/>
      <c r="K791" s="536"/>
    </row>
    <row r="792" ht="15.75" customHeight="1">
      <c r="A792" s="16"/>
      <c r="C792" s="536"/>
      <c r="E792" s="536"/>
      <c r="G792" s="536"/>
      <c r="I792" s="536"/>
      <c r="K792" s="536"/>
    </row>
    <row r="793" ht="15.75" customHeight="1">
      <c r="A793" s="16"/>
      <c r="C793" s="536"/>
      <c r="E793" s="536"/>
      <c r="G793" s="536"/>
      <c r="I793" s="536"/>
      <c r="K793" s="536"/>
    </row>
    <row r="794" ht="15.75" customHeight="1">
      <c r="A794" s="16"/>
      <c r="C794" s="536"/>
      <c r="E794" s="536"/>
      <c r="G794" s="536"/>
      <c r="I794" s="536"/>
      <c r="K794" s="536"/>
    </row>
    <row r="795" ht="15.75" customHeight="1">
      <c r="A795" s="16"/>
      <c r="C795" s="536"/>
      <c r="E795" s="536"/>
      <c r="G795" s="536"/>
      <c r="I795" s="536"/>
      <c r="K795" s="536"/>
    </row>
    <row r="796" ht="15.75" customHeight="1">
      <c r="A796" s="16"/>
      <c r="C796" s="536"/>
      <c r="E796" s="536"/>
      <c r="G796" s="536"/>
      <c r="I796" s="536"/>
      <c r="K796" s="536"/>
    </row>
    <row r="797" ht="15.75" customHeight="1">
      <c r="A797" s="16"/>
      <c r="C797" s="536"/>
      <c r="E797" s="536"/>
      <c r="G797" s="536"/>
      <c r="I797" s="536"/>
      <c r="K797" s="536"/>
    </row>
    <row r="798" ht="15.75" customHeight="1">
      <c r="A798" s="16"/>
      <c r="C798" s="536"/>
      <c r="E798" s="536"/>
      <c r="G798" s="536"/>
      <c r="I798" s="536"/>
      <c r="K798" s="536"/>
    </row>
    <row r="799" ht="15.75" customHeight="1">
      <c r="A799" s="16"/>
      <c r="C799" s="536"/>
      <c r="E799" s="536"/>
      <c r="G799" s="536"/>
      <c r="I799" s="536"/>
      <c r="K799" s="536"/>
    </row>
    <row r="800" ht="15.75" customHeight="1">
      <c r="A800" s="16"/>
      <c r="C800" s="536"/>
      <c r="E800" s="536"/>
      <c r="G800" s="536"/>
      <c r="I800" s="536"/>
      <c r="K800" s="536"/>
    </row>
    <row r="801" ht="15.75" customHeight="1">
      <c r="A801" s="16"/>
      <c r="C801" s="536"/>
      <c r="E801" s="536"/>
      <c r="G801" s="536"/>
      <c r="I801" s="536"/>
      <c r="K801" s="536"/>
    </row>
    <row r="802" ht="15.75" customHeight="1">
      <c r="A802" s="16"/>
      <c r="C802" s="536"/>
      <c r="E802" s="536"/>
      <c r="G802" s="536"/>
      <c r="I802" s="536"/>
      <c r="K802" s="536"/>
    </row>
    <row r="803" ht="15.75" customHeight="1">
      <c r="A803" s="16"/>
      <c r="C803" s="536"/>
      <c r="E803" s="536"/>
      <c r="G803" s="536"/>
      <c r="I803" s="536"/>
      <c r="K803" s="536"/>
    </row>
    <row r="804" ht="15.75" customHeight="1">
      <c r="A804" s="16"/>
      <c r="C804" s="536"/>
      <c r="E804" s="536"/>
      <c r="G804" s="536"/>
      <c r="I804" s="536"/>
      <c r="K804" s="536"/>
    </row>
    <row r="805" ht="15.75" customHeight="1">
      <c r="A805" s="16"/>
      <c r="C805" s="536"/>
      <c r="E805" s="536"/>
      <c r="G805" s="536"/>
      <c r="I805" s="536"/>
      <c r="K805" s="536"/>
    </row>
    <row r="806" ht="15.75" customHeight="1">
      <c r="A806" s="16"/>
      <c r="C806" s="536"/>
      <c r="E806" s="536"/>
      <c r="G806" s="536"/>
      <c r="I806" s="536"/>
      <c r="K806" s="536"/>
    </row>
    <row r="807" ht="15.75" customHeight="1">
      <c r="A807" s="16"/>
      <c r="C807" s="536"/>
      <c r="E807" s="536"/>
      <c r="G807" s="536"/>
      <c r="I807" s="536"/>
      <c r="K807" s="536"/>
    </row>
    <row r="808" ht="15.75" customHeight="1">
      <c r="A808" s="16"/>
      <c r="C808" s="536"/>
      <c r="E808" s="536"/>
      <c r="G808" s="536"/>
      <c r="I808" s="536"/>
      <c r="K808" s="536"/>
    </row>
    <row r="809" ht="15.75" customHeight="1">
      <c r="A809" s="16"/>
      <c r="C809" s="536"/>
      <c r="E809" s="536"/>
      <c r="G809" s="536"/>
      <c r="I809" s="536"/>
      <c r="K809" s="536"/>
    </row>
    <row r="810" ht="15.75" customHeight="1">
      <c r="A810" s="16"/>
      <c r="C810" s="536"/>
      <c r="E810" s="536"/>
      <c r="G810" s="536"/>
      <c r="I810" s="536"/>
      <c r="K810" s="536"/>
    </row>
    <row r="811" ht="15.75" customHeight="1">
      <c r="A811" s="16"/>
      <c r="C811" s="536"/>
      <c r="E811" s="536"/>
      <c r="G811" s="536"/>
      <c r="I811" s="536"/>
      <c r="K811" s="536"/>
    </row>
    <row r="812" ht="15.75" customHeight="1">
      <c r="A812" s="16"/>
      <c r="C812" s="536"/>
      <c r="E812" s="536"/>
      <c r="G812" s="536"/>
      <c r="I812" s="536"/>
      <c r="K812" s="536"/>
    </row>
    <row r="813" ht="15.75" customHeight="1">
      <c r="A813" s="16"/>
      <c r="C813" s="536"/>
      <c r="E813" s="536"/>
      <c r="G813" s="536"/>
      <c r="I813" s="536"/>
      <c r="K813" s="536"/>
    </row>
    <row r="814" ht="15.75" customHeight="1">
      <c r="A814" s="16"/>
      <c r="C814" s="536"/>
      <c r="E814" s="536"/>
      <c r="G814" s="536"/>
      <c r="I814" s="536"/>
      <c r="K814" s="536"/>
    </row>
    <row r="815" ht="15.75" customHeight="1">
      <c r="A815" s="16"/>
      <c r="C815" s="536"/>
      <c r="E815" s="536"/>
      <c r="G815" s="536"/>
      <c r="I815" s="536"/>
      <c r="K815" s="536"/>
    </row>
    <row r="816" ht="15.75" customHeight="1">
      <c r="A816" s="16"/>
      <c r="C816" s="536"/>
      <c r="E816" s="536"/>
      <c r="G816" s="536"/>
      <c r="I816" s="536"/>
      <c r="K816" s="536"/>
    </row>
    <row r="817" ht="15.75" customHeight="1">
      <c r="A817" s="16"/>
      <c r="C817" s="536"/>
      <c r="E817" s="536"/>
      <c r="G817" s="536"/>
      <c r="I817" s="536"/>
      <c r="K817" s="536"/>
    </row>
    <row r="818" ht="15.75" customHeight="1">
      <c r="A818" s="16"/>
      <c r="C818" s="536"/>
      <c r="E818" s="536"/>
      <c r="G818" s="536"/>
      <c r="I818" s="536"/>
      <c r="K818" s="536"/>
    </row>
    <row r="819" ht="15.75" customHeight="1">
      <c r="A819" s="16"/>
      <c r="C819" s="536"/>
      <c r="E819" s="536"/>
      <c r="G819" s="536"/>
      <c r="I819" s="536"/>
      <c r="K819" s="536"/>
    </row>
    <row r="820" ht="15.75" customHeight="1">
      <c r="A820" s="16"/>
      <c r="C820" s="536"/>
      <c r="E820" s="536"/>
      <c r="G820" s="536"/>
      <c r="I820" s="536"/>
      <c r="K820" s="536"/>
    </row>
    <row r="821" ht="15.75" customHeight="1">
      <c r="A821" s="16"/>
      <c r="C821" s="536"/>
      <c r="E821" s="536"/>
      <c r="G821" s="536"/>
      <c r="I821" s="536"/>
      <c r="K821" s="536"/>
    </row>
    <row r="822" ht="15.75" customHeight="1">
      <c r="A822" s="16"/>
      <c r="C822" s="536"/>
      <c r="E822" s="536"/>
      <c r="G822" s="536"/>
      <c r="I822" s="536"/>
      <c r="K822" s="536"/>
    </row>
    <row r="823" ht="15.75" customHeight="1">
      <c r="A823" s="16"/>
      <c r="C823" s="536"/>
      <c r="E823" s="536"/>
      <c r="G823" s="536"/>
      <c r="I823" s="536"/>
      <c r="K823" s="536"/>
    </row>
    <row r="824" ht="15.75" customHeight="1">
      <c r="A824" s="16"/>
      <c r="C824" s="536"/>
      <c r="E824" s="536"/>
      <c r="G824" s="536"/>
      <c r="I824" s="536"/>
      <c r="K824" s="536"/>
    </row>
    <row r="825" ht="15.75" customHeight="1">
      <c r="A825" s="16"/>
      <c r="C825" s="536"/>
      <c r="E825" s="536"/>
      <c r="G825" s="536"/>
      <c r="I825" s="536"/>
      <c r="K825" s="536"/>
    </row>
    <row r="826" ht="15.75" customHeight="1">
      <c r="A826" s="16"/>
      <c r="C826" s="536"/>
      <c r="E826" s="536"/>
      <c r="G826" s="536"/>
      <c r="I826" s="536"/>
      <c r="K826" s="536"/>
    </row>
    <row r="827" ht="15.75" customHeight="1">
      <c r="A827" s="16"/>
      <c r="C827" s="536"/>
      <c r="E827" s="536"/>
      <c r="G827" s="536"/>
      <c r="I827" s="536"/>
      <c r="K827" s="536"/>
    </row>
    <row r="828" ht="15.75" customHeight="1">
      <c r="A828" s="16"/>
      <c r="C828" s="536"/>
      <c r="E828" s="536"/>
      <c r="G828" s="536"/>
      <c r="I828" s="536"/>
      <c r="K828" s="536"/>
    </row>
    <row r="829" ht="15.75" customHeight="1">
      <c r="A829" s="16"/>
      <c r="C829" s="536"/>
      <c r="E829" s="536"/>
      <c r="G829" s="536"/>
      <c r="I829" s="536"/>
      <c r="K829" s="536"/>
    </row>
    <row r="830" ht="15.75" customHeight="1">
      <c r="A830" s="16"/>
      <c r="C830" s="536"/>
      <c r="E830" s="536"/>
      <c r="G830" s="536"/>
      <c r="I830" s="536"/>
      <c r="K830" s="536"/>
    </row>
    <row r="831" ht="15.75" customHeight="1">
      <c r="A831" s="16"/>
      <c r="C831" s="536"/>
      <c r="E831" s="536"/>
      <c r="G831" s="536"/>
      <c r="I831" s="536"/>
      <c r="K831" s="536"/>
    </row>
    <row r="832" ht="15.75" customHeight="1">
      <c r="A832" s="16"/>
      <c r="C832" s="536"/>
      <c r="E832" s="536"/>
      <c r="G832" s="536"/>
      <c r="I832" s="536"/>
      <c r="K832" s="536"/>
    </row>
    <row r="833" ht="15.75" customHeight="1">
      <c r="A833" s="16"/>
      <c r="C833" s="536"/>
      <c r="E833" s="536"/>
      <c r="G833" s="536"/>
      <c r="I833" s="536"/>
      <c r="K833" s="536"/>
    </row>
    <row r="834" ht="15.75" customHeight="1">
      <c r="A834" s="16"/>
      <c r="C834" s="536"/>
      <c r="E834" s="536"/>
      <c r="G834" s="536"/>
      <c r="I834" s="536"/>
      <c r="K834" s="536"/>
    </row>
    <row r="835" ht="15.75" customHeight="1">
      <c r="A835" s="16"/>
      <c r="C835" s="536"/>
      <c r="E835" s="536"/>
      <c r="G835" s="536"/>
      <c r="I835" s="536"/>
      <c r="K835" s="536"/>
    </row>
    <row r="836" ht="15.75" customHeight="1">
      <c r="A836" s="16"/>
      <c r="C836" s="536"/>
      <c r="E836" s="536"/>
      <c r="G836" s="536"/>
      <c r="I836" s="536"/>
      <c r="K836" s="536"/>
    </row>
    <row r="837" ht="15.75" customHeight="1">
      <c r="A837" s="16"/>
      <c r="C837" s="536"/>
      <c r="E837" s="536"/>
      <c r="G837" s="536"/>
      <c r="I837" s="536"/>
      <c r="K837" s="536"/>
    </row>
    <row r="838" ht="15.75" customHeight="1">
      <c r="A838" s="16"/>
      <c r="C838" s="536"/>
      <c r="E838" s="536"/>
      <c r="G838" s="536"/>
      <c r="I838" s="536"/>
      <c r="K838" s="536"/>
    </row>
    <row r="839" ht="15.75" customHeight="1">
      <c r="A839" s="16"/>
      <c r="C839" s="536"/>
      <c r="E839" s="536"/>
      <c r="G839" s="536"/>
      <c r="I839" s="536"/>
      <c r="K839" s="536"/>
    </row>
    <row r="840" ht="15.75" customHeight="1">
      <c r="A840" s="16"/>
      <c r="C840" s="536"/>
      <c r="E840" s="536"/>
      <c r="G840" s="536"/>
      <c r="I840" s="536"/>
      <c r="K840" s="536"/>
    </row>
    <row r="841" ht="15.75" customHeight="1">
      <c r="A841" s="16"/>
      <c r="C841" s="536"/>
      <c r="E841" s="536"/>
      <c r="G841" s="536"/>
      <c r="I841" s="536"/>
      <c r="K841" s="536"/>
    </row>
    <row r="842" ht="15.75" customHeight="1">
      <c r="A842" s="16"/>
      <c r="C842" s="536"/>
      <c r="E842" s="536"/>
      <c r="G842" s="536"/>
      <c r="I842" s="536"/>
      <c r="K842" s="536"/>
    </row>
    <row r="843" ht="15.75" customHeight="1">
      <c r="A843" s="16"/>
      <c r="C843" s="536"/>
      <c r="E843" s="536"/>
      <c r="G843" s="536"/>
      <c r="I843" s="536"/>
      <c r="K843" s="536"/>
    </row>
    <row r="844" ht="15.75" customHeight="1">
      <c r="A844" s="16"/>
      <c r="C844" s="536"/>
      <c r="E844" s="536"/>
      <c r="G844" s="536"/>
      <c r="I844" s="536"/>
      <c r="K844" s="536"/>
    </row>
    <row r="845" ht="15.75" customHeight="1">
      <c r="A845" s="16"/>
      <c r="C845" s="536"/>
      <c r="E845" s="536"/>
      <c r="G845" s="536"/>
      <c r="I845" s="536"/>
      <c r="K845" s="536"/>
    </row>
    <row r="846" ht="15.75" customHeight="1">
      <c r="A846" s="16"/>
      <c r="C846" s="536"/>
      <c r="E846" s="536"/>
      <c r="G846" s="536"/>
      <c r="I846" s="536"/>
      <c r="K846" s="536"/>
    </row>
    <row r="847" ht="15.75" customHeight="1">
      <c r="A847" s="16"/>
      <c r="C847" s="536"/>
      <c r="E847" s="536"/>
      <c r="G847" s="536"/>
      <c r="I847" s="536"/>
      <c r="K847" s="536"/>
    </row>
    <row r="848" ht="15.75" customHeight="1">
      <c r="A848" s="16"/>
      <c r="C848" s="536"/>
      <c r="E848" s="536"/>
      <c r="G848" s="536"/>
      <c r="I848" s="536"/>
      <c r="K848" s="536"/>
    </row>
    <row r="849" ht="15.75" customHeight="1">
      <c r="A849" s="16"/>
      <c r="C849" s="536"/>
      <c r="E849" s="536"/>
      <c r="G849" s="536"/>
      <c r="I849" s="536"/>
      <c r="K849" s="536"/>
    </row>
    <row r="850" ht="15.75" customHeight="1">
      <c r="A850" s="16"/>
      <c r="C850" s="536"/>
      <c r="E850" s="536"/>
      <c r="G850" s="536"/>
      <c r="I850" s="536"/>
      <c r="K850" s="536"/>
    </row>
    <row r="851" ht="15.75" customHeight="1">
      <c r="A851" s="16"/>
      <c r="C851" s="536"/>
      <c r="E851" s="536"/>
      <c r="G851" s="536"/>
      <c r="I851" s="536"/>
      <c r="K851" s="536"/>
    </row>
    <row r="852" ht="15.75" customHeight="1">
      <c r="A852" s="16"/>
      <c r="C852" s="536"/>
      <c r="E852" s="536"/>
      <c r="G852" s="536"/>
      <c r="I852" s="536"/>
      <c r="K852" s="536"/>
    </row>
    <row r="853" ht="15.75" customHeight="1">
      <c r="A853" s="16"/>
      <c r="C853" s="536"/>
      <c r="E853" s="536"/>
      <c r="G853" s="536"/>
      <c r="I853" s="536"/>
      <c r="K853" s="536"/>
    </row>
    <row r="854" ht="15.75" customHeight="1">
      <c r="A854" s="16"/>
      <c r="C854" s="536"/>
      <c r="E854" s="536"/>
      <c r="G854" s="536"/>
      <c r="I854" s="536"/>
      <c r="K854" s="536"/>
    </row>
    <row r="855" ht="15.75" customHeight="1">
      <c r="A855" s="16"/>
      <c r="C855" s="536"/>
      <c r="E855" s="536"/>
      <c r="G855" s="536"/>
      <c r="I855" s="536"/>
      <c r="K855" s="536"/>
    </row>
    <row r="856" ht="15.75" customHeight="1">
      <c r="A856" s="16"/>
      <c r="C856" s="536"/>
      <c r="E856" s="536"/>
      <c r="G856" s="536"/>
      <c r="I856" s="536"/>
      <c r="K856" s="536"/>
    </row>
    <row r="857" ht="15.75" customHeight="1">
      <c r="A857" s="16"/>
      <c r="C857" s="536"/>
      <c r="E857" s="536"/>
      <c r="G857" s="536"/>
      <c r="I857" s="536"/>
      <c r="K857" s="536"/>
    </row>
    <row r="858" ht="15.75" customHeight="1">
      <c r="A858" s="16"/>
      <c r="C858" s="536"/>
      <c r="E858" s="536"/>
      <c r="G858" s="536"/>
      <c r="I858" s="536"/>
      <c r="K858" s="536"/>
    </row>
    <row r="859" ht="15.75" customHeight="1">
      <c r="A859" s="16"/>
      <c r="C859" s="536"/>
      <c r="E859" s="536"/>
      <c r="G859" s="536"/>
      <c r="I859" s="536"/>
      <c r="K859" s="536"/>
    </row>
    <row r="860" ht="15.75" customHeight="1">
      <c r="A860" s="16"/>
      <c r="C860" s="536"/>
      <c r="E860" s="536"/>
      <c r="G860" s="536"/>
      <c r="I860" s="536"/>
      <c r="K860" s="536"/>
    </row>
    <row r="861" ht="15.75" customHeight="1">
      <c r="A861" s="16"/>
      <c r="C861" s="536"/>
      <c r="E861" s="536"/>
      <c r="G861" s="536"/>
      <c r="I861" s="536"/>
      <c r="K861" s="536"/>
    </row>
    <row r="862" ht="15.75" customHeight="1">
      <c r="A862" s="16"/>
      <c r="C862" s="536"/>
      <c r="E862" s="536"/>
      <c r="G862" s="536"/>
      <c r="I862" s="536"/>
      <c r="K862" s="536"/>
    </row>
    <row r="863" ht="15.75" customHeight="1">
      <c r="A863" s="16"/>
      <c r="C863" s="536"/>
      <c r="E863" s="536"/>
      <c r="G863" s="536"/>
      <c r="I863" s="536"/>
      <c r="K863" s="536"/>
    </row>
    <row r="864" ht="15.75" customHeight="1">
      <c r="A864" s="16"/>
      <c r="C864" s="536"/>
      <c r="E864" s="536"/>
      <c r="G864" s="536"/>
      <c r="I864" s="536"/>
      <c r="K864" s="536"/>
    </row>
    <row r="865" ht="15.75" customHeight="1">
      <c r="A865" s="16"/>
      <c r="C865" s="536"/>
      <c r="E865" s="536"/>
      <c r="G865" s="536"/>
      <c r="I865" s="536"/>
      <c r="K865" s="536"/>
    </row>
    <row r="866" ht="15.75" customHeight="1">
      <c r="A866" s="16"/>
      <c r="C866" s="536"/>
      <c r="E866" s="536"/>
      <c r="G866" s="536"/>
      <c r="I866" s="536"/>
      <c r="K866" s="536"/>
    </row>
    <row r="867" ht="15.75" customHeight="1">
      <c r="A867" s="16"/>
      <c r="C867" s="536"/>
      <c r="E867" s="536"/>
      <c r="G867" s="536"/>
      <c r="I867" s="536"/>
      <c r="K867" s="536"/>
    </row>
    <row r="868" ht="15.75" customHeight="1">
      <c r="A868" s="16"/>
      <c r="C868" s="536"/>
      <c r="E868" s="536"/>
      <c r="G868" s="536"/>
      <c r="I868" s="536"/>
      <c r="K868" s="536"/>
    </row>
    <row r="869" ht="15.75" customHeight="1">
      <c r="A869" s="16"/>
      <c r="C869" s="536"/>
      <c r="E869" s="536"/>
      <c r="G869" s="536"/>
      <c r="I869" s="536"/>
      <c r="K869" s="536"/>
    </row>
    <row r="870" ht="15.75" customHeight="1">
      <c r="A870" s="16"/>
      <c r="C870" s="536"/>
      <c r="E870" s="536"/>
      <c r="G870" s="536"/>
      <c r="I870" s="536"/>
      <c r="K870" s="536"/>
    </row>
    <row r="871" ht="15.75" customHeight="1">
      <c r="A871" s="16"/>
      <c r="C871" s="536"/>
      <c r="E871" s="536"/>
      <c r="G871" s="536"/>
      <c r="I871" s="536"/>
      <c r="K871" s="536"/>
    </row>
    <row r="872" ht="15.75" customHeight="1">
      <c r="A872" s="16"/>
      <c r="C872" s="536"/>
      <c r="E872" s="536"/>
      <c r="G872" s="536"/>
      <c r="I872" s="536"/>
      <c r="K872" s="536"/>
    </row>
    <row r="873" ht="15.75" customHeight="1">
      <c r="A873" s="16"/>
      <c r="C873" s="536"/>
      <c r="E873" s="536"/>
      <c r="G873" s="536"/>
      <c r="I873" s="536"/>
      <c r="K873" s="536"/>
    </row>
    <row r="874" ht="15.75" customHeight="1">
      <c r="A874" s="16"/>
      <c r="C874" s="536"/>
      <c r="E874" s="536"/>
      <c r="G874" s="536"/>
      <c r="I874" s="536"/>
      <c r="K874" s="536"/>
    </row>
    <row r="875" ht="15.75" customHeight="1">
      <c r="A875" s="16"/>
      <c r="C875" s="536"/>
      <c r="E875" s="536"/>
      <c r="G875" s="536"/>
      <c r="I875" s="536"/>
      <c r="K875" s="536"/>
    </row>
    <row r="876" ht="15.75" customHeight="1">
      <c r="A876" s="16"/>
      <c r="C876" s="536"/>
      <c r="E876" s="536"/>
      <c r="G876" s="536"/>
      <c r="I876" s="536"/>
      <c r="K876" s="536"/>
    </row>
    <row r="877" ht="15.75" customHeight="1">
      <c r="A877" s="16"/>
      <c r="C877" s="536"/>
      <c r="E877" s="536"/>
      <c r="G877" s="536"/>
      <c r="I877" s="536"/>
      <c r="K877" s="536"/>
    </row>
    <row r="878" ht="15.75" customHeight="1">
      <c r="A878" s="16"/>
      <c r="C878" s="536"/>
      <c r="E878" s="536"/>
      <c r="G878" s="536"/>
      <c r="I878" s="536"/>
      <c r="K878" s="536"/>
    </row>
    <row r="879" ht="15.75" customHeight="1">
      <c r="A879" s="16"/>
      <c r="C879" s="536"/>
      <c r="E879" s="536"/>
      <c r="G879" s="536"/>
      <c r="I879" s="536"/>
      <c r="K879" s="536"/>
    </row>
    <row r="880" ht="15.75" customHeight="1">
      <c r="A880" s="16"/>
      <c r="C880" s="536"/>
      <c r="E880" s="536"/>
      <c r="G880" s="536"/>
      <c r="I880" s="536"/>
      <c r="K880" s="536"/>
    </row>
    <row r="881" ht="15.75" customHeight="1">
      <c r="A881" s="16"/>
      <c r="C881" s="536"/>
      <c r="E881" s="536"/>
      <c r="G881" s="536"/>
      <c r="I881" s="536"/>
      <c r="K881" s="536"/>
    </row>
    <row r="882" ht="15.75" customHeight="1">
      <c r="A882" s="16"/>
      <c r="C882" s="536"/>
      <c r="E882" s="536"/>
      <c r="G882" s="536"/>
      <c r="I882" s="536"/>
      <c r="K882" s="536"/>
    </row>
    <row r="883" ht="15.75" customHeight="1">
      <c r="A883" s="16"/>
      <c r="C883" s="536"/>
      <c r="E883" s="536"/>
      <c r="G883" s="536"/>
      <c r="I883" s="536"/>
      <c r="K883" s="536"/>
    </row>
    <row r="884" ht="15.75" customHeight="1">
      <c r="A884" s="16"/>
      <c r="C884" s="536"/>
      <c r="E884" s="536"/>
      <c r="G884" s="536"/>
      <c r="I884" s="536"/>
      <c r="K884" s="536"/>
    </row>
    <row r="885" ht="15.75" customHeight="1">
      <c r="A885" s="16"/>
      <c r="C885" s="536"/>
      <c r="E885" s="536"/>
      <c r="G885" s="536"/>
      <c r="I885" s="536"/>
      <c r="K885" s="536"/>
    </row>
    <row r="886" ht="15.75" customHeight="1">
      <c r="A886" s="16"/>
      <c r="C886" s="536"/>
      <c r="E886" s="536"/>
      <c r="G886" s="536"/>
      <c r="I886" s="536"/>
      <c r="K886" s="536"/>
    </row>
    <row r="887" ht="15.75" customHeight="1">
      <c r="A887" s="16"/>
      <c r="C887" s="536"/>
      <c r="E887" s="536"/>
      <c r="G887" s="536"/>
      <c r="I887" s="536"/>
      <c r="K887" s="536"/>
    </row>
    <row r="888" ht="15.75" customHeight="1">
      <c r="A888" s="16"/>
      <c r="C888" s="536"/>
      <c r="E888" s="536"/>
      <c r="G888" s="536"/>
      <c r="I888" s="536"/>
      <c r="K888" s="536"/>
    </row>
    <row r="889" ht="15.75" customHeight="1">
      <c r="A889" s="16"/>
      <c r="C889" s="536"/>
      <c r="E889" s="536"/>
      <c r="G889" s="536"/>
      <c r="I889" s="536"/>
      <c r="K889" s="536"/>
    </row>
    <row r="890" ht="15.75" customHeight="1">
      <c r="A890" s="16"/>
      <c r="C890" s="536"/>
      <c r="E890" s="536"/>
      <c r="G890" s="536"/>
      <c r="I890" s="536"/>
      <c r="K890" s="536"/>
    </row>
    <row r="891" ht="15.75" customHeight="1">
      <c r="A891" s="16"/>
      <c r="C891" s="536"/>
      <c r="E891" s="536"/>
      <c r="G891" s="536"/>
      <c r="I891" s="536"/>
      <c r="K891" s="536"/>
    </row>
    <row r="892" ht="15.75" customHeight="1">
      <c r="A892" s="16"/>
      <c r="C892" s="536"/>
      <c r="E892" s="536"/>
      <c r="G892" s="536"/>
      <c r="I892" s="536"/>
      <c r="K892" s="536"/>
    </row>
    <row r="893" ht="15.75" customHeight="1">
      <c r="A893" s="16"/>
      <c r="C893" s="536"/>
      <c r="E893" s="536"/>
      <c r="G893" s="536"/>
      <c r="I893" s="536"/>
      <c r="K893" s="536"/>
    </row>
    <row r="894" ht="15.75" customHeight="1">
      <c r="A894" s="16"/>
      <c r="C894" s="536"/>
      <c r="E894" s="536"/>
      <c r="G894" s="536"/>
      <c r="I894" s="536"/>
      <c r="K894" s="536"/>
    </row>
    <row r="895" ht="15.75" customHeight="1">
      <c r="A895" s="16"/>
      <c r="C895" s="536"/>
      <c r="E895" s="536"/>
      <c r="G895" s="536"/>
      <c r="I895" s="536"/>
      <c r="K895" s="536"/>
    </row>
    <row r="896" ht="15.75" customHeight="1">
      <c r="A896" s="16"/>
      <c r="C896" s="536"/>
      <c r="E896" s="536"/>
      <c r="G896" s="536"/>
      <c r="I896" s="536"/>
      <c r="K896" s="536"/>
    </row>
    <row r="897" ht="15.75" customHeight="1">
      <c r="A897" s="16"/>
      <c r="C897" s="536"/>
      <c r="E897" s="536"/>
      <c r="G897" s="536"/>
      <c r="I897" s="536"/>
      <c r="K897" s="536"/>
    </row>
    <row r="898" ht="15.75" customHeight="1">
      <c r="A898" s="16"/>
      <c r="C898" s="536"/>
      <c r="E898" s="536"/>
      <c r="G898" s="536"/>
      <c r="I898" s="536"/>
      <c r="K898" s="536"/>
    </row>
    <row r="899" ht="15.75" customHeight="1">
      <c r="A899" s="16"/>
      <c r="C899" s="536"/>
      <c r="E899" s="536"/>
      <c r="G899" s="536"/>
      <c r="I899" s="536"/>
      <c r="K899" s="536"/>
    </row>
    <row r="900" ht="15.75" customHeight="1">
      <c r="A900" s="16"/>
      <c r="C900" s="536"/>
      <c r="E900" s="536"/>
      <c r="G900" s="536"/>
      <c r="I900" s="536"/>
      <c r="K900" s="536"/>
    </row>
    <row r="901" ht="15.75" customHeight="1">
      <c r="A901" s="16"/>
      <c r="C901" s="536"/>
      <c r="E901" s="536"/>
      <c r="G901" s="536"/>
      <c r="I901" s="536"/>
      <c r="K901" s="536"/>
    </row>
    <row r="902" ht="15.75" customHeight="1">
      <c r="A902" s="16"/>
      <c r="C902" s="536"/>
      <c r="E902" s="536"/>
      <c r="G902" s="536"/>
      <c r="I902" s="536"/>
      <c r="K902" s="536"/>
    </row>
    <row r="903" ht="15.75" customHeight="1">
      <c r="A903" s="16"/>
      <c r="C903" s="536"/>
      <c r="E903" s="536"/>
      <c r="G903" s="536"/>
      <c r="I903" s="536"/>
      <c r="K903" s="536"/>
    </row>
    <row r="904" ht="15.75" customHeight="1">
      <c r="A904" s="16"/>
      <c r="C904" s="536"/>
      <c r="E904" s="536"/>
      <c r="G904" s="536"/>
      <c r="I904" s="536"/>
      <c r="K904" s="536"/>
    </row>
    <row r="905" ht="15.75" customHeight="1">
      <c r="A905" s="16"/>
      <c r="C905" s="536"/>
      <c r="E905" s="536"/>
      <c r="G905" s="536"/>
      <c r="I905" s="536"/>
      <c r="K905" s="536"/>
    </row>
    <row r="906" ht="15.75" customHeight="1">
      <c r="A906" s="16"/>
      <c r="C906" s="536"/>
      <c r="E906" s="536"/>
      <c r="G906" s="536"/>
      <c r="I906" s="536"/>
      <c r="K906" s="536"/>
    </row>
    <row r="907" ht="15.75" customHeight="1">
      <c r="A907" s="16"/>
      <c r="C907" s="536"/>
      <c r="E907" s="536"/>
      <c r="G907" s="536"/>
      <c r="I907" s="536"/>
      <c r="K907" s="536"/>
    </row>
    <row r="908" ht="15.75" customHeight="1">
      <c r="A908" s="16"/>
      <c r="C908" s="536"/>
      <c r="E908" s="536"/>
      <c r="G908" s="536"/>
      <c r="I908" s="536"/>
      <c r="K908" s="536"/>
    </row>
    <row r="909" ht="15.75" customHeight="1">
      <c r="A909" s="16"/>
      <c r="C909" s="536"/>
      <c r="E909" s="536"/>
      <c r="G909" s="536"/>
      <c r="I909" s="536"/>
      <c r="K909" s="536"/>
    </row>
    <row r="910" ht="15.75" customHeight="1">
      <c r="A910" s="16"/>
      <c r="C910" s="536"/>
      <c r="E910" s="536"/>
      <c r="G910" s="536"/>
      <c r="I910" s="536"/>
      <c r="K910" s="536"/>
    </row>
    <row r="911" ht="15.75" customHeight="1">
      <c r="A911" s="16"/>
      <c r="C911" s="536"/>
      <c r="E911" s="536"/>
      <c r="G911" s="536"/>
      <c r="I911" s="536"/>
      <c r="K911" s="536"/>
    </row>
    <row r="912" ht="15.75" customHeight="1">
      <c r="A912" s="16"/>
      <c r="C912" s="536"/>
      <c r="E912" s="536"/>
      <c r="G912" s="536"/>
      <c r="I912" s="536"/>
      <c r="K912" s="536"/>
    </row>
    <row r="913" ht="15.75" customHeight="1">
      <c r="A913" s="16"/>
      <c r="C913" s="536"/>
      <c r="E913" s="536"/>
      <c r="G913" s="536"/>
      <c r="I913" s="536"/>
      <c r="K913" s="536"/>
    </row>
    <row r="914" ht="15.75" customHeight="1">
      <c r="A914" s="16"/>
      <c r="C914" s="536"/>
      <c r="E914" s="536"/>
      <c r="G914" s="536"/>
      <c r="I914" s="536"/>
      <c r="K914" s="536"/>
    </row>
    <row r="915" ht="15.75" customHeight="1">
      <c r="A915" s="16"/>
      <c r="C915" s="536"/>
      <c r="E915" s="536"/>
      <c r="G915" s="536"/>
      <c r="I915" s="536"/>
      <c r="K915" s="536"/>
    </row>
    <row r="916" ht="15.75" customHeight="1">
      <c r="A916" s="16"/>
      <c r="C916" s="536"/>
      <c r="E916" s="536"/>
      <c r="G916" s="536"/>
      <c r="I916" s="536"/>
      <c r="K916" s="536"/>
    </row>
    <row r="917" ht="15.75" customHeight="1">
      <c r="A917" s="16"/>
      <c r="C917" s="536"/>
      <c r="E917" s="536"/>
      <c r="G917" s="536"/>
      <c r="I917" s="536"/>
      <c r="K917" s="536"/>
    </row>
    <row r="918" ht="15.75" customHeight="1">
      <c r="A918" s="16"/>
      <c r="C918" s="536"/>
      <c r="E918" s="536"/>
      <c r="G918" s="536"/>
      <c r="I918" s="536"/>
      <c r="K918" s="536"/>
    </row>
    <row r="919" ht="15.75" customHeight="1">
      <c r="A919" s="16"/>
      <c r="C919" s="536"/>
      <c r="E919" s="536"/>
      <c r="G919" s="536"/>
      <c r="I919" s="536"/>
      <c r="K919" s="536"/>
    </row>
    <row r="920" ht="15.75" customHeight="1">
      <c r="A920" s="16"/>
      <c r="C920" s="536"/>
      <c r="E920" s="536"/>
      <c r="G920" s="536"/>
      <c r="I920" s="536"/>
      <c r="K920" s="536"/>
    </row>
    <row r="921" ht="15.75" customHeight="1">
      <c r="A921" s="16"/>
      <c r="C921" s="536"/>
      <c r="E921" s="536"/>
      <c r="G921" s="536"/>
      <c r="I921" s="536"/>
      <c r="K921" s="536"/>
    </row>
    <row r="922" ht="15.75" customHeight="1">
      <c r="A922" s="16"/>
      <c r="C922" s="536"/>
      <c r="E922" s="536"/>
      <c r="G922" s="536"/>
      <c r="I922" s="536"/>
      <c r="K922" s="536"/>
    </row>
    <row r="923" ht="15.75" customHeight="1">
      <c r="A923" s="16"/>
      <c r="C923" s="536"/>
      <c r="E923" s="536"/>
      <c r="G923" s="536"/>
      <c r="I923" s="536"/>
      <c r="K923" s="536"/>
    </row>
    <row r="924" ht="15.75" customHeight="1">
      <c r="A924" s="16"/>
      <c r="C924" s="536"/>
      <c r="E924" s="536"/>
      <c r="G924" s="536"/>
      <c r="I924" s="536"/>
      <c r="K924" s="536"/>
    </row>
    <row r="925" ht="15.75" customHeight="1">
      <c r="A925" s="16"/>
      <c r="C925" s="536"/>
      <c r="E925" s="536"/>
      <c r="G925" s="536"/>
      <c r="I925" s="536"/>
      <c r="K925" s="536"/>
    </row>
    <row r="926" ht="15.75" customHeight="1">
      <c r="A926" s="16"/>
      <c r="C926" s="536"/>
      <c r="E926" s="536"/>
      <c r="G926" s="536"/>
      <c r="I926" s="536"/>
      <c r="K926" s="536"/>
    </row>
    <row r="927" ht="15.75" customHeight="1">
      <c r="A927" s="16"/>
      <c r="C927" s="536"/>
      <c r="E927" s="536"/>
      <c r="G927" s="536"/>
      <c r="I927" s="536"/>
      <c r="K927" s="536"/>
    </row>
    <row r="928" ht="15.75" customHeight="1">
      <c r="A928" s="16"/>
      <c r="C928" s="536"/>
      <c r="E928" s="536"/>
      <c r="G928" s="536"/>
      <c r="I928" s="536"/>
      <c r="K928" s="536"/>
    </row>
    <row r="929" ht="15.75" customHeight="1">
      <c r="A929" s="16"/>
      <c r="C929" s="536"/>
      <c r="E929" s="536"/>
      <c r="G929" s="536"/>
      <c r="I929" s="536"/>
      <c r="K929" s="536"/>
    </row>
    <row r="930" ht="15.75" customHeight="1">
      <c r="A930" s="16"/>
      <c r="C930" s="536"/>
      <c r="E930" s="536"/>
      <c r="G930" s="536"/>
      <c r="I930" s="536"/>
      <c r="K930" s="536"/>
    </row>
    <row r="931" ht="15.75" customHeight="1">
      <c r="A931" s="16"/>
      <c r="C931" s="536"/>
      <c r="E931" s="536"/>
      <c r="G931" s="536"/>
      <c r="I931" s="536"/>
      <c r="K931" s="536"/>
    </row>
    <row r="932" ht="15.75" customHeight="1">
      <c r="A932" s="16"/>
      <c r="C932" s="536"/>
      <c r="E932" s="536"/>
      <c r="G932" s="536"/>
      <c r="I932" s="536"/>
      <c r="K932" s="536"/>
    </row>
    <row r="933" ht="15.75" customHeight="1">
      <c r="A933" s="16"/>
      <c r="C933" s="536"/>
      <c r="E933" s="536"/>
      <c r="G933" s="536"/>
      <c r="I933" s="536"/>
      <c r="K933" s="536"/>
    </row>
    <row r="934" ht="15.75" customHeight="1">
      <c r="A934" s="16"/>
      <c r="C934" s="536"/>
      <c r="E934" s="536"/>
      <c r="G934" s="536"/>
      <c r="I934" s="536"/>
      <c r="K934" s="536"/>
    </row>
    <row r="935" ht="15.75" customHeight="1">
      <c r="A935" s="16"/>
      <c r="C935" s="536"/>
      <c r="E935" s="536"/>
      <c r="G935" s="536"/>
      <c r="I935" s="536"/>
      <c r="K935" s="536"/>
    </row>
    <row r="936" ht="15.75" customHeight="1">
      <c r="A936" s="16"/>
      <c r="C936" s="536"/>
      <c r="E936" s="536"/>
      <c r="G936" s="536"/>
      <c r="I936" s="536"/>
      <c r="K936" s="536"/>
    </row>
    <row r="937" ht="15.75" customHeight="1">
      <c r="A937" s="16"/>
      <c r="C937" s="536"/>
      <c r="E937" s="536"/>
      <c r="G937" s="536"/>
      <c r="I937" s="536"/>
      <c r="K937" s="536"/>
    </row>
    <row r="938" ht="15.75" customHeight="1">
      <c r="A938" s="16"/>
      <c r="C938" s="536"/>
      <c r="E938" s="536"/>
      <c r="G938" s="536"/>
      <c r="I938" s="536"/>
      <c r="K938" s="536"/>
    </row>
    <row r="939" ht="15.75" customHeight="1">
      <c r="A939" s="16"/>
      <c r="C939" s="536"/>
      <c r="E939" s="536"/>
      <c r="G939" s="536"/>
      <c r="I939" s="536"/>
      <c r="K939" s="536"/>
    </row>
    <row r="940" ht="15.75" customHeight="1">
      <c r="A940" s="16"/>
      <c r="C940" s="536"/>
      <c r="E940" s="536"/>
      <c r="G940" s="536"/>
      <c r="I940" s="536"/>
      <c r="K940" s="536"/>
    </row>
    <row r="941" ht="15.75" customHeight="1">
      <c r="A941" s="16"/>
      <c r="C941" s="536"/>
      <c r="E941" s="536"/>
      <c r="G941" s="536"/>
      <c r="I941" s="536"/>
      <c r="K941" s="536"/>
    </row>
    <row r="942" ht="15.75" customHeight="1">
      <c r="A942" s="16"/>
      <c r="C942" s="536"/>
      <c r="E942" s="536"/>
      <c r="G942" s="536"/>
      <c r="I942" s="536"/>
      <c r="K942" s="536"/>
    </row>
    <row r="943" ht="15.75" customHeight="1">
      <c r="A943" s="16"/>
      <c r="C943" s="536"/>
      <c r="E943" s="536"/>
      <c r="G943" s="536"/>
      <c r="I943" s="536"/>
      <c r="K943" s="536"/>
    </row>
    <row r="944" ht="15.75" customHeight="1">
      <c r="A944" s="16"/>
      <c r="C944" s="536"/>
      <c r="E944" s="536"/>
      <c r="G944" s="536"/>
      <c r="I944" s="536"/>
      <c r="K944" s="536"/>
    </row>
    <row r="945" ht="15.75" customHeight="1">
      <c r="A945" s="16"/>
      <c r="C945" s="536"/>
      <c r="E945" s="536"/>
      <c r="G945" s="536"/>
      <c r="I945" s="536"/>
      <c r="K945" s="536"/>
    </row>
    <row r="946" ht="15.75" customHeight="1">
      <c r="A946" s="16"/>
      <c r="C946" s="536"/>
      <c r="E946" s="536"/>
      <c r="G946" s="536"/>
      <c r="I946" s="536"/>
      <c r="K946" s="536"/>
    </row>
    <row r="947" ht="15.75" customHeight="1">
      <c r="A947" s="16"/>
      <c r="C947" s="536"/>
      <c r="E947" s="536"/>
      <c r="G947" s="536"/>
      <c r="I947" s="536"/>
      <c r="K947" s="536"/>
    </row>
    <row r="948" ht="15.75" customHeight="1">
      <c r="A948" s="16"/>
      <c r="C948" s="536"/>
      <c r="E948" s="536"/>
      <c r="G948" s="536"/>
      <c r="I948" s="536"/>
      <c r="K948" s="536"/>
    </row>
    <row r="949" ht="15.75" customHeight="1">
      <c r="A949" s="16"/>
      <c r="C949" s="536"/>
      <c r="E949" s="536"/>
      <c r="G949" s="536"/>
      <c r="I949" s="536"/>
      <c r="K949" s="536"/>
    </row>
    <row r="950" ht="15.75" customHeight="1">
      <c r="A950" s="16"/>
      <c r="C950" s="536"/>
      <c r="E950" s="536"/>
      <c r="G950" s="536"/>
      <c r="I950" s="536"/>
      <c r="K950" s="536"/>
    </row>
    <row r="951" ht="15.75" customHeight="1">
      <c r="A951" s="16"/>
      <c r="C951" s="536"/>
      <c r="E951" s="536"/>
      <c r="G951" s="536"/>
      <c r="I951" s="536"/>
      <c r="K951" s="536"/>
    </row>
    <row r="952" ht="15.75" customHeight="1">
      <c r="A952" s="16"/>
      <c r="C952" s="536"/>
      <c r="E952" s="536"/>
      <c r="G952" s="536"/>
      <c r="I952" s="536"/>
      <c r="K952" s="536"/>
    </row>
    <row r="953" ht="15.75" customHeight="1">
      <c r="A953" s="16"/>
      <c r="C953" s="536"/>
      <c r="E953" s="536"/>
      <c r="G953" s="536"/>
      <c r="I953" s="536"/>
      <c r="K953" s="536"/>
    </row>
    <row r="954" ht="15.75" customHeight="1">
      <c r="A954" s="16"/>
      <c r="C954" s="536"/>
      <c r="E954" s="536"/>
      <c r="G954" s="536"/>
      <c r="I954" s="536"/>
      <c r="K954" s="536"/>
    </row>
    <row r="955" ht="15.75" customHeight="1">
      <c r="A955" s="16"/>
      <c r="C955" s="536"/>
      <c r="E955" s="536"/>
      <c r="G955" s="536"/>
      <c r="I955" s="536"/>
      <c r="K955" s="536"/>
    </row>
    <row r="956" ht="15.75" customHeight="1">
      <c r="A956" s="16"/>
      <c r="C956" s="536"/>
      <c r="E956" s="536"/>
      <c r="G956" s="536"/>
      <c r="I956" s="536"/>
      <c r="K956" s="536"/>
    </row>
    <row r="957" ht="15.75" customHeight="1">
      <c r="A957" s="16"/>
      <c r="C957" s="536"/>
      <c r="E957" s="536"/>
      <c r="G957" s="536"/>
      <c r="I957" s="536"/>
      <c r="K957" s="536"/>
    </row>
    <row r="958" ht="15.75" customHeight="1">
      <c r="A958" s="16"/>
      <c r="C958" s="536"/>
      <c r="E958" s="536"/>
      <c r="G958" s="536"/>
      <c r="I958" s="536"/>
      <c r="K958" s="536"/>
    </row>
    <row r="959" ht="15.75" customHeight="1">
      <c r="A959" s="16"/>
      <c r="C959" s="536"/>
      <c r="E959" s="536"/>
      <c r="G959" s="536"/>
      <c r="I959" s="536"/>
      <c r="K959" s="536"/>
    </row>
    <row r="960" ht="15.75" customHeight="1">
      <c r="A960" s="16"/>
      <c r="C960" s="536"/>
      <c r="E960" s="536"/>
      <c r="G960" s="536"/>
      <c r="I960" s="536"/>
      <c r="K960" s="536"/>
    </row>
    <row r="961" ht="15.75" customHeight="1">
      <c r="A961" s="16"/>
      <c r="C961" s="536"/>
      <c r="E961" s="536"/>
      <c r="G961" s="536"/>
      <c r="I961" s="536"/>
      <c r="K961" s="536"/>
    </row>
    <row r="962" ht="15.75" customHeight="1">
      <c r="A962" s="16"/>
      <c r="C962" s="536"/>
      <c r="E962" s="536"/>
      <c r="G962" s="536"/>
      <c r="I962" s="536"/>
      <c r="K962" s="536"/>
    </row>
    <row r="963" ht="15.75" customHeight="1">
      <c r="A963" s="16"/>
      <c r="C963" s="536"/>
      <c r="E963" s="536"/>
      <c r="G963" s="536"/>
      <c r="I963" s="536"/>
      <c r="K963" s="536"/>
    </row>
    <row r="964" ht="15.75" customHeight="1">
      <c r="A964" s="16"/>
      <c r="C964" s="536"/>
      <c r="E964" s="536"/>
      <c r="G964" s="536"/>
      <c r="I964" s="536"/>
      <c r="K964" s="536"/>
    </row>
    <row r="965" ht="15.75" customHeight="1">
      <c r="A965" s="16"/>
      <c r="C965" s="536"/>
      <c r="E965" s="536"/>
      <c r="G965" s="536"/>
      <c r="I965" s="536"/>
      <c r="K965" s="536"/>
    </row>
    <row r="966" ht="15.75" customHeight="1">
      <c r="A966" s="16"/>
      <c r="C966" s="536"/>
      <c r="E966" s="536"/>
      <c r="G966" s="536"/>
      <c r="I966" s="536"/>
      <c r="K966" s="536"/>
    </row>
    <row r="967" ht="15.75" customHeight="1">
      <c r="A967" s="16"/>
      <c r="C967" s="536"/>
      <c r="E967" s="536"/>
      <c r="G967" s="536"/>
      <c r="I967" s="536"/>
      <c r="K967" s="536"/>
    </row>
    <row r="968" ht="15.75" customHeight="1">
      <c r="A968" s="16"/>
      <c r="C968" s="536"/>
      <c r="E968" s="536"/>
      <c r="G968" s="536"/>
      <c r="I968" s="536"/>
      <c r="K968" s="536"/>
    </row>
    <row r="969" ht="15.75" customHeight="1">
      <c r="A969" s="16"/>
      <c r="C969" s="536"/>
      <c r="E969" s="536"/>
      <c r="G969" s="536"/>
      <c r="I969" s="536"/>
      <c r="K969" s="536"/>
    </row>
    <row r="970" ht="15.75" customHeight="1">
      <c r="A970" s="16"/>
      <c r="C970" s="536"/>
      <c r="E970" s="536"/>
      <c r="G970" s="536"/>
      <c r="I970" s="536"/>
      <c r="K970" s="536"/>
    </row>
    <row r="971" ht="15.75" customHeight="1">
      <c r="A971" s="16"/>
      <c r="C971" s="536"/>
      <c r="E971" s="536"/>
      <c r="G971" s="536"/>
      <c r="I971" s="536"/>
      <c r="K971" s="536"/>
    </row>
    <row r="972" ht="15.75" customHeight="1">
      <c r="A972" s="16"/>
      <c r="C972" s="536"/>
      <c r="E972" s="536"/>
      <c r="G972" s="536"/>
      <c r="I972" s="536"/>
      <c r="K972" s="536"/>
    </row>
    <row r="973" ht="15.75" customHeight="1">
      <c r="A973" s="16"/>
      <c r="C973" s="536"/>
      <c r="E973" s="536"/>
      <c r="G973" s="536"/>
      <c r="I973" s="536"/>
      <c r="K973" s="536"/>
    </row>
    <row r="974" ht="15.75" customHeight="1">
      <c r="A974" s="16"/>
      <c r="C974" s="536"/>
      <c r="E974" s="536"/>
      <c r="G974" s="536"/>
      <c r="I974" s="536"/>
      <c r="K974" s="536"/>
    </row>
    <row r="975" ht="15.75" customHeight="1">
      <c r="A975" s="16"/>
      <c r="C975" s="536"/>
      <c r="E975" s="536"/>
      <c r="G975" s="536"/>
      <c r="I975" s="536"/>
      <c r="K975" s="536"/>
    </row>
    <row r="976" ht="15.75" customHeight="1">
      <c r="A976" s="16"/>
      <c r="C976" s="536"/>
      <c r="E976" s="536"/>
      <c r="G976" s="536"/>
      <c r="I976" s="536"/>
      <c r="K976" s="536"/>
    </row>
    <row r="977" ht="15.75" customHeight="1">
      <c r="A977" s="16"/>
      <c r="C977" s="536"/>
      <c r="E977" s="536"/>
      <c r="G977" s="536"/>
      <c r="I977" s="536"/>
      <c r="K977" s="536"/>
    </row>
    <row r="978" ht="15.75" customHeight="1">
      <c r="A978" s="16"/>
      <c r="C978" s="536"/>
      <c r="E978" s="536"/>
      <c r="G978" s="536"/>
      <c r="I978" s="536"/>
      <c r="K978" s="536"/>
    </row>
    <row r="979" ht="15.75" customHeight="1">
      <c r="A979" s="16"/>
      <c r="C979" s="536"/>
      <c r="E979" s="536"/>
      <c r="G979" s="536"/>
      <c r="I979" s="536"/>
      <c r="K979" s="536"/>
    </row>
    <row r="980" ht="15.75" customHeight="1">
      <c r="A980" s="16"/>
      <c r="C980" s="536"/>
      <c r="E980" s="536"/>
      <c r="G980" s="536"/>
      <c r="I980" s="536"/>
      <c r="K980" s="536"/>
    </row>
    <row r="981" ht="15.75" customHeight="1">
      <c r="A981" s="16"/>
      <c r="C981" s="536"/>
      <c r="E981" s="536"/>
      <c r="G981" s="536"/>
      <c r="I981" s="536"/>
      <c r="K981" s="536"/>
    </row>
    <row r="982" ht="15.75" customHeight="1">
      <c r="A982" s="16"/>
      <c r="C982" s="536"/>
      <c r="E982" s="536"/>
      <c r="G982" s="536"/>
      <c r="I982" s="536"/>
      <c r="K982" s="536"/>
    </row>
    <row r="983" ht="15.75" customHeight="1">
      <c r="A983" s="16"/>
      <c r="C983" s="536"/>
      <c r="E983" s="536"/>
      <c r="G983" s="536"/>
      <c r="I983" s="536"/>
      <c r="K983" s="536"/>
    </row>
    <row r="984" ht="15.75" customHeight="1">
      <c r="A984" s="16"/>
      <c r="C984" s="536"/>
      <c r="E984" s="536"/>
      <c r="G984" s="536"/>
      <c r="I984" s="536"/>
      <c r="K984" s="536"/>
    </row>
    <row r="985" ht="15.75" customHeight="1">
      <c r="A985" s="16"/>
      <c r="C985" s="536"/>
      <c r="E985" s="536"/>
      <c r="G985" s="536"/>
      <c r="I985" s="536"/>
      <c r="K985" s="536"/>
    </row>
    <row r="986" ht="15.75" customHeight="1">
      <c r="A986" s="16"/>
      <c r="C986" s="536"/>
      <c r="E986" s="536"/>
      <c r="G986" s="536"/>
      <c r="I986" s="536"/>
      <c r="K986" s="536"/>
    </row>
    <row r="987" ht="15.75" customHeight="1">
      <c r="A987" s="16"/>
      <c r="C987" s="536"/>
      <c r="E987" s="536"/>
      <c r="G987" s="536"/>
      <c r="I987" s="536"/>
      <c r="K987" s="536"/>
    </row>
    <row r="988" ht="15.75" customHeight="1">
      <c r="A988" s="16"/>
      <c r="C988" s="536"/>
      <c r="E988" s="536"/>
      <c r="G988" s="536"/>
      <c r="I988" s="536"/>
      <c r="K988" s="536"/>
    </row>
    <row r="989" ht="15.75" customHeight="1">
      <c r="A989" s="16"/>
      <c r="C989" s="536"/>
      <c r="E989" s="536"/>
      <c r="G989" s="536"/>
      <c r="I989" s="536"/>
      <c r="K989" s="536"/>
    </row>
    <row r="990" ht="15.75" customHeight="1">
      <c r="A990" s="16"/>
      <c r="C990" s="536"/>
      <c r="E990" s="536"/>
      <c r="G990" s="536"/>
      <c r="I990" s="536"/>
      <c r="K990" s="536"/>
    </row>
    <row r="991" ht="15.75" customHeight="1">
      <c r="A991" s="16"/>
      <c r="C991" s="536"/>
      <c r="E991" s="536"/>
      <c r="G991" s="536"/>
      <c r="I991" s="536"/>
      <c r="K991" s="536"/>
    </row>
    <row r="992" ht="15.75" customHeight="1">
      <c r="A992" s="16"/>
      <c r="C992" s="536"/>
      <c r="E992" s="536"/>
      <c r="G992" s="536"/>
      <c r="I992" s="536"/>
      <c r="K992" s="536"/>
    </row>
    <row r="993" ht="15.75" customHeight="1">
      <c r="A993" s="16"/>
      <c r="C993" s="536"/>
      <c r="E993" s="536"/>
      <c r="G993" s="536"/>
      <c r="I993" s="536"/>
      <c r="K993" s="536"/>
    </row>
    <row r="994" ht="15.75" customHeight="1">
      <c r="A994" s="16"/>
      <c r="C994" s="536"/>
      <c r="E994" s="536"/>
      <c r="G994" s="536"/>
      <c r="I994" s="536"/>
      <c r="K994" s="536"/>
    </row>
    <row r="995" ht="15.75" customHeight="1">
      <c r="A995" s="16"/>
      <c r="C995" s="536"/>
      <c r="E995" s="536"/>
      <c r="G995" s="536"/>
      <c r="I995" s="536"/>
      <c r="K995" s="536"/>
    </row>
    <row r="996" ht="15.75" customHeight="1">
      <c r="A996" s="16"/>
      <c r="C996" s="536"/>
      <c r="E996" s="536"/>
      <c r="G996" s="536"/>
      <c r="I996" s="536"/>
      <c r="K996" s="536"/>
    </row>
    <row r="997" ht="15.75" customHeight="1">
      <c r="A997" s="16"/>
      <c r="C997" s="536"/>
      <c r="E997" s="536"/>
      <c r="G997" s="536"/>
      <c r="I997" s="536"/>
      <c r="K997" s="536"/>
    </row>
    <row r="998" ht="15.75" customHeight="1">
      <c r="A998" s="16"/>
      <c r="C998" s="536"/>
      <c r="E998" s="536"/>
      <c r="G998" s="536"/>
      <c r="I998" s="536"/>
      <c r="K998" s="536"/>
    </row>
    <row r="999" ht="15.75" customHeight="1">
      <c r="A999" s="16"/>
      <c r="C999" s="536"/>
      <c r="E999" s="536"/>
      <c r="G999" s="536"/>
      <c r="I999" s="536"/>
      <c r="K999" s="536"/>
    </row>
    <row r="1000" ht="15.75" customHeight="1">
      <c r="A1000" s="16"/>
      <c r="C1000" s="536"/>
      <c r="E1000" s="536"/>
      <c r="G1000" s="536"/>
      <c r="I1000" s="536"/>
      <c r="K1000" s="536"/>
    </row>
  </sheetData>
  <mergeCells count="1">
    <mergeCell ref="A2:J2"/>
  </mergeCells>
  <printOptions/>
  <pageMargins bottom="0.75" footer="0.0" header="0.0" left="0.38" right="0.3" top="0.5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83.5"/>
    <col customWidth="1" min="2" max="26" width="7.75"/>
  </cols>
  <sheetData>
    <row r="1">
      <c r="A1" s="1" t="s">
        <v>381</v>
      </c>
      <c r="B1" s="1"/>
      <c r="C1" s="1"/>
      <c r="D1" s="1"/>
    </row>
    <row r="2">
      <c r="A2" s="8" t="str">
        <f>IF(ISBLANK(Company_Name),"Charts",Company_Name&amp;"|Charts")</f>
        <v>OTW Paints|Charts</v>
      </c>
      <c r="B2" s="10"/>
      <c r="C2" s="10"/>
      <c r="D2" s="10"/>
    </row>
    <row r="3">
      <c r="A3" s="9"/>
      <c r="B3" s="11"/>
      <c r="C3" s="11"/>
      <c r="D3" s="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D2"/>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9.13"/>
    <col customWidth="1" min="2" max="26" width="7.75"/>
  </cols>
  <sheetData>
    <row r="1">
      <c r="A1" s="42" t="s">
        <v>381</v>
      </c>
    </row>
    <row r="3">
      <c r="A3" s="5" t="str">
        <f>IF(ISBLANK(Company_Name),"Financial Projections Assumptions","Financial Projections Assumptions for "&amp;Company_Name)</f>
        <v>Financial Projections Assumptions for OTW Paints</v>
      </c>
    </row>
    <row r="4">
      <c r="A4" s="167"/>
    </row>
    <row r="6">
      <c r="A6" s="25" t="str">
        <f>'Balance Sheet'!A35</f>
        <v>Balance Sheet Assumptions</v>
      </c>
    </row>
    <row r="8">
      <c r="A8" s="42" t="str">
        <f>CONCATENATE('Balance Sheet'!A38," ",'Balance Sheet'!A39," ",'Balance Sheet'!A40," ",'Balance Sheet'!A41," ",'Balance Sheet'!A42," ",'Balance Sheet'!A43," ",'Balance Sheet'!A44," ",'Balance Sheet'!A45," ",'Balance Sheet'!A46," ",'Balance Sheet'!A47)</f>
        <v>1. 2. 3. 4. 5. 6. 7. 8. 9. 10.</v>
      </c>
    </row>
    <row r="11">
      <c r="A11" s="25" t="s">
        <v>470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38"/>
    <col customWidth="1" min="2" max="2" width="40.13"/>
    <col customWidth="1" min="3" max="26" width="7.75"/>
  </cols>
  <sheetData>
    <row r="1">
      <c r="A1" s="25" t="s">
        <v>381</v>
      </c>
    </row>
    <row r="2">
      <c r="A2" s="25"/>
      <c r="B2" s="12"/>
      <c r="C2" s="360" t="s">
        <v>525</v>
      </c>
    </row>
    <row r="3">
      <c r="A3" s="12" t="s">
        <v>526</v>
      </c>
      <c r="B3" s="12" t="s">
        <v>527</v>
      </c>
      <c r="C3" s="42" t="s">
        <v>528</v>
      </c>
    </row>
    <row r="4">
      <c r="A4" s="12" t="s">
        <v>529</v>
      </c>
      <c r="B4" s="12" t="s">
        <v>530</v>
      </c>
      <c r="C4" s="42" t="s">
        <v>531</v>
      </c>
    </row>
    <row r="5">
      <c r="A5" s="12" t="s">
        <v>532</v>
      </c>
      <c r="B5" s="12" t="s">
        <v>533</v>
      </c>
    </row>
    <row r="6">
      <c r="A6" s="12" t="s">
        <v>534</v>
      </c>
      <c r="B6" s="12" t="s">
        <v>535</v>
      </c>
    </row>
    <row r="7">
      <c r="A7" s="12" t="s">
        <v>536</v>
      </c>
      <c r="B7" s="12" t="s">
        <v>537</v>
      </c>
    </row>
    <row r="8">
      <c r="A8" s="12" t="s">
        <v>538</v>
      </c>
      <c r="B8" s="12" t="s">
        <v>539</v>
      </c>
    </row>
    <row r="9">
      <c r="A9" s="12" t="s">
        <v>540</v>
      </c>
      <c r="B9" s="12" t="s">
        <v>541</v>
      </c>
    </row>
    <row r="10">
      <c r="A10" s="12" t="s">
        <v>542</v>
      </c>
      <c r="B10" s="12" t="s">
        <v>543</v>
      </c>
    </row>
    <row r="11">
      <c r="A11" s="12" t="s">
        <v>544</v>
      </c>
      <c r="B11" s="12" t="s">
        <v>545</v>
      </c>
    </row>
    <row r="12">
      <c r="A12" s="12" t="s">
        <v>546</v>
      </c>
      <c r="B12" s="12" t="s">
        <v>547</v>
      </c>
      <c r="C12" s="25" t="s">
        <v>548</v>
      </c>
    </row>
    <row r="13">
      <c r="A13" s="12" t="s">
        <v>549</v>
      </c>
      <c r="B13" s="12" t="s">
        <v>550</v>
      </c>
      <c r="C13" s="25" t="s">
        <v>551</v>
      </c>
    </row>
    <row r="14">
      <c r="A14" s="12" t="s">
        <v>552</v>
      </c>
      <c r="B14" s="12" t="s">
        <v>553</v>
      </c>
    </row>
    <row r="15">
      <c r="A15" s="12" t="s">
        <v>554</v>
      </c>
      <c r="B15" s="12" t="s">
        <v>555</v>
      </c>
    </row>
    <row r="16">
      <c r="A16" s="12" t="s">
        <v>556</v>
      </c>
      <c r="B16" s="12" t="s">
        <v>557</v>
      </c>
    </row>
    <row r="17">
      <c r="A17" s="12" t="s">
        <v>558</v>
      </c>
      <c r="B17" s="12" t="s">
        <v>559</v>
      </c>
    </row>
    <row r="18">
      <c r="A18" s="12" t="s">
        <v>560</v>
      </c>
      <c r="B18" s="12" t="s">
        <v>561</v>
      </c>
    </row>
    <row r="19">
      <c r="A19" s="12" t="s">
        <v>562</v>
      </c>
      <c r="B19" s="12" t="s">
        <v>563</v>
      </c>
    </row>
    <row r="20">
      <c r="A20" s="12" t="s">
        <v>564</v>
      </c>
      <c r="B20" s="12" t="s">
        <v>565</v>
      </c>
    </row>
    <row r="21" ht="15.75" customHeight="1">
      <c r="A21" s="12" t="s">
        <v>50</v>
      </c>
      <c r="B21" s="12" t="s">
        <v>566</v>
      </c>
    </row>
    <row r="22" ht="15.75" customHeight="1">
      <c r="A22" s="12" t="s">
        <v>567</v>
      </c>
      <c r="B22" s="12" t="s">
        <v>568</v>
      </c>
    </row>
    <row r="23" ht="15.75" customHeight="1">
      <c r="A23" s="12" t="s">
        <v>569</v>
      </c>
      <c r="B23" s="12" t="s">
        <v>570</v>
      </c>
    </row>
    <row r="24" ht="15.75" customHeight="1">
      <c r="A24" s="12" t="s">
        <v>571</v>
      </c>
      <c r="B24" s="12" t="s">
        <v>572</v>
      </c>
    </row>
    <row r="25" ht="15.75" customHeight="1">
      <c r="A25" s="12" t="s">
        <v>573</v>
      </c>
      <c r="B25" s="12" t="s">
        <v>574</v>
      </c>
    </row>
    <row r="26" ht="15.75" customHeight="1">
      <c r="A26" s="12" t="s">
        <v>575</v>
      </c>
      <c r="B26" s="12" t="s">
        <v>576</v>
      </c>
    </row>
    <row r="27" ht="15.75" customHeight="1">
      <c r="A27" s="12" t="s">
        <v>577</v>
      </c>
      <c r="B27" s="12" t="s">
        <v>578</v>
      </c>
    </row>
    <row r="28" ht="15.75" customHeight="1">
      <c r="A28" s="12" t="s">
        <v>579</v>
      </c>
      <c r="B28" s="12" t="s">
        <v>580</v>
      </c>
    </row>
    <row r="29" ht="15.75" customHeight="1">
      <c r="A29" s="12" t="s">
        <v>140</v>
      </c>
      <c r="B29" s="12" t="s">
        <v>581</v>
      </c>
    </row>
    <row r="30" ht="15.75" customHeight="1">
      <c r="A30" s="12" t="s">
        <v>582</v>
      </c>
      <c r="B30" s="12" t="s">
        <v>583</v>
      </c>
    </row>
    <row r="31" ht="15.75" customHeight="1">
      <c r="A31" s="12" t="s">
        <v>584</v>
      </c>
      <c r="B31" s="12" t="s">
        <v>585</v>
      </c>
    </row>
    <row r="32" ht="15.75" customHeight="1">
      <c r="A32" s="12" t="s">
        <v>586</v>
      </c>
      <c r="B32" s="12" t="s">
        <v>587</v>
      </c>
    </row>
    <row r="33" ht="15.75" customHeight="1">
      <c r="A33" s="12" t="s">
        <v>588</v>
      </c>
      <c r="B33" s="12" t="s">
        <v>589</v>
      </c>
    </row>
    <row r="34" ht="15.75" customHeight="1">
      <c r="A34" s="12" t="s">
        <v>590</v>
      </c>
      <c r="B34" s="12" t="s">
        <v>591</v>
      </c>
    </row>
    <row r="35" ht="15.75" customHeight="1">
      <c r="A35" s="12" t="s">
        <v>592</v>
      </c>
      <c r="B35" s="12" t="s">
        <v>593</v>
      </c>
    </row>
    <row r="36" ht="15.75" customHeight="1">
      <c r="A36" s="12" t="s">
        <v>594</v>
      </c>
      <c r="B36" s="12" t="s">
        <v>595</v>
      </c>
    </row>
    <row r="37" ht="15.75" customHeight="1">
      <c r="A37" s="12" t="s">
        <v>596</v>
      </c>
      <c r="B37" s="12" t="s">
        <v>597</v>
      </c>
    </row>
    <row r="38" ht="15.75" customHeight="1">
      <c r="A38" s="12" t="s">
        <v>598</v>
      </c>
      <c r="B38" s="12" t="s">
        <v>599</v>
      </c>
    </row>
    <row r="39" ht="15.75" customHeight="1">
      <c r="A39" s="12" t="s">
        <v>134</v>
      </c>
      <c r="B39" s="12" t="s">
        <v>600</v>
      </c>
    </row>
    <row r="40" ht="15.75" customHeight="1">
      <c r="A40" s="12" t="s">
        <v>601</v>
      </c>
      <c r="B40" s="12" t="s">
        <v>602</v>
      </c>
    </row>
    <row r="41" ht="15.75" customHeight="1">
      <c r="A41" s="12" t="s">
        <v>55</v>
      </c>
      <c r="B41" s="12" t="s">
        <v>603</v>
      </c>
    </row>
    <row r="42" ht="15.75" customHeight="1">
      <c r="A42" s="12" t="s">
        <v>604</v>
      </c>
      <c r="B42" s="12" t="s">
        <v>605</v>
      </c>
    </row>
    <row r="43" ht="15.75" customHeight="1">
      <c r="A43" s="12" t="s">
        <v>606</v>
      </c>
      <c r="B43" s="12" t="s">
        <v>607</v>
      </c>
    </row>
    <row r="44" ht="15.75" customHeight="1">
      <c r="A44" s="12" t="s">
        <v>608</v>
      </c>
      <c r="B44" s="12" t="s">
        <v>609</v>
      </c>
    </row>
    <row r="45" ht="15.75" customHeight="1">
      <c r="A45" s="12" t="s">
        <v>610</v>
      </c>
      <c r="B45" s="12" t="s">
        <v>611</v>
      </c>
    </row>
    <row r="46" ht="15.75" customHeight="1">
      <c r="A46" s="12" t="s">
        <v>60</v>
      </c>
      <c r="B46" s="12" t="s">
        <v>612</v>
      </c>
    </row>
    <row r="47" ht="15.75" customHeight="1">
      <c r="A47" s="12" t="s">
        <v>66</v>
      </c>
      <c r="B47" s="12" t="s">
        <v>613</v>
      </c>
    </row>
    <row r="48" ht="15.75" customHeight="1">
      <c r="A48" s="12" t="s">
        <v>614</v>
      </c>
      <c r="B48" s="12" t="s">
        <v>615</v>
      </c>
    </row>
    <row r="49" ht="15.75" customHeight="1">
      <c r="A49" s="12" t="s">
        <v>616</v>
      </c>
      <c r="B49" s="12" t="s">
        <v>617</v>
      </c>
    </row>
    <row r="50" ht="15.75" customHeight="1">
      <c r="A50" s="12" t="s">
        <v>618</v>
      </c>
      <c r="B50" s="12" t="s">
        <v>619</v>
      </c>
    </row>
    <row r="51" ht="15.75" customHeight="1">
      <c r="A51" s="12" t="s">
        <v>82</v>
      </c>
      <c r="B51" s="12" t="s">
        <v>620</v>
      </c>
    </row>
    <row r="52" ht="15.75" customHeight="1">
      <c r="A52" s="12" t="s">
        <v>43</v>
      </c>
      <c r="B52" s="12" t="s">
        <v>621</v>
      </c>
    </row>
    <row r="53" ht="15.75" customHeight="1">
      <c r="A53" s="12" t="s">
        <v>123</v>
      </c>
      <c r="B53" s="12" t="s">
        <v>622</v>
      </c>
    </row>
    <row r="54" ht="15.75" customHeight="1">
      <c r="A54" s="12" t="s">
        <v>85</v>
      </c>
      <c r="B54" s="12" t="s">
        <v>623</v>
      </c>
    </row>
    <row r="55" ht="15.75" customHeight="1">
      <c r="A55" s="12" t="s">
        <v>113</v>
      </c>
      <c r="B55" s="12" t="s">
        <v>624</v>
      </c>
    </row>
    <row r="56" ht="15.75" customHeight="1">
      <c r="A56" s="12" t="s">
        <v>625</v>
      </c>
      <c r="B56" s="12" t="s">
        <v>626</v>
      </c>
    </row>
    <row r="57" ht="15.75" customHeight="1">
      <c r="A57" s="12" t="s">
        <v>137</v>
      </c>
      <c r="B57" s="12" t="s">
        <v>627</v>
      </c>
    </row>
    <row r="58" ht="15.75" customHeight="1">
      <c r="A58" s="12" t="s">
        <v>628</v>
      </c>
      <c r="B58" s="12" t="s">
        <v>629</v>
      </c>
    </row>
    <row r="59" ht="15.75" customHeight="1">
      <c r="A59" s="12" t="s">
        <v>630</v>
      </c>
      <c r="B59" s="12" t="s">
        <v>631</v>
      </c>
    </row>
    <row r="60" ht="15.75" customHeight="1">
      <c r="A60" s="12" t="s">
        <v>632</v>
      </c>
      <c r="B60" s="12" t="s">
        <v>633</v>
      </c>
    </row>
    <row r="61" ht="15.75" customHeight="1">
      <c r="A61" s="12" t="s">
        <v>634</v>
      </c>
      <c r="B61" s="12" t="s">
        <v>635</v>
      </c>
    </row>
    <row r="62" ht="15.75" customHeight="1">
      <c r="A62" s="12" t="s">
        <v>636</v>
      </c>
      <c r="B62" s="12" t="s">
        <v>637</v>
      </c>
    </row>
    <row r="63" ht="15.75" customHeight="1">
      <c r="A63" s="12" t="s">
        <v>638</v>
      </c>
      <c r="B63" s="12" t="s">
        <v>639</v>
      </c>
    </row>
    <row r="64" ht="15.75" customHeight="1">
      <c r="A64" s="12" t="s">
        <v>640</v>
      </c>
      <c r="B64" s="12" t="s">
        <v>641</v>
      </c>
    </row>
    <row r="65" ht="15.75" customHeight="1">
      <c r="A65" s="12" t="s">
        <v>642</v>
      </c>
      <c r="B65" s="12" t="s">
        <v>643</v>
      </c>
    </row>
    <row r="66" ht="15.75" customHeight="1">
      <c r="A66" s="12" t="s">
        <v>644</v>
      </c>
      <c r="B66" s="12" t="s">
        <v>637</v>
      </c>
    </row>
    <row r="67" ht="15.75" customHeight="1">
      <c r="A67" s="12" t="s">
        <v>645</v>
      </c>
      <c r="B67" s="12" t="s">
        <v>646</v>
      </c>
    </row>
    <row r="68" ht="15.75" customHeight="1">
      <c r="A68" s="12" t="s">
        <v>647</v>
      </c>
      <c r="B68" s="12" t="s">
        <v>648</v>
      </c>
    </row>
    <row r="69" ht="15.75" customHeight="1">
      <c r="A69" s="12" t="s">
        <v>649</v>
      </c>
      <c r="B69" s="12" t="s">
        <v>650</v>
      </c>
    </row>
    <row r="70" ht="15.75" customHeight="1">
      <c r="A70" s="12" t="s">
        <v>651</v>
      </c>
      <c r="B70" s="12" t="s">
        <v>652</v>
      </c>
    </row>
    <row r="71" ht="15.75" customHeight="1">
      <c r="A71" s="12" t="s">
        <v>653</v>
      </c>
      <c r="B71" s="12" t="s">
        <v>654</v>
      </c>
    </row>
    <row r="72" ht="15.75" customHeight="1">
      <c r="A72" s="12" t="s">
        <v>655</v>
      </c>
      <c r="B72" s="12" t="s">
        <v>656</v>
      </c>
    </row>
    <row r="73" ht="15.75" customHeight="1">
      <c r="A73" s="12" t="s">
        <v>657</v>
      </c>
      <c r="B73" s="12" t="s">
        <v>658</v>
      </c>
    </row>
    <row r="74" ht="15.75" customHeight="1">
      <c r="A74" s="12" t="s">
        <v>659</v>
      </c>
      <c r="B74" s="12" t="s">
        <v>660</v>
      </c>
    </row>
    <row r="75" ht="15.75" customHeight="1">
      <c r="A75" s="12" t="s">
        <v>661</v>
      </c>
      <c r="B75" s="12" t="s">
        <v>662</v>
      </c>
    </row>
    <row r="76" ht="15.75" customHeight="1">
      <c r="A76" s="12" t="s">
        <v>663</v>
      </c>
      <c r="B76" s="12" t="s">
        <v>664</v>
      </c>
    </row>
    <row r="77" ht="15.75" customHeight="1">
      <c r="A77" s="12" t="s">
        <v>665</v>
      </c>
      <c r="B77" s="12" t="s">
        <v>666</v>
      </c>
    </row>
    <row r="78" ht="15.75" customHeight="1">
      <c r="A78" s="12" t="s">
        <v>667</v>
      </c>
      <c r="B78" s="12" t="s">
        <v>668</v>
      </c>
    </row>
    <row r="79" ht="15.75" customHeight="1">
      <c r="A79" s="12" t="s">
        <v>669</v>
      </c>
      <c r="B79" s="12" t="s">
        <v>670</v>
      </c>
    </row>
    <row r="80" ht="15.75" customHeight="1">
      <c r="A80" s="12" t="s">
        <v>671</v>
      </c>
      <c r="B80" s="12" t="s">
        <v>641</v>
      </c>
    </row>
    <row r="81" ht="15.75" customHeight="1">
      <c r="A81" s="12" t="s">
        <v>672</v>
      </c>
      <c r="B81" s="12" t="s">
        <v>673</v>
      </c>
    </row>
    <row r="82" ht="15.75" customHeight="1">
      <c r="A82" s="12" t="s">
        <v>674</v>
      </c>
      <c r="B82" s="12" t="s">
        <v>675</v>
      </c>
    </row>
    <row r="83" ht="15.75" customHeight="1">
      <c r="A83" s="12" t="s">
        <v>676</v>
      </c>
      <c r="B83" s="12" t="s">
        <v>677</v>
      </c>
    </row>
    <row r="84" ht="15.75" customHeight="1">
      <c r="A84" s="12" t="s">
        <v>678</v>
      </c>
      <c r="B84" s="12" t="s">
        <v>679</v>
      </c>
    </row>
    <row r="85" ht="15.75" customHeight="1">
      <c r="A85" s="12" t="s">
        <v>680</v>
      </c>
      <c r="B85" s="12" t="s">
        <v>681</v>
      </c>
    </row>
    <row r="86" ht="15.75" customHeight="1">
      <c r="A86" s="12" t="s">
        <v>682</v>
      </c>
      <c r="B86" s="12" t="s">
        <v>683</v>
      </c>
    </row>
    <row r="87" ht="15.75" customHeight="1">
      <c r="A87" s="12" t="s">
        <v>684</v>
      </c>
      <c r="B87" s="12" t="s">
        <v>685</v>
      </c>
    </row>
    <row r="88" ht="15.75" customHeight="1">
      <c r="A88" s="12" t="s">
        <v>686</v>
      </c>
      <c r="B88" s="12" t="s">
        <v>687</v>
      </c>
    </row>
    <row r="89" ht="15.75" customHeight="1">
      <c r="A89" s="12" t="s">
        <v>688</v>
      </c>
      <c r="B89" s="12" t="s">
        <v>689</v>
      </c>
    </row>
    <row r="90" ht="15.75" customHeight="1">
      <c r="A90" s="12" t="s">
        <v>72</v>
      </c>
      <c r="B90" s="12" t="s">
        <v>607</v>
      </c>
    </row>
    <row r="91" ht="15.75" customHeight="1">
      <c r="A91" s="12" t="s">
        <v>690</v>
      </c>
      <c r="B91" s="12" t="s">
        <v>691</v>
      </c>
    </row>
    <row r="92" ht="15.75" customHeight="1">
      <c r="A92" s="12" t="s">
        <v>692</v>
      </c>
      <c r="B92" s="12" t="s">
        <v>693</v>
      </c>
    </row>
    <row r="93" ht="15.75" customHeight="1">
      <c r="A93" s="12" t="s">
        <v>694</v>
      </c>
      <c r="B93" s="12" t="s">
        <v>695</v>
      </c>
    </row>
    <row r="94" ht="15.75" customHeight="1">
      <c r="A94" s="12" t="s">
        <v>696</v>
      </c>
      <c r="B94" s="12" t="s">
        <v>697</v>
      </c>
    </row>
    <row r="95" ht="15.75" customHeight="1">
      <c r="A95" s="12" t="s">
        <v>698</v>
      </c>
      <c r="B95" s="12" t="s">
        <v>699</v>
      </c>
    </row>
    <row r="96" ht="15.75" customHeight="1">
      <c r="A96" s="12" t="s">
        <v>700</v>
      </c>
      <c r="B96" s="12" t="s">
        <v>701</v>
      </c>
    </row>
    <row r="97" ht="15.75" customHeight="1">
      <c r="A97" s="12" t="s">
        <v>702</v>
      </c>
      <c r="B97" s="12" t="s">
        <v>703</v>
      </c>
    </row>
    <row r="98" ht="15.75" customHeight="1">
      <c r="A98" s="12" t="s">
        <v>704</v>
      </c>
      <c r="B98" s="12" t="s">
        <v>602</v>
      </c>
    </row>
    <row r="99" ht="15.75" customHeight="1">
      <c r="A99" s="12" t="s">
        <v>705</v>
      </c>
      <c r="B99" s="12" t="s">
        <v>706</v>
      </c>
    </row>
    <row r="100" ht="15.75" customHeight="1">
      <c r="A100" s="12" t="s">
        <v>106</v>
      </c>
      <c r="B100" s="12" t="s">
        <v>707</v>
      </c>
    </row>
    <row r="101" ht="15.75" customHeight="1">
      <c r="A101" s="12" t="s">
        <v>708</v>
      </c>
      <c r="B101" s="12" t="s">
        <v>709</v>
      </c>
    </row>
    <row r="102" ht="15.75" customHeight="1">
      <c r="A102" s="12" t="s">
        <v>710</v>
      </c>
      <c r="B102" s="12" t="s">
        <v>711</v>
      </c>
    </row>
    <row r="103" ht="15.75" customHeight="1">
      <c r="A103" s="12" t="s">
        <v>712</v>
      </c>
      <c r="B103" s="12" t="s">
        <v>713</v>
      </c>
    </row>
    <row r="104" ht="15.75" customHeight="1">
      <c r="A104" s="12" t="s">
        <v>714</v>
      </c>
      <c r="B104" s="12" t="s">
        <v>715</v>
      </c>
    </row>
    <row r="105" ht="15.75" customHeight="1">
      <c r="A105" s="12" t="s">
        <v>52</v>
      </c>
      <c r="B105" s="12" t="s">
        <v>716</v>
      </c>
    </row>
    <row r="106" ht="15.75" customHeight="1">
      <c r="A106" s="12" t="s">
        <v>717</v>
      </c>
      <c r="B106" s="12" t="s">
        <v>718</v>
      </c>
    </row>
    <row r="107" ht="15.75" customHeight="1">
      <c r="A107" s="12" t="s">
        <v>230</v>
      </c>
      <c r="B107" s="12" t="s">
        <v>719</v>
      </c>
    </row>
    <row r="108" ht="15.75" customHeight="1">
      <c r="A108" s="12" t="s">
        <v>720</v>
      </c>
      <c r="B108" s="12" t="s">
        <v>721</v>
      </c>
    </row>
    <row r="109" ht="15.75" customHeight="1">
      <c r="A109" s="12" t="s">
        <v>722</v>
      </c>
      <c r="B109" s="12" t="s">
        <v>723</v>
      </c>
    </row>
    <row r="110" ht="15.75" customHeight="1">
      <c r="A110" s="12" t="s">
        <v>724</v>
      </c>
      <c r="B110" s="12" t="s">
        <v>725</v>
      </c>
    </row>
    <row r="111" ht="15.75" customHeight="1">
      <c r="A111" s="12" t="s">
        <v>726</v>
      </c>
      <c r="B111" s="12" t="s">
        <v>727</v>
      </c>
    </row>
    <row r="112" ht="15.75" customHeight="1">
      <c r="A112" s="12" t="s">
        <v>728</v>
      </c>
      <c r="B112" s="12" t="s">
        <v>729</v>
      </c>
    </row>
    <row r="113" ht="15.75" customHeight="1">
      <c r="A113" s="12" t="s">
        <v>730</v>
      </c>
      <c r="B113" s="12" t="s">
        <v>731</v>
      </c>
    </row>
    <row r="114" ht="15.75" customHeight="1">
      <c r="A114" s="12" t="s">
        <v>732</v>
      </c>
      <c r="B114" s="12" t="s">
        <v>733</v>
      </c>
    </row>
    <row r="115" ht="15.75" customHeight="1">
      <c r="A115" s="12" t="s">
        <v>734</v>
      </c>
      <c r="B115" s="12" t="s">
        <v>736</v>
      </c>
    </row>
    <row r="116" ht="15.75" customHeight="1">
      <c r="A116" s="12" t="s">
        <v>737</v>
      </c>
      <c r="B116" s="12" t="s">
        <v>738</v>
      </c>
    </row>
    <row r="117" ht="15.75" customHeight="1">
      <c r="A117" s="12" t="s">
        <v>739</v>
      </c>
      <c r="B117" s="12" t="s">
        <v>740</v>
      </c>
    </row>
    <row r="118" ht="15.75" customHeight="1">
      <c r="A118" s="12" t="s">
        <v>741</v>
      </c>
      <c r="B118" s="12" t="s">
        <v>742</v>
      </c>
    </row>
    <row r="119" ht="15.75" customHeight="1">
      <c r="A119" s="12" t="s">
        <v>743</v>
      </c>
      <c r="B119" s="12" t="s">
        <v>744</v>
      </c>
    </row>
    <row r="120" ht="15.75" customHeight="1">
      <c r="A120" s="12" t="s">
        <v>745</v>
      </c>
      <c r="B120" s="12" t="s">
        <v>746</v>
      </c>
    </row>
    <row r="121" ht="15.75" customHeight="1">
      <c r="A121" s="12" t="s">
        <v>747</v>
      </c>
      <c r="B121" s="12" t="s">
        <v>748</v>
      </c>
    </row>
    <row r="122" ht="15.75" customHeight="1">
      <c r="A122" s="12" t="s">
        <v>63</v>
      </c>
      <c r="B122" s="12" t="s">
        <v>749</v>
      </c>
    </row>
    <row r="123" ht="15.75" customHeight="1">
      <c r="A123" s="12" t="s">
        <v>103</v>
      </c>
      <c r="B123" s="12" t="s">
        <v>750</v>
      </c>
    </row>
    <row r="124" ht="15.75" customHeight="1">
      <c r="A124" s="12" t="s">
        <v>751</v>
      </c>
      <c r="B124" s="12" t="s">
        <v>752</v>
      </c>
    </row>
    <row r="125" ht="15.75" customHeight="1">
      <c r="A125" s="12" t="s">
        <v>753</v>
      </c>
      <c r="B125" s="12" t="s">
        <v>754</v>
      </c>
    </row>
    <row r="126" ht="15.75" customHeight="1">
      <c r="A126" s="12" t="s">
        <v>755</v>
      </c>
      <c r="B126" s="12" t="s">
        <v>756</v>
      </c>
    </row>
    <row r="127" ht="15.75" customHeight="1">
      <c r="A127" s="12" t="s">
        <v>757</v>
      </c>
      <c r="B127" s="12" t="s">
        <v>758</v>
      </c>
    </row>
    <row r="128" ht="15.75" customHeight="1">
      <c r="A128" s="12" t="s">
        <v>759</v>
      </c>
      <c r="B128" s="12" t="s">
        <v>760</v>
      </c>
    </row>
    <row r="129" ht="15.75" customHeight="1">
      <c r="A129" s="12" t="s">
        <v>761</v>
      </c>
      <c r="B129" s="12" t="s">
        <v>762</v>
      </c>
    </row>
    <row r="130" ht="15.75" customHeight="1">
      <c r="A130" s="12" t="s">
        <v>763</v>
      </c>
      <c r="B130" s="12" t="s">
        <v>764</v>
      </c>
    </row>
    <row r="131" ht="15.75" customHeight="1">
      <c r="A131" s="12" t="s">
        <v>765</v>
      </c>
      <c r="B131" s="12" t="s">
        <v>766</v>
      </c>
    </row>
    <row r="132" ht="15.75" customHeight="1">
      <c r="A132" s="12" t="s">
        <v>767</v>
      </c>
      <c r="B132" s="12" t="s">
        <v>768</v>
      </c>
    </row>
    <row r="133" ht="15.75" customHeight="1">
      <c r="A133" s="12" t="s">
        <v>769</v>
      </c>
      <c r="B133" s="12" t="s">
        <v>770</v>
      </c>
    </row>
    <row r="134" ht="15.75" customHeight="1">
      <c r="A134" s="12" t="s">
        <v>771</v>
      </c>
      <c r="B134" s="12" t="s">
        <v>706</v>
      </c>
    </row>
    <row r="135" ht="15.75" customHeight="1">
      <c r="A135" s="12" t="s">
        <v>772</v>
      </c>
      <c r="B135" s="12" t="s">
        <v>773</v>
      </c>
    </row>
    <row r="136" ht="15.75" customHeight="1">
      <c r="A136" s="12" t="s">
        <v>774</v>
      </c>
      <c r="B136" s="12" t="s">
        <v>775</v>
      </c>
    </row>
    <row r="137" ht="15.75" customHeight="1">
      <c r="A137" s="12" t="s">
        <v>776</v>
      </c>
      <c r="B137" s="12" t="s">
        <v>777</v>
      </c>
    </row>
    <row r="138" ht="15.75" customHeight="1">
      <c r="A138" s="12" t="s">
        <v>778</v>
      </c>
      <c r="B138" s="12" t="s">
        <v>779</v>
      </c>
    </row>
    <row r="139" ht="15.75" customHeight="1">
      <c r="A139" s="12" t="s">
        <v>780</v>
      </c>
      <c r="B139" s="12" t="s">
        <v>781</v>
      </c>
    </row>
    <row r="140" ht="15.75" customHeight="1">
      <c r="A140" s="12" t="s">
        <v>782</v>
      </c>
      <c r="B140" s="12" t="s">
        <v>783</v>
      </c>
    </row>
    <row r="141" ht="15.75" customHeight="1">
      <c r="A141" s="12" t="s">
        <v>785</v>
      </c>
      <c r="B141" s="12" t="s">
        <v>786</v>
      </c>
    </row>
    <row r="142" ht="15.75" customHeight="1">
      <c r="A142" s="12" t="s">
        <v>130</v>
      </c>
      <c r="B142" s="12" t="s">
        <v>789</v>
      </c>
    </row>
    <row r="143" ht="15.75" customHeight="1">
      <c r="A143" s="12" t="s">
        <v>790</v>
      </c>
      <c r="B143" s="12" t="s">
        <v>791</v>
      </c>
    </row>
    <row r="144" ht="15.75" customHeight="1">
      <c r="A144" s="12" t="s">
        <v>126</v>
      </c>
      <c r="B144" s="12" t="s">
        <v>793</v>
      </c>
    </row>
    <row r="145" ht="15.75" customHeight="1">
      <c r="A145" s="12" t="s">
        <v>794</v>
      </c>
      <c r="B145" s="12" t="s">
        <v>795</v>
      </c>
    </row>
    <row r="146" ht="15.75" customHeight="1">
      <c r="A146" s="12" t="s">
        <v>796</v>
      </c>
      <c r="B146" s="12" t="s">
        <v>797</v>
      </c>
    </row>
    <row r="147" ht="15.75" customHeight="1">
      <c r="A147" s="12" t="s">
        <v>798</v>
      </c>
      <c r="B147" s="12" t="s">
        <v>799</v>
      </c>
    </row>
    <row r="148" ht="15.75" customHeight="1">
      <c r="A148" s="12" t="s">
        <v>800</v>
      </c>
      <c r="B148" s="12" t="s">
        <v>801</v>
      </c>
    </row>
    <row r="149" ht="15.75" customHeight="1">
      <c r="A149" s="12" t="s">
        <v>802</v>
      </c>
      <c r="B149" s="12" t="s">
        <v>803</v>
      </c>
    </row>
    <row r="150" ht="15.75" customHeight="1">
      <c r="A150" s="12" t="s">
        <v>804</v>
      </c>
      <c r="B150" s="12" t="s">
        <v>805</v>
      </c>
    </row>
    <row r="151" ht="15.75" customHeight="1">
      <c r="A151" s="12" t="s">
        <v>69</v>
      </c>
      <c r="B151" s="12" t="s">
        <v>806</v>
      </c>
    </row>
    <row r="152" ht="15.75" customHeight="1">
      <c r="A152" s="12" t="s">
        <v>807</v>
      </c>
      <c r="B152" s="12" t="s">
        <v>808</v>
      </c>
    </row>
    <row r="153" ht="15.75" customHeight="1">
      <c r="A153" s="12" t="s">
        <v>809</v>
      </c>
      <c r="B153" s="12" t="s">
        <v>810</v>
      </c>
    </row>
    <row r="154" ht="15.75" customHeight="1">
      <c r="A154" s="12" t="s">
        <v>811</v>
      </c>
      <c r="B154" s="12" t="s">
        <v>812</v>
      </c>
    </row>
    <row r="155" ht="15.75" customHeight="1">
      <c r="A155" s="12" t="s">
        <v>813</v>
      </c>
      <c r="B155" s="12" t="s">
        <v>814</v>
      </c>
    </row>
    <row r="156" ht="15.75" customHeight="1">
      <c r="A156" s="12" t="s">
        <v>815</v>
      </c>
      <c r="B156" s="12" t="s">
        <v>816</v>
      </c>
    </row>
    <row r="157" ht="15.75" customHeight="1">
      <c r="A157" s="12" t="s">
        <v>817</v>
      </c>
      <c r="B157" s="12" t="s">
        <v>818</v>
      </c>
    </row>
    <row r="158" ht="15.75" customHeight="1">
      <c r="A158" s="12" t="s">
        <v>819</v>
      </c>
      <c r="B158" s="12" t="s">
        <v>820</v>
      </c>
    </row>
    <row r="159" ht="15.75" customHeight="1">
      <c r="A159" s="12" t="s">
        <v>821</v>
      </c>
      <c r="B159" s="12" t="s">
        <v>822</v>
      </c>
    </row>
    <row r="160" ht="15.75" customHeight="1">
      <c r="A160" s="12" t="s">
        <v>823</v>
      </c>
      <c r="B160" s="12" t="s">
        <v>824</v>
      </c>
    </row>
    <row r="161" ht="15.75" customHeight="1">
      <c r="A161" s="12" t="s">
        <v>825</v>
      </c>
      <c r="B161" s="12" t="s">
        <v>826</v>
      </c>
    </row>
    <row r="162" ht="15.75" customHeight="1">
      <c r="A162" s="12" t="s">
        <v>828</v>
      </c>
      <c r="B162" s="12" t="s">
        <v>830</v>
      </c>
    </row>
    <row r="163" ht="15.75" customHeight="1">
      <c r="A163" s="12" t="s">
        <v>832</v>
      </c>
      <c r="B163" s="12" t="s">
        <v>833</v>
      </c>
    </row>
    <row r="164" ht="15.75" customHeight="1">
      <c r="A164" s="12" t="s">
        <v>834</v>
      </c>
      <c r="B164" s="12" t="s">
        <v>835</v>
      </c>
    </row>
    <row r="165" ht="15.75" customHeight="1">
      <c r="A165" s="12" t="s">
        <v>836</v>
      </c>
      <c r="B165" s="12" t="s">
        <v>837</v>
      </c>
    </row>
    <row r="166" ht="15.75" customHeight="1">
      <c r="A166" s="12" t="s">
        <v>838</v>
      </c>
      <c r="B166" s="12" t="s">
        <v>839</v>
      </c>
    </row>
    <row r="167" ht="15.75" customHeight="1">
      <c r="A167" s="12" t="s">
        <v>840</v>
      </c>
      <c r="B167" s="12" t="s">
        <v>841</v>
      </c>
    </row>
    <row r="168" ht="15.75" customHeight="1">
      <c r="A168" s="12" t="s">
        <v>842</v>
      </c>
      <c r="B168" s="12" t="s">
        <v>843</v>
      </c>
    </row>
    <row r="169" ht="15.75" customHeight="1">
      <c r="A169" s="12" t="s">
        <v>844</v>
      </c>
      <c r="B169" s="12" t="s">
        <v>845</v>
      </c>
    </row>
    <row r="170" ht="15.75" customHeight="1">
      <c r="A170" s="12" t="s">
        <v>846</v>
      </c>
      <c r="B170" s="12" t="s">
        <v>847</v>
      </c>
    </row>
    <row r="171" ht="15.75" customHeight="1">
      <c r="A171" s="12" t="s">
        <v>848</v>
      </c>
      <c r="B171" s="12" t="s">
        <v>849</v>
      </c>
    </row>
    <row r="172" ht="15.75" customHeight="1">
      <c r="A172" s="12" t="s">
        <v>850</v>
      </c>
      <c r="B172" s="12" t="s">
        <v>851</v>
      </c>
    </row>
    <row r="173" ht="15.75" customHeight="1">
      <c r="A173" s="12" t="s">
        <v>852</v>
      </c>
      <c r="B173" s="12" t="s">
        <v>853</v>
      </c>
    </row>
    <row r="174" ht="15.75" customHeight="1">
      <c r="A174" s="12" t="s">
        <v>854</v>
      </c>
      <c r="B174" s="12" t="s">
        <v>855</v>
      </c>
    </row>
    <row r="175" ht="15.75" customHeight="1">
      <c r="A175" s="12" t="s">
        <v>856</v>
      </c>
      <c r="B175" s="12" t="s">
        <v>857</v>
      </c>
    </row>
    <row r="176" ht="15.75" customHeight="1">
      <c r="A176" s="12" t="s">
        <v>858</v>
      </c>
      <c r="B176" s="12" t="s">
        <v>859</v>
      </c>
    </row>
    <row r="177" ht="15.75" customHeight="1">
      <c r="A177" s="12" t="s">
        <v>860</v>
      </c>
      <c r="B177" s="12" t="s">
        <v>861</v>
      </c>
    </row>
    <row r="178" ht="15.75" customHeight="1">
      <c r="A178" s="12" t="s">
        <v>862</v>
      </c>
      <c r="B178" s="12" t="s">
        <v>863</v>
      </c>
    </row>
    <row r="179" ht="15.75" customHeight="1">
      <c r="A179" s="12" t="s">
        <v>864</v>
      </c>
      <c r="B179" s="12" t="s">
        <v>865</v>
      </c>
    </row>
    <row r="180" ht="15.75" customHeight="1">
      <c r="A180" s="12" t="s">
        <v>867</v>
      </c>
      <c r="B180" s="12" t="s">
        <v>868</v>
      </c>
    </row>
    <row r="181" ht="15.75" customHeight="1">
      <c r="A181" s="12" t="s">
        <v>869</v>
      </c>
      <c r="B181" s="12" t="s">
        <v>870</v>
      </c>
    </row>
    <row r="182" ht="15.75" customHeight="1">
      <c r="A182" s="12" t="s">
        <v>871</v>
      </c>
      <c r="B182" s="12" t="s">
        <v>872</v>
      </c>
    </row>
    <row r="183" ht="15.75" customHeight="1">
      <c r="A183" s="12" t="s">
        <v>873</v>
      </c>
      <c r="B183" s="12" t="s">
        <v>874</v>
      </c>
    </row>
    <row r="184" ht="15.75" customHeight="1">
      <c r="A184" s="12" t="s">
        <v>875</v>
      </c>
      <c r="B184" s="12" t="s">
        <v>876</v>
      </c>
    </row>
    <row r="185" ht="15.75" customHeight="1">
      <c r="A185" s="12" t="s">
        <v>877</v>
      </c>
      <c r="B185" s="12" t="s">
        <v>878</v>
      </c>
    </row>
    <row r="186" ht="15.75" customHeight="1">
      <c r="A186" s="12" t="s">
        <v>879</v>
      </c>
      <c r="B186" s="12" t="s">
        <v>880</v>
      </c>
    </row>
    <row r="187" ht="15.75" customHeight="1">
      <c r="A187" s="12" t="s">
        <v>882</v>
      </c>
      <c r="B187" s="12" t="s">
        <v>883</v>
      </c>
    </row>
    <row r="188" ht="15.75" customHeight="1">
      <c r="A188" s="12" t="s">
        <v>884</v>
      </c>
      <c r="B188" s="12" t="s">
        <v>885</v>
      </c>
    </row>
    <row r="189" ht="15.75" customHeight="1">
      <c r="A189" s="12" t="s">
        <v>886</v>
      </c>
      <c r="B189" s="12" t="s">
        <v>887</v>
      </c>
    </row>
    <row r="190" ht="15.75" customHeight="1">
      <c r="A190" s="12" t="s">
        <v>888</v>
      </c>
      <c r="B190" s="12" t="s">
        <v>889</v>
      </c>
    </row>
    <row r="191" ht="15.75" customHeight="1">
      <c r="A191" s="12" t="s">
        <v>890</v>
      </c>
      <c r="B191" s="12" t="s">
        <v>891</v>
      </c>
    </row>
    <row r="192" ht="15.75" customHeight="1">
      <c r="A192" s="12" t="s">
        <v>892</v>
      </c>
      <c r="B192" s="12" t="s">
        <v>893</v>
      </c>
    </row>
    <row r="193" ht="15.75" customHeight="1">
      <c r="A193" s="12" t="s">
        <v>894</v>
      </c>
      <c r="B193" s="12" t="s">
        <v>895</v>
      </c>
    </row>
    <row r="194" ht="15.75" customHeight="1">
      <c r="A194" s="12" t="s">
        <v>896</v>
      </c>
      <c r="B194" s="12" t="s">
        <v>897</v>
      </c>
    </row>
    <row r="195" ht="15.75" customHeight="1">
      <c r="A195" s="12" t="s">
        <v>898</v>
      </c>
      <c r="B195" s="12" t="s">
        <v>899</v>
      </c>
    </row>
    <row r="196" ht="15.75" customHeight="1">
      <c r="A196" s="12" t="s">
        <v>901</v>
      </c>
      <c r="B196" s="12" t="s">
        <v>902</v>
      </c>
    </row>
    <row r="197" ht="15.75" customHeight="1">
      <c r="A197" s="12" t="s">
        <v>904</v>
      </c>
      <c r="B197" s="12" t="s">
        <v>902</v>
      </c>
    </row>
    <row r="198" ht="15.75" customHeight="1">
      <c r="A198" s="12" t="s">
        <v>906</v>
      </c>
      <c r="B198" s="12" t="s">
        <v>907</v>
      </c>
    </row>
    <row r="199" ht="15.75" customHeight="1">
      <c r="A199" s="12" t="s">
        <v>908</v>
      </c>
      <c r="B199" s="12" t="s">
        <v>909</v>
      </c>
    </row>
    <row r="200" ht="15.75" customHeight="1">
      <c r="A200" s="12" t="s">
        <v>910</v>
      </c>
      <c r="B200" s="12" t="s">
        <v>911</v>
      </c>
    </row>
    <row r="201" ht="15.75" customHeight="1">
      <c r="A201" s="12" t="s">
        <v>912</v>
      </c>
      <c r="B201" s="12" t="s">
        <v>913</v>
      </c>
    </row>
    <row r="202" ht="15.75" customHeight="1">
      <c r="A202" s="12" t="s">
        <v>914</v>
      </c>
      <c r="B202" s="12" t="s">
        <v>915</v>
      </c>
    </row>
    <row r="203" ht="15.75" customHeight="1">
      <c r="A203" s="12" t="s">
        <v>916</v>
      </c>
      <c r="B203" s="12" t="s">
        <v>917</v>
      </c>
    </row>
    <row r="204" ht="15.75" customHeight="1">
      <c r="A204" s="12" t="s">
        <v>918</v>
      </c>
      <c r="B204" s="12" t="s">
        <v>919</v>
      </c>
    </row>
    <row r="205" ht="15.75" customHeight="1">
      <c r="A205" s="12" t="s">
        <v>920</v>
      </c>
      <c r="B205" s="12" t="s">
        <v>921</v>
      </c>
    </row>
    <row r="206" ht="15.75" customHeight="1">
      <c r="A206" s="12" t="s">
        <v>922</v>
      </c>
      <c r="B206" s="12" t="s">
        <v>923</v>
      </c>
    </row>
    <row r="207" ht="15.75" customHeight="1">
      <c r="A207" s="12" t="s">
        <v>924</v>
      </c>
      <c r="B207" s="12" t="s">
        <v>925</v>
      </c>
    </row>
    <row r="208" ht="15.75" customHeight="1">
      <c r="A208" s="12" t="s">
        <v>926</v>
      </c>
      <c r="B208" s="12" t="s">
        <v>927</v>
      </c>
    </row>
    <row r="209" ht="15.75" customHeight="1">
      <c r="A209" s="12" t="s">
        <v>928</v>
      </c>
      <c r="B209" s="12" t="s">
        <v>929</v>
      </c>
    </row>
    <row r="210" ht="15.75" customHeight="1">
      <c r="A210" s="12" t="s">
        <v>930</v>
      </c>
      <c r="B210" s="12" t="s">
        <v>931</v>
      </c>
    </row>
    <row r="211" ht="15.75" customHeight="1">
      <c r="A211" s="12" t="s">
        <v>933</v>
      </c>
      <c r="B211" s="12" t="s">
        <v>936</v>
      </c>
    </row>
    <row r="212" ht="15.75" customHeight="1">
      <c r="A212" s="12" t="s">
        <v>938</v>
      </c>
      <c r="B212" s="12" t="s">
        <v>939</v>
      </c>
    </row>
    <row r="213" ht="15.75" customHeight="1">
      <c r="A213" s="12" t="s">
        <v>940</v>
      </c>
      <c r="B213" s="12" t="s">
        <v>941</v>
      </c>
    </row>
    <row r="214" ht="15.75" customHeight="1">
      <c r="A214" s="12" t="s">
        <v>942</v>
      </c>
      <c r="B214" s="12" t="s">
        <v>943</v>
      </c>
    </row>
    <row r="215" ht="15.75" customHeight="1">
      <c r="A215" s="12" t="s">
        <v>944</v>
      </c>
      <c r="B215" s="12" t="s">
        <v>945</v>
      </c>
    </row>
    <row r="216" ht="15.75" customHeight="1">
      <c r="A216" s="12" t="s">
        <v>946</v>
      </c>
      <c r="B216" s="12" t="s">
        <v>945</v>
      </c>
    </row>
    <row r="217" ht="15.75" customHeight="1">
      <c r="A217" s="12" t="s">
        <v>947</v>
      </c>
      <c r="B217" s="12" t="s">
        <v>948</v>
      </c>
    </row>
    <row r="218" ht="15.75" customHeight="1">
      <c r="A218" s="12" t="s">
        <v>949</v>
      </c>
      <c r="B218" s="12" t="s">
        <v>950</v>
      </c>
    </row>
    <row r="219" ht="15.75" customHeight="1">
      <c r="A219" s="12" t="s">
        <v>951</v>
      </c>
      <c r="B219" s="12" t="s">
        <v>952</v>
      </c>
    </row>
    <row r="220" ht="15.75" customHeight="1">
      <c r="A220" s="12" t="s">
        <v>953</v>
      </c>
      <c r="B220" s="12" t="s">
        <v>954</v>
      </c>
    </row>
    <row r="221" ht="15.75" customHeight="1">
      <c r="A221" s="12" t="s">
        <v>955</v>
      </c>
      <c r="B221" s="12" t="s">
        <v>956</v>
      </c>
    </row>
    <row r="222" ht="15.75" customHeight="1">
      <c r="A222" s="12" t="s">
        <v>957</v>
      </c>
      <c r="B222" s="12" t="s">
        <v>958</v>
      </c>
    </row>
    <row r="223" ht="15.75" customHeight="1">
      <c r="A223" s="12" t="s">
        <v>959</v>
      </c>
      <c r="B223" s="12" t="s">
        <v>958</v>
      </c>
    </row>
    <row r="224" ht="15.75" customHeight="1">
      <c r="A224" s="12" t="s">
        <v>960</v>
      </c>
      <c r="B224" s="12" t="s">
        <v>961</v>
      </c>
    </row>
    <row r="225" ht="15.75" customHeight="1">
      <c r="A225" s="12" t="s">
        <v>962</v>
      </c>
      <c r="B225" s="12" t="s">
        <v>963</v>
      </c>
    </row>
    <row r="226" ht="15.75" customHeight="1">
      <c r="A226" s="12" t="s">
        <v>964</v>
      </c>
      <c r="B226" s="12" t="s">
        <v>965</v>
      </c>
    </row>
    <row r="227" ht="15.75" customHeight="1">
      <c r="A227" s="12" t="s">
        <v>966</v>
      </c>
      <c r="B227" s="12" t="s">
        <v>967</v>
      </c>
    </row>
    <row r="228" ht="15.75" customHeight="1">
      <c r="A228" s="12" t="s">
        <v>968</v>
      </c>
      <c r="B228" s="12" t="s">
        <v>967</v>
      </c>
    </row>
    <row r="229" ht="15.75" customHeight="1">
      <c r="A229" s="12" t="s">
        <v>969</v>
      </c>
      <c r="B229" s="12" t="s">
        <v>970</v>
      </c>
    </row>
    <row r="230" ht="15.75" customHeight="1">
      <c r="A230" s="12" t="s">
        <v>972</v>
      </c>
      <c r="B230" s="12" t="s">
        <v>973</v>
      </c>
    </row>
    <row r="231" ht="15.75" customHeight="1">
      <c r="A231" s="12" t="s">
        <v>975</v>
      </c>
      <c r="B231" s="12" t="s">
        <v>976</v>
      </c>
    </row>
    <row r="232" ht="15.75" customHeight="1">
      <c r="A232" s="12" t="s">
        <v>978</v>
      </c>
      <c r="B232" s="12" t="s">
        <v>979</v>
      </c>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75"/>
    <col customWidth="1" min="2" max="2" width="36.63"/>
    <col customWidth="1" min="3" max="3" width="46.75"/>
    <col customWidth="1" min="4" max="4" width="20.5"/>
    <col customWidth="1" min="5" max="6" width="10.5"/>
    <col customWidth="1" min="7" max="7" width="11.5"/>
    <col customWidth="1" min="8" max="26" width="7.75"/>
  </cols>
  <sheetData>
    <row r="1">
      <c r="A1" s="42" t="s">
        <v>381</v>
      </c>
      <c r="D1" s="7"/>
      <c r="E1" s="7"/>
      <c r="F1" s="7"/>
    </row>
    <row r="2">
      <c r="A2" s="5" t="str">
        <f>IF(ISBLANK(Company_Name),"Ratios Summary","Ratios Summary for "&amp;Company_Name)</f>
        <v>Ratios Summary for OTW Paints</v>
      </c>
      <c r="C2" s="544" t="s">
        <v>735</v>
      </c>
      <c r="D2" s="7"/>
      <c r="E2" s="7"/>
      <c r="F2" s="7"/>
    </row>
    <row r="3">
      <c r="A3" s="9"/>
      <c r="B3" s="9"/>
      <c r="C3" s="9"/>
      <c r="D3" s="545"/>
      <c r="E3" s="545"/>
      <c r="F3" s="545"/>
      <c r="G3" s="9"/>
      <c r="H3" s="9"/>
      <c r="I3" s="9"/>
      <c r="J3" s="9"/>
    </row>
    <row r="4">
      <c r="A4" s="25"/>
      <c r="D4" s="55" t="s">
        <v>315</v>
      </c>
      <c r="E4" s="55" t="s">
        <v>107</v>
      </c>
      <c r="F4" s="55" t="s">
        <v>109</v>
      </c>
      <c r="G4" s="55" t="s">
        <v>784</v>
      </c>
      <c r="H4" s="55"/>
    </row>
    <row r="5">
      <c r="A5" s="12" t="s">
        <v>787</v>
      </c>
      <c r="B5" s="547" t="s">
        <v>788</v>
      </c>
      <c r="C5" s="547" t="s">
        <v>792</v>
      </c>
      <c r="D5" s="548">
        <f>IFERROR((YR1_Revenue-YR1_COGS)/YR1_Revenue,"")</f>
        <v>0.7</v>
      </c>
      <c r="E5" s="548">
        <f>('Income Statement'!Q101-'Income Statement'!Q112)/'Income Statement'!Q101</f>
        <v>0.7</v>
      </c>
      <c r="F5" s="548">
        <f>('Income Statement'!Q187-'Income Statement'!Q198)/'Income Statement'!Q187</f>
        <v>0.7</v>
      </c>
    </row>
    <row r="6">
      <c r="A6" s="12" t="s">
        <v>827</v>
      </c>
      <c r="B6" s="547" t="s">
        <v>829</v>
      </c>
      <c r="C6" s="547" t="s">
        <v>831</v>
      </c>
      <c r="D6" s="548">
        <f>IFERROR((YR1_NetSales-YR1_COGS)/YR1_NetSales,"")</f>
        <v>0.5714285714</v>
      </c>
      <c r="E6" s="548">
        <f>('Income Statement'!Q114-'Income Statement'!Q112)/'Income Statement'!Q114</f>
        <v>0.5714285714</v>
      </c>
      <c r="F6" s="548">
        <f>('Income Statement'!Q200-'Income Statement'!Q198)/'Income Statement'!Q200</f>
        <v>0.5714285714</v>
      </c>
    </row>
    <row r="7">
      <c r="A7" s="12" t="s">
        <v>866</v>
      </c>
      <c r="C7" s="42" t="str">
        <f>ERROR.TYPE(D5)</f>
        <v>#N/A</v>
      </c>
      <c r="D7" s="7"/>
      <c r="E7" s="7"/>
      <c r="F7" s="7"/>
    </row>
    <row r="8">
      <c r="A8" s="12"/>
      <c r="D8" s="7"/>
      <c r="E8" s="7"/>
      <c r="F8" s="7"/>
    </row>
    <row r="9">
      <c r="A9" s="25" t="s">
        <v>881</v>
      </c>
      <c r="B9" s="549"/>
      <c r="C9" s="549"/>
      <c r="D9" s="7"/>
      <c r="E9" s="7"/>
      <c r="F9" s="7"/>
    </row>
    <row r="10">
      <c r="A10" s="12" t="s">
        <v>900</v>
      </c>
      <c r="B10" s="547" t="s">
        <v>903</v>
      </c>
      <c r="C10" s="547" t="s">
        <v>905</v>
      </c>
      <c r="D10" s="137" t="str">
        <f>'Balance Sheet'!YR1_CurrentAssets/'Balance Sheet'!YR1_CurrentLiabilities</f>
        <v>#NAME?</v>
      </c>
      <c r="E10" s="7" t="str">
        <f>'Balance Sheet'!R14/'Balance Sheet'!U14</f>
        <v>#NAME?</v>
      </c>
      <c r="F10" s="7" t="str">
        <f>'Balance Sheet'!Z14/'Balance Sheet'!AC14</f>
        <v>#NAME?</v>
      </c>
      <c r="G10" s="42" t="s">
        <v>932</v>
      </c>
    </row>
    <row r="11">
      <c r="A11" s="12" t="s">
        <v>934</v>
      </c>
      <c r="B11" s="547" t="s">
        <v>935</v>
      </c>
      <c r="C11" s="550" t="s">
        <v>937</v>
      </c>
      <c r="D11" s="137" t="str">
        <f>SUM('Balance Sheet'!J8:J10)/'Balance Sheet'!YR1_CurrentLiabilities</f>
        <v>#NAME?</v>
      </c>
      <c r="E11" s="7" t="str">
        <f>SUM('Balance Sheet'!R8:R10)/'Balance Sheet'!U14</f>
        <v>#NAME?</v>
      </c>
      <c r="F11" s="137" t="str">
        <f>SUM('Balance Sheet'!Z8:Z10)/'Balance Sheet'!AC14</f>
        <v>#NAME?</v>
      </c>
      <c r="G11" s="42" t="s">
        <v>971</v>
      </c>
    </row>
    <row r="12">
      <c r="A12" s="12" t="s">
        <v>974</v>
      </c>
      <c r="B12" s="547" t="s">
        <v>977</v>
      </c>
      <c r="C12" s="547" t="s">
        <v>980</v>
      </c>
      <c r="D12" s="137" t="str">
        <f>('Balance Sheet'!YR1_Cash+'Balance Sheet'!J12)/'Balance Sheet'!YR1_CurrentLiabilities</f>
        <v>#NAME?</v>
      </c>
      <c r="E12" s="137" t="str">
        <f>('Balance Sheet'!R8+'Balance Sheet'!R12)/'Balance Sheet'!U14</f>
        <v>#NAME?</v>
      </c>
      <c r="F12" s="137" t="str">
        <f>('Balance Sheet'!Z8+'Balance Sheet'!Z12)/'Balance Sheet'!AC14</f>
        <v>#NAME?</v>
      </c>
      <c r="G12" s="42" t="s">
        <v>981</v>
      </c>
    </row>
    <row r="13">
      <c r="A13" s="12" t="s">
        <v>982</v>
      </c>
      <c r="B13" s="547" t="s">
        <v>983</v>
      </c>
      <c r="C13" s="547" t="s">
        <v>984</v>
      </c>
      <c r="D13" s="137" t="str">
        <f>YR1_CashFlow_EndBalance/YR1_NetSales</f>
        <v>#NAME?</v>
      </c>
      <c r="E13" s="137" t="str">
        <f>YR2_CashFlow_EndBalance/'Income Statement'!Q114</f>
        <v>#NAME?</v>
      </c>
      <c r="F13" s="137" t="str">
        <f>YR3_CashFlow_EndBalance/'Income Statement'!Q200</f>
        <v>#NAME?</v>
      </c>
      <c r="G13" s="42" t="s">
        <v>985</v>
      </c>
      <c r="J13" s="547" t="s">
        <v>986</v>
      </c>
    </row>
    <row r="14">
      <c r="A14" s="42" t="s">
        <v>987</v>
      </c>
      <c r="B14" s="547" t="s">
        <v>988</v>
      </c>
      <c r="C14" s="547" t="s">
        <v>989</v>
      </c>
      <c r="D14" s="137" t="str">
        <f>IFERROR((YR1_CurrentAssets-YR1_CurrentLiabilities)/YR1_TotalAssets,"")</f>
        <v/>
      </c>
      <c r="E14" s="137" t="str">
        <f>('Balance Sheet'!R14-'Balance Sheet'!U14)/YR2_Bal_Assets</f>
        <v>#NAME?</v>
      </c>
      <c r="F14" s="137" t="str">
        <f>('Balance Sheet'!Z14-'Balance Sheet'!AC14)/YR3_Bal_Assets</f>
        <v>#NAME?</v>
      </c>
      <c r="J14" s="12"/>
    </row>
    <row r="15">
      <c r="A15" s="12"/>
      <c r="B15" s="12"/>
      <c r="C15" s="12"/>
      <c r="D15" s="137"/>
      <c r="E15" s="137"/>
      <c r="F15" s="137"/>
      <c r="J15" s="12"/>
    </row>
    <row r="16">
      <c r="A16" s="12" t="s">
        <v>990</v>
      </c>
      <c r="B16" s="547" t="s">
        <v>991</v>
      </c>
      <c r="C16" s="547" t="s">
        <v>992</v>
      </c>
      <c r="D16" s="137" t="str">
        <f>IFERROR(YR1_NetIncome/YR1_TotalAssets,"")</f>
        <v/>
      </c>
      <c r="E16" s="137" t="str">
        <f>YR2_NetIncome/YR2_Bal_Assets</f>
        <v>#NAME?</v>
      </c>
      <c r="F16" s="137" t="str">
        <f>YR3_NetIncome/YR3_Bal_Assets</f>
        <v>#NAME?</v>
      </c>
      <c r="G16" s="42" t="s">
        <v>993</v>
      </c>
    </row>
    <row r="17">
      <c r="A17" s="12" t="s">
        <v>994</v>
      </c>
      <c r="B17" s="547" t="s">
        <v>995</v>
      </c>
      <c r="C17" s="547" t="s">
        <v>996</v>
      </c>
      <c r="D17" s="137" t="str">
        <f>IFERROR(YR1_NetSales/YR1_TotalAssets,"")</f>
        <v/>
      </c>
      <c r="E17" s="137" t="str">
        <f>'Income Statement'!Q114/YR2_Bal_Assets</f>
        <v>#NAME?</v>
      </c>
      <c r="F17" s="137" t="str">
        <f>'Income Statement'!Q200/YR3_Bal_Assets</f>
        <v>#NAME?</v>
      </c>
      <c r="G17" s="42" t="s">
        <v>1000</v>
      </c>
    </row>
    <row r="18">
      <c r="A18" s="12"/>
      <c r="B18" s="12"/>
      <c r="C18" s="544" t="s">
        <v>1001</v>
      </c>
      <c r="D18" s="137"/>
      <c r="E18" s="137"/>
      <c r="F18" s="137"/>
    </row>
    <row r="19">
      <c r="D19" s="137"/>
      <c r="E19" s="137"/>
      <c r="F19" s="137"/>
    </row>
    <row r="20">
      <c r="A20" s="12" t="s">
        <v>1002</v>
      </c>
      <c r="B20" s="547" t="s">
        <v>1003</v>
      </c>
      <c r="C20" s="547" t="s">
        <v>1004</v>
      </c>
      <c r="D20" s="137">
        <f>YR1_NetIncome/YR1_Equity</f>
        <v>-5.328412493</v>
      </c>
      <c r="E20" s="137">
        <f>YR2_NetIncome/'Balance Sheet'!U29</f>
        <v>0.7853197838</v>
      </c>
      <c r="F20" s="137">
        <f>YR3_NetIncome/'Balance Sheet'!AC29</f>
        <v>0.8050676994</v>
      </c>
      <c r="G20" s="42" t="s">
        <v>1005</v>
      </c>
    </row>
    <row r="21" ht="15.75" customHeight="1">
      <c r="A21" s="12" t="s">
        <v>1006</v>
      </c>
      <c r="B21" s="547" t="s">
        <v>1007</v>
      </c>
      <c r="C21" s="547" t="s">
        <v>992</v>
      </c>
      <c r="D21" s="137" t="str">
        <f>YR1_NetIncome/YR1_TotalAssets</f>
        <v>#NAME?</v>
      </c>
      <c r="E21" s="137" t="str">
        <f>YR2_NetIncome/YR2_Bal_Assets</f>
        <v>#NAME?</v>
      </c>
      <c r="F21" s="137" t="str">
        <f>YR3_NetIncome/YR3_Bal_Assets</f>
        <v>#NAME?</v>
      </c>
    </row>
    <row r="22" ht="15.75" customHeight="1">
      <c r="A22" s="12"/>
      <c r="D22" s="137"/>
      <c r="E22" s="137"/>
      <c r="F22" s="137"/>
    </row>
    <row r="23" ht="15.75" customHeight="1">
      <c r="A23" s="25" t="s">
        <v>1008</v>
      </c>
      <c r="D23" s="137"/>
      <c r="E23" s="137"/>
      <c r="F23" s="137"/>
    </row>
    <row r="24" ht="15.75" customHeight="1">
      <c r="A24" s="42" t="s">
        <v>1009</v>
      </c>
      <c r="B24" s="547" t="s">
        <v>1010</v>
      </c>
      <c r="C24" s="547" t="s">
        <v>1011</v>
      </c>
      <c r="D24" s="137" t="str">
        <f>YR1_TotalLiabilities/YR1_TotalAssets</f>
        <v>#NAME?</v>
      </c>
      <c r="E24" s="7" t="str">
        <f>'Balance Sheet'!U19/YR2_Bal_Assets</f>
        <v>#NAME?</v>
      </c>
      <c r="F24" s="137" t="str">
        <f>'Balance Sheet'!AC19/YR3_Bal_Assets</f>
        <v>#NAME?</v>
      </c>
      <c r="G24" s="551" t="s">
        <v>1013</v>
      </c>
    </row>
    <row r="25" ht="15.75" customHeight="1">
      <c r="A25" s="12" t="s">
        <v>1014</v>
      </c>
      <c r="B25" s="547" t="s">
        <v>1017</v>
      </c>
      <c r="C25" s="547" t="s">
        <v>1018</v>
      </c>
      <c r="D25" s="137">
        <f>YR1_TotalLiabilities/YR1_Equity</f>
        <v>0</v>
      </c>
      <c r="E25" s="137">
        <f>'Balance Sheet'!U19/'Balance Sheet'!U29</f>
        <v>0</v>
      </c>
      <c r="F25" s="137">
        <f>'Balance Sheet'!AC19/'Balance Sheet'!AC29</f>
        <v>0</v>
      </c>
    </row>
    <row r="26" ht="15.75" customHeight="1">
      <c r="A26" s="12" t="s">
        <v>1020</v>
      </c>
      <c r="B26" s="547" t="s">
        <v>1021</v>
      </c>
      <c r="C26" s="547" t="s">
        <v>1022</v>
      </c>
      <c r="D26" s="137" t="str">
        <f>YR1_CashFlow_EndBalance/'Balance Sheet'!YR1_TotalLiabilities</f>
        <v>#NAME?</v>
      </c>
      <c r="E26" s="137"/>
      <c r="F26" s="137"/>
      <c r="G26" s="42" t="s">
        <v>1024</v>
      </c>
    </row>
    <row r="27" ht="15.75" customHeight="1">
      <c r="A27" s="12"/>
      <c r="D27" s="137"/>
      <c r="E27" s="137"/>
      <c r="F27" s="137"/>
    </row>
    <row r="28" ht="15.75" customHeight="1">
      <c r="A28" s="12" t="s">
        <v>1025</v>
      </c>
      <c r="B28" s="547" t="s">
        <v>1026</v>
      </c>
      <c r="C28" s="12"/>
      <c r="D28" s="137">
        <f>'Balance Sheet'!YR1_LongTermLiabilities/('Balance Sheet'!YR1_LongTermLiabilities+'Balance Sheet'!YR1_Equity)</f>
        <v>0</v>
      </c>
      <c r="E28" s="7" t="str">
        <f>'Balance Sheet'!U18/'Balance Sheet'!U18+'Balance Sheet'!U29</f>
        <v>#DIV/0!</v>
      </c>
      <c r="F28" s="137">
        <f>'Balance Sheet'!AC18/('Balance Sheet'!AC18+'Balance Sheet'!AC29)</f>
        <v>0</v>
      </c>
      <c r="G28" s="42" t="s">
        <v>1027</v>
      </c>
    </row>
    <row r="29" ht="15.75" customHeight="1">
      <c r="A29" s="12" t="s">
        <v>1028</v>
      </c>
      <c r="B29" s="547" t="s">
        <v>1029</v>
      </c>
      <c r="C29" s="12"/>
      <c r="D29" s="137">
        <f>('Income Statement'!Q74-'Income Statement'!Q83)*(1-IncomeTax_Rate)/'Balance Sheet'!M23</f>
        <v>-0.8925014368</v>
      </c>
      <c r="E29" s="137">
        <f>('Income Statement'!Q160-'Income Statement'!Q166)*(1-IncomeTax_Rate)/'Balance Sheet'!U23</f>
        <v>0.612725</v>
      </c>
      <c r="F29" s="137">
        <f>('Income Statement'!Q247-'Income Statement'!Q253)*(1-IncomeTax_Rate)/'Balance Sheet'!AC23</f>
        <v>3.2223125</v>
      </c>
    </row>
    <row r="30" ht="15.75" customHeight="1">
      <c r="A30" s="12"/>
      <c r="B30" s="12"/>
      <c r="C30" s="12"/>
      <c r="D30" s="7"/>
      <c r="E30" s="137"/>
      <c r="F30" s="137"/>
    </row>
    <row r="31" ht="15.75" customHeight="1">
      <c r="A31" s="25" t="s">
        <v>448</v>
      </c>
      <c r="D31" s="137"/>
      <c r="E31" s="137"/>
      <c r="F31" s="137"/>
    </row>
    <row r="32" ht="15.75" customHeight="1">
      <c r="A32" s="12" t="s">
        <v>1030</v>
      </c>
      <c r="B32" s="547" t="s">
        <v>1032</v>
      </c>
      <c r="C32" s="12"/>
      <c r="D32" s="134">
        <f>YR1_Revenue/YR1_Headcount</f>
        <v>31875</v>
      </c>
      <c r="E32" s="137">
        <f>YR2_Revenue/'Personnel Summary'!S9</f>
        <v>89250</v>
      </c>
      <c r="F32" s="137">
        <f>YR3_Revenue/'Personnel Summary'!T9</f>
        <v>187425</v>
      </c>
    </row>
    <row r="33" ht="15.75" customHeight="1">
      <c r="A33" s="12"/>
      <c r="D33" s="7"/>
      <c r="E33" s="7"/>
      <c r="F33" s="7"/>
    </row>
    <row r="34" ht="15.75" customHeight="1">
      <c r="A34" s="25" t="s">
        <v>1033</v>
      </c>
      <c r="D34" s="7"/>
      <c r="E34" s="7"/>
      <c r="F34" s="7"/>
    </row>
    <row r="35" ht="15.75" customHeight="1">
      <c r="A35" s="12" t="s">
        <v>1034</v>
      </c>
      <c r="B35" s="547" t="s">
        <v>1035</v>
      </c>
      <c r="C35" s="12"/>
      <c r="D35" s="137"/>
      <c r="E35" s="137"/>
      <c r="F35" s="137"/>
    </row>
    <row r="36" ht="15.75" customHeight="1">
      <c r="A36" s="25"/>
      <c r="B36" s="547" t="s">
        <v>1036</v>
      </c>
      <c r="D36" s="7"/>
      <c r="E36" s="7"/>
      <c r="F36" s="7"/>
    </row>
    <row r="37" ht="15.75" customHeight="1">
      <c r="A37" s="12" t="s">
        <v>1037</v>
      </c>
      <c r="B37" s="547" t="s">
        <v>1038</v>
      </c>
      <c r="D37" s="7"/>
      <c r="E37" s="7"/>
      <c r="F37" s="7"/>
    </row>
    <row r="38" ht="15.75" customHeight="1">
      <c r="A38" s="12" t="s">
        <v>1039</v>
      </c>
      <c r="B38" s="547" t="s">
        <v>1040</v>
      </c>
      <c r="C38" s="547" t="s">
        <v>1041</v>
      </c>
      <c r="D38" s="7">
        <f>YR1_COGS/YR1_Inventories</f>
        <v>3.825</v>
      </c>
      <c r="E38" s="7">
        <f>YR2_COGS/'Balance Sheet'!R11</f>
        <v>10.71</v>
      </c>
      <c r="F38" s="7">
        <f>YR3_COGS/'Balance Sheet'!Z11</f>
        <v>22.491</v>
      </c>
    </row>
    <row r="39" ht="15.75" customHeight="1">
      <c r="A39" s="12"/>
      <c r="D39" s="7"/>
      <c r="E39" s="7"/>
      <c r="F39" s="7"/>
    </row>
    <row r="40" ht="15.75" customHeight="1">
      <c r="A40" s="12" t="s">
        <v>1043</v>
      </c>
      <c r="B40" s="42" t="s">
        <v>1044</v>
      </c>
      <c r="D40" s="7"/>
      <c r="E40" s="7"/>
      <c r="F40" s="7"/>
    </row>
    <row r="41" ht="15.75" customHeight="1">
      <c r="D41" s="7"/>
      <c r="E41" s="7"/>
      <c r="F41" s="7"/>
    </row>
    <row r="42" ht="15.75" customHeight="1">
      <c r="D42" s="7"/>
      <c r="E42" s="7"/>
      <c r="F42" s="7"/>
    </row>
    <row r="43" ht="15.75" customHeight="1">
      <c r="D43" s="7"/>
      <c r="E43" s="7"/>
      <c r="F43" s="7"/>
    </row>
    <row r="44" ht="15.75" customHeight="1">
      <c r="D44" s="7"/>
      <c r="E44" s="7"/>
      <c r="F44" s="7"/>
    </row>
    <row r="45" ht="15.75" customHeight="1">
      <c r="D45" s="7"/>
      <c r="E45" s="7"/>
      <c r="F45" s="7"/>
    </row>
    <row r="46" ht="15.75" customHeight="1">
      <c r="D46" s="7"/>
      <c r="E46" s="7"/>
      <c r="F46" s="7"/>
    </row>
    <row r="47" ht="15.75" customHeight="1">
      <c r="D47" s="7"/>
      <c r="E47" s="7"/>
      <c r="F47" s="7"/>
    </row>
    <row r="48" ht="15.75" customHeight="1">
      <c r="D48" s="7"/>
      <c r="E48" s="7"/>
      <c r="F48" s="7"/>
    </row>
    <row r="49" ht="15.75" customHeight="1">
      <c r="D49" s="7"/>
      <c r="E49" s="7"/>
      <c r="F49" s="7"/>
    </row>
    <row r="50" ht="15.75" customHeight="1">
      <c r="D50" s="7"/>
      <c r="E50" s="7"/>
      <c r="F50" s="7"/>
    </row>
    <row r="51" ht="15.75" customHeight="1">
      <c r="D51" s="7"/>
      <c r="E51" s="7"/>
      <c r="F51" s="7"/>
    </row>
    <row r="52" ht="15.75" customHeight="1">
      <c r="D52" s="7"/>
      <c r="E52" s="7"/>
      <c r="F52" s="7"/>
    </row>
    <row r="53" ht="15.75" customHeight="1">
      <c r="D53" s="7"/>
      <c r="E53" s="7"/>
      <c r="F53" s="7"/>
    </row>
    <row r="54" ht="15.75" customHeight="1">
      <c r="D54" s="7"/>
      <c r="E54" s="7"/>
      <c r="F54" s="7"/>
    </row>
    <row r="55" ht="15.75" customHeight="1">
      <c r="D55" s="7"/>
      <c r="E55" s="7"/>
      <c r="F55" s="7"/>
    </row>
    <row r="56" ht="15.75" customHeight="1">
      <c r="D56" s="7"/>
      <c r="E56" s="7"/>
      <c r="F56" s="7"/>
    </row>
    <row r="57" ht="15.75" customHeight="1">
      <c r="D57" s="7"/>
      <c r="E57" s="7"/>
      <c r="F57" s="7"/>
    </row>
    <row r="58" ht="15.75" customHeight="1">
      <c r="D58" s="7"/>
      <c r="E58" s="7"/>
      <c r="F58" s="7"/>
    </row>
    <row r="59" ht="15.75" customHeight="1">
      <c r="D59" s="7"/>
      <c r="E59" s="7"/>
      <c r="F59" s="7"/>
    </row>
    <row r="60" ht="15.75" customHeight="1">
      <c r="D60" s="7"/>
      <c r="E60" s="7"/>
      <c r="F60" s="7"/>
    </row>
    <row r="61" ht="15.75" customHeight="1">
      <c r="D61" s="7"/>
      <c r="E61" s="7"/>
      <c r="F61" s="7"/>
    </row>
    <row r="62" ht="15.75" customHeight="1">
      <c r="D62" s="7"/>
      <c r="E62" s="7"/>
      <c r="F62" s="7"/>
    </row>
    <row r="63" ht="15.75" customHeight="1">
      <c r="D63" s="7"/>
      <c r="E63" s="7"/>
      <c r="F63" s="7"/>
    </row>
    <row r="64" ht="15.75" customHeight="1">
      <c r="D64" s="7"/>
      <c r="E64" s="7"/>
      <c r="F64" s="7"/>
    </row>
    <row r="65" ht="15.75" customHeight="1">
      <c r="D65" s="7"/>
      <c r="E65" s="7"/>
      <c r="F65" s="7"/>
    </row>
    <row r="66" ht="15.75" customHeight="1">
      <c r="D66" s="7"/>
      <c r="E66" s="7"/>
      <c r="F66" s="7"/>
    </row>
    <row r="67" ht="15.75" customHeight="1">
      <c r="D67" s="7"/>
      <c r="E67" s="7"/>
      <c r="F67" s="7"/>
    </row>
    <row r="68" ht="15.75" customHeight="1">
      <c r="D68" s="7"/>
      <c r="E68" s="7"/>
      <c r="F68" s="7"/>
    </row>
    <row r="69" ht="15.75" customHeight="1">
      <c r="D69" s="7"/>
      <c r="E69" s="7"/>
      <c r="F69" s="7"/>
    </row>
    <row r="70" ht="15.75" customHeight="1">
      <c r="D70" s="7"/>
      <c r="E70" s="7"/>
      <c r="F70" s="7"/>
    </row>
    <row r="71" ht="15.75" customHeight="1">
      <c r="D71" s="7"/>
      <c r="E71" s="7"/>
      <c r="F71" s="7"/>
    </row>
    <row r="72" ht="15.75" customHeight="1">
      <c r="D72" s="7"/>
      <c r="E72" s="7"/>
      <c r="F72" s="7"/>
    </row>
    <row r="73" ht="15.75" customHeight="1">
      <c r="D73" s="7"/>
      <c r="E73" s="7"/>
      <c r="F73" s="7"/>
    </row>
    <row r="74" ht="15.75" customHeight="1">
      <c r="D74" s="7"/>
      <c r="E74" s="7"/>
      <c r="F74" s="7"/>
    </row>
    <row r="75" ht="15.75" customHeight="1">
      <c r="D75" s="7"/>
      <c r="E75" s="7"/>
      <c r="F75" s="7"/>
    </row>
    <row r="76" ht="15.75" customHeight="1">
      <c r="D76" s="7"/>
      <c r="E76" s="7"/>
      <c r="F76" s="7"/>
    </row>
    <row r="77" ht="15.75" customHeight="1">
      <c r="D77" s="7"/>
      <c r="E77" s="7"/>
      <c r="F77" s="7"/>
    </row>
    <row r="78" ht="15.75" customHeight="1">
      <c r="D78" s="7"/>
      <c r="E78" s="7"/>
      <c r="F78" s="7"/>
    </row>
    <row r="79" ht="15.75" customHeight="1">
      <c r="D79" s="7"/>
      <c r="E79" s="7"/>
      <c r="F79" s="7"/>
    </row>
    <row r="80" ht="15.75" customHeight="1">
      <c r="D80" s="7"/>
      <c r="E80" s="7"/>
      <c r="F80" s="7"/>
    </row>
    <row r="81" ht="15.75" customHeight="1">
      <c r="D81" s="7"/>
      <c r="E81" s="7"/>
      <c r="F81" s="7"/>
    </row>
    <row r="82" ht="15.75" customHeight="1">
      <c r="D82" s="7"/>
      <c r="E82" s="7"/>
      <c r="F82" s="7"/>
    </row>
    <row r="83" ht="15.75" customHeight="1">
      <c r="D83" s="7"/>
      <c r="E83" s="7"/>
      <c r="F83" s="7"/>
    </row>
    <row r="84" ht="15.75" customHeight="1">
      <c r="D84" s="7"/>
      <c r="E84" s="7"/>
      <c r="F84" s="7"/>
    </row>
    <row r="85" ht="15.75" customHeight="1">
      <c r="D85" s="7"/>
      <c r="E85" s="7"/>
      <c r="F85" s="7"/>
    </row>
    <row r="86" ht="15.75" customHeight="1">
      <c r="D86" s="7"/>
      <c r="E86" s="7"/>
      <c r="F86" s="7"/>
    </row>
    <row r="87" ht="15.75" customHeight="1">
      <c r="D87" s="7"/>
      <c r="E87" s="7"/>
      <c r="F87" s="7"/>
    </row>
    <row r="88" ht="15.75" customHeight="1">
      <c r="D88" s="7"/>
      <c r="E88" s="7"/>
      <c r="F88" s="7"/>
    </row>
    <row r="89" ht="15.75" customHeight="1">
      <c r="D89" s="7"/>
      <c r="E89" s="7"/>
      <c r="F89" s="7"/>
    </row>
    <row r="90" ht="15.75" customHeight="1">
      <c r="D90" s="7"/>
      <c r="E90" s="7"/>
      <c r="F90" s="7"/>
    </row>
    <row r="91" ht="15.75" customHeight="1">
      <c r="D91" s="7"/>
      <c r="E91" s="7"/>
      <c r="F91" s="7"/>
    </row>
    <row r="92" ht="15.75" customHeight="1">
      <c r="D92" s="7"/>
      <c r="E92" s="7"/>
      <c r="F92" s="7"/>
    </row>
    <row r="93" ht="15.75" customHeight="1">
      <c r="D93" s="7"/>
      <c r="E93" s="7"/>
      <c r="F93" s="7"/>
    </row>
    <row r="94" ht="15.75" customHeight="1">
      <c r="D94" s="7"/>
      <c r="E94" s="7"/>
      <c r="F94" s="7"/>
    </row>
    <row r="95" ht="15.75" customHeight="1">
      <c r="D95" s="7"/>
      <c r="E95" s="7"/>
      <c r="F95" s="7"/>
    </row>
    <row r="96" ht="15.75" customHeight="1">
      <c r="D96" s="7"/>
      <c r="E96" s="7"/>
      <c r="F96" s="7"/>
    </row>
    <row r="97" ht="15.75" customHeight="1">
      <c r="D97" s="7"/>
      <c r="E97" s="7"/>
      <c r="F97" s="7"/>
    </row>
    <row r="98" ht="15.75" customHeight="1">
      <c r="D98" s="7"/>
      <c r="E98" s="7"/>
      <c r="F98" s="7"/>
    </row>
    <row r="99" ht="15.75" customHeight="1">
      <c r="D99" s="7"/>
      <c r="E99" s="7"/>
      <c r="F99" s="7"/>
    </row>
    <row r="100" ht="15.75" customHeight="1">
      <c r="D100" s="7"/>
      <c r="E100" s="7"/>
      <c r="F100" s="7"/>
    </row>
    <row r="101" ht="15.75" customHeight="1">
      <c r="D101" s="7"/>
      <c r="E101" s="7"/>
      <c r="F101" s="7"/>
    </row>
    <row r="102" ht="15.75" customHeight="1">
      <c r="D102" s="7"/>
      <c r="E102" s="7"/>
      <c r="F102" s="7"/>
    </row>
    <row r="103" ht="15.75" customHeight="1">
      <c r="D103" s="7"/>
      <c r="E103" s="7"/>
      <c r="F103" s="7"/>
    </row>
    <row r="104" ht="15.75" customHeight="1">
      <c r="D104" s="7"/>
      <c r="E104" s="7"/>
      <c r="F104" s="7"/>
    </row>
    <row r="105" ht="15.75" customHeight="1">
      <c r="D105" s="7"/>
      <c r="E105" s="7"/>
      <c r="F105" s="7"/>
    </row>
    <row r="106" ht="15.75" customHeight="1">
      <c r="D106" s="7"/>
      <c r="E106" s="7"/>
      <c r="F106" s="7"/>
    </row>
    <row r="107" ht="15.75" customHeight="1">
      <c r="D107" s="7"/>
      <c r="E107" s="7"/>
      <c r="F107" s="7"/>
    </row>
    <row r="108" ht="15.75" customHeight="1">
      <c r="D108" s="7"/>
      <c r="E108" s="7"/>
      <c r="F108" s="7"/>
    </row>
    <row r="109" ht="15.75" customHeight="1">
      <c r="D109" s="7"/>
      <c r="E109" s="7"/>
      <c r="F109" s="7"/>
    </row>
    <row r="110" ht="15.75" customHeight="1">
      <c r="D110" s="7"/>
      <c r="E110" s="7"/>
      <c r="F110" s="7"/>
    </row>
    <row r="111" ht="15.75" customHeight="1">
      <c r="D111" s="7"/>
      <c r="E111" s="7"/>
      <c r="F111" s="7"/>
    </row>
    <row r="112" ht="15.75" customHeight="1">
      <c r="D112" s="7"/>
      <c r="E112" s="7"/>
      <c r="F112" s="7"/>
    </row>
    <row r="113" ht="15.75" customHeight="1">
      <c r="D113" s="7"/>
      <c r="E113" s="7"/>
      <c r="F113" s="7"/>
    </row>
    <row r="114" ht="15.75" customHeight="1">
      <c r="D114" s="7"/>
      <c r="E114" s="7"/>
      <c r="F114" s="7"/>
    </row>
    <row r="115" ht="15.75" customHeight="1">
      <c r="D115" s="7"/>
      <c r="E115" s="7"/>
      <c r="F115" s="7"/>
    </row>
    <row r="116" ht="15.75" customHeight="1">
      <c r="D116" s="7"/>
      <c r="E116" s="7"/>
      <c r="F116" s="7"/>
    </row>
    <row r="117" ht="15.75" customHeight="1">
      <c r="D117" s="7"/>
      <c r="E117" s="7"/>
      <c r="F117" s="7"/>
    </row>
    <row r="118" ht="15.75" customHeight="1">
      <c r="D118" s="7"/>
      <c r="E118" s="7"/>
      <c r="F118" s="7"/>
    </row>
    <row r="119" ht="15.75" customHeight="1">
      <c r="D119" s="7"/>
      <c r="E119" s="7"/>
      <c r="F119" s="7"/>
    </row>
    <row r="120" ht="15.75" customHeight="1">
      <c r="D120" s="7"/>
      <c r="E120" s="7"/>
      <c r="F120" s="7"/>
    </row>
    <row r="121" ht="15.75" customHeight="1">
      <c r="D121" s="7"/>
      <c r="E121" s="7"/>
      <c r="F121" s="7"/>
    </row>
    <row r="122" ht="15.75" customHeight="1">
      <c r="D122" s="7"/>
      <c r="E122" s="7"/>
      <c r="F122" s="7"/>
    </row>
    <row r="123" ht="15.75" customHeight="1">
      <c r="D123" s="7"/>
      <c r="E123" s="7"/>
      <c r="F123" s="7"/>
    </row>
    <row r="124" ht="15.75" customHeight="1">
      <c r="D124" s="7"/>
      <c r="E124" s="7"/>
      <c r="F124" s="7"/>
    </row>
    <row r="125" ht="15.75" customHeight="1">
      <c r="D125" s="7"/>
      <c r="E125" s="7"/>
      <c r="F125" s="7"/>
    </row>
    <row r="126" ht="15.75" customHeight="1">
      <c r="D126" s="7"/>
      <c r="E126" s="7"/>
      <c r="F126" s="7"/>
    </row>
    <row r="127" ht="15.75" customHeight="1">
      <c r="D127" s="7"/>
      <c r="E127" s="7"/>
      <c r="F127" s="7"/>
    </row>
    <row r="128" ht="15.75" customHeight="1">
      <c r="D128" s="7"/>
      <c r="E128" s="7"/>
      <c r="F128" s="7"/>
    </row>
    <row r="129" ht="15.75" customHeight="1">
      <c r="D129" s="7"/>
      <c r="E129" s="7"/>
      <c r="F129" s="7"/>
    </row>
    <row r="130" ht="15.75" customHeight="1">
      <c r="D130" s="7"/>
      <c r="E130" s="7"/>
      <c r="F130" s="7"/>
    </row>
    <row r="131" ht="15.75" customHeight="1">
      <c r="D131" s="7"/>
      <c r="E131" s="7"/>
      <c r="F131" s="7"/>
    </row>
    <row r="132" ht="15.75" customHeight="1">
      <c r="D132" s="7"/>
      <c r="E132" s="7"/>
      <c r="F132" s="7"/>
    </row>
    <row r="133" ht="15.75" customHeight="1">
      <c r="D133" s="7"/>
      <c r="E133" s="7"/>
      <c r="F133" s="7"/>
    </row>
    <row r="134" ht="15.75" customHeight="1">
      <c r="D134" s="7"/>
      <c r="E134" s="7"/>
      <c r="F134" s="7"/>
    </row>
    <row r="135" ht="15.75" customHeight="1">
      <c r="D135" s="7"/>
      <c r="E135" s="7"/>
      <c r="F135" s="7"/>
    </row>
    <row r="136" ht="15.75" customHeight="1">
      <c r="D136" s="7"/>
      <c r="E136" s="7"/>
      <c r="F136" s="7"/>
    </row>
    <row r="137" ht="15.75" customHeight="1">
      <c r="D137" s="7"/>
      <c r="E137" s="7"/>
      <c r="F137" s="7"/>
    </row>
    <row r="138" ht="15.75" customHeight="1">
      <c r="D138" s="7"/>
      <c r="E138" s="7"/>
      <c r="F138" s="7"/>
    </row>
    <row r="139" ht="15.75" customHeight="1">
      <c r="D139" s="7"/>
      <c r="E139" s="7"/>
      <c r="F139" s="7"/>
    </row>
    <row r="140" ht="15.75" customHeight="1">
      <c r="D140" s="7"/>
      <c r="E140" s="7"/>
      <c r="F140" s="7"/>
    </row>
    <row r="141" ht="15.75" customHeight="1">
      <c r="D141" s="7"/>
      <c r="E141" s="7"/>
      <c r="F141" s="7"/>
    </row>
    <row r="142" ht="15.75" customHeight="1">
      <c r="D142" s="7"/>
      <c r="E142" s="7"/>
      <c r="F142" s="7"/>
    </row>
    <row r="143" ht="15.75" customHeight="1">
      <c r="D143" s="7"/>
      <c r="E143" s="7"/>
      <c r="F143" s="7"/>
    </row>
    <row r="144" ht="15.75" customHeight="1">
      <c r="D144" s="7"/>
      <c r="E144" s="7"/>
      <c r="F144" s="7"/>
    </row>
    <row r="145" ht="15.75" customHeight="1">
      <c r="D145" s="7"/>
      <c r="E145" s="7"/>
      <c r="F145" s="7"/>
    </row>
    <row r="146" ht="15.75" customHeight="1">
      <c r="D146" s="7"/>
      <c r="E146" s="7"/>
      <c r="F146" s="7"/>
    </row>
    <row r="147" ht="15.75" customHeight="1">
      <c r="D147" s="7"/>
      <c r="E147" s="7"/>
      <c r="F147" s="7"/>
    </row>
    <row r="148" ht="15.75" customHeight="1">
      <c r="D148" s="7"/>
      <c r="E148" s="7"/>
      <c r="F148" s="7"/>
    </row>
    <row r="149" ht="15.75" customHeight="1">
      <c r="D149" s="7"/>
      <c r="E149" s="7"/>
      <c r="F149" s="7"/>
    </row>
    <row r="150" ht="15.75" customHeight="1">
      <c r="D150" s="7"/>
      <c r="E150" s="7"/>
      <c r="F150" s="7"/>
    </row>
    <row r="151" ht="15.75" customHeight="1">
      <c r="D151" s="7"/>
      <c r="E151" s="7"/>
      <c r="F151" s="7"/>
    </row>
    <row r="152" ht="15.75" customHeight="1">
      <c r="D152" s="7"/>
      <c r="E152" s="7"/>
      <c r="F152" s="7"/>
    </row>
    <row r="153" ht="15.75" customHeight="1">
      <c r="D153" s="7"/>
      <c r="E153" s="7"/>
      <c r="F153" s="7"/>
    </row>
    <row r="154" ht="15.75" customHeight="1">
      <c r="D154" s="7"/>
      <c r="E154" s="7"/>
      <c r="F154" s="7"/>
    </row>
    <row r="155" ht="15.75" customHeight="1">
      <c r="D155" s="7"/>
      <c r="E155" s="7"/>
      <c r="F155" s="7"/>
    </row>
    <row r="156" ht="15.75" customHeight="1">
      <c r="D156" s="7"/>
      <c r="E156" s="7"/>
      <c r="F156" s="7"/>
    </row>
    <row r="157" ht="15.75" customHeight="1">
      <c r="D157" s="7"/>
      <c r="E157" s="7"/>
      <c r="F157" s="7"/>
    </row>
    <row r="158" ht="15.75" customHeight="1">
      <c r="D158" s="7"/>
      <c r="E158" s="7"/>
      <c r="F158" s="7"/>
    </row>
    <row r="159" ht="15.75" customHeight="1">
      <c r="D159" s="7"/>
      <c r="E159" s="7"/>
      <c r="F159" s="7"/>
    </row>
    <row r="160" ht="15.75" customHeight="1">
      <c r="D160" s="7"/>
      <c r="E160" s="7"/>
      <c r="F160" s="7"/>
    </row>
    <row r="161" ht="15.75" customHeight="1">
      <c r="D161" s="7"/>
      <c r="E161" s="7"/>
      <c r="F161" s="7"/>
    </row>
    <row r="162" ht="15.75" customHeight="1">
      <c r="D162" s="7"/>
      <c r="E162" s="7"/>
      <c r="F162" s="7"/>
    </row>
    <row r="163" ht="15.75" customHeight="1">
      <c r="D163" s="7"/>
      <c r="E163" s="7"/>
      <c r="F163" s="7"/>
    </row>
    <row r="164" ht="15.75" customHeight="1">
      <c r="D164" s="7"/>
      <c r="E164" s="7"/>
      <c r="F164" s="7"/>
    </row>
    <row r="165" ht="15.75" customHeight="1">
      <c r="D165" s="7"/>
      <c r="E165" s="7"/>
      <c r="F165" s="7"/>
    </row>
    <row r="166" ht="15.75" customHeight="1">
      <c r="D166" s="7"/>
      <c r="E166" s="7"/>
      <c r="F166" s="7"/>
    </row>
    <row r="167" ht="15.75" customHeight="1">
      <c r="D167" s="7"/>
      <c r="E167" s="7"/>
      <c r="F167" s="7"/>
    </row>
    <row r="168" ht="15.75" customHeight="1">
      <c r="D168" s="7"/>
      <c r="E168" s="7"/>
      <c r="F168" s="7"/>
    </row>
    <row r="169" ht="15.75" customHeight="1">
      <c r="D169" s="7"/>
      <c r="E169" s="7"/>
      <c r="F169" s="7"/>
    </row>
    <row r="170" ht="15.75" customHeight="1">
      <c r="D170" s="7"/>
      <c r="E170" s="7"/>
      <c r="F170" s="7"/>
    </row>
    <row r="171" ht="15.75" customHeight="1">
      <c r="D171" s="7"/>
      <c r="E171" s="7"/>
      <c r="F171" s="7"/>
    </row>
    <row r="172" ht="15.75" customHeight="1">
      <c r="D172" s="7"/>
      <c r="E172" s="7"/>
      <c r="F172" s="7"/>
    </row>
    <row r="173" ht="15.75" customHeight="1">
      <c r="D173" s="7"/>
      <c r="E173" s="7"/>
      <c r="F173" s="7"/>
    </row>
    <row r="174" ht="15.75" customHeight="1">
      <c r="D174" s="7"/>
      <c r="E174" s="7"/>
      <c r="F174" s="7"/>
    </row>
    <row r="175" ht="15.75" customHeight="1">
      <c r="D175" s="7"/>
      <c r="E175" s="7"/>
      <c r="F175" s="7"/>
    </row>
    <row r="176" ht="15.75" customHeight="1">
      <c r="D176" s="7"/>
      <c r="E176" s="7"/>
      <c r="F176" s="7"/>
    </row>
    <row r="177" ht="15.75" customHeight="1">
      <c r="D177" s="7"/>
      <c r="E177" s="7"/>
      <c r="F177" s="7"/>
    </row>
    <row r="178" ht="15.75" customHeight="1">
      <c r="D178" s="7"/>
      <c r="E178" s="7"/>
      <c r="F178" s="7"/>
    </row>
    <row r="179" ht="15.75" customHeight="1">
      <c r="D179" s="7"/>
      <c r="E179" s="7"/>
      <c r="F179" s="7"/>
    </row>
    <row r="180" ht="15.75" customHeight="1">
      <c r="D180" s="7"/>
      <c r="E180" s="7"/>
      <c r="F180" s="7"/>
    </row>
    <row r="181" ht="15.75" customHeight="1">
      <c r="D181" s="7"/>
      <c r="E181" s="7"/>
      <c r="F181" s="7"/>
    </row>
    <row r="182" ht="15.75" customHeight="1">
      <c r="D182" s="7"/>
      <c r="E182" s="7"/>
      <c r="F182" s="7"/>
    </row>
    <row r="183" ht="15.75" customHeight="1">
      <c r="D183" s="7"/>
      <c r="E183" s="7"/>
      <c r="F183" s="7"/>
    </row>
    <row r="184" ht="15.75" customHeight="1">
      <c r="D184" s="7"/>
      <c r="E184" s="7"/>
      <c r="F184" s="7"/>
    </row>
    <row r="185" ht="15.75" customHeight="1">
      <c r="D185" s="7"/>
      <c r="E185" s="7"/>
      <c r="F185" s="7"/>
    </row>
    <row r="186" ht="15.75" customHeight="1">
      <c r="D186" s="7"/>
      <c r="E186" s="7"/>
      <c r="F186" s="7"/>
    </row>
    <row r="187" ht="15.75" customHeight="1">
      <c r="D187" s="7"/>
      <c r="E187" s="7"/>
      <c r="F187" s="7"/>
    </row>
    <row r="188" ht="15.75" customHeight="1">
      <c r="D188" s="7"/>
      <c r="E188" s="7"/>
      <c r="F188" s="7"/>
    </row>
    <row r="189" ht="15.75" customHeight="1">
      <c r="D189" s="7"/>
      <c r="E189" s="7"/>
      <c r="F189" s="7"/>
    </row>
    <row r="190" ht="15.75" customHeight="1">
      <c r="D190" s="7"/>
      <c r="E190" s="7"/>
      <c r="F190" s="7"/>
    </row>
    <row r="191" ht="15.75" customHeight="1">
      <c r="D191" s="7"/>
      <c r="E191" s="7"/>
      <c r="F191" s="7"/>
    </row>
    <row r="192" ht="15.75" customHeight="1">
      <c r="D192" s="7"/>
      <c r="E192" s="7"/>
      <c r="F192" s="7"/>
    </row>
    <row r="193" ht="15.75" customHeight="1">
      <c r="D193" s="7"/>
      <c r="E193" s="7"/>
      <c r="F193" s="7"/>
    </row>
    <row r="194" ht="15.75" customHeight="1">
      <c r="D194" s="7"/>
      <c r="E194" s="7"/>
      <c r="F194" s="7"/>
    </row>
    <row r="195" ht="15.75" customHeight="1">
      <c r="D195" s="7"/>
      <c r="E195" s="7"/>
      <c r="F195" s="7"/>
    </row>
    <row r="196" ht="15.75" customHeight="1">
      <c r="D196" s="7"/>
      <c r="E196" s="7"/>
      <c r="F196" s="7"/>
    </row>
    <row r="197" ht="15.75" customHeight="1">
      <c r="D197" s="7"/>
      <c r="E197" s="7"/>
      <c r="F197" s="7"/>
    </row>
    <row r="198" ht="15.75" customHeight="1">
      <c r="D198" s="7"/>
      <c r="E198" s="7"/>
      <c r="F198" s="7"/>
    </row>
    <row r="199" ht="15.75" customHeight="1">
      <c r="D199" s="7"/>
      <c r="E199" s="7"/>
      <c r="F199" s="7"/>
    </row>
    <row r="200" ht="15.75" customHeight="1">
      <c r="D200" s="7"/>
      <c r="E200" s="7"/>
      <c r="F200" s="7"/>
    </row>
    <row r="201" ht="15.75" customHeight="1">
      <c r="D201" s="7"/>
      <c r="E201" s="7"/>
      <c r="F201" s="7"/>
    </row>
    <row r="202" ht="15.75" customHeight="1">
      <c r="D202" s="7"/>
      <c r="E202" s="7"/>
      <c r="F202" s="7"/>
    </row>
    <row r="203" ht="15.75" customHeight="1">
      <c r="D203" s="7"/>
      <c r="E203" s="7"/>
      <c r="F203" s="7"/>
    </row>
    <row r="204" ht="15.75" customHeight="1">
      <c r="D204" s="7"/>
      <c r="E204" s="7"/>
      <c r="F204" s="7"/>
    </row>
    <row r="205" ht="15.75" customHeight="1">
      <c r="D205" s="7"/>
      <c r="E205" s="7"/>
      <c r="F205" s="7"/>
    </row>
    <row r="206" ht="15.75" customHeight="1">
      <c r="D206" s="7"/>
      <c r="E206" s="7"/>
      <c r="F206" s="7"/>
    </row>
    <row r="207" ht="15.75" customHeight="1">
      <c r="D207" s="7"/>
      <c r="E207" s="7"/>
      <c r="F207" s="7"/>
    </row>
    <row r="208" ht="15.75" customHeight="1">
      <c r="D208" s="7"/>
      <c r="E208" s="7"/>
      <c r="F208" s="7"/>
    </row>
    <row r="209" ht="15.75" customHeight="1">
      <c r="D209" s="7"/>
      <c r="E209" s="7"/>
      <c r="F209" s="7"/>
    </row>
    <row r="210" ht="15.75" customHeight="1">
      <c r="D210" s="7"/>
      <c r="E210" s="7"/>
      <c r="F210" s="7"/>
    </row>
    <row r="211" ht="15.75" customHeight="1">
      <c r="D211" s="7"/>
      <c r="E211" s="7"/>
      <c r="F211" s="7"/>
    </row>
    <row r="212" ht="15.75" customHeight="1">
      <c r="D212" s="7"/>
      <c r="E212" s="7"/>
      <c r="F212" s="7"/>
    </row>
    <row r="213" ht="15.75" customHeight="1">
      <c r="D213" s="7"/>
      <c r="E213" s="7"/>
      <c r="F213" s="7"/>
    </row>
    <row r="214" ht="15.75" customHeight="1">
      <c r="D214" s="7"/>
      <c r="E214" s="7"/>
      <c r="F214" s="7"/>
    </row>
    <row r="215" ht="15.75" customHeight="1">
      <c r="D215" s="7"/>
      <c r="E215" s="7"/>
      <c r="F215" s="7"/>
    </row>
    <row r="216" ht="15.75" customHeight="1">
      <c r="D216" s="7"/>
      <c r="E216" s="7"/>
      <c r="F216" s="7"/>
    </row>
    <row r="217" ht="15.75" customHeight="1">
      <c r="D217" s="7"/>
      <c r="E217" s="7"/>
      <c r="F217" s="7"/>
    </row>
    <row r="218" ht="15.75" customHeight="1">
      <c r="D218" s="7"/>
      <c r="E218" s="7"/>
      <c r="F218" s="7"/>
    </row>
    <row r="219" ht="15.75" customHeight="1">
      <c r="D219" s="7"/>
      <c r="E219" s="7"/>
      <c r="F219" s="7"/>
    </row>
    <row r="220" ht="15.75" customHeight="1">
      <c r="D220" s="7"/>
      <c r="E220" s="7"/>
      <c r="F220" s="7"/>
    </row>
    <row r="221" ht="15.75" customHeight="1">
      <c r="D221" s="7"/>
      <c r="E221" s="7"/>
      <c r="F221" s="7"/>
    </row>
    <row r="222" ht="15.75" customHeight="1">
      <c r="D222" s="7"/>
      <c r="E222" s="7"/>
      <c r="F222" s="7"/>
    </row>
    <row r="223" ht="15.75" customHeight="1">
      <c r="D223" s="7"/>
      <c r="E223" s="7"/>
      <c r="F223" s="7"/>
    </row>
    <row r="224" ht="15.75" customHeight="1">
      <c r="D224" s="7"/>
      <c r="E224" s="7"/>
      <c r="F224" s="7"/>
    </row>
    <row r="225" ht="15.75" customHeight="1">
      <c r="D225" s="7"/>
      <c r="E225" s="7"/>
      <c r="F225" s="7"/>
    </row>
    <row r="226" ht="15.75" customHeight="1">
      <c r="D226" s="7"/>
      <c r="E226" s="7"/>
      <c r="F226" s="7"/>
    </row>
    <row r="227" ht="15.75" customHeight="1">
      <c r="D227" s="7"/>
      <c r="E227" s="7"/>
      <c r="F227" s="7"/>
    </row>
    <row r="228" ht="15.75" customHeight="1">
      <c r="D228" s="7"/>
      <c r="E228" s="7"/>
      <c r="F228" s="7"/>
    </row>
    <row r="229" ht="15.75" customHeight="1">
      <c r="D229" s="7"/>
      <c r="E229" s="7"/>
      <c r="F229" s="7"/>
    </row>
    <row r="230" ht="15.75" customHeight="1">
      <c r="D230" s="7"/>
      <c r="E230" s="7"/>
      <c r="F230" s="7"/>
    </row>
    <row r="231" ht="15.75" customHeight="1">
      <c r="D231" s="7"/>
      <c r="E231" s="7"/>
      <c r="F231" s="7"/>
    </row>
    <row r="232" ht="15.75" customHeight="1">
      <c r="D232" s="7"/>
      <c r="E232" s="7"/>
      <c r="F232" s="7"/>
    </row>
    <row r="233" ht="15.75" customHeight="1">
      <c r="D233" s="7"/>
      <c r="E233" s="7"/>
      <c r="F233" s="7"/>
    </row>
    <row r="234" ht="15.75" customHeight="1">
      <c r="D234" s="7"/>
      <c r="E234" s="7"/>
      <c r="F234" s="7"/>
    </row>
    <row r="235" ht="15.75" customHeight="1">
      <c r="D235" s="7"/>
      <c r="E235" s="7"/>
      <c r="F235" s="7"/>
    </row>
    <row r="236" ht="15.75" customHeight="1">
      <c r="D236" s="7"/>
      <c r="E236" s="7"/>
      <c r="F236" s="7"/>
    </row>
    <row r="237" ht="15.75" customHeight="1">
      <c r="D237" s="7"/>
      <c r="E237" s="7"/>
      <c r="F237" s="7"/>
    </row>
    <row r="238" ht="15.75" customHeight="1">
      <c r="D238" s="7"/>
      <c r="E238" s="7"/>
      <c r="F238" s="7"/>
    </row>
    <row r="239" ht="15.75" customHeight="1">
      <c r="D239" s="7"/>
      <c r="E239" s="7"/>
      <c r="F239" s="7"/>
    </row>
    <row r="240" ht="15.75" customHeight="1">
      <c r="D240" s="7"/>
      <c r="E240" s="7"/>
      <c r="F240" s="7"/>
    </row>
    <row r="241" ht="15.75" customHeight="1">
      <c r="D241" s="7"/>
      <c r="E241" s="7"/>
      <c r="F241" s="7"/>
    </row>
    <row r="242" ht="15.75" customHeight="1">
      <c r="D242" s="7"/>
      <c r="E242" s="7"/>
      <c r="F242" s="7"/>
    </row>
    <row r="243" ht="15.75" customHeight="1">
      <c r="D243" s="7"/>
      <c r="E243" s="7"/>
      <c r="F243" s="7"/>
    </row>
    <row r="244" ht="15.75" customHeight="1">
      <c r="D244" s="7"/>
      <c r="E244" s="7"/>
      <c r="F244" s="7"/>
    </row>
    <row r="245" ht="15.75" customHeight="1">
      <c r="D245" s="7"/>
      <c r="E245" s="7"/>
      <c r="F245" s="7"/>
    </row>
    <row r="246" ht="15.75" customHeight="1">
      <c r="D246" s="7"/>
      <c r="E246" s="7"/>
      <c r="F246" s="7"/>
    </row>
    <row r="247" ht="15.75" customHeight="1">
      <c r="D247" s="7"/>
      <c r="E247" s="7"/>
      <c r="F247" s="7"/>
    </row>
    <row r="248" ht="15.75" customHeight="1">
      <c r="D248" s="7"/>
      <c r="E248" s="7"/>
      <c r="F248" s="7"/>
    </row>
    <row r="249" ht="15.75" customHeight="1">
      <c r="D249" s="7"/>
      <c r="E249" s="7"/>
      <c r="F249" s="7"/>
    </row>
    <row r="250" ht="15.75" customHeight="1">
      <c r="D250" s="7"/>
      <c r="E250" s="7"/>
      <c r="F250" s="7"/>
    </row>
    <row r="251" ht="15.75" customHeight="1">
      <c r="D251" s="7"/>
      <c r="E251" s="7"/>
      <c r="F251" s="7"/>
    </row>
    <row r="252" ht="15.75" customHeight="1">
      <c r="D252" s="7"/>
      <c r="E252" s="7"/>
      <c r="F252" s="7"/>
    </row>
    <row r="253" ht="15.75" customHeight="1">
      <c r="D253" s="7"/>
      <c r="E253" s="7"/>
      <c r="F253" s="7"/>
    </row>
    <row r="254" ht="15.75" customHeight="1">
      <c r="D254" s="7"/>
      <c r="E254" s="7"/>
      <c r="F254" s="7"/>
    </row>
    <row r="255" ht="15.75" customHeight="1">
      <c r="D255" s="7"/>
      <c r="E255" s="7"/>
      <c r="F255" s="7"/>
    </row>
    <row r="256" ht="15.75" customHeight="1">
      <c r="D256" s="7"/>
      <c r="E256" s="7"/>
      <c r="F256" s="7"/>
    </row>
    <row r="257" ht="15.75" customHeight="1">
      <c r="D257" s="7"/>
      <c r="E257" s="7"/>
      <c r="F257" s="7"/>
    </row>
    <row r="258" ht="15.75" customHeight="1">
      <c r="D258" s="7"/>
      <c r="E258" s="7"/>
      <c r="F258" s="7"/>
    </row>
    <row r="259" ht="15.75" customHeight="1">
      <c r="D259" s="7"/>
      <c r="E259" s="7"/>
      <c r="F259" s="7"/>
    </row>
    <row r="260" ht="15.75" customHeight="1">
      <c r="D260" s="7"/>
      <c r="E260" s="7"/>
      <c r="F260" s="7"/>
    </row>
    <row r="261" ht="15.75" customHeight="1">
      <c r="D261" s="7"/>
      <c r="E261" s="7"/>
      <c r="F261" s="7"/>
    </row>
    <row r="262" ht="15.75" customHeight="1">
      <c r="D262" s="7"/>
      <c r="E262" s="7"/>
      <c r="F262" s="7"/>
    </row>
    <row r="263" ht="15.75" customHeight="1">
      <c r="D263" s="7"/>
      <c r="E263" s="7"/>
      <c r="F263" s="7"/>
    </row>
    <row r="264" ht="15.75" customHeight="1">
      <c r="D264" s="7"/>
      <c r="E264" s="7"/>
      <c r="F264" s="7"/>
    </row>
    <row r="265" ht="15.75" customHeight="1">
      <c r="D265" s="7"/>
      <c r="E265" s="7"/>
      <c r="F265" s="7"/>
    </row>
    <row r="266" ht="15.75" customHeight="1">
      <c r="D266" s="7"/>
      <c r="E266" s="7"/>
      <c r="F266" s="7"/>
    </row>
    <row r="267" ht="15.75" customHeight="1">
      <c r="D267" s="7"/>
      <c r="E267" s="7"/>
      <c r="F267" s="7"/>
    </row>
    <row r="268" ht="15.75" customHeight="1">
      <c r="D268" s="7"/>
      <c r="E268" s="7"/>
      <c r="F268" s="7"/>
    </row>
    <row r="269" ht="15.75" customHeight="1">
      <c r="D269" s="7"/>
      <c r="E269" s="7"/>
      <c r="F269" s="7"/>
    </row>
    <row r="270" ht="15.75" customHeight="1">
      <c r="D270" s="7"/>
      <c r="E270" s="7"/>
      <c r="F270" s="7"/>
    </row>
    <row r="271" ht="15.75" customHeight="1">
      <c r="D271" s="7"/>
      <c r="E271" s="7"/>
      <c r="F271" s="7"/>
    </row>
    <row r="272" ht="15.75" customHeight="1">
      <c r="D272" s="7"/>
      <c r="E272" s="7"/>
      <c r="F272" s="7"/>
    </row>
    <row r="273" ht="15.75" customHeight="1">
      <c r="D273" s="7"/>
      <c r="E273" s="7"/>
      <c r="F273" s="7"/>
    </row>
    <row r="274" ht="15.75" customHeight="1">
      <c r="D274" s="7"/>
      <c r="E274" s="7"/>
      <c r="F274" s="7"/>
    </row>
    <row r="275" ht="15.75" customHeight="1">
      <c r="D275" s="7"/>
      <c r="E275" s="7"/>
      <c r="F275" s="7"/>
    </row>
    <row r="276" ht="15.75" customHeight="1">
      <c r="D276" s="7"/>
      <c r="E276" s="7"/>
      <c r="F276" s="7"/>
    </row>
    <row r="277" ht="15.75" customHeight="1">
      <c r="D277" s="7"/>
      <c r="E277" s="7"/>
      <c r="F277" s="7"/>
    </row>
    <row r="278" ht="15.75" customHeight="1">
      <c r="D278" s="7"/>
      <c r="E278" s="7"/>
      <c r="F278" s="7"/>
    </row>
    <row r="279" ht="15.75" customHeight="1">
      <c r="D279" s="7"/>
      <c r="E279" s="7"/>
      <c r="F279" s="7"/>
    </row>
    <row r="280" ht="15.75" customHeight="1">
      <c r="D280" s="7"/>
      <c r="E280" s="7"/>
      <c r="F280" s="7"/>
    </row>
    <row r="281" ht="15.75" customHeight="1">
      <c r="D281" s="7"/>
      <c r="E281" s="7"/>
      <c r="F281" s="7"/>
    </row>
    <row r="282" ht="15.75" customHeight="1">
      <c r="D282" s="7"/>
      <c r="E282" s="7"/>
      <c r="F282" s="7"/>
    </row>
    <row r="283" ht="15.75" customHeight="1">
      <c r="D283" s="7"/>
      <c r="E283" s="7"/>
      <c r="F283" s="7"/>
    </row>
    <row r="284" ht="15.75" customHeight="1">
      <c r="D284" s="7"/>
      <c r="E284" s="7"/>
      <c r="F284" s="7"/>
    </row>
    <row r="285" ht="15.75" customHeight="1">
      <c r="D285" s="7"/>
      <c r="E285" s="7"/>
      <c r="F285" s="7"/>
    </row>
    <row r="286" ht="15.75" customHeight="1">
      <c r="D286" s="7"/>
      <c r="E286" s="7"/>
      <c r="F286" s="7"/>
    </row>
    <row r="287" ht="15.75" customHeight="1">
      <c r="D287" s="7"/>
      <c r="E287" s="7"/>
      <c r="F287" s="7"/>
    </row>
    <row r="288" ht="15.75" customHeight="1">
      <c r="D288" s="7"/>
      <c r="E288" s="7"/>
      <c r="F288" s="7"/>
    </row>
    <row r="289" ht="15.75" customHeight="1">
      <c r="D289" s="7"/>
      <c r="E289" s="7"/>
      <c r="F289" s="7"/>
    </row>
    <row r="290" ht="15.75" customHeight="1">
      <c r="D290" s="7"/>
      <c r="E290" s="7"/>
      <c r="F290" s="7"/>
    </row>
    <row r="291" ht="15.75" customHeight="1">
      <c r="D291" s="7"/>
      <c r="E291" s="7"/>
      <c r="F291" s="7"/>
    </row>
    <row r="292" ht="15.75" customHeight="1">
      <c r="D292" s="7"/>
      <c r="E292" s="7"/>
      <c r="F292" s="7"/>
    </row>
    <row r="293" ht="15.75" customHeight="1">
      <c r="D293" s="7"/>
      <c r="E293" s="7"/>
      <c r="F293" s="7"/>
    </row>
    <row r="294" ht="15.75" customHeight="1">
      <c r="D294" s="7"/>
      <c r="E294" s="7"/>
      <c r="F294" s="7"/>
    </row>
    <row r="295" ht="15.75" customHeight="1">
      <c r="D295" s="7"/>
      <c r="E295" s="7"/>
      <c r="F295" s="7"/>
    </row>
    <row r="296" ht="15.75" customHeight="1">
      <c r="D296" s="7"/>
      <c r="E296" s="7"/>
      <c r="F296" s="7"/>
    </row>
    <row r="297" ht="15.75" customHeight="1">
      <c r="D297" s="7"/>
      <c r="E297" s="7"/>
      <c r="F297" s="7"/>
    </row>
    <row r="298" ht="15.75" customHeight="1">
      <c r="D298" s="7"/>
      <c r="E298" s="7"/>
      <c r="F298" s="7"/>
    </row>
    <row r="299" ht="15.75" customHeight="1">
      <c r="D299" s="7"/>
      <c r="E299" s="7"/>
      <c r="F299" s="7"/>
    </row>
    <row r="300" ht="15.75" customHeight="1">
      <c r="D300" s="7"/>
      <c r="E300" s="7"/>
      <c r="F300" s="7"/>
    </row>
    <row r="301" ht="15.75" customHeight="1">
      <c r="D301" s="7"/>
      <c r="E301" s="7"/>
      <c r="F301" s="7"/>
    </row>
    <row r="302" ht="15.75" customHeight="1">
      <c r="D302" s="7"/>
      <c r="E302" s="7"/>
      <c r="F302" s="7"/>
    </row>
    <row r="303" ht="15.75" customHeight="1">
      <c r="D303" s="7"/>
      <c r="E303" s="7"/>
      <c r="F303" s="7"/>
    </row>
    <row r="304" ht="15.75" customHeight="1">
      <c r="D304" s="7"/>
      <c r="E304" s="7"/>
      <c r="F304" s="7"/>
    </row>
    <row r="305" ht="15.75" customHeight="1">
      <c r="D305" s="7"/>
      <c r="E305" s="7"/>
      <c r="F305" s="7"/>
    </row>
    <row r="306" ht="15.75" customHeight="1">
      <c r="D306" s="7"/>
      <c r="E306" s="7"/>
      <c r="F306" s="7"/>
    </row>
    <row r="307" ht="15.75" customHeight="1">
      <c r="D307" s="7"/>
      <c r="E307" s="7"/>
      <c r="F307" s="7"/>
    </row>
    <row r="308" ht="15.75" customHeight="1">
      <c r="D308" s="7"/>
      <c r="E308" s="7"/>
      <c r="F308" s="7"/>
    </row>
    <row r="309" ht="15.75" customHeight="1">
      <c r="D309" s="7"/>
      <c r="E309" s="7"/>
      <c r="F309" s="7"/>
    </row>
    <row r="310" ht="15.75" customHeight="1">
      <c r="D310" s="7"/>
      <c r="E310" s="7"/>
      <c r="F310" s="7"/>
    </row>
    <row r="311" ht="15.75" customHeight="1">
      <c r="D311" s="7"/>
      <c r="E311" s="7"/>
      <c r="F311" s="7"/>
    </row>
    <row r="312" ht="15.75" customHeight="1">
      <c r="D312" s="7"/>
      <c r="E312" s="7"/>
      <c r="F312" s="7"/>
    </row>
    <row r="313" ht="15.75" customHeight="1">
      <c r="D313" s="7"/>
      <c r="E313" s="7"/>
      <c r="F313" s="7"/>
    </row>
    <row r="314" ht="15.75" customHeight="1">
      <c r="D314" s="7"/>
      <c r="E314" s="7"/>
      <c r="F314" s="7"/>
    </row>
    <row r="315" ht="15.75" customHeight="1">
      <c r="D315" s="7"/>
      <c r="E315" s="7"/>
      <c r="F315" s="7"/>
    </row>
    <row r="316" ht="15.75" customHeight="1">
      <c r="D316" s="7"/>
      <c r="E316" s="7"/>
      <c r="F316" s="7"/>
    </row>
    <row r="317" ht="15.75" customHeight="1">
      <c r="D317" s="7"/>
      <c r="E317" s="7"/>
      <c r="F317" s="7"/>
    </row>
    <row r="318" ht="15.75" customHeight="1">
      <c r="D318" s="7"/>
      <c r="E318" s="7"/>
      <c r="F318" s="7"/>
    </row>
    <row r="319" ht="15.75" customHeight="1">
      <c r="D319" s="7"/>
      <c r="E319" s="7"/>
      <c r="F319" s="7"/>
    </row>
    <row r="320" ht="15.75" customHeight="1">
      <c r="D320" s="7"/>
      <c r="E320" s="7"/>
      <c r="F320" s="7"/>
    </row>
    <row r="321" ht="15.75" customHeight="1">
      <c r="D321" s="7"/>
      <c r="E321" s="7"/>
      <c r="F321" s="7"/>
    </row>
    <row r="322" ht="15.75" customHeight="1">
      <c r="D322" s="7"/>
      <c r="E322" s="7"/>
      <c r="F322" s="7"/>
    </row>
    <row r="323" ht="15.75" customHeight="1">
      <c r="D323" s="7"/>
      <c r="E323" s="7"/>
      <c r="F323" s="7"/>
    </row>
    <row r="324" ht="15.75" customHeight="1">
      <c r="D324" s="7"/>
      <c r="E324" s="7"/>
      <c r="F324" s="7"/>
    </row>
    <row r="325" ht="15.75" customHeight="1">
      <c r="D325" s="7"/>
      <c r="E325" s="7"/>
      <c r="F325" s="7"/>
    </row>
    <row r="326" ht="15.75" customHeight="1">
      <c r="D326" s="7"/>
      <c r="E326" s="7"/>
      <c r="F326" s="7"/>
    </row>
    <row r="327" ht="15.75" customHeight="1">
      <c r="D327" s="7"/>
      <c r="E327" s="7"/>
      <c r="F327" s="7"/>
    </row>
    <row r="328" ht="15.75" customHeight="1">
      <c r="D328" s="7"/>
      <c r="E328" s="7"/>
      <c r="F328" s="7"/>
    </row>
    <row r="329" ht="15.75" customHeight="1">
      <c r="D329" s="7"/>
      <c r="E329" s="7"/>
      <c r="F329" s="7"/>
    </row>
    <row r="330" ht="15.75" customHeight="1">
      <c r="D330" s="7"/>
      <c r="E330" s="7"/>
      <c r="F330" s="7"/>
    </row>
    <row r="331" ht="15.75" customHeight="1">
      <c r="D331" s="7"/>
      <c r="E331" s="7"/>
      <c r="F331" s="7"/>
    </row>
    <row r="332" ht="15.75" customHeight="1">
      <c r="D332" s="7"/>
      <c r="E332" s="7"/>
      <c r="F332" s="7"/>
    </row>
    <row r="333" ht="15.75" customHeight="1">
      <c r="D333" s="7"/>
      <c r="E333" s="7"/>
      <c r="F333" s="7"/>
    </row>
    <row r="334" ht="15.75" customHeight="1">
      <c r="D334" s="7"/>
      <c r="E334" s="7"/>
      <c r="F334" s="7"/>
    </row>
    <row r="335" ht="15.75" customHeight="1">
      <c r="D335" s="7"/>
      <c r="E335" s="7"/>
      <c r="F335" s="7"/>
    </row>
    <row r="336" ht="15.75" customHeight="1">
      <c r="D336" s="7"/>
      <c r="E336" s="7"/>
      <c r="F336" s="7"/>
    </row>
    <row r="337" ht="15.75" customHeight="1">
      <c r="D337" s="7"/>
      <c r="E337" s="7"/>
      <c r="F337" s="7"/>
    </row>
    <row r="338" ht="15.75" customHeight="1">
      <c r="D338" s="7"/>
      <c r="E338" s="7"/>
      <c r="F338" s="7"/>
    </row>
    <row r="339" ht="15.75" customHeight="1">
      <c r="D339" s="7"/>
      <c r="E339" s="7"/>
      <c r="F339" s="7"/>
    </row>
    <row r="340" ht="15.75" customHeight="1">
      <c r="D340" s="7"/>
      <c r="E340" s="7"/>
      <c r="F340" s="7"/>
    </row>
    <row r="341" ht="15.75" customHeight="1">
      <c r="D341" s="7"/>
      <c r="E341" s="7"/>
      <c r="F341" s="7"/>
    </row>
    <row r="342" ht="15.75" customHeight="1">
      <c r="D342" s="7"/>
      <c r="E342" s="7"/>
      <c r="F342" s="7"/>
    </row>
    <row r="343" ht="15.75" customHeight="1">
      <c r="D343" s="7"/>
      <c r="E343" s="7"/>
      <c r="F343" s="7"/>
    </row>
    <row r="344" ht="15.75" customHeight="1">
      <c r="D344" s="7"/>
      <c r="E344" s="7"/>
      <c r="F344" s="7"/>
    </row>
    <row r="345" ht="15.75" customHeight="1">
      <c r="D345" s="7"/>
      <c r="E345" s="7"/>
      <c r="F345" s="7"/>
    </row>
    <row r="346" ht="15.75" customHeight="1">
      <c r="D346" s="7"/>
      <c r="E346" s="7"/>
      <c r="F346" s="7"/>
    </row>
    <row r="347" ht="15.75" customHeight="1">
      <c r="D347" s="7"/>
      <c r="E347" s="7"/>
      <c r="F347" s="7"/>
    </row>
    <row r="348" ht="15.75" customHeight="1">
      <c r="D348" s="7"/>
      <c r="E348" s="7"/>
      <c r="F348" s="7"/>
    </row>
    <row r="349" ht="15.75" customHeight="1">
      <c r="D349" s="7"/>
      <c r="E349" s="7"/>
      <c r="F349" s="7"/>
    </row>
    <row r="350" ht="15.75" customHeight="1">
      <c r="D350" s="7"/>
      <c r="E350" s="7"/>
      <c r="F350" s="7"/>
    </row>
    <row r="351" ht="15.75" customHeight="1">
      <c r="D351" s="7"/>
      <c r="E351" s="7"/>
      <c r="F351" s="7"/>
    </row>
    <row r="352" ht="15.75" customHeight="1">
      <c r="D352" s="7"/>
      <c r="E352" s="7"/>
      <c r="F352" s="7"/>
    </row>
    <row r="353" ht="15.75" customHeight="1">
      <c r="D353" s="7"/>
      <c r="E353" s="7"/>
      <c r="F353" s="7"/>
    </row>
    <row r="354" ht="15.75" customHeight="1">
      <c r="D354" s="7"/>
      <c r="E354" s="7"/>
      <c r="F354" s="7"/>
    </row>
    <row r="355" ht="15.75" customHeight="1">
      <c r="D355" s="7"/>
      <c r="E355" s="7"/>
      <c r="F355" s="7"/>
    </row>
    <row r="356" ht="15.75" customHeight="1">
      <c r="D356" s="7"/>
      <c r="E356" s="7"/>
      <c r="F356" s="7"/>
    </row>
    <row r="357" ht="15.75" customHeight="1">
      <c r="D357" s="7"/>
      <c r="E357" s="7"/>
      <c r="F357" s="7"/>
    </row>
    <row r="358" ht="15.75" customHeight="1">
      <c r="D358" s="7"/>
      <c r="E358" s="7"/>
      <c r="F358" s="7"/>
    </row>
    <row r="359" ht="15.75" customHeight="1">
      <c r="D359" s="7"/>
      <c r="E359" s="7"/>
      <c r="F359" s="7"/>
    </row>
    <row r="360" ht="15.75" customHeight="1">
      <c r="D360" s="7"/>
      <c r="E360" s="7"/>
      <c r="F360" s="7"/>
    </row>
    <row r="361" ht="15.75" customHeight="1">
      <c r="D361" s="7"/>
      <c r="E361" s="7"/>
      <c r="F361" s="7"/>
    </row>
    <row r="362" ht="15.75" customHeight="1">
      <c r="D362" s="7"/>
      <c r="E362" s="7"/>
      <c r="F362" s="7"/>
    </row>
    <row r="363" ht="15.75" customHeight="1">
      <c r="D363" s="7"/>
      <c r="E363" s="7"/>
      <c r="F363" s="7"/>
    </row>
    <row r="364" ht="15.75" customHeight="1">
      <c r="D364" s="7"/>
      <c r="E364" s="7"/>
      <c r="F364" s="7"/>
    </row>
    <row r="365" ht="15.75" customHeight="1">
      <c r="D365" s="7"/>
      <c r="E365" s="7"/>
      <c r="F365" s="7"/>
    </row>
    <row r="366" ht="15.75" customHeight="1">
      <c r="D366" s="7"/>
      <c r="E366" s="7"/>
      <c r="F366" s="7"/>
    </row>
    <row r="367" ht="15.75" customHeight="1">
      <c r="D367" s="7"/>
      <c r="E367" s="7"/>
      <c r="F367" s="7"/>
    </row>
    <row r="368" ht="15.75" customHeight="1">
      <c r="D368" s="7"/>
      <c r="E368" s="7"/>
      <c r="F368" s="7"/>
    </row>
    <row r="369" ht="15.75" customHeight="1">
      <c r="D369" s="7"/>
      <c r="E369" s="7"/>
      <c r="F369" s="7"/>
    </row>
    <row r="370" ht="15.75" customHeight="1">
      <c r="D370" s="7"/>
      <c r="E370" s="7"/>
      <c r="F370" s="7"/>
    </row>
    <row r="371" ht="15.75" customHeight="1">
      <c r="D371" s="7"/>
      <c r="E371" s="7"/>
      <c r="F371" s="7"/>
    </row>
    <row r="372" ht="15.75" customHeight="1">
      <c r="D372" s="7"/>
      <c r="E372" s="7"/>
      <c r="F372" s="7"/>
    </row>
    <row r="373" ht="15.75" customHeight="1">
      <c r="D373" s="7"/>
      <c r="E373" s="7"/>
      <c r="F373" s="7"/>
    </row>
    <row r="374" ht="15.75" customHeight="1">
      <c r="D374" s="7"/>
      <c r="E374" s="7"/>
      <c r="F374" s="7"/>
    </row>
    <row r="375" ht="15.75" customHeight="1">
      <c r="D375" s="7"/>
      <c r="E375" s="7"/>
      <c r="F375" s="7"/>
    </row>
    <row r="376" ht="15.75" customHeight="1">
      <c r="D376" s="7"/>
      <c r="E376" s="7"/>
      <c r="F376" s="7"/>
    </row>
    <row r="377" ht="15.75" customHeight="1">
      <c r="D377" s="7"/>
      <c r="E377" s="7"/>
      <c r="F377" s="7"/>
    </row>
    <row r="378" ht="15.75" customHeight="1">
      <c r="D378" s="7"/>
      <c r="E378" s="7"/>
      <c r="F378" s="7"/>
    </row>
    <row r="379" ht="15.75" customHeight="1">
      <c r="D379" s="7"/>
      <c r="E379" s="7"/>
      <c r="F379" s="7"/>
    </row>
    <row r="380" ht="15.75" customHeight="1">
      <c r="D380" s="7"/>
      <c r="E380" s="7"/>
      <c r="F380" s="7"/>
    </row>
    <row r="381" ht="15.75" customHeight="1">
      <c r="D381" s="7"/>
      <c r="E381" s="7"/>
      <c r="F381" s="7"/>
    </row>
    <row r="382" ht="15.75" customHeight="1">
      <c r="D382" s="7"/>
      <c r="E382" s="7"/>
      <c r="F382" s="7"/>
    </row>
    <row r="383" ht="15.75" customHeight="1">
      <c r="D383" s="7"/>
      <c r="E383" s="7"/>
      <c r="F383" s="7"/>
    </row>
    <row r="384" ht="15.75" customHeight="1">
      <c r="D384" s="7"/>
      <c r="E384" s="7"/>
      <c r="F384" s="7"/>
    </row>
    <row r="385" ht="15.75" customHeight="1">
      <c r="D385" s="7"/>
      <c r="E385" s="7"/>
      <c r="F385" s="7"/>
    </row>
    <row r="386" ht="15.75" customHeight="1">
      <c r="D386" s="7"/>
      <c r="E386" s="7"/>
      <c r="F386" s="7"/>
    </row>
    <row r="387" ht="15.75" customHeight="1">
      <c r="D387" s="7"/>
      <c r="E387" s="7"/>
      <c r="F387" s="7"/>
    </row>
    <row r="388" ht="15.75" customHeight="1">
      <c r="D388" s="7"/>
      <c r="E388" s="7"/>
      <c r="F388" s="7"/>
    </row>
    <row r="389" ht="15.75" customHeight="1">
      <c r="D389" s="7"/>
      <c r="E389" s="7"/>
      <c r="F389" s="7"/>
    </row>
    <row r="390" ht="15.75" customHeight="1">
      <c r="D390" s="7"/>
      <c r="E390" s="7"/>
      <c r="F390" s="7"/>
    </row>
    <row r="391" ht="15.75" customHeight="1">
      <c r="D391" s="7"/>
      <c r="E391" s="7"/>
      <c r="F391" s="7"/>
    </row>
    <row r="392" ht="15.75" customHeight="1">
      <c r="D392" s="7"/>
      <c r="E392" s="7"/>
      <c r="F392" s="7"/>
    </row>
    <row r="393" ht="15.75" customHeight="1">
      <c r="D393" s="7"/>
      <c r="E393" s="7"/>
      <c r="F393" s="7"/>
    </row>
    <row r="394" ht="15.75" customHeight="1">
      <c r="D394" s="7"/>
      <c r="E394" s="7"/>
      <c r="F394" s="7"/>
    </row>
    <row r="395" ht="15.75" customHeight="1">
      <c r="D395" s="7"/>
      <c r="E395" s="7"/>
      <c r="F395" s="7"/>
    </row>
    <row r="396" ht="15.75" customHeight="1">
      <c r="D396" s="7"/>
      <c r="E396" s="7"/>
      <c r="F396" s="7"/>
    </row>
    <row r="397" ht="15.75" customHeight="1">
      <c r="D397" s="7"/>
      <c r="E397" s="7"/>
      <c r="F397" s="7"/>
    </row>
    <row r="398" ht="15.75" customHeight="1">
      <c r="D398" s="7"/>
      <c r="E398" s="7"/>
      <c r="F398" s="7"/>
    </row>
    <row r="399" ht="15.75" customHeight="1">
      <c r="D399" s="7"/>
      <c r="E399" s="7"/>
      <c r="F399" s="7"/>
    </row>
    <row r="400" ht="15.75" customHeight="1">
      <c r="D400" s="7"/>
      <c r="E400" s="7"/>
      <c r="F400" s="7"/>
    </row>
    <row r="401" ht="15.75" customHeight="1">
      <c r="D401" s="7"/>
      <c r="E401" s="7"/>
      <c r="F401" s="7"/>
    </row>
    <row r="402" ht="15.75" customHeight="1">
      <c r="D402" s="7"/>
      <c r="E402" s="7"/>
      <c r="F402" s="7"/>
    </row>
    <row r="403" ht="15.75" customHeight="1">
      <c r="D403" s="7"/>
      <c r="E403" s="7"/>
      <c r="F403" s="7"/>
    </row>
    <row r="404" ht="15.75" customHeight="1">
      <c r="D404" s="7"/>
      <c r="E404" s="7"/>
      <c r="F404" s="7"/>
    </row>
    <row r="405" ht="15.75" customHeight="1">
      <c r="D405" s="7"/>
      <c r="E405" s="7"/>
      <c r="F405" s="7"/>
    </row>
    <row r="406" ht="15.75" customHeight="1">
      <c r="D406" s="7"/>
      <c r="E406" s="7"/>
      <c r="F406" s="7"/>
    </row>
    <row r="407" ht="15.75" customHeight="1">
      <c r="D407" s="7"/>
      <c r="E407" s="7"/>
      <c r="F407" s="7"/>
    </row>
    <row r="408" ht="15.75" customHeight="1">
      <c r="D408" s="7"/>
      <c r="E408" s="7"/>
      <c r="F408" s="7"/>
    </row>
    <row r="409" ht="15.75" customHeight="1">
      <c r="D409" s="7"/>
      <c r="E409" s="7"/>
      <c r="F409" s="7"/>
    </row>
    <row r="410" ht="15.75" customHeight="1">
      <c r="D410" s="7"/>
      <c r="E410" s="7"/>
      <c r="F410" s="7"/>
    </row>
    <row r="411" ht="15.75" customHeight="1">
      <c r="D411" s="7"/>
      <c r="E411" s="7"/>
      <c r="F411" s="7"/>
    </row>
    <row r="412" ht="15.75" customHeight="1">
      <c r="D412" s="7"/>
      <c r="E412" s="7"/>
      <c r="F412" s="7"/>
    </row>
    <row r="413" ht="15.75" customHeight="1">
      <c r="D413" s="7"/>
      <c r="E413" s="7"/>
      <c r="F413" s="7"/>
    </row>
    <row r="414" ht="15.75" customHeight="1">
      <c r="D414" s="7"/>
      <c r="E414" s="7"/>
      <c r="F414" s="7"/>
    </row>
    <row r="415" ht="15.75" customHeight="1">
      <c r="D415" s="7"/>
      <c r="E415" s="7"/>
      <c r="F415" s="7"/>
    </row>
    <row r="416" ht="15.75" customHeight="1">
      <c r="D416" s="7"/>
      <c r="E416" s="7"/>
      <c r="F416" s="7"/>
    </row>
    <row r="417" ht="15.75" customHeight="1">
      <c r="D417" s="7"/>
      <c r="E417" s="7"/>
      <c r="F417" s="7"/>
    </row>
    <row r="418" ht="15.75" customHeight="1">
      <c r="D418" s="7"/>
      <c r="E418" s="7"/>
      <c r="F418" s="7"/>
    </row>
    <row r="419" ht="15.75" customHeight="1">
      <c r="D419" s="7"/>
      <c r="E419" s="7"/>
      <c r="F419" s="7"/>
    </row>
    <row r="420" ht="15.75" customHeight="1">
      <c r="D420" s="7"/>
      <c r="E420" s="7"/>
      <c r="F420" s="7"/>
    </row>
    <row r="421" ht="15.75" customHeight="1">
      <c r="D421" s="7"/>
      <c r="E421" s="7"/>
      <c r="F421" s="7"/>
    </row>
    <row r="422" ht="15.75" customHeight="1">
      <c r="D422" s="7"/>
      <c r="E422" s="7"/>
      <c r="F422" s="7"/>
    </row>
    <row r="423" ht="15.75" customHeight="1">
      <c r="D423" s="7"/>
      <c r="E423" s="7"/>
      <c r="F423" s="7"/>
    </row>
    <row r="424" ht="15.75" customHeight="1">
      <c r="D424" s="7"/>
      <c r="E424" s="7"/>
      <c r="F424" s="7"/>
    </row>
    <row r="425" ht="15.75" customHeight="1">
      <c r="D425" s="7"/>
      <c r="E425" s="7"/>
      <c r="F425" s="7"/>
    </row>
    <row r="426" ht="15.75" customHeight="1">
      <c r="D426" s="7"/>
      <c r="E426" s="7"/>
      <c r="F426" s="7"/>
    </row>
    <row r="427" ht="15.75" customHeight="1">
      <c r="D427" s="7"/>
      <c r="E427" s="7"/>
      <c r="F427" s="7"/>
    </row>
    <row r="428" ht="15.75" customHeight="1">
      <c r="D428" s="7"/>
      <c r="E428" s="7"/>
      <c r="F428" s="7"/>
    </row>
    <row r="429" ht="15.75" customHeight="1">
      <c r="D429" s="7"/>
      <c r="E429" s="7"/>
      <c r="F429" s="7"/>
    </row>
    <row r="430" ht="15.75" customHeight="1">
      <c r="D430" s="7"/>
      <c r="E430" s="7"/>
      <c r="F430" s="7"/>
    </row>
    <row r="431" ht="15.75" customHeight="1">
      <c r="D431" s="7"/>
      <c r="E431" s="7"/>
      <c r="F431" s="7"/>
    </row>
    <row r="432" ht="15.75" customHeight="1">
      <c r="D432" s="7"/>
      <c r="E432" s="7"/>
      <c r="F432" s="7"/>
    </row>
    <row r="433" ht="15.75" customHeight="1">
      <c r="D433" s="7"/>
      <c r="E433" s="7"/>
      <c r="F433" s="7"/>
    </row>
    <row r="434" ht="15.75" customHeight="1">
      <c r="D434" s="7"/>
      <c r="E434" s="7"/>
      <c r="F434" s="7"/>
    </row>
    <row r="435" ht="15.75" customHeight="1">
      <c r="D435" s="7"/>
      <c r="E435" s="7"/>
      <c r="F435" s="7"/>
    </row>
    <row r="436" ht="15.75" customHeight="1">
      <c r="D436" s="7"/>
      <c r="E436" s="7"/>
      <c r="F436" s="7"/>
    </row>
    <row r="437" ht="15.75" customHeight="1">
      <c r="D437" s="7"/>
      <c r="E437" s="7"/>
      <c r="F437" s="7"/>
    </row>
    <row r="438" ht="15.75" customHeight="1">
      <c r="D438" s="7"/>
      <c r="E438" s="7"/>
      <c r="F438" s="7"/>
    </row>
    <row r="439" ht="15.75" customHeight="1">
      <c r="D439" s="7"/>
      <c r="E439" s="7"/>
      <c r="F439" s="7"/>
    </row>
    <row r="440" ht="15.75" customHeight="1">
      <c r="D440" s="7"/>
      <c r="E440" s="7"/>
      <c r="F440" s="7"/>
    </row>
    <row r="441" ht="15.75" customHeight="1">
      <c r="D441" s="7"/>
      <c r="E441" s="7"/>
      <c r="F441" s="7"/>
    </row>
    <row r="442" ht="15.75" customHeight="1">
      <c r="D442" s="7"/>
      <c r="E442" s="7"/>
      <c r="F442" s="7"/>
    </row>
    <row r="443" ht="15.75" customHeight="1">
      <c r="D443" s="7"/>
      <c r="E443" s="7"/>
      <c r="F443" s="7"/>
    </row>
    <row r="444" ht="15.75" customHeight="1">
      <c r="D444" s="7"/>
      <c r="E444" s="7"/>
      <c r="F444" s="7"/>
    </row>
    <row r="445" ht="15.75" customHeight="1">
      <c r="D445" s="7"/>
      <c r="E445" s="7"/>
      <c r="F445" s="7"/>
    </row>
    <row r="446" ht="15.75" customHeight="1">
      <c r="D446" s="7"/>
      <c r="E446" s="7"/>
      <c r="F446" s="7"/>
    </row>
    <row r="447" ht="15.75" customHeight="1">
      <c r="D447" s="7"/>
      <c r="E447" s="7"/>
      <c r="F447" s="7"/>
    </row>
    <row r="448" ht="15.75" customHeight="1">
      <c r="D448" s="7"/>
      <c r="E448" s="7"/>
      <c r="F448" s="7"/>
    </row>
    <row r="449" ht="15.75" customHeight="1">
      <c r="D449" s="7"/>
      <c r="E449" s="7"/>
      <c r="F449" s="7"/>
    </row>
    <row r="450" ht="15.75" customHeight="1">
      <c r="D450" s="7"/>
      <c r="E450" s="7"/>
      <c r="F450" s="7"/>
    </row>
    <row r="451" ht="15.75" customHeight="1">
      <c r="D451" s="7"/>
      <c r="E451" s="7"/>
      <c r="F451" s="7"/>
    </row>
    <row r="452" ht="15.75" customHeight="1">
      <c r="D452" s="7"/>
      <c r="E452" s="7"/>
      <c r="F452" s="7"/>
    </row>
    <row r="453" ht="15.75" customHeight="1">
      <c r="D453" s="7"/>
      <c r="E453" s="7"/>
      <c r="F453" s="7"/>
    </row>
    <row r="454" ht="15.75" customHeight="1">
      <c r="D454" s="7"/>
      <c r="E454" s="7"/>
      <c r="F454" s="7"/>
    </row>
    <row r="455" ht="15.75" customHeight="1">
      <c r="D455" s="7"/>
      <c r="E455" s="7"/>
      <c r="F455" s="7"/>
    </row>
    <row r="456" ht="15.75" customHeight="1">
      <c r="D456" s="7"/>
      <c r="E456" s="7"/>
      <c r="F456" s="7"/>
    </row>
    <row r="457" ht="15.75" customHeight="1">
      <c r="D457" s="7"/>
      <c r="E457" s="7"/>
      <c r="F457" s="7"/>
    </row>
    <row r="458" ht="15.75" customHeight="1">
      <c r="D458" s="7"/>
      <c r="E458" s="7"/>
      <c r="F458" s="7"/>
    </row>
    <row r="459" ht="15.75" customHeight="1">
      <c r="D459" s="7"/>
      <c r="E459" s="7"/>
      <c r="F459" s="7"/>
    </row>
    <row r="460" ht="15.75" customHeight="1">
      <c r="D460" s="7"/>
      <c r="E460" s="7"/>
      <c r="F460" s="7"/>
    </row>
    <row r="461" ht="15.75" customHeight="1">
      <c r="D461" s="7"/>
      <c r="E461" s="7"/>
      <c r="F461" s="7"/>
    </row>
    <row r="462" ht="15.75" customHeight="1">
      <c r="D462" s="7"/>
      <c r="E462" s="7"/>
      <c r="F462" s="7"/>
    </row>
    <row r="463" ht="15.75" customHeight="1">
      <c r="D463" s="7"/>
      <c r="E463" s="7"/>
      <c r="F463" s="7"/>
    </row>
    <row r="464" ht="15.75" customHeight="1">
      <c r="D464" s="7"/>
      <c r="E464" s="7"/>
      <c r="F464" s="7"/>
    </row>
    <row r="465" ht="15.75" customHeight="1">
      <c r="D465" s="7"/>
      <c r="E465" s="7"/>
      <c r="F465" s="7"/>
    </row>
    <row r="466" ht="15.75" customHeight="1">
      <c r="D466" s="7"/>
      <c r="E466" s="7"/>
      <c r="F466" s="7"/>
    </row>
    <row r="467" ht="15.75" customHeight="1">
      <c r="D467" s="7"/>
      <c r="E467" s="7"/>
      <c r="F467" s="7"/>
    </row>
    <row r="468" ht="15.75" customHeight="1">
      <c r="D468" s="7"/>
      <c r="E468" s="7"/>
      <c r="F468" s="7"/>
    </row>
    <row r="469" ht="15.75" customHeight="1">
      <c r="D469" s="7"/>
      <c r="E469" s="7"/>
      <c r="F469" s="7"/>
    </row>
    <row r="470" ht="15.75" customHeight="1">
      <c r="D470" s="7"/>
      <c r="E470" s="7"/>
      <c r="F470" s="7"/>
    </row>
    <row r="471" ht="15.75" customHeight="1">
      <c r="D471" s="7"/>
      <c r="E471" s="7"/>
      <c r="F471" s="7"/>
    </row>
    <row r="472" ht="15.75" customHeight="1">
      <c r="D472" s="7"/>
      <c r="E472" s="7"/>
      <c r="F472" s="7"/>
    </row>
    <row r="473" ht="15.75" customHeight="1">
      <c r="D473" s="7"/>
      <c r="E473" s="7"/>
      <c r="F473" s="7"/>
    </row>
    <row r="474" ht="15.75" customHeight="1">
      <c r="D474" s="7"/>
      <c r="E474" s="7"/>
      <c r="F474" s="7"/>
    </row>
    <row r="475" ht="15.75" customHeight="1">
      <c r="D475" s="7"/>
      <c r="E475" s="7"/>
      <c r="F475" s="7"/>
    </row>
    <row r="476" ht="15.75" customHeight="1">
      <c r="D476" s="7"/>
      <c r="E476" s="7"/>
      <c r="F476" s="7"/>
    </row>
    <row r="477" ht="15.75" customHeight="1">
      <c r="D477" s="7"/>
      <c r="E477" s="7"/>
      <c r="F477" s="7"/>
    </row>
    <row r="478" ht="15.75" customHeight="1">
      <c r="D478" s="7"/>
      <c r="E478" s="7"/>
      <c r="F478" s="7"/>
    </row>
    <row r="479" ht="15.75" customHeight="1">
      <c r="D479" s="7"/>
      <c r="E479" s="7"/>
      <c r="F479" s="7"/>
    </row>
    <row r="480" ht="15.75" customHeight="1">
      <c r="D480" s="7"/>
      <c r="E480" s="7"/>
      <c r="F480" s="7"/>
    </row>
    <row r="481" ht="15.75" customHeight="1">
      <c r="D481" s="7"/>
      <c r="E481" s="7"/>
      <c r="F481" s="7"/>
    </row>
    <row r="482" ht="15.75" customHeight="1">
      <c r="D482" s="7"/>
      <c r="E482" s="7"/>
      <c r="F482" s="7"/>
    </row>
    <row r="483" ht="15.75" customHeight="1">
      <c r="D483" s="7"/>
      <c r="E483" s="7"/>
      <c r="F483" s="7"/>
    </row>
    <row r="484" ht="15.75" customHeight="1">
      <c r="D484" s="7"/>
      <c r="E484" s="7"/>
      <c r="F484" s="7"/>
    </row>
    <row r="485" ht="15.75" customHeight="1">
      <c r="D485" s="7"/>
      <c r="E485" s="7"/>
      <c r="F485" s="7"/>
    </row>
    <row r="486" ht="15.75" customHeight="1">
      <c r="D486" s="7"/>
      <c r="E486" s="7"/>
      <c r="F486" s="7"/>
    </row>
    <row r="487" ht="15.75" customHeight="1">
      <c r="D487" s="7"/>
      <c r="E487" s="7"/>
      <c r="F487" s="7"/>
    </row>
    <row r="488" ht="15.75" customHeight="1">
      <c r="D488" s="7"/>
      <c r="E488" s="7"/>
      <c r="F488" s="7"/>
    </row>
    <row r="489" ht="15.75" customHeight="1">
      <c r="D489" s="7"/>
      <c r="E489" s="7"/>
      <c r="F489" s="7"/>
    </row>
    <row r="490" ht="15.75" customHeight="1">
      <c r="D490" s="7"/>
      <c r="E490" s="7"/>
      <c r="F490" s="7"/>
    </row>
    <row r="491" ht="15.75" customHeight="1">
      <c r="D491" s="7"/>
      <c r="E491" s="7"/>
      <c r="F491" s="7"/>
    </row>
    <row r="492" ht="15.75" customHeight="1">
      <c r="D492" s="7"/>
      <c r="E492" s="7"/>
      <c r="F492" s="7"/>
    </row>
    <row r="493" ht="15.75" customHeight="1">
      <c r="D493" s="7"/>
      <c r="E493" s="7"/>
      <c r="F493" s="7"/>
    </row>
    <row r="494" ht="15.75" customHeight="1">
      <c r="D494" s="7"/>
      <c r="E494" s="7"/>
      <c r="F494" s="7"/>
    </row>
    <row r="495" ht="15.75" customHeight="1">
      <c r="D495" s="7"/>
      <c r="E495" s="7"/>
      <c r="F495" s="7"/>
    </row>
    <row r="496" ht="15.75" customHeight="1">
      <c r="D496" s="7"/>
      <c r="E496" s="7"/>
      <c r="F496" s="7"/>
    </row>
    <row r="497" ht="15.75" customHeight="1">
      <c r="D497" s="7"/>
      <c r="E497" s="7"/>
      <c r="F497" s="7"/>
    </row>
    <row r="498" ht="15.75" customHeight="1">
      <c r="D498" s="7"/>
      <c r="E498" s="7"/>
      <c r="F498" s="7"/>
    </row>
    <row r="499" ht="15.75" customHeight="1">
      <c r="D499" s="7"/>
      <c r="E499" s="7"/>
      <c r="F499" s="7"/>
    </row>
    <row r="500" ht="15.75" customHeight="1">
      <c r="D500" s="7"/>
      <c r="E500" s="7"/>
      <c r="F500" s="7"/>
    </row>
    <row r="501" ht="15.75" customHeight="1">
      <c r="D501" s="7"/>
      <c r="E501" s="7"/>
      <c r="F501" s="7"/>
    </row>
    <row r="502" ht="15.75" customHeight="1">
      <c r="D502" s="7"/>
      <c r="E502" s="7"/>
      <c r="F502" s="7"/>
    </row>
    <row r="503" ht="15.75" customHeight="1">
      <c r="D503" s="7"/>
      <c r="E503" s="7"/>
      <c r="F503" s="7"/>
    </row>
    <row r="504" ht="15.75" customHeight="1">
      <c r="D504" s="7"/>
      <c r="E504" s="7"/>
      <c r="F504" s="7"/>
    </row>
    <row r="505" ht="15.75" customHeight="1">
      <c r="D505" s="7"/>
      <c r="E505" s="7"/>
      <c r="F505" s="7"/>
    </row>
    <row r="506" ht="15.75" customHeight="1">
      <c r="D506" s="7"/>
      <c r="E506" s="7"/>
      <c r="F506" s="7"/>
    </row>
    <row r="507" ht="15.75" customHeight="1">
      <c r="D507" s="7"/>
      <c r="E507" s="7"/>
      <c r="F507" s="7"/>
    </row>
    <row r="508" ht="15.75" customHeight="1">
      <c r="D508" s="7"/>
      <c r="E508" s="7"/>
      <c r="F508" s="7"/>
    </row>
    <row r="509" ht="15.75" customHeight="1">
      <c r="D509" s="7"/>
      <c r="E509" s="7"/>
      <c r="F509" s="7"/>
    </row>
    <row r="510" ht="15.75" customHeight="1">
      <c r="D510" s="7"/>
      <c r="E510" s="7"/>
      <c r="F510" s="7"/>
    </row>
    <row r="511" ht="15.75" customHeight="1">
      <c r="D511" s="7"/>
      <c r="E511" s="7"/>
      <c r="F511" s="7"/>
    </row>
    <row r="512" ht="15.75" customHeight="1">
      <c r="D512" s="7"/>
      <c r="E512" s="7"/>
      <c r="F512" s="7"/>
    </row>
    <row r="513" ht="15.75" customHeight="1">
      <c r="D513" s="7"/>
      <c r="E513" s="7"/>
      <c r="F513" s="7"/>
    </row>
    <row r="514" ht="15.75" customHeight="1">
      <c r="D514" s="7"/>
      <c r="E514" s="7"/>
      <c r="F514" s="7"/>
    </row>
    <row r="515" ht="15.75" customHeight="1">
      <c r="D515" s="7"/>
      <c r="E515" s="7"/>
      <c r="F515" s="7"/>
    </row>
    <row r="516" ht="15.75" customHeight="1">
      <c r="D516" s="7"/>
      <c r="E516" s="7"/>
      <c r="F516" s="7"/>
    </row>
    <row r="517" ht="15.75" customHeight="1">
      <c r="D517" s="7"/>
      <c r="E517" s="7"/>
      <c r="F517" s="7"/>
    </row>
    <row r="518" ht="15.75" customHeight="1">
      <c r="D518" s="7"/>
      <c r="E518" s="7"/>
      <c r="F518" s="7"/>
    </row>
    <row r="519" ht="15.75" customHeight="1">
      <c r="D519" s="7"/>
      <c r="E519" s="7"/>
      <c r="F519" s="7"/>
    </row>
    <row r="520" ht="15.75" customHeight="1">
      <c r="D520" s="7"/>
      <c r="E520" s="7"/>
      <c r="F520" s="7"/>
    </row>
    <row r="521" ht="15.75" customHeight="1">
      <c r="D521" s="7"/>
      <c r="E521" s="7"/>
      <c r="F521" s="7"/>
    </row>
    <row r="522" ht="15.75" customHeight="1">
      <c r="D522" s="7"/>
      <c r="E522" s="7"/>
      <c r="F522" s="7"/>
    </row>
    <row r="523" ht="15.75" customHeight="1">
      <c r="D523" s="7"/>
      <c r="E523" s="7"/>
      <c r="F523" s="7"/>
    </row>
    <row r="524" ht="15.75" customHeight="1">
      <c r="D524" s="7"/>
      <c r="E524" s="7"/>
      <c r="F524" s="7"/>
    </row>
    <row r="525" ht="15.75" customHeight="1">
      <c r="D525" s="7"/>
      <c r="E525" s="7"/>
      <c r="F525" s="7"/>
    </row>
    <row r="526" ht="15.75" customHeight="1">
      <c r="D526" s="7"/>
      <c r="E526" s="7"/>
      <c r="F526" s="7"/>
    </row>
    <row r="527" ht="15.75" customHeight="1">
      <c r="D527" s="7"/>
      <c r="E527" s="7"/>
      <c r="F527" s="7"/>
    </row>
    <row r="528" ht="15.75" customHeight="1">
      <c r="D528" s="7"/>
      <c r="E528" s="7"/>
      <c r="F528" s="7"/>
    </row>
    <row r="529" ht="15.75" customHeight="1">
      <c r="D529" s="7"/>
      <c r="E529" s="7"/>
      <c r="F529" s="7"/>
    </row>
    <row r="530" ht="15.75" customHeight="1">
      <c r="D530" s="7"/>
      <c r="E530" s="7"/>
      <c r="F530" s="7"/>
    </row>
    <row r="531" ht="15.75" customHeight="1">
      <c r="D531" s="7"/>
      <c r="E531" s="7"/>
      <c r="F531" s="7"/>
    </row>
    <row r="532" ht="15.75" customHeight="1">
      <c r="D532" s="7"/>
      <c r="E532" s="7"/>
      <c r="F532" s="7"/>
    </row>
    <row r="533" ht="15.75" customHeight="1">
      <c r="D533" s="7"/>
      <c r="E533" s="7"/>
      <c r="F533" s="7"/>
    </row>
    <row r="534" ht="15.75" customHeight="1">
      <c r="D534" s="7"/>
      <c r="E534" s="7"/>
      <c r="F534" s="7"/>
    </row>
    <row r="535" ht="15.75" customHeight="1">
      <c r="D535" s="7"/>
      <c r="E535" s="7"/>
      <c r="F535" s="7"/>
    </row>
    <row r="536" ht="15.75" customHeight="1">
      <c r="D536" s="7"/>
      <c r="E536" s="7"/>
      <c r="F536" s="7"/>
    </row>
    <row r="537" ht="15.75" customHeight="1">
      <c r="D537" s="7"/>
      <c r="E537" s="7"/>
      <c r="F537" s="7"/>
    </row>
    <row r="538" ht="15.75" customHeight="1">
      <c r="D538" s="7"/>
      <c r="E538" s="7"/>
      <c r="F538" s="7"/>
    </row>
    <row r="539" ht="15.75" customHeight="1">
      <c r="D539" s="7"/>
      <c r="E539" s="7"/>
      <c r="F539" s="7"/>
    </row>
    <row r="540" ht="15.75" customHeight="1">
      <c r="D540" s="7"/>
      <c r="E540" s="7"/>
      <c r="F540" s="7"/>
    </row>
    <row r="541" ht="15.75" customHeight="1">
      <c r="D541" s="7"/>
      <c r="E541" s="7"/>
      <c r="F541" s="7"/>
    </row>
    <row r="542" ht="15.75" customHeight="1">
      <c r="D542" s="7"/>
      <c r="E542" s="7"/>
      <c r="F542" s="7"/>
    </row>
    <row r="543" ht="15.75" customHeight="1">
      <c r="D543" s="7"/>
      <c r="E543" s="7"/>
      <c r="F543" s="7"/>
    </row>
    <row r="544" ht="15.75" customHeight="1">
      <c r="D544" s="7"/>
      <c r="E544" s="7"/>
      <c r="F544" s="7"/>
    </row>
    <row r="545" ht="15.75" customHeight="1">
      <c r="D545" s="7"/>
      <c r="E545" s="7"/>
      <c r="F545" s="7"/>
    </row>
    <row r="546" ht="15.75" customHeight="1">
      <c r="D546" s="7"/>
      <c r="E546" s="7"/>
      <c r="F546" s="7"/>
    </row>
    <row r="547" ht="15.75" customHeight="1">
      <c r="D547" s="7"/>
      <c r="E547" s="7"/>
      <c r="F547" s="7"/>
    </row>
    <row r="548" ht="15.75" customHeight="1">
      <c r="D548" s="7"/>
      <c r="E548" s="7"/>
      <c r="F548" s="7"/>
    </row>
    <row r="549" ht="15.75" customHeight="1">
      <c r="D549" s="7"/>
      <c r="E549" s="7"/>
      <c r="F549" s="7"/>
    </row>
    <row r="550" ht="15.75" customHeight="1">
      <c r="D550" s="7"/>
      <c r="E550" s="7"/>
      <c r="F550" s="7"/>
    </row>
    <row r="551" ht="15.75" customHeight="1">
      <c r="D551" s="7"/>
      <c r="E551" s="7"/>
      <c r="F551" s="7"/>
    </row>
    <row r="552" ht="15.75" customHeight="1">
      <c r="D552" s="7"/>
      <c r="E552" s="7"/>
      <c r="F552" s="7"/>
    </row>
    <row r="553" ht="15.75" customHeight="1">
      <c r="D553" s="7"/>
      <c r="E553" s="7"/>
      <c r="F553" s="7"/>
    </row>
    <row r="554" ht="15.75" customHeight="1">
      <c r="D554" s="7"/>
      <c r="E554" s="7"/>
      <c r="F554" s="7"/>
    </row>
    <row r="555" ht="15.75" customHeight="1">
      <c r="D555" s="7"/>
      <c r="E555" s="7"/>
      <c r="F555" s="7"/>
    </row>
    <row r="556" ht="15.75" customHeight="1">
      <c r="D556" s="7"/>
      <c r="E556" s="7"/>
      <c r="F556" s="7"/>
    </row>
    <row r="557" ht="15.75" customHeight="1">
      <c r="D557" s="7"/>
      <c r="E557" s="7"/>
      <c r="F557" s="7"/>
    </row>
    <row r="558" ht="15.75" customHeight="1">
      <c r="D558" s="7"/>
      <c r="E558" s="7"/>
      <c r="F558" s="7"/>
    </row>
    <row r="559" ht="15.75" customHeight="1">
      <c r="D559" s="7"/>
      <c r="E559" s="7"/>
      <c r="F559" s="7"/>
    </row>
    <row r="560" ht="15.75" customHeight="1">
      <c r="D560" s="7"/>
      <c r="E560" s="7"/>
      <c r="F560" s="7"/>
    </row>
    <row r="561" ht="15.75" customHeight="1">
      <c r="D561" s="7"/>
      <c r="E561" s="7"/>
      <c r="F561" s="7"/>
    </row>
    <row r="562" ht="15.75" customHeight="1">
      <c r="D562" s="7"/>
      <c r="E562" s="7"/>
      <c r="F562" s="7"/>
    </row>
    <row r="563" ht="15.75" customHeight="1">
      <c r="D563" s="7"/>
      <c r="E563" s="7"/>
      <c r="F563" s="7"/>
    </row>
    <row r="564" ht="15.75" customHeight="1">
      <c r="D564" s="7"/>
      <c r="E564" s="7"/>
      <c r="F564" s="7"/>
    </row>
    <row r="565" ht="15.75" customHeight="1">
      <c r="D565" s="7"/>
      <c r="E565" s="7"/>
      <c r="F565" s="7"/>
    </row>
    <row r="566" ht="15.75" customHeight="1">
      <c r="D566" s="7"/>
      <c r="E566" s="7"/>
      <c r="F566" s="7"/>
    </row>
    <row r="567" ht="15.75" customHeight="1">
      <c r="D567" s="7"/>
      <c r="E567" s="7"/>
      <c r="F567" s="7"/>
    </row>
    <row r="568" ht="15.75" customHeight="1">
      <c r="D568" s="7"/>
      <c r="E568" s="7"/>
      <c r="F568" s="7"/>
    </row>
    <row r="569" ht="15.75" customHeight="1">
      <c r="D569" s="7"/>
      <c r="E569" s="7"/>
      <c r="F569" s="7"/>
    </row>
    <row r="570" ht="15.75" customHeight="1">
      <c r="D570" s="7"/>
      <c r="E570" s="7"/>
      <c r="F570" s="7"/>
    </row>
    <row r="571" ht="15.75" customHeight="1">
      <c r="D571" s="7"/>
      <c r="E571" s="7"/>
      <c r="F571" s="7"/>
    </row>
    <row r="572" ht="15.75" customHeight="1">
      <c r="D572" s="7"/>
      <c r="E572" s="7"/>
      <c r="F572" s="7"/>
    </row>
    <row r="573" ht="15.75" customHeight="1">
      <c r="D573" s="7"/>
      <c r="E573" s="7"/>
      <c r="F573" s="7"/>
    </row>
    <row r="574" ht="15.75" customHeight="1">
      <c r="D574" s="7"/>
      <c r="E574" s="7"/>
      <c r="F574" s="7"/>
    </row>
    <row r="575" ht="15.75" customHeight="1">
      <c r="D575" s="7"/>
      <c r="E575" s="7"/>
      <c r="F575" s="7"/>
    </row>
    <row r="576" ht="15.75" customHeight="1">
      <c r="D576" s="7"/>
      <c r="E576" s="7"/>
      <c r="F576" s="7"/>
    </row>
    <row r="577" ht="15.75" customHeight="1">
      <c r="D577" s="7"/>
      <c r="E577" s="7"/>
      <c r="F577" s="7"/>
    </row>
    <row r="578" ht="15.75" customHeight="1">
      <c r="D578" s="7"/>
      <c r="E578" s="7"/>
      <c r="F578" s="7"/>
    </row>
    <row r="579" ht="15.75" customHeight="1">
      <c r="D579" s="7"/>
      <c r="E579" s="7"/>
      <c r="F579" s="7"/>
    </row>
    <row r="580" ht="15.75" customHeight="1">
      <c r="D580" s="7"/>
      <c r="E580" s="7"/>
      <c r="F580" s="7"/>
    </row>
    <row r="581" ht="15.75" customHeight="1">
      <c r="D581" s="7"/>
      <c r="E581" s="7"/>
      <c r="F581" s="7"/>
    </row>
    <row r="582" ht="15.75" customHeight="1">
      <c r="D582" s="7"/>
      <c r="E582" s="7"/>
      <c r="F582" s="7"/>
    </row>
    <row r="583" ht="15.75" customHeight="1">
      <c r="D583" s="7"/>
      <c r="E583" s="7"/>
      <c r="F583" s="7"/>
    </row>
    <row r="584" ht="15.75" customHeight="1">
      <c r="D584" s="7"/>
      <c r="E584" s="7"/>
      <c r="F584" s="7"/>
    </row>
    <row r="585" ht="15.75" customHeight="1">
      <c r="D585" s="7"/>
      <c r="E585" s="7"/>
      <c r="F585" s="7"/>
    </row>
    <row r="586" ht="15.75" customHeight="1">
      <c r="D586" s="7"/>
      <c r="E586" s="7"/>
      <c r="F586" s="7"/>
    </row>
    <row r="587" ht="15.75" customHeight="1">
      <c r="D587" s="7"/>
      <c r="E587" s="7"/>
      <c r="F587" s="7"/>
    </row>
    <row r="588" ht="15.75" customHeight="1">
      <c r="D588" s="7"/>
      <c r="E588" s="7"/>
      <c r="F588" s="7"/>
    </row>
    <row r="589" ht="15.75" customHeight="1">
      <c r="D589" s="7"/>
      <c r="E589" s="7"/>
      <c r="F589" s="7"/>
    </row>
    <row r="590" ht="15.75" customHeight="1">
      <c r="D590" s="7"/>
      <c r="E590" s="7"/>
      <c r="F590" s="7"/>
    </row>
    <row r="591" ht="15.75" customHeight="1">
      <c r="D591" s="7"/>
      <c r="E591" s="7"/>
      <c r="F591" s="7"/>
    </row>
    <row r="592" ht="15.75" customHeight="1">
      <c r="D592" s="7"/>
      <c r="E592" s="7"/>
      <c r="F592" s="7"/>
    </row>
    <row r="593" ht="15.75" customHeight="1">
      <c r="D593" s="7"/>
      <c r="E593" s="7"/>
      <c r="F593" s="7"/>
    </row>
    <row r="594" ht="15.75" customHeight="1">
      <c r="D594" s="7"/>
      <c r="E594" s="7"/>
      <c r="F594" s="7"/>
    </row>
    <row r="595" ht="15.75" customHeight="1">
      <c r="D595" s="7"/>
      <c r="E595" s="7"/>
      <c r="F595" s="7"/>
    </row>
    <row r="596" ht="15.75" customHeight="1">
      <c r="D596" s="7"/>
      <c r="E596" s="7"/>
      <c r="F596" s="7"/>
    </row>
    <row r="597" ht="15.75" customHeight="1">
      <c r="D597" s="7"/>
      <c r="E597" s="7"/>
      <c r="F597" s="7"/>
    </row>
    <row r="598" ht="15.75" customHeight="1">
      <c r="D598" s="7"/>
      <c r="E598" s="7"/>
      <c r="F598" s="7"/>
    </row>
    <row r="599" ht="15.75" customHeight="1">
      <c r="D599" s="7"/>
      <c r="E599" s="7"/>
      <c r="F599" s="7"/>
    </row>
    <row r="600" ht="15.75" customHeight="1">
      <c r="D600" s="7"/>
      <c r="E600" s="7"/>
      <c r="F600" s="7"/>
    </row>
    <row r="601" ht="15.75" customHeight="1">
      <c r="D601" s="7"/>
      <c r="E601" s="7"/>
      <c r="F601" s="7"/>
    </row>
    <row r="602" ht="15.75" customHeight="1">
      <c r="D602" s="7"/>
      <c r="E602" s="7"/>
      <c r="F602" s="7"/>
    </row>
    <row r="603" ht="15.75" customHeight="1">
      <c r="D603" s="7"/>
      <c r="E603" s="7"/>
      <c r="F603" s="7"/>
    </row>
    <row r="604" ht="15.75" customHeight="1">
      <c r="D604" s="7"/>
      <c r="E604" s="7"/>
      <c r="F604" s="7"/>
    </row>
    <row r="605" ht="15.75" customHeight="1">
      <c r="D605" s="7"/>
      <c r="E605" s="7"/>
      <c r="F605" s="7"/>
    </row>
    <row r="606" ht="15.75" customHeight="1">
      <c r="D606" s="7"/>
      <c r="E606" s="7"/>
      <c r="F606" s="7"/>
    </row>
    <row r="607" ht="15.75" customHeight="1">
      <c r="D607" s="7"/>
      <c r="E607" s="7"/>
      <c r="F607" s="7"/>
    </row>
    <row r="608" ht="15.75" customHeight="1">
      <c r="D608" s="7"/>
      <c r="E608" s="7"/>
      <c r="F608" s="7"/>
    </row>
    <row r="609" ht="15.75" customHeight="1">
      <c r="D609" s="7"/>
      <c r="E609" s="7"/>
      <c r="F609" s="7"/>
    </row>
    <row r="610" ht="15.75" customHeight="1">
      <c r="D610" s="7"/>
      <c r="E610" s="7"/>
      <c r="F610" s="7"/>
    </row>
    <row r="611" ht="15.75" customHeight="1">
      <c r="D611" s="7"/>
      <c r="E611" s="7"/>
      <c r="F611" s="7"/>
    </row>
    <row r="612" ht="15.75" customHeight="1">
      <c r="D612" s="7"/>
      <c r="E612" s="7"/>
      <c r="F612" s="7"/>
    </row>
    <row r="613" ht="15.75" customHeight="1">
      <c r="D613" s="7"/>
      <c r="E613" s="7"/>
      <c r="F613" s="7"/>
    </row>
    <row r="614" ht="15.75" customHeight="1">
      <c r="D614" s="7"/>
      <c r="E614" s="7"/>
      <c r="F614" s="7"/>
    </row>
    <row r="615" ht="15.75" customHeight="1">
      <c r="D615" s="7"/>
      <c r="E615" s="7"/>
      <c r="F615" s="7"/>
    </row>
    <row r="616" ht="15.75" customHeight="1">
      <c r="D616" s="7"/>
      <c r="E616" s="7"/>
      <c r="F616" s="7"/>
    </row>
    <row r="617" ht="15.75" customHeight="1">
      <c r="D617" s="7"/>
      <c r="E617" s="7"/>
      <c r="F617" s="7"/>
    </row>
    <row r="618" ht="15.75" customHeight="1">
      <c r="D618" s="7"/>
      <c r="E618" s="7"/>
      <c r="F618" s="7"/>
    </row>
    <row r="619" ht="15.75" customHeight="1">
      <c r="D619" s="7"/>
      <c r="E619" s="7"/>
      <c r="F619" s="7"/>
    </row>
    <row r="620" ht="15.75" customHeight="1">
      <c r="D620" s="7"/>
      <c r="E620" s="7"/>
      <c r="F620" s="7"/>
    </row>
    <row r="621" ht="15.75" customHeight="1">
      <c r="D621" s="7"/>
      <c r="E621" s="7"/>
      <c r="F621" s="7"/>
    </row>
    <row r="622" ht="15.75" customHeight="1">
      <c r="D622" s="7"/>
      <c r="E622" s="7"/>
      <c r="F622" s="7"/>
    </row>
    <row r="623" ht="15.75" customHeight="1">
      <c r="D623" s="7"/>
      <c r="E623" s="7"/>
      <c r="F623" s="7"/>
    </row>
    <row r="624" ht="15.75" customHeight="1">
      <c r="D624" s="7"/>
      <c r="E624" s="7"/>
      <c r="F624" s="7"/>
    </row>
    <row r="625" ht="15.75" customHeight="1">
      <c r="D625" s="7"/>
      <c r="E625" s="7"/>
      <c r="F625" s="7"/>
    </row>
    <row r="626" ht="15.75" customHeight="1">
      <c r="D626" s="7"/>
      <c r="E626" s="7"/>
      <c r="F626" s="7"/>
    </row>
    <row r="627" ht="15.75" customHeight="1">
      <c r="D627" s="7"/>
      <c r="E627" s="7"/>
      <c r="F627" s="7"/>
    </row>
    <row r="628" ht="15.75" customHeight="1">
      <c r="D628" s="7"/>
      <c r="E628" s="7"/>
      <c r="F628" s="7"/>
    </row>
    <row r="629" ht="15.75" customHeight="1">
      <c r="D629" s="7"/>
      <c r="E629" s="7"/>
      <c r="F629" s="7"/>
    </row>
    <row r="630" ht="15.75" customHeight="1">
      <c r="D630" s="7"/>
      <c r="E630" s="7"/>
      <c r="F630" s="7"/>
    </row>
    <row r="631" ht="15.75" customHeight="1">
      <c r="D631" s="7"/>
      <c r="E631" s="7"/>
      <c r="F631" s="7"/>
    </row>
    <row r="632" ht="15.75" customHeight="1">
      <c r="D632" s="7"/>
      <c r="E632" s="7"/>
      <c r="F632" s="7"/>
    </row>
    <row r="633" ht="15.75" customHeight="1">
      <c r="D633" s="7"/>
      <c r="E633" s="7"/>
      <c r="F633" s="7"/>
    </row>
    <row r="634" ht="15.75" customHeight="1">
      <c r="D634" s="7"/>
      <c r="E634" s="7"/>
      <c r="F634" s="7"/>
    </row>
    <row r="635" ht="15.75" customHeight="1">
      <c r="D635" s="7"/>
      <c r="E635" s="7"/>
      <c r="F635" s="7"/>
    </row>
    <row r="636" ht="15.75" customHeight="1">
      <c r="D636" s="7"/>
      <c r="E636" s="7"/>
      <c r="F636" s="7"/>
    </row>
    <row r="637" ht="15.75" customHeight="1">
      <c r="D637" s="7"/>
      <c r="E637" s="7"/>
      <c r="F637" s="7"/>
    </row>
    <row r="638" ht="15.75" customHeight="1">
      <c r="D638" s="7"/>
      <c r="E638" s="7"/>
      <c r="F638" s="7"/>
    </row>
    <row r="639" ht="15.75" customHeight="1">
      <c r="D639" s="7"/>
      <c r="E639" s="7"/>
      <c r="F639" s="7"/>
    </row>
    <row r="640" ht="15.75" customHeight="1">
      <c r="D640" s="7"/>
      <c r="E640" s="7"/>
      <c r="F640" s="7"/>
    </row>
    <row r="641" ht="15.75" customHeight="1">
      <c r="D641" s="7"/>
      <c r="E641" s="7"/>
      <c r="F641" s="7"/>
    </row>
    <row r="642" ht="15.75" customHeight="1">
      <c r="D642" s="7"/>
      <c r="E642" s="7"/>
      <c r="F642" s="7"/>
    </row>
    <row r="643" ht="15.75" customHeight="1">
      <c r="D643" s="7"/>
      <c r="E643" s="7"/>
      <c r="F643" s="7"/>
    </row>
    <row r="644" ht="15.75" customHeight="1">
      <c r="D644" s="7"/>
      <c r="E644" s="7"/>
      <c r="F644" s="7"/>
    </row>
    <row r="645" ht="15.75" customHeight="1">
      <c r="D645" s="7"/>
      <c r="E645" s="7"/>
      <c r="F645" s="7"/>
    </row>
    <row r="646" ht="15.75" customHeight="1">
      <c r="D646" s="7"/>
      <c r="E646" s="7"/>
      <c r="F646" s="7"/>
    </row>
    <row r="647" ht="15.75" customHeight="1">
      <c r="D647" s="7"/>
      <c r="E647" s="7"/>
      <c r="F647" s="7"/>
    </row>
    <row r="648" ht="15.75" customHeight="1">
      <c r="D648" s="7"/>
      <c r="E648" s="7"/>
      <c r="F648" s="7"/>
    </row>
    <row r="649" ht="15.75" customHeight="1">
      <c r="D649" s="7"/>
      <c r="E649" s="7"/>
      <c r="F649" s="7"/>
    </row>
    <row r="650" ht="15.75" customHeight="1">
      <c r="D650" s="7"/>
      <c r="E650" s="7"/>
      <c r="F650" s="7"/>
    </row>
    <row r="651" ht="15.75" customHeight="1">
      <c r="D651" s="7"/>
      <c r="E651" s="7"/>
      <c r="F651" s="7"/>
    </row>
    <row r="652" ht="15.75" customHeight="1">
      <c r="D652" s="7"/>
      <c r="E652" s="7"/>
      <c r="F652" s="7"/>
    </row>
    <row r="653" ht="15.75" customHeight="1">
      <c r="D653" s="7"/>
      <c r="E653" s="7"/>
      <c r="F653" s="7"/>
    </row>
    <row r="654" ht="15.75" customHeight="1">
      <c r="D654" s="7"/>
      <c r="E654" s="7"/>
      <c r="F654" s="7"/>
    </row>
    <row r="655" ht="15.75" customHeight="1">
      <c r="D655" s="7"/>
      <c r="E655" s="7"/>
      <c r="F655" s="7"/>
    </row>
    <row r="656" ht="15.75" customHeight="1">
      <c r="D656" s="7"/>
      <c r="E656" s="7"/>
      <c r="F656" s="7"/>
    </row>
    <row r="657" ht="15.75" customHeight="1">
      <c r="D657" s="7"/>
      <c r="E657" s="7"/>
      <c r="F657" s="7"/>
    </row>
    <row r="658" ht="15.75" customHeight="1">
      <c r="D658" s="7"/>
      <c r="E658" s="7"/>
      <c r="F658" s="7"/>
    </row>
    <row r="659" ht="15.75" customHeight="1">
      <c r="D659" s="7"/>
      <c r="E659" s="7"/>
      <c r="F659" s="7"/>
    </row>
    <row r="660" ht="15.75" customHeight="1">
      <c r="D660" s="7"/>
      <c r="E660" s="7"/>
      <c r="F660" s="7"/>
    </row>
    <row r="661" ht="15.75" customHeight="1">
      <c r="D661" s="7"/>
      <c r="E661" s="7"/>
      <c r="F661" s="7"/>
    </row>
    <row r="662" ht="15.75" customHeight="1">
      <c r="D662" s="7"/>
      <c r="E662" s="7"/>
      <c r="F662" s="7"/>
    </row>
    <row r="663" ht="15.75" customHeight="1">
      <c r="D663" s="7"/>
      <c r="E663" s="7"/>
      <c r="F663" s="7"/>
    </row>
    <row r="664" ht="15.75" customHeight="1">
      <c r="D664" s="7"/>
      <c r="E664" s="7"/>
      <c r="F664" s="7"/>
    </row>
    <row r="665" ht="15.75" customHeight="1">
      <c r="D665" s="7"/>
      <c r="E665" s="7"/>
      <c r="F665" s="7"/>
    </row>
    <row r="666" ht="15.75" customHeight="1">
      <c r="D666" s="7"/>
      <c r="E666" s="7"/>
      <c r="F666" s="7"/>
    </row>
    <row r="667" ht="15.75" customHeight="1">
      <c r="D667" s="7"/>
      <c r="E667" s="7"/>
      <c r="F667" s="7"/>
    </row>
    <row r="668" ht="15.75" customHeight="1">
      <c r="D668" s="7"/>
      <c r="E668" s="7"/>
      <c r="F668" s="7"/>
    </row>
    <row r="669" ht="15.75" customHeight="1">
      <c r="D669" s="7"/>
      <c r="E669" s="7"/>
      <c r="F669" s="7"/>
    </row>
    <row r="670" ht="15.75" customHeight="1">
      <c r="D670" s="7"/>
      <c r="E670" s="7"/>
      <c r="F670" s="7"/>
    </row>
    <row r="671" ht="15.75" customHeight="1">
      <c r="D671" s="7"/>
      <c r="E671" s="7"/>
      <c r="F671" s="7"/>
    </row>
    <row r="672" ht="15.75" customHeight="1">
      <c r="D672" s="7"/>
      <c r="E672" s="7"/>
      <c r="F672" s="7"/>
    </row>
    <row r="673" ht="15.75" customHeight="1">
      <c r="D673" s="7"/>
      <c r="E673" s="7"/>
      <c r="F673" s="7"/>
    </row>
    <row r="674" ht="15.75" customHeight="1">
      <c r="D674" s="7"/>
      <c r="E674" s="7"/>
      <c r="F674" s="7"/>
    </row>
    <row r="675" ht="15.75" customHeight="1">
      <c r="D675" s="7"/>
      <c r="E675" s="7"/>
      <c r="F675" s="7"/>
    </row>
    <row r="676" ht="15.75" customHeight="1">
      <c r="D676" s="7"/>
      <c r="E676" s="7"/>
      <c r="F676" s="7"/>
    </row>
    <row r="677" ht="15.75" customHeight="1">
      <c r="D677" s="7"/>
      <c r="E677" s="7"/>
      <c r="F677" s="7"/>
    </row>
    <row r="678" ht="15.75" customHeight="1">
      <c r="D678" s="7"/>
      <c r="E678" s="7"/>
      <c r="F678" s="7"/>
    </row>
    <row r="679" ht="15.75" customHeight="1">
      <c r="D679" s="7"/>
      <c r="E679" s="7"/>
      <c r="F679" s="7"/>
    </row>
    <row r="680" ht="15.75" customHeight="1">
      <c r="D680" s="7"/>
      <c r="E680" s="7"/>
      <c r="F680" s="7"/>
    </row>
    <row r="681" ht="15.75" customHeight="1">
      <c r="D681" s="7"/>
      <c r="E681" s="7"/>
      <c r="F681" s="7"/>
    </row>
    <row r="682" ht="15.75" customHeight="1">
      <c r="D682" s="7"/>
      <c r="E682" s="7"/>
      <c r="F682" s="7"/>
    </row>
    <row r="683" ht="15.75" customHeight="1">
      <c r="D683" s="7"/>
      <c r="E683" s="7"/>
      <c r="F683" s="7"/>
    </row>
    <row r="684" ht="15.75" customHeight="1">
      <c r="D684" s="7"/>
      <c r="E684" s="7"/>
      <c r="F684" s="7"/>
    </row>
    <row r="685" ht="15.75" customHeight="1">
      <c r="D685" s="7"/>
      <c r="E685" s="7"/>
      <c r="F685" s="7"/>
    </row>
    <row r="686" ht="15.75" customHeight="1">
      <c r="D686" s="7"/>
      <c r="E686" s="7"/>
      <c r="F686" s="7"/>
    </row>
    <row r="687" ht="15.75" customHeight="1">
      <c r="D687" s="7"/>
      <c r="E687" s="7"/>
      <c r="F687" s="7"/>
    </row>
    <row r="688" ht="15.75" customHeight="1">
      <c r="D688" s="7"/>
      <c r="E688" s="7"/>
      <c r="F688" s="7"/>
    </row>
    <row r="689" ht="15.75" customHeight="1">
      <c r="D689" s="7"/>
      <c r="E689" s="7"/>
      <c r="F689" s="7"/>
    </row>
    <row r="690" ht="15.75" customHeight="1">
      <c r="D690" s="7"/>
      <c r="E690" s="7"/>
      <c r="F690" s="7"/>
    </row>
    <row r="691" ht="15.75" customHeight="1">
      <c r="D691" s="7"/>
      <c r="E691" s="7"/>
      <c r="F691" s="7"/>
    </row>
    <row r="692" ht="15.75" customHeight="1">
      <c r="D692" s="7"/>
      <c r="E692" s="7"/>
      <c r="F692" s="7"/>
    </row>
    <row r="693" ht="15.75" customHeight="1">
      <c r="D693" s="7"/>
      <c r="E693" s="7"/>
      <c r="F693" s="7"/>
    </row>
    <row r="694" ht="15.75" customHeight="1">
      <c r="D694" s="7"/>
      <c r="E694" s="7"/>
      <c r="F694" s="7"/>
    </row>
    <row r="695" ht="15.75" customHeight="1">
      <c r="D695" s="7"/>
      <c r="E695" s="7"/>
      <c r="F695" s="7"/>
    </row>
    <row r="696" ht="15.75" customHeight="1">
      <c r="D696" s="7"/>
      <c r="E696" s="7"/>
      <c r="F696" s="7"/>
    </row>
    <row r="697" ht="15.75" customHeight="1">
      <c r="D697" s="7"/>
      <c r="E697" s="7"/>
      <c r="F697" s="7"/>
    </row>
    <row r="698" ht="15.75" customHeight="1">
      <c r="D698" s="7"/>
      <c r="E698" s="7"/>
      <c r="F698" s="7"/>
    </row>
    <row r="699" ht="15.75" customHeight="1">
      <c r="D699" s="7"/>
      <c r="E699" s="7"/>
      <c r="F699" s="7"/>
    </row>
    <row r="700" ht="15.75" customHeight="1">
      <c r="D700" s="7"/>
      <c r="E700" s="7"/>
      <c r="F700" s="7"/>
    </row>
    <row r="701" ht="15.75" customHeight="1">
      <c r="D701" s="7"/>
      <c r="E701" s="7"/>
      <c r="F701" s="7"/>
    </row>
    <row r="702" ht="15.75" customHeight="1">
      <c r="D702" s="7"/>
      <c r="E702" s="7"/>
      <c r="F702" s="7"/>
    </row>
    <row r="703" ht="15.75" customHeight="1">
      <c r="D703" s="7"/>
      <c r="E703" s="7"/>
      <c r="F703" s="7"/>
    </row>
    <row r="704" ht="15.75" customHeight="1">
      <c r="D704" s="7"/>
      <c r="E704" s="7"/>
      <c r="F704" s="7"/>
    </row>
    <row r="705" ht="15.75" customHeight="1">
      <c r="D705" s="7"/>
      <c r="E705" s="7"/>
      <c r="F705" s="7"/>
    </row>
    <row r="706" ht="15.75" customHeight="1">
      <c r="D706" s="7"/>
      <c r="E706" s="7"/>
      <c r="F706" s="7"/>
    </row>
    <row r="707" ht="15.75" customHeight="1">
      <c r="D707" s="7"/>
      <c r="E707" s="7"/>
      <c r="F707" s="7"/>
    </row>
    <row r="708" ht="15.75" customHeight="1">
      <c r="D708" s="7"/>
      <c r="E708" s="7"/>
      <c r="F708" s="7"/>
    </row>
    <row r="709" ht="15.75" customHeight="1">
      <c r="D709" s="7"/>
      <c r="E709" s="7"/>
      <c r="F709" s="7"/>
    </row>
    <row r="710" ht="15.75" customHeight="1">
      <c r="D710" s="7"/>
      <c r="E710" s="7"/>
      <c r="F710" s="7"/>
    </row>
    <row r="711" ht="15.75" customHeight="1">
      <c r="D711" s="7"/>
      <c r="E711" s="7"/>
      <c r="F711" s="7"/>
    </row>
    <row r="712" ht="15.75" customHeight="1">
      <c r="D712" s="7"/>
      <c r="E712" s="7"/>
      <c r="F712" s="7"/>
    </row>
    <row r="713" ht="15.75" customHeight="1">
      <c r="D713" s="7"/>
      <c r="E713" s="7"/>
      <c r="F713" s="7"/>
    </row>
    <row r="714" ht="15.75" customHeight="1">
      <c r="D714" s="7"/>
      <c r="E714" s="7"/>
      <c r="F714" s="7"/>
    </row>
    <row r="715" ht="15.75" customHeight="1">
      <c r="D715" s="7"/>
      <c r="E715" s="7"/>
      <c r="F715" s="7"/>
    </row>
    <row r="716" ht="15.75" customHeight="1">
      <c r="D716" s="7"/>
      <c r="E716" s="7"/>
      <c r="F716" s="7"/>
    </row>
    <row r="717" ht="15.75" customHeight="1">
      <c r="D717" s="7"/>
      <c r="E717" s="7"/>
      <c r="F717" s="7"/>
    </row>
    <row r="718" ht="15.75" customHeight="1">
      <c r="D718" s="7"/>
      <c r="E718" s="7"/>
      <c r="F718" s="7"/>
    </row>
    <row r="719" ht="15.75" customHeight="1">
      <c r="D719" s="7"/>
      <c r="E719" s="7"/>
      <c r="F719" s="7"/>
    </row>
    <row r="720" ht="15.75" customHeight="1">
      <c r="D720" s="7"/>
      <c r="E720" s="7"/>
      <c r="F720" s="7"/>
    </row>
    <row r="721" ht="15.75" customHeight="1">
      <c r="D721" s="7"/>
      <c r="E721" s="7"/>
      <c r="F721" s="7"/>
    </row>
    <row r="722" ht="15.75" customHeight="1">
      <c r="D722" s="7"/>
      <c r="E722" s="7"/>
      <c r="F722" s="7"/>
    </row>
    <row r="723" ht="15.75" customHeight="1">
      <c r="D723" s="7"/>
      <c r="E723" s="7"/>
      <c r="F723" s="7"/>
    </row>
    <row r="724" ht="15.75" customHeight="1">
      <c r="D724" s="7"/>
      <c r="E724" s="7"/>
      <c r="F724" s="7"/>
    </row>
    <row r="725" ht="15.75" customHeight="1">
      <c r="D725" s="7"/>
      <c r="E725" s="7"/>
      <c r="F725" s="7"/>
    </row>
    <row r="726" ht="15.75" customHeight="1">
      <c r="D726" s="7"/>
      <c r="E726" s="7"/>
      <c r="F726" s="7"/>
    </row>
    <row r="727" ht="15.75" customHeight="1">
      <c r="D727" s="7"/>
      <c r="E727" s="7"/>
      <c r="F727" s="7"/>
    </row>
    <row r="728" ht="15.75" customHeight="1">
      <c r="D728" s="7"/>
      <c r="E728" s="7"/>
      <c r="F728" s="7"/>
    </row>
    <row r="729" ht="15.75" customHeight="1">
      <c r="D729" s="7"/>
      <c r="E729" s="7"/>
      <c r="F729" s="7"/>
    </row>
    <row r="730" ht="15.75" customHeight="1">
      <c r="D730" s="7"/>
      <c r="E730" s="7"/>
      <c r="F730" s="7"/>
    </row>
    <row r="731" ht="15.75" customHeight="1">
      <c r="D731" s="7"/>
      <c r="E731" s="7"/>
      <c r="F731" s="7"/>
    </row>
    <row r="732" ht="15.75" customHeight="1">
      <c r="D732" s="7"/>
      <c r="E732" s="7"/>
      <c r="F732" s="7"/>
    </row>
    <row r="733" ht="15.75" customHeight="1">
      <c r="D733" s="7"/>
      <c r="E733" s="7"/>
      <c r="F733" s="7"/>
    </row>
    <row r="734" ht="15.75" customHeight="1">
      <c r="D734" s="7"/>
      <c r="E734" s="7"/>
      <c r="F734" s="7"/>
    </row>
    <row r="735" ht="15.75" customHeight="1">
      <c r="D735" s="7"/>
      <c r="E735" s="7"/>
      <c r="F735" s="7"/>
    </row>
    <row r="736" ht="15.75" customHeight="1">
      <c r="D736" s="7"/>
      <c r="E736" s="7"/>
      <c r="F736" s="7"/>
    </row>
    <row r="737" ht="15.75" customHeight="1">
      <c r="D737" s="7"/>
      <c r="E737" s="7"/>
      <c r="F737" s="7"/>
    </row>
    <row r="738" ht="15.75" customHeight="1">
      <c r="D738" s="7"/>
      <c r="E738" s="7"/>
      <c r="F738" s="7"/>
    </row>
    <row r="739" ht="15.75" customHeight="1">
      <c r="D739" s="7"/>
      <c r="E739" s="7"/>
      <c r="F739" s="7"/>
    </row>
    <row r="740" ht="15.75" customHeight="1">
      <c r="D740" s="7"/>
      <c r="E740" s="7"/>
      <c r="F740" s="7"/>
    </row>
    <row r="741" ht="15.75" customHeight="1">
      <c r="D741" s="7"/>
      <c r="E741" s="7"/>
      <c r="F741" s="7"/>
    </row>
    <row r="742" ht="15.75" customHeight="1">
      <c r="D742" s="7"/>
      <c r="E742" s="7"/>
      <c r="F742" s="7"/>
    </row>
    <row r="743" ht="15.75" customHeight="1">
      <c r="D743" s="7"/>
      <c r="E743" s="7"/>
      <c r="F743" s="7"/>
    </row>
    <row r="744" ht="15.75" customHeight="1">
      <c r="D744" s="7"/>
      <c r="E744" s="7"/>
      <c r="F744" s="7"/>
    </row>
    <row r="745" ht="15.75" customHeight="1">
      <c r="D745" s="7"/>
      <c r="E745" s="7"/>
      <c r="F745" s="7"/>
    </row>
    <row r="746" ht="15.75" customHeight="1">
      <c r="D746" s="7"/>
      <c r="E746" s="7"/>
      <c r="F746" s="7"/>
    </row>
    <row r="747" ht="15.75" customHeight="1">
      <c r="D747" s="7"/>
      <c r="E747" s="7"/>
      <c r="F747" s="7"/>
    </row>
    <row r="748" ht="15.75" customHeight="1">
      <c r="D748" s="7"/>
      <c r="E748" s="7"/>
      <c r="F748" s="7"/>
    </row>
    <row r="749" ht="15.75" customHeight="1">
      <c r="D749" s="7"/>
      <c r="E749" s="7"/>
      <c r="F749" s="7"/>
    </row>
    <row r="750" ht="15.75" customHeight="1">
      <c r="D750" s="7"/>
      <c r="E750" s="7"/>
      <c r="F750" s="7"/>
    </row>
    <row r="751" ht="15.75" customHeight="1">
      <c r="D751" s="7"/>
      <c r="E751" s="7"/>
      <c r="F751" s="7"/>
    </row>
    <row r="752" ht="15.75" customHeight="1">
      <c r="D752" s="7"/>
      <c r="E752" s="7"/>
      <c r="F752" s="7"/>
    </row>
    <row r="753" ht="15.75" customHeight="1">
      <c r="D753" s="7"/>
      <c r="E753" s="7"/>
      <c r="F753" s="7"/>
    </row>
    <row r="754" ht="15.75" customHeight="1">
      <c r="D754" s="7"/>
      <c r="E754" s="7"/>
      <c r="F754" s="7"/>
    </row>
    <row r="755" ht="15.75" customHeight="1">
      <c r="D755" s="7"/>
      <c r="E755" s="7"/>
      <c r="F755" s="7"/>
    </row>
    <row r="756" ht="15.75" customHeight="1">
      <c r="D756" s="7"/>
      <c r="E756" s="7"/>
      <c r="F756" s="7"/>
    </row>
    <row r="757" ht="15.75" customHeight="1">
      <c r="D757" s="7"/>
      <c r="E757" s="7"/>
      <c r="F757" s="7"/>
    </row>
    <row r="758" ht="15.75" customHeight="1">
      <c r="D758" s="7"/>
      <c r="E758" s="7"/>
      <c r="F758" s="7"/>
    </row>
    <row r="759" ht="15.75" customHeight="1">
      <c r="D759" s="7"/>
      <c r="E759" s="7"/>
      <c r="F759" s="7"/>
    </row>
    <row r="760" ht="15.75" customHeight="1">
      <c r="D760" s="7"/>
      <c r="E760" s="7"/>
      <c r="F760" s="7"/>
    </row>
    <row r="761" ht="15.75" customHeight="1">
      <c r="D761" s="7"/>
      <c r="E761" s="7"/>
      <c r="F761" s="7"/>
    </row>
    <row r="762" ht="15.75" customHeight="1">
      <c r="D762" s="7"/>
      <c r="E762" s="7"/>
      <c r="F762" s="7"/>
    </row>
    <row r="763" ht="15.75" customHeight="1">
      <c r="D763" s="7"/>
      <c r="E763" s="7"/>
      <c r="F763" s="7"/>
    </row>
    <row r="764" ht="15.75" customHeight="1">
      <c r="D764" s="7"/>
      <c r="E764" s="7"/>
      <c r="F764" s="7"/>
    </row>
    <row r="765" ht="15.75" customHeight="1">
      <c r="D765" s="7"/>
      <c r="E765" s="7"/>
      <c r="F765" s="7"/>
    </row>
    <row r="766" ht="15.75" customHeight="1">
      <c r="D766" s="7"/>
      <c r="E766" s="7"/>
      <c r="F766" s="7"/>
    </row>
    <row r="767" ht="15.75" customHeight="1">
      <c r="D767" s="7"/>
      <c r="E767" s="7"/>
      <c r="F767" s="7"/>
    </row>
    <row r="768" ht="15.75" customHeight="1">
      <c r="D768" s="7"/>
      <c r="E768" s="7"/>
      <c r="F768" s="7"/>
    </row>
    <row r="769" ht="15.75" customHeight="1">
      <c r="D769" s="7"/>
      <c r="E769" s="7"/>
      <c r="F769" s="7"/>
    </row>
    <row r="770" ht="15.75" customHeight="1">
      <c r="D770" s="7"/>
      <c r="E770" s="7"/>
      <c r="F770" s="7"/>
    </row>
    <row r="771" ht="15.75" customHeight="1">
      <c r="D771" s="7"/>
      <c r="E771" s="7"/>
      <c r="F771" s="7"/>
    </row>
    <row r="772" ht="15.75" customHeight="1">
      <c r="D772" s="7"/>
      <c r="E772" s="7"/>
      <c r="F772" s="7"/>
    </row>
    <row r="773" ht="15.75" customHeight="1">
      <c r="D773" s="7"/>
      <c r="E773" s="7"/>
      <c r="F773" s="7"/>
    </row>
    <row r="774" ht="15.75" customHeight="1">
      <c r="D774" s="7"/>
      <c r="E774" s="7"/>
      <c r="F774" s="7"/>
    </row>
    <row r="775" ht="15.75" customHeight="1">
      <c r="D775" s="7"/>
      <c r="E775" s="7"/>
      <c r="F775" s="7"/>
    </row>
    <row r="776" ht="15.75" customHeight="1">
      <c r="D776" s="7"/>
      <c r="E776" s="7"/>
      <c r="F776" s="7"/>
    </row>
    <row r="777" ht="15.75" customHeight="1">
      <c r="D777" s="7"/>
      <c r="E777" s="7"/>
      <c r="F777" s="7"/>
    </row>
    <row r="778" ht="15.75" customHeight="1">
      <c r="D778" s="7"/>
      <c r="E778" s="7"/>
      <c r="F778" s="7"/>
    </row>
    <row r="779" ht="15.75" customHeight="1">
      <c r="D779" s="7"/>
      <c r="E779" s="7"/>
      <c r="F779" s="7"/>
    </row>
    <row r="780" ht="15.75" customHeight="1">
      <c r="D780" s="7"/>
      <c r="E780" s="7"/>
      <c r="F780" s="7"/>
    </row>
    <row r="781" ht="15.75" customHeight="1">
      <c r="D781" s="7"/>
      <c r="E781" s="7"/>
      <c r="F781" s="7"/>
    </row>
    <row r="782" ht="15.75" customHeight="1">
      <c r="D782" s="7"/>
      <c r="E782" s="7"/>
      <c r="F782" s="7"/>
    </row>
    <row r="783" ht="15.75" customHeight="1">
      <c r="D783" s="7"/>
      <c r="E783" s="7"/>
      <c r="F783" s="7"/>
    </row>
    <row r="784" ht="15.75" customHeight="1">
      <c r="D784" s="7"/>
      <c r="E784" s="7"/>
      <c r="F784" s="7"/>
    </row>
    <row r="785" ht="15.75" customHeight="1">
      <c r="D785" s="7"/>
      <c r="E785" s="7"/>
      <c r="F785" s="7"/>
    </row>
    <row r="786" ht="15.75" customHeight="1">
      <c r="D786" s="7"/>
      <c r="E786" s="7"/>
      <c r="F786" s="7"/>
    </row>
    <row r="787" ht="15.75" customHeight="1">
      <c r="D787" s="7"/>
      <c r="E787" s="7"/>
      <c r="F787" s="7"/>
    </row>
    <row r="788" ht="15.75" customHeight="1">
      <c r="D788" s="7"/>
      <c r="E788" s="7"/>
      <c r="F788" s="7"/>
    </row>
    <row r="789" ht="15.75" customHeight="1">
      <c r="D789" s="7"/>
      <c r="E789" s="7"/>
      <c r="F789" s="7"/>
    </row>
    <row r="790" ht="15.75" customHeight="1">
      <c r="D790" s="7"/>
      <c r="E790" s="7"/>
      <c r="F790" s="7"/>
    </row>
    <row r="791" ht="15.75" customHeight="1">
      <c r="D791" s="7"/>
      <c r="E791" s="7"/>
      <c r="F791" s="7"/>
    </row>
    <row r="792" ht="15.75" customHeight="1">
      <c r="D792" s="7"/>
      <c r="E792" s="7"/>
      <c r="F792" s="7"/>
    </row>
    <row r="793" ht="15.75" customHeight="1">
      <c r="D793" s="7"/>
      <c r="E793" s="7"/>
      <c r="F793" s="7"/>
    </row>
    <row r="794" ht="15.75" customHeight="1">
      <c r="D794" s="7"/>
      <c r="E794" s="7"/>
      <c r="F794" s="7"/>
    </row>
    <row r="795" ht="15.75" customHeight="1">
      <c r="D795" s="7"/>
      <c r="E795" s="7"/>
      <c r="F795" s="7"/>
    </row>
    <row r="796" ht="15.75" customHeight="1">
      <c r="D796" s="7"/>
      <c r="E796" s="7"/>
      <c r="F796" s="7"/>
    </row>
    <row r="797" ht="15.75" customHeight="1">
      <c r="D797" s="7"/>
      <c r="E797" s="7"/>
      <c r="F797" s="7"/>
    </row>
    <row r="798" ht="15.75" customHeight="1">
      <c r="D798" s="7"/>
      <c r="E798" s="7"/>
      <c r="F798" s="7"/>
    </row>
    <row r="799" ht="15.75" customHeight="1">
      <c r="D799" s="7"/>
      <c r="E799" s="7"/>
      <c r="F799" s="7"/>
    </row>
    <row r="800" ht="15.75" customHeight="1">
      <c r="D800" s="7"/>
      <c r="E800" s="7"/>
      <c r="F800" s="7"/>
    </row>
    <row r="801" ht="15.75" customHeight="1">
      <c r="D801" s="7"/>
      <c r="E801" s="7"/>
      <c r="F801" s="7"/>
    </row>
    <row r="802" ht="15.75" customHeight="1">
      <c r="D802" s="7"/>
      <c r="E802" s="7"/>
      <c r="F802" s="7"/>
    </row>
    <row r="803" ht="15.75" customHeight="1">
      <c r="D803" s="7"/>
      <c r="E803" s="7"/>
      <c r="F803" s="7"/>
    </row>
    <row r="804" ht="15.75" customHeight="1">
      <c r="D804" s="7"/>
      <c r="E804" s="7"/>
      <c r="F804" s="7"/>
    </row>
    <row r="805" ht="15.75" customHeight="1">
      <c r="D805" s="7"/>
      <c r="E805" s="7"/>
      <c r="F805" s="7"/>
    </row>
    <row r="806" ht="15.75" customHeight="1">
      <c r="D806" s="7"/>
      <c r="E806" s="7"/>
      <c r="F806" s="7"/>
    </row>
    <row r="807" ht="15.75" customHeight="1">
      <c r="D807" s="7"/>
      <c r="E807" s="7"/>
      <c r="F807" s="7"/>
    </row>
    <row r="808" ht="15.75" customHeight="1">
      <c r="D808" s="7"/>
      <c r="E808" s="7"/>
      <c r="F808" s="7"/>
    </row>
    <row r="809" ht="15.75" customHeight="1">
      <c r="D809" s="7"/>
      <c r="E809" s="7"/>
      <c r="F809" s="7"/>
    </row>
    <row r="810" ht="15.75" customHeight="1">
      <c r="D810" s="7"/>
      <c r="E810" s="7"/>
      <c r="F810" s="7"/>
    </row>
    <row r="811" ht="15.75" customHeight="1">
      <c r="D811" s="7"/>
      <c r="E811" s="7"/>
      <c r="F811" s="7"/>
    </row>
    <row r="812" ht="15.75" customHeight="1">
      <c r="D812" s="7"/>
      <c r="E812" s="7"/>
      <c r="F812" s="7"/>
    </row>
    <row r="813" ht="15.75" customHeight="1">
      <c r="D813" s="7"/>
      <c r="E813" s="7"/>
      <c r="F813" s="7"/>
    </row>
    <row r="814" ht="15.75" customHeight="1">
      <c r="D814" s="7"/>
      <c r="E814" s="7"/>
      <c r="F814" s="7"/>
    </row>
    <row r="815" ht="15.75" customHeight="1">
      <c r="D815" s="7"/>
      <c r="E815" s="7"/>
      <c r="F815" s="7"/>
    </row>
    <row r="816" ht="15.75" customHeight="1">
      <c r="D816" s="7"/>
      <c r="E816" s="7"/>
      <c r="F816" s="7"/>
    </row>
    <row r="817" ht="15.75" customHeight="1">
      <c r="D817" s="7"/>
      <c r="E817" s="7"/>
      <c r="F817" s="7"/>
    </row>
    <row r="818" ht="15.75" customHeight="1">
      <c r="D818" s="7"/>
      <c r="E818" s="7"/>
      <c r="F818" s="7"/>
    </row>
    <row r="819" ht="15.75" customHeight="1">
      <c r="D819" s="7"/>
      <c r="E819" s="7"/>
      <c r="F819" s="7"/>
    </row>
    <row r="820" ht="15.75" customHeight="1">
      <c r="D820" s="7"/>
      <c r="E820" s="7"/>
      <c r="F820" s="7"/>
    </row>
    <row r="821" ht="15.75" customHeight="1">
      <c r="D821" s="7"/>
      <c r="E821" s="7"/>
      <c r="F821" s="7"/>
    </row>
    <row r="822" ht="15.75" customHeight="1">
      <c r="D822" s="7"/>
      <c r="E822" s="7"/>
      <c r="F822" s="7"/>
    </row>
    <row r="823" ht="15.75" customHeight="1">
      <c r="D823" s="7"/>
      <c r="E823" s="7"/>
      <c r="F823" s="7"/>
    </row>
    <row r="824" ht="15.75" customHeight="1">
      <c r="D824" s="7"/>
      <c r="E824" s="7"/>
      <c r="F824" s="7"/>
    </row>
    <row r="825" ht="15.75" customHeight="1">
      <c r="D825" s="7"/>
      <c r="E825" s="7"/>
      <c r="F825" s="7"/>
    </row>
    <row r="826" ht="15.75" customHeight="1">
      <c r="D826" s="7"/>
      <c r="E826" s="7"/>
      <c r="F826" s="7"/>
    </row>
    <row r="827" ht="15.75" customHeight="1">
      <c r="D827" s="7"/>
      <c r="E827" s="7"/>
      <c r="F827" s="7"/>
    </row>
    <row r="828" ht="15.75" customHeight="1">
      <c r="D828" s="7"/>
      <c r="E828" s="7"/>
      <c r="F828" s="7"/>
    </row>
    <row r="829" ht="15.75" customHeight="1">
      <c r="D829" s="7"/>
      <c r="E829" s="7"/>
      <c r="F829" s="7"/>
    </row>
    <row r="830" ht="15.75" customHeight="1">
      <c r="D830" s="7"/>
      <c r="E830" s="7"/>
      <c r="F830" s="7"/>
    </row>
    <row r="831" ht="15.75" customHeight="1">
      <c r="D831" s="7"/>
      <c r="E831" s="7"/>
      <c r="F831" s="7"/>
    </row>
    <row r="832" ht="15.75" customHeight="1">
      <c r="D832" s="7"/>
      <c r="E832" s="7"/>
      <c r="F832" s="7"/>
    </row>
    <row r="833" ht="15.75" customHeight="1">
      <c r="D833" s="7"/>
      <c r="E833" s="7"/>
      <c r="F833" s="7"/>
    </row>
    <row r="834" ht="15.75" customHeight="1">
      <c r="D834" s="7"/>
      <c r="E834" s="7"/>
      <c r="F834" s="7"/>
    </row>
    <row r="835" ht="15.75" customHeight="1">
      <c r="D835" s="7"/>
      <c r="E835" s="7"/>
      <c r="F835" s="7"/>
    </row>
    <row r="836" ht="15.75" customHeight="1">
      <c r="D836" s="7"/>
      <c r="E836" s="7"/>
      <c r="F836" s="7"/>
    </row>
    <row r="837" ht="15.75" customHeight="1">
      <c r="D837" s="7"/>
      <c r="E837" s="7"/>
      <c r="F837" s="7"/>
    </row>
    <row r="838" ht="15.75" customHeight="1">
      <c r="D838" s="7"/>
      <c r="E838" s="7"/>
      <c r="F838" s="7"/>
    </row>
    <row r="839" ht="15.75" customHeight="1">
      <c r="D839" s="7"/>
      <c r="E839" s="7"/>
      <c r="F839" s="7"/>
    </row>
    <row r="840" ht="15.75" customHeight="1">
      <c r="D840" s="7"/>
      <c r="E840" s="7"/>
      <c r="F840" s="7"/>
    </row>
    <row r="841" ht="15.75" customHeight="1">
      <c r="D841" s="7"/>
      <c r="E841" s="7"/>
      <c r="F841" s="7"/>
    </row>
    <row r="842" ht="15.75" customHeight="1">
      <c r="D842" s="7"/>
      <c r="E842" s="7"/>
      <c r="F842" s="7"/>
    </row>
    <row r="843" ht="15.75" customHeight="1">
      <c r="D843" s="7"/>
      <c r="E843" s="7"/>
      <c r="F843" s="7"/>
    </row>
    <row r="844" ht="15.75" customHeight="1">
      <c r="D844" s="7"/>
      <c r="E844" s="7"/>
      <c r="F844" s="7"/>
    </row>
    <row r="845" ht="15.75" customHeight="1">
      <c r="D845" s="7"/>
      <c r="E845" s="7"/>
      <c r="F845" s="7"/>
    </row>
    <row r="846" ht="15.75" customHeight="1">
      <c r="D846" s="7"/>
      <c r="E846" s="7"/>
      <c r="F846" s="7"/>
    </row>
    <row r="847" ht="15.75" customHeight="1">
      <c r="D847" s="7"/>
      <c r="E847" s="7"/>
      <c r="F847" s="7"/>
    </row>
    <row r="848" ht="15.75" customHeight="1">
      <c r="D848" s="7"/>
      <c r="E848" s="7"/>
      <c r="F848" s="7"/>
    </row>
    <row r="849" ht="15.75" customHeight="1">
      <c r="D849" s="7"/>
      <c r="E849" s="7"/>
      <c r="F849" s="7"/>
    </row>
    <row r="850" ht="15.75" customHeight="1">
      <c r="D850" s="7"/>
      <c r="E850" s="7"/>
      <c r="F850" s="7"/>
    </row>
    <row r="851" ht="15.75" customHeight="1">
      <c r="D851" s="7"/>
      <c r="E851" s="7"/>
      <c r="F851" s="7"/>
    </row>
    <row r="852" ht="15.75" customHeight="1">
      <c r="D852" s="7"/>
      <c r="E852" s="7"/>
      <c r="F852" s="7"/>
    </row>
    <row r="853" ht="15.75" customHeight="1">
      <c r="D853" s="7"/>
      <c r="E853" s="7"/>
      <c r="F853" s="7"/>
    </row>
    <row r="854" ht="15.75" customHeight="1">
      <c r="D854" s="7"/>
      <c r="E854" s="7"/>
      <c r="F854" s="7"/>
    </row>
    <row r="855" ht="15.75" customHeight="1">
      <c r="D855" s="7"/>
      <c r="E855" s="7"/>
      <c r="F855" s="7"/>
    </row>
    <row r="856" ht="15.75" customHeight="1">
      <c r="D856" s="7"/>
      <c r="E856" s="7"/>
      <c r="F856" s="7"/>
    </row>
    <row r="857" ht="15.75" customHeight="1">
      <c r="D857" s="7"/>
      <c r="E857" s="7"/>
      <c r="F857" s="7"/>
    </row>
    <row r="858" ht="15.75" customHeight="1">
      <c r="D858" s="7"/>
      <c r="E858" s="7"/>
      <c r="F858" s="7"/>
    </row>
    <row r="859" ht="15.75" customHeight="1">
      <c r="D859" s="7"/>
      <c r="E859" s="7"/>
      <c r="F859" s="7"/>
    </row>
    <row r="860" ht="15.75" customHeight="1">
      <c r="D860" s="7"/>
      <c r="E860" s="7"/>
      <c r="F860" s="7"/>
    </row>
    <row r="861" ht="15.75" customHeight="1">
      <c r="D861" s="7"/>
      <c r="E861" s="7"/>
      <c r="F861" s="7"/>
    </row>
    <row r="862" ht="15.75" customHeight="1">
      <c r="D862" s="7"/>
      <c r="E862" s="7"/>
      <c r="F862" s="7"/>
    </row>
    <row r="863" ht="15.75" customHeight="1">
      <c r="D863" s="7"/>
      <c r="E863" s="7"/>
      <c r="F863" s="7"/>
    </row>
    <row r="864" ht="15.75" customHeight="1">
      <c r="D864" s="7"/>
      <c r="E864" s="7"/>
      <c r="F864" s="7"/>
    </row>
    <row r="865" ht="15.75" customHeight="1">
      <c r="D865" s="7"/>
      <c r="E865" s="7"/>
      <c r="F865" s="7"/>
    </row>
    <row r="866" ht="15.75" customHeight="1">
      <c r="D866" s="7"/>
      <c r="E866" s="7"/>
      <c r="F866" s="7"/>
    </row>
    <row r="867" ht="15.75" customHeight="1">
      <c r="D867" s="7"/>
      <c r="E867" s="7"/>
      <c r="F867" s="7"/>
    </row>
    <row r="868" ht="15.75" customHeight="1">
      <c r="D868" s="7"/>
      <c r="E868" s="7"/>
      <c r="F868" s="7"/>
    </row>
    <row r="869" ht="15.75" customHeight="1">
      <c r="D869" s="7"/>
      <c r="E869" s="7"/>
      <c r="F869" s="7"/>
    </row>
    <row r="870" ht="15.75" customHeight="1">
      <c r="D870" s="7"/>
      <c r="E870" s="7"/>
      <c r="F870" s="7"/>
    </row>
    <row r="871" ht="15.75" customHeight="1">
      <c r="D871" s="7"/>
      <c r="E871" s="7"/>
      <c r="F871" s="7"/>
    </row>
    <row r="872" ht="15.75" customHeight="1">
      <c r="D872" s="7"/>
      <c r="E872" s="7"/>
      <c r="F872" s="7"/>
    </row>
    <row r="873" ht="15.75" customHeight="1">
      <c r="D873" s="7"/>
      <c r="E873" s="7"/>
      <c r="F873" s="7"/>
    </row>
    <row r="874" ht="15.75" customHeight="1">
      <c r="D874" s="7"/>
      <c r="E874" s="7"/>
      <c r="F874" s="7"/>
    </row>
    <row r="875" ht="15.75" customHeight="1">
      <c r="D875" s="7"/>
      <c r="E875" s="7"/>
      <c r="F875" s="7"/>
    </row>
    <row r="876" ht="15.75" customHeight="1">
      <c r="D876" s="7"/>
      <c r="E876" s="7"/>
      <c r="F876" s="7"/>
    </row>
    <row r="877" ht="15.75" customHeight="1">
      <c r="D877" s="7"/>
      <c r="E877" s="7"/>
      <c r="F877" s="7"/>
    </row>
    <row r="878" ht="15.75" customHeight="1">
      <c r="D878" s="7"/>
      <c r="E878" s="7"/>
      <c r="F878" s="7"/>
    </row>
    <row r="879" ht="15.75" customHeight="1">
      <c r="D879" s="7"/>
      <c r="E879" s="7"/>
      <c r="F879" s="7"/>
    </row>
    <row r="880" ht="15.75" customHeight="1">
      <c r="D880" s="7"/>
      <c r="E880" s="7"/>
      <c r="F880" s="7"/>
    </row>
    <row r="881" ht="15.75" customHeight="1">
      <c r="D881" s="7"/>
      <c r="E881" s="7"/>
      <c r="F881" s="7"/>
    </row>
    <row r="882" ht="15.75" customHeight="1">
      <c r="D882" s="7"/>
      <c r="E882" s="7"/>
      <c r="F882" s="7"/>
    </row>
    <row r="883" ht="15.75" customHeight="1">
      <c r="D883" s="7"/>
      <c r="E883" s="7"/>
      <c r="F883" s="7"/>
    </row>
    <row r="884" ht="15.75" customHeight="1">
      <c r="D884" s="7"/>
      <c r="E884" s="7"/>
      <c r="F884" s="7"/>
    </row>
    <row r="885" ht="15.75" customHeight="1">
      <c r="D885" s="7"/>
      <c r="E885" s="7"/>
      <c r="F885" s="7"/>
    </row>
    <row r="886" ht="15.75" customHeight="1">
      <c r="D886" s="7"/>
      <c r="E886" s="7"/>
      <c r="F886" s="7"/>
    </row>
    <row r="887" ht="15.75" customHeight="1">
      <c r="D887" s="7"/>
      <c r="E887" s="7"/>
      <c r="F887" s="7"/>
    </row>
    <row r="888" ht="15.75" customHeight="1">
      <c r="D888" s="7"/>
      <c r="E888" s="7"/>
      <c r="F888" s="7"/>
    </row>
    <row r="889" ht="15.75" customHeight="1">
      <c r="D889" s="7"/>
      <c r="E889" s="7"/>
      <c r="F889" s="7"/>
    </row>
    <row r="890" ht="15.75" customHeight="1">
      <c r="D890" s="7"/>
      <c r="E890" s="7"/>
      <c r="F890" s="7"/>
    </row>
    <row r="891" ht="15.75" customHeight="1">
      <c r="D891" s="7"/>
      <c r="E891" s="7"/>
      <c r="F891" s="7"/>
    </row>
    <row r="892" ht="15.75" customHeight="1">
      <c r="D892" s="7"/>
      <c r="E892" s="7"/>
      <c r="F892" s="7"/>
    </row>
    <row r="893" ht="15.75" customHeight="1">
      <c r="D893" s="7"/>
      <c r="E893" s="7"/>
      <c r="F893" s="7"/>
    </row>
    <row r="894" ht="15.75" customHeight="1">
      <c r="D894" s="7"/>
      <c r="E894" s="7"/>
      <c r="F894" s="7"/>
    </row>
    <row r="895" ht="15.75" customHeight="1">
      <c r="D895" s="7"/>
      <c r="E895" s="7"/>
      <c r="F895" s="7"/>
    </row>
    <row r="896" ht="15.75" customHeight="1">
      <c r="D896" s="7"/>
      <c r="E896" s="7"/>
      <c r="F896" s="7"/>
    </row>
    <row r="897" ht="15.75" customHeight="1">
      <c r="D897" s="7"/>
      <c r="E897" s="7"/>
      <c r="F897" s="7"/>
    </row>
    <row r="898" ht="15.75" customHeight="1">
      <c r="D898" s="7"/>
      <c r="E898" s="7"/>
      <c r="F898" s="7"/>
    </row>
    <row r="899" ht="15.75" customHeight="1">
      <c r="D899" s="7"/>
      <c r="E899" s="7"/>
      <c r="F899" s="7"/>
    </row>
    <row r="900" ht="15.75" customHeight="1">
      <c r="D900" s="7"/>
      <c r="E900" s="7"/>
      <c r="F900" s="7"/>
    </row>
    <row r="901" ht="15.75" customHeight="1">
      <c r="D901" s="7"/>
      <c r="E901" s="7"/>
      <c r="F901" s="7"/>
    </row>
    <row r="902" ht="15.75" customHeight="1">
      <c r="D902" s="7"/>
      <c r="E902" s="7"/>
      <c r="F902" s="7"/>
    </row>
    <row r="903" ht="15.75" customHeight="1">
      <c r="D903" s="7"/>
      <c r="E903" s="7"/>
      <c r="F903" s="7"/>
    </row>
    <row r="904" ht="15.75" customHeight="1">
      <c r="D904" s="7"/>
      <c r="E904" s="7"/>
      <c r="F904" s="7"/>
    </row>
    <row r="905" ht="15.75" customHeight="1">
      <c r="D905" s="7"/>
      <c r="E905" s="7"/>
      <c r="F905" s="7"/>
    </row>
    <row r="906" ht="15.75" customHeight="1">
      <c r="D906" s="7"/>
      <c r="E906" s="7"/>
      <c r="F906" s="7"/>
    </row>
    <row r="907" ht="15.75" customHeight="1">
      <c r="D907" s="7"/>
      <c r="E907" s="7"/>
      <c r="F907" s="7"/>
    </row>
    <row r="908" ht="15.75" customHeight="1">
      <c r="D908" s="7"/>
      <c r="E908" s="7"/>
      <c r="F908" s="7"/>
    </row>
    <row r="909" ht="15.75" customHeight="1">
      <c r="D909" s="7"/>
      <c r="E909" s="7"/>
      <c r="F909" s="7"/>
    </row>
    <row r="910" ht="15.75" customHeight="1">
      <c r="D910" s="7"/>
      <c r="E910" s="7"/>
      <c r="F910" s="7"/>
    </row>
    <row r="911" ht="15.75" customHeight="1">
      <c r="D911" s="7"/>
      <c r="E911" s="7"/>
      <c r="F911" s="7"/>
    </row>
    <row r="912" ht="15.75" customHeight="1">
      <c r="D912" s="7"/>
      <c r="E912" s="7"/>
      <c r="F912" s="7"/>
    </row>
    <row r="913" ht="15.75" customHeight="1">
      <c r="D913" s="7"/>
      <c r="E913" s="7"/>
      <c r="F913" s="7"/>
    </row>
    <row r="914" ht="15.75" customHeight="1">
      <c r="D914" s="7"/>
      <c r="E914" s="7"/>
      <c r="F914" s="7"/>
    </row>
    <row r="915" ht="15.75" customHeight="1">
      <c r="D915" s="7"/>
      <c r="E915" s="7"/>
      <c r="F915" s="7"/>
    </row>
    <row r="916" ht="15.75" customHeight="1">
      <c r="D916" s="7"/>
      <c r="E916" s="7"/>
      <c r="F916" s="7"/>
    </row>
    <row r="917" ht="15.75" customHeight="1">
      <c r="D917" s="7"/>
      <c r="E917" s="7"/>
      <c r="F917" s="7"/>
    </row>
    <row r="918" ht="15.75" customHeight="1">
      <c r="D918" s="7"/>
      <c r="E918" s="7"/>
      <c r="F918" s="7"/>
    </row>
    <row r="919" ht="15.75" customHeight="1">
      <c r="D919" s="7"/>
      <c r="E919" s="7"/>
      <c r="F919" s="7"/>
    </row>
    <row r="920" ht="15.75" customHeight="1">
      <c r="D920" s="7"/>
      <c r="E920" s="7"/>
      <c r="F920" s="7"/>
    </row>
    <row r="921" ht="15.75" customHeight="1">
      <c r="D921" s="7"/>
      <c r="E921" s="7"/>
      <c r="F921" s="7"/>
    </row>
    <row r="922" ht="15.75" customHeight="1">
      <c r="D922" s="7"/>
      <c r="E922" s="7"/>
      <c r="F922" s="7"/>
    </row>
    <row r="923" ht="15.75" customHeight="1">
      <c r="D923" s="7"/>
      <c r="E923" s="7"/>
      <c r="F923" s="7"/>
    </row>
    <row r="924" ht="15.75" customHeight="1">
      <c r="D924" s="7"/>
      <c r="E924" s="7"/>
      <c r="F924" s="7"/>
    </row>
    <row r="925" ht="15.75" customHeight="1">
      <c r="D925" s="7"/>
      <c r="E925" s="7"/>
      <c r="F925" s="7"/>
    </row>
    <row r="926" ht="15.75" customHeight="1">
      <c r="D926" s="7"/>
      <c r="E926" s="7"/>
      <c r="F926" s="7"/>
    </row>
    <row r="927" ht="15.75" customHeight="1">
      <c r="D927" s="7"/>
      <c r="E927" s="7"/>
      <c r="F927" s="7"/>
    </row>
    <row r="928" ht="15.75" customHeight="1">
      <c r="D928" s="7"/>
      <c r="E928" s="7"/>
      <c r="F928" s="7"/>
    </row>
    <row r="929" ht="15.75" customHeight="1">
      <c r="D929" s="7"/>
      <c r="E929" s="7"/>
      <c r="F929" s="7"/>
    </row>
    <row r="930" ht="15.75" customHeight="1">
      <c r="D930" s="7"/>
      <c r="E930" s="7"/>
      <c r="F930" s="7"/>
    </row>
    <row r="931" ht="15.75" customHeight="1">
      <c r="D931" s="7"/>
      <c r="E931" s="7"/>
      <c r="F931" s="7"/>
    </row>
    <row r="932" ht="15.75" customHeight="1">
      <c r="D932" s="7"/>
      <c r="E932" s="7"/>
      <c r="F932" s="7"/>
    </row>
    <row r="933" ht="15.75" customHeight="1">
      <c r="D933" s="7"/>
      <c r="E933" s="7"/>
      <c r="F933" s="7"/>
    </row>
    <row r="934" ht="15.75" customHeight="1">
      <c r="D934" s="7"/>
      <c r="E934" s="7"/>
      <c r="F934" s="7"/>
    </row>
    <row r="935" ht="15.75" customHeight="1">
      <c r="D935" s="7"/>
      <c r="E935" s="7"/>
      <c r="F935" s="7"/>
    </row>
    <row r="936" ht="15.75" customHeight="1">
      <c r="D936" s="7"/>
      <c r="E936" s="7"/>
      <c r="F936" s="7"/>
    </row>
    <row r="937" ht="15.75" customHeight="1">
      <c r="D937" s="7"/>
      <c r="E937" s="7"/>
      <c r="F937" s="7"/>
    </row>
    <row r="938" ht="15.75" customHeight="1">
      <c r="D938" s="7"/>
      <c r="E938" s="7"/>
      <c r="F938" s="7"/>
    </row>
    <row r="939" ht="15.75" customHeight="1">
      <c r="D939" s="7"/>
      <c r="E939" s="7"/>
      <c r="F939" s="7"/>
    </row>
    <row r="940" ht="15.75" customHeight="1">
      <c r="D940" s="7"/>
      <c r="E940" s="7"/>
      <c r="F940" s="7"/>
    </row>
    <row r="941" ht="15.75" customHeight="1">
      <c r="D941" s="7"/>
      <c r="E941" s="7"/>
      <c r="F941" s="7"/>
    </row>
    <row r="942" ht="15.75" customHeight="1">
      <c r="D942" s="7"/>
      <c r="E942" s="7"/>
      <c r="F942" s="7"/>
    </row>
    <row r="943" ht="15.75" customHeight="1">
      <c r="D943" s="7"/>
      <c r="E943" s="7"/>
      <c r="F943" s="7"/>
    </row>
    <row r="944" ht="15.75" customHeight="1">
      <c r="D944" s="7"/>
      <c r="E944" s="7"/>
      <c r="F944" s="7"/>
    </row>
    <row r="945" ht="15.75" customHeight="1">
      <c r="D945" s="7"/>
      <c r="E945" s="7"/>
      <c r="F945" s="7"/>
    </row>
    <row r="946" ht="15.75" customHeight="1">
      <c r="D946" s="7"/>
      <c r="E946" s="7"/>
      <c r="F946" s="7"/>
    </row>
    <row r="947" ht="15.75" customHeight="1">
      <c r="D947" s="7"/>
      <c r="E947" s="7"/>
      <c r="F947" s="7"/>
    </row>
    <row r="948" ht="15.75" customHeight="1">
      <c r="D948" s="7"/>
      <c r="E948" s="7"/>
      <c r="F948" s="7"/>
    </row>
    <row r="949" ht="15.75" customHeight="1">
      <c r="D949" s="7"/>
      <c r="E949" s="7"/>
      <c r="F949" s="7"/>
    </row>
    <row r="950" ht="15.75" customHeight="1">
      <c r="D950" s="7"/>
      <c r="E950" s="7"/>
      <c r="F950" s="7"/>
    </row>
    <row r="951" ht="15.75" customHeight="1">
      <c r="D951" s="7"/>
      <c r="E951" s="7"/>
      <c r="F951" s="7"/>
    </row>
    <row r="952" ht="15.75" customHeight="1">
      <c r="D952" s="7"/>
      <c r="E952" s="7"/>
      <c r="F952" s="7"/>
    </row>
    <row r="953" ht="15.75" customHeight="1">
      <c r="D953" s="7"/>
      <c r="E953" s="7"/>
      <c r="F953" s="7"/>
    </row>
    <row r="954" ht="15.75" customHeight="1">
      <c r="D954" s="7"/>
      <c r="E954" s="7"/>
      <c r="F954" s="7"/>
    </row>
    <row r="955" ht="15.75" customHeight="1">
      <c r="D955" s="7"/>
      <c r="E955" s="7"/>
      <c r="F955" s="7"/>
    </row>
    <row r="956" ht="15.75" customHeight="1">
      <c r="D956" s="7"/>
      <c r="E956" s="7"/>
      <c r="F956" s="7"/>
    </row>
    <row r="957" ht="15.75" customHeight="1">
      <c r="D957" s="7"/>
      <c r="E957" s="7"/>
      <c r="F957" s="7"/>
    </row>
    <row r="958" ht="15.75" customHeight="1">
      <c r="D958" s="7"/>
      <c r="E958" s="7"/>
      <c r="F958" s="7"/>
    </row>
    <row r="959" ht="15.75" customHeight="1">
      <c r="D959" s="7"/>
      <c r="E959" s="7"/>
      <c r="F959" s="7"/>
    </row>
    <row r="960" ht="15.75" customHeight="1">
      <c r="D960" s="7"/>
      <c r="E960" s="7"/>
      <c r="F960" s="7"/>
    </row>
    <row r="961" ht="15.75" customHeight="1">
      <c r="D961" s="7"/>
      <c r="E961" s="7"/>
      <c r="F961" s="7"/>
    </row>
    <row r="962" ht="15.75" customHeight="1">
      <c r="D962" s="7"/>
      <c r="E962" s="7"/>
      <c r="F962" s="7"/>
    </row>
    <row r="963" ht="15.75" customHeight="1">
      <c r="D963" s="7"/>
      <c r="E963" s="7"/>
      <c r="F963" s="7"/>
    </row>
    <row r="964" ht="15.75" customHeight="1">
      <c r="D964" s="7"/>
      <c r="E964" s="7"/>
      <c r="F964" s="7"/>
    </row>
    <row r="965" ht="15.75" customHeight="1">
      <c r="D965" s="7"/>
      <c r="E965" s="7"/>
      <c r="F965" s="7"/>
    </row>
    <row r="966" ht="15.75" customHeight="1">
      <c r="D966" s="7"/>
      <c r="E966" s="7"/>
      <c r="F966" s="7"/>
    </row>
    <row r="967" ht="15.75" customHeight="1">
      <c r="D967" s="7"/>
      <c r="E967" s="7"/>
      <c r="F967" s="7"/>
    </row>
    <row r="968" ht="15.75" customHeight="1">
      <c r="D968" s="7"/>
      <c r="E968" s="7"/>
      <c r="F968" s="7"/>
    </row>
    <row r="969" ht="15.75" customHeight="1">
      <c r="D969" s="7"/>
      <c r="E969" s="7"/>
      <c r="F969" s="7"/>
    </row>
    <row r="970" ht="15.75" customHeight="1">
      <c r="D970" s="7"/>
      <c r="E970" s="7"/>
      <c r="F970" s="7"/>
    </row>
    <row r="971" ht="15.75" customHeight="1">
      <c r="D971" s="7"/>
      <c r="E971" s="7"/>
      <c r="F971" s="7"/>
    </row>
    <row r="972" ht="15.75" customHeight="1">
      <c r="D972" s="7"/>
      <c r="E972" s="7"/>
      <c r="F972" s="7"/>
    </row>
    <row r="973" ht="15.75" customHeight="1">
      <c r="D973" s="7"/>
      <c r="E973" s="7"/>
      <c r="F973" s="7"/>
    </row>
    <row r="974" ht="15.75" customHeight="1">
      <c r="D974" s="7"/>
      <c r="E974" s="7"/>
      <c r="F974" s="7"/>
    </row>
    <row r="975" ht="15.75" customHeight="1">
      <c r="D975" s="7"/>
      <c r="E975" s="7"/>
      <c r="F975" s="7"/>
    </row>
    <row r="976" ht="15.75" customHeight="1">
      <c r="D976" s="7"/>
      <c r="E976" s="7"/>
      <c r="F976" s="7"/>
    </row>
    <row r="977" ht="15.75" customHeight="1">
      <c r="D977" s="7"/>
      <c r="E977" s="7"/>
      <c r="F977" s="7"/>
    </row>
    <row r="978" ht="15.75" customHeight="1">
      <c r="D978" s="7"/>
      <c r="E978" s="7"/>
      <c r="F978" s="7"/>
    </row>
    <row r="979" ht="15.75" customHeight="1">
      <c r="D979" s="7"/>
      <c r="E979" s="7"/>
      <c r="F979" s="7"/>
    </row>
    <row r="980" ht="15.75" customHeight="1">
      <c r="D980" s="7"/>
      <c r="E980" s="7"/>
      <c r="F980" s="7"/>
    </row>
    <row r="981" ht="15.75" customHeight="1">
      <c r="D981" s="7"/>
      <c r="E981" s="7"/>
      <c r="F981" s="7"/>
    </row>
    <row r="982" ht="15.75" customHeight="1">
      <c r="D982" s="7"/>
      <c r="E982" s="7"/>
      <c r="F982" s="7"/>
    </row>
    <row r="983" ht="15.75" customHeight="1">
      <c r="D983" s="7"/>
      <c r="E983" s="7"/>
      <c r="F983" s="7"/>
    </row>
    <row r="984" ht="15.75" customHeight="1">
      <c r="D984" s="7"/>
      <c r="E984" s="7"/>
      <c r="F984" s="7"/>
    </row>
    <row r="985" ht="15.75" customHeight="1">
      <c r="D985" s="7"/>
      <c r="E985" s="7"/>
      <c r="F985" s="7"/>
    </row>
    <row r="986" ht="15.75" customHeight="1">
      <c r="D986" s="7"/>
      <c r="E986" s="7"/>
      <c r="F986" s="7"/>
    </row>
    <row r="987" ht="15.75" customHeight="1">
      <c r="D987" s="7"/>
      <c r="E987" s="7"/>
      <c r="F987" s="7"/>
    </row>
    <row r="988" ht="15.75" customHeight="1">
      <c r="D988" s="7"/>
      <c r="E988" s="7"/>
      <c r="F988" s="7"/>
    </row>
    <row r="989" ht="15.75" customHeight="1">
      <c r="D989" s="7"/>
      <c r="E989" s="7"/>
      <c r="F989" s="7"/>
    </row>
    <row r="990" ht="15.75" customHeight="1">
      <c r="D990" s="7"/>
      <c r="E990" s="7"/>
      <c r="F990" s="7"/>
    </row>
    <row r="991" ht="15.75" customHeight="1">
      <c r="D991" s="7"/>
      <c r="E991" s="7"/>
      <c r="F991" s="7"/>
    </row>
    <row r="992" ht="15.75" customHeight="1">
      <c r="D992" s="7"/>
      <c r="E992" s="7"/>
      <c r="F992" s="7"/>
    </row>
    <row r="993" ht="15.75" customHeight="1">
      <c r="D993" s="7"/>
      <c r="E993" s="7"/>
      <c r="F993" s="7"/>
    </row>
    <row r="994" ht="15.75" customHeight="1">
      <c r="D994" s="7"/>
      <c r="E994" s="7"/>
      <c r="F994" s="7"/>
    </row>
    <row r="995" ht="15.75" customHeight="1">
      <c r="D995" s="7"/>
      <c r="E995" s="7"/>
      <c r="F995" s="7"/>
    </row>
    <row r="996" ht="15.75" customHeight="1">
      <c r="D996" s="7"/>
      <c r="E996" s="7"/>
      <c r="F996" s="7"/>
    </row>
    <row r="997" ht="15.75" customHeight="1">
      <c r="D997" s="7"/>
      <c r="E997" s="7"/>
      <c r="F997" s="7"/>
    </row>
    <row r="998" ht="15.75" customHeight="1">
      <c r="D998" s="7"/>
      <c r="E998" s="7"/>
      <c r="F998" s="7"/>
    </row>
    <row r="999" ht="15.75" customHeight="1">
      <c r="D999" s="7"/>
      <c r="E999" s="7"/>
      <c r="F999" s="7"/>
    </row>
    <row r="1000" ht="15.75" customHeight="1">
      <c r="D1000" s="7"/>
      <c r="E1000" s="7"/>
      <c r="F1000" s="7"/>
    </row>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3" width="24.75"/>
    <col customWidth="1" min="4" max="4" width="18.75"/>
    <col customWidth="1" min="5" max="7" width="11.75"/>
    <col customWidth="1" min="8" max="8" width="10.25"/>
    <col customWidth="1" min="9" max="10" width="12.38"/>
    <col customWidth="1" min="11" max="11" width="10.0"/>
    <col customWidth="1" min="12" max="12" width="10.25"/>
    <col customWidth="1" min="13" max="13" width="7.75"/>
    <col customWidth="1" min="14" max="14" width="9.13"/>
    <col customWidth="1" min="15" max="15" width="11.38"/>
    <col customWidth="1" min="16" max="17" width="9.13"/>
    <col customWidth="1" min="18" max="18" width="2.88"/>
    <col customWidth="1" min="19" max="19" width="9.13"/>
    <col customWidth="1" min="20" max="20" width="7.75"/>
    <col customWidth="1" min="21" max="21" width="5.63"/>
    <col customWidth="1" min="22" max="26" width="7.75"/>
  </cols>
  <sheetData>
    <row r="1">
      <c r="T1" s="7"/>
      <c r="U1" s="7"/>
      <c r="V1" s="7"/>
    </row>
    <row r="2">
      <c r="B2" s="42" t="s">
        <v>997</v>
      </c>
      <c r="D2" s="273">
        <v>40909.0</v>
      </c>
      <c r="T2" s="7"/>
      <c r="U2" s="7"/>
      <c r="V2" s="7"/>
    </row>
    <row r="3">
      <c r="B3" s="42" t="s">
        <v>998</v>
      </c>
      <c r="D3" s="42">
        <v>0.03</v>
      </c>
      <c r="T3" s="7"/>
      <c r="U3" s="7"/>
      <c r="V3" s="7"/>
    </row>
    <row r="4">
      <c r="B4" s="42" t="s">
        <v>999</v>
      </c>
      <c r="D4" s="42">
        <v>0.03</v>
      </c>
      <c r="T4" s="7"/>
      <c r="U4" s="7"/>
      <c r="V4" s="7"/>
    </row>
    <row r="5">
      <c r="T5" s="7"/>
      <c r="U5" s="7"/>
      <c r="V5" s="7"/>
    </row>
    <row r="6">
      <c r="B6" s="42" t="s">
        <v>315</v>
      </c>
      <c r="T6" s="7"/>
      <c r="U6" s="7"/>
      <c r="V6" s="7"/>
    </row>
    <row r="7">
      <c r="C7" s="42" t="s">
        <v>360</v>
      </c>
      <c r="D7" s="386">
        <f>DATE(YEAR(D2),1,1)</f>
        <v>40909</v>
      </c>
      <c r="E7" s="386">
        <f t="shared" ref="E7:O7" si="1">EDATE(D7,1)</f>
        <v>40940</v>
      </c>
      <c r="F7" s="386">
        <f t="shared" si="1"/>
        <v>40969</v>
      </c>
      <c r="G7" s="386">
        <f t="shared" si="1"/>
        <v>41000</v>
      </c>
      <c r="H7" s="386">
        <f t="shared" si="1"/>
        <v>41030</v>
      </c>
      <c r="I7" s="386">
        <f t="shared" si="1"/>
        <v>41061</v>
      </c>
      <c r="J7" s="386">
        <f t="shared" si="1"/>
        <v>41091</v>
      </c>
      <c r="K7" s="386">
        <f t="shared" si="1"/>
        <v>41122</v>
      </c>
      <c r="L7" s="386">
        <f t="shared" si="1"/>
        <v>41153</v>
      </c>
      <c r="M7" s="386">
        <f t="shared" si="1"/>
        <v>41183</v>
      </c>
      <c r="N7" s="386">
        <f t="shared" si="1"/>
        <v>41214</v>
      </c>
      <c r="O7" s="386">
        <f t="shared" si="1"/>
        <v>41244</v>
      </c>
      <c r="P7" s="386"/>
      <c r="Q7" s="386"/>
      <c r="S7" s="42" t="s">
        <v>315</v>
      </c>
      <c r="T7" s="7" t="s">
        <v>107</v>
      </c>
      <c r="U7" s="7" t="s">
        <v>109</v>
      </c>
      <c r="V7" s="7"/>
    </row>
    <row r="8">
      <c r="B8" s="42" t="s">
        <v>363</v>
      </c>
      <c r="D8" s="42">
        <f>SUMIFS(PERS_FirstMo,PERS_StartDate,"&gt;="&amp;D$7,PERS_StartDate,"&lt;"&amp;E$7,PERS_Status,"Full-Time")+SUMIFS(PERS_FirstMo,PERS_StartDate,"&gt;="&amp;D$7,PERS_StartDate,"&lt;"&amp;E$7,PERS_Status,"Part-Time")+SUMIFS(PERS_Monthly,PERS_StartDate,"&lt;"&amp;D$7,PERS_Status,"Full-Time")+SUMIFS(PERS_Monthly,PERS_StartDate,"&lt;"&amp;D$7,PERS_Status,"Part-Time")</f>
        <v>0</v>
      </c>
      <c r="T8" s="7"/>
      <c r="U8" s="7"/>
      <c r="V8" s="7"/>
    </row>
    <row r="9">
      <c r="B9" s="42" t="s">
        <v>365</v>
      </c>
      <c r="D9" s="42">
        <f>SUMIFS(PERS_FirstMo,PERS_StartDate,"&gt;="&amp;D$7,PERS_StartDate,"&lt;"&amp;E$7,PERS_Status,"Contractor")+SUMIFS(PERS_Monthly,PERS_StartDate,"&lt;"&amp;D$7,PERS_Status,"Contractor")</f>
        <v>0</v>
      </c>
      <c r="T9" s="7"/>
      <c r="U9" s="7"/>
      <c r="V9" s="7"/>
    </row>
    <row r="10">
      <c r="B10" s="42" t="s">
        <v>366</v>
      </c>
      <c r="D10" s="42" t="s">
        <v>1012</v>
      </c>
      <c r="T10" s="7"/>
      <c r="U10" s="7"/>
      <c r="V10" s="7"/>
    </row>
    <row r="11">
      <c r="D11" s="42">
        <f>SUMIFS(PERS_FirstMo,PERS_StartDate,"&gt;="&amp;D7,PERS_StartDate,"&lt;"&amp;E7,PERS_Status,"Full-Time")+SUMIFS(PERS_FirstMo,PERS_StartDate,"&gt;="&amp;D7,PERS_StartDate,"&lt;"&amp;E7,PERS_Status,"Part-Time")</f>
        <v>0</v>
      </c>
      <c r="E11" s="42">
        <f t="shared" ref="E11:I11" si="2">SUMIFS($F$29:$F$32,$E$29:$E$32,"&gt;="&amp;E7,$E$29:$E$32,"&lt;"&amp;F7)</f>
        <v>30</v>
      </c>
      <c r="F11" s="42">
        <f t="shared" si="2"/>
        <v>100</v>
      </c>
      <c r="G11" s="42">
        <f t="shared" si="2"/>
        <v>0</v>
      </c>
      <c r="H11" s="42">
        <f t="shared" si="2"/>
        <v>0</v>
      </c>
      <c r="I11" s="42">
        <f t="shared" si="2"/>
        <v>0</v>
      </c>
      <c r="T11" s="7"/>
      <c r="U11" s="7"/>
      <c r="V11" s="7"/>
    </row>
    <row r="12">
      <c r="B12" s="42" t="s">
        <v>1015</v>
      </c>
      <c r="D12" s="42" t="s">
        <v>1016</v>
      </c>
      <c r="T12" s="7"/>
      <c r="U12" s="7"/>
      <c r="V12" s="7"/>
    </row>
    <row r="13">
      <c r="B13" s="42" t="s">
        <v>1019</v>
      </c>
      <c r="D13" s="42">
        <f>SUMIF(PERS_StartDate,"&lt;"&amp;D7,PERS_Monthly)</f>
        <v>0</v>
      </c>
      <c r="E13" s="42">
        <f t="shared" ref="E13:O13" si="3">SUMIF($E$29:$E$32,"&lt;"&amp;E7,$G$29:$G$32)</f>
        <v>1000</v>
      </c>
      <c r="F13" s="42">
        <f t="shared" si="3"/>
        <v>1500</v>
      </c>
      <c r="G13" s="42">
        <f t="shared" si="3"/>
        <v>2000</v>
      </c>
      <c r="H13" s="42">
        <f t="shared" si="3"/>
        <v>2000</v>
      </c>
      <c r="I13" s="42">
        <f t="shared" si="3"/>
        <v>2000</v>
      </c>
      <c r="J13" s="42">
        <f t="shared" si="3"/>
        <v>2000</v>
      </c>
      <c r="K13" s="42">
        <f t="shared" si="3"/>
        <v>2000</v>
      </c>
      <c r="L13" s="42">
        <f t="shared" si="3"/>
        <v>2000</v>
      </c>
      <c r="M13" s="42">
        <f t="shared" si="3"/>
        <v>2000</v>
      </c>
      <c r="N13" s="42">
        <f t="shared" si="3"/>
        <v>2000</v>
      </c>
      <c r="O13" s="42">
        <f t="shared" si="3"/>
        <v>2000</v>
      </c>
      <c r="T13" s="7"/>
      <c r="U13" s="7"/>
      <c r="V13" s="7"/>
    </row>
    <row r="14">
      <c r="B14" s="42" t="s">
        <v>1023</v>
      </c>
      <c r="D14" s="42">
        <f>SUMIFS(PERS_Monthly,PERS_StartDate,"&lt;"&amp;D$7,PERS_Status,"Full-Time")+SUMIFS(PERS_Monthly,PERS_StartDate,"&lt;"&amp;D$7,PERS_Status,"Part-Time")</f>
        <v>0</v>
      </c>
      <c r="E14" s="42">
        <f>SUMIFS(PERS_Monthly,PERS_StartDate,"&lt;"&amp;E7,PERS_Status,"Full-Time")+SUMIFS(PERS_Monthly,PERS_StartDate,"&lt;"&amp;E7,PERS_Status,"Part-Time")</f>
        <v>0</v>
      </c>
      <c r="F14" s="42">
        <f>SUMIFS(PERS_Monthly,PERS_StartDate,"&lt;"&amp;F7,PERS_Status,"Full-Time")+SUMIFS(PERS_Monthly,PERS_StartDate,"&lt;"&amp;F7,PERS_Status,"Part-Time")</f>
        <v>0</v>
      </c>
      <c r="G14" s="42">
        <f>SUMIFS(PERS_Monthly,PERS_StartDate,"&lt;"&amp;G7,PERS_Status,"Full-Time")+SUMIFS(PERS_Monthly,PERS_StartDate,"&lt;"&amp;G7,PERS_Status,"Part-Time")</f>
        <v>0</v>
      </c>
      <c r="H14" s="42">
        <f>SUMIFS(PERS_Monthly,PERS_StartDate,"&lt;"&amp;H7,PERS_Status,"Full-Time")+SUMIFS(PERS_Monthly,PERS_StartDate,"&lt;"&amp;H7,PERS_Status,"Part-Time")</f>
        <v>0</v>
      </c>
      <c r="T14" s="7"/>
      <c r="U14" s="7"/>
      <c r="V14" s="7"/>
    </row>
    <row r="15">
      <c r="T15" s="7"/>
      <c r="U15" s="7"/>
      <c r="V15" s="7"/>
    </row>
    <row r="16">
      <c r="B16" s="42" t="s">
        <v>1031</v>
      </c>
      <c r="E16" s="544"/>
      <c r="F16" s="544"/>
      <c r="G16" s="544"/>
      <c r="H16" s="544"/>
      <c r="I16" s="552"/>
      <c r="J16" s="552"/>
      <c r="K16" s="552"/>
      <c r="Q16" s="25" t="s">
        <v>368</v>
      </c>
      <c r="S16" s="25" t="s">
        <v>360</v>
      </c>
      <c r="T16" s="55" t="s">
        <v>315</v>
      </c>
      <c r="U16" s="55" t="s">
        <v>107</v>
      </c>
      <c r="V16" s="55" t="s">
        <v>109</v>
      </c>
    </row>
    <row r="17">
      <c r="E17" s="553"/>
      <c r="F17" s="553"/>
      <c r="G17" s="553"/>
      <c r="H17" s="544"/>
      <c r="I17" s="554"/>
      <c r="J17" s="554"/>
      <c r="K17" s="554"/>
      <c r="O17" s="133" t="s">
        <v>363</v>
      </c>
      <c r="S17" s="42">
        <f>COUNTIF('Personnel -del'!Status,"Full-Time")+COUNTIF('Personnel -del'!Status,"Part-Time")</f>
        <v>3</v>
      </c>
      <c r="T17" s="134" t="str">
        <f t="shared" ref="T17:V17" si="4">I17</f>
        <v/>
      </c>
      <c r="U17" s="134" t="str">
        <f t="shared" si="4"/>
        <v/>
      </c>
      <c r="V17" s="134" t="str">
        <f t="shared" si="4"/>
        <v/>
      </c>
    </row>
    <row r="18">
      <c r="B18" s="42" t="s">
        <v>1042</v>
      </c>
      <c r="E18" s="553"/>
      <c r="F18" s="553"/>
      <c r="G18" s="553"/>
      <c r="H18" s="544"/>
      <c r="I18" s="554"/>
      <c r="J18" s="554"/>
      <c r="K18" s="554"/>
      <c r="O18" s="133" t="s">
        <v>1045</v>
      </c>
      <c r="S18" s="42">
        <f>COUNTIF('Personnel -del'!Status,"Independent Contractor")</f>
        <v>0</v>
      </c>
      <c r="T18" s="134" t="str">
        <f t="shared" ref="T18:V18" si="5">I18</f>
        <v/>
      </c>
      <c r="U18" s="134" t="str">
        <f t="shared" si="5"/>
        <v/>
      </c>
      <c r="V18" s="134" t="str">
        <f t="shared" si="5"/>
        <v/>
      </c>
    </row>
    <row r="19">
      <c r="B19" s="42" t="s">
        <v>1046</v>
      </c>
      <c r="T19" s="7"/>
      <c r="U19" s="7"/>
      <c r="V19" s="7"/>
    </row>
    <row r="20">
      <c r="O20" s="378" t="s">
        <v>366</v>
      </c>
      <c r="T20" s="7"/>
      <c r="U20" s="7"/>
      <c r="V20" s="7"/>
    </row>
    <row r="21" ht="15.75" customHeight="1">
      <c r="B21" s="42" t="s">
        <v>1047</v>
      </c>
      <c r="O21" s="133" t="s">
        <v>369</v>
      </c>
      <c r="P21" s="136">
        <v>0.062</v>
      </c>
      <c r="Q21" s="42">
        <v>102000.0</v>
      </c>
      <c r="T21" s="137">
        <f t="shared" ref="T21:V21" si="6">$P$21*T17</f>
        <v>0</v>
      </c>
      <c r="U21" s="137">
        <f t="shared" si="6"/>
        <v>0</v>
      </c>
      <c r="V21" s="137">
        <f t="shared" si="6"/>
        <v>0</v>
      </c>
    </row>
    <row r="22" ht="15.75" customHeight="1">
      <c r="B22" s="42" t="s">
        <v>1048</v>
      </c>
      <c r="O22" s="133" t="s">
        <v>370</v>
      </c>
      <c r="P22" s="136">
        <v>0.0145</v>
      </c>
      <c r="T22" s="137">
        <f t="shared" ref="T22:V22" si="7">$P$22*T17</f>
        <v>0</v>
      </c>
      <c r="U22" s="137">
        <f t="shared" si="7"/>
        <v>0</v>
      </c>
      <c r="V22" s="137">
        <f t="shared" si="7"/>
        <v>0</v>
      </c>
    </row>
    <row r="23" ht="15.75" customHeight="1">
      <c r="O23" s="133" t="s">
        <v>371</v>
      </c>
      <c r="P23" s="136">
        <v>0.008</v>
      </c>
      <c r="Q23" s="42">
        <v>7000.0</v>
      </c>
      <c r="T23" s="137">
        <f t="shared" ref="T23:V23" si="8">$S$17*Q23*P23</f>
        <v>168</v>
      </c>
      <c r="U23" s="137">
        <f t="shared" si="8"/>
        <v>0</v>
      </c>
      <c r="V23" s="137">
        <f t="shared" si="8"/>
        <v>0</v>
      </c>
    </row>
    <row r="24" ht="15.75" customHeight="1">
      <c r="O24" s="133" t="s">
        <v>372</v>
      </c>
      <c r="P24" s="136">
        <v>0.027</v>
      </c>
      <c r="Q24" s="42">
        <v>7000.0</v>
      </c>
      <c r="T24" s="137">
        <f t="shared" ref="T24:V24" si="9">$S$17*Q24*P24</f>
        <v>567</v>
      </c>
      <c r="U24" s="137">
        <f t="shared" si="9"/>
        <v>0</v>
      </c>
      <c r="V24" s="137">
        <f t="shared" si="9"/>
        <v>0</v>
      </c>
    </row>
    <row r="25" ht="15.75" customHeight="1">
      <c r="O25" s="133" t="s">
        <v>373</v>
      </c>
      <c r="P25" s="136">
        <v>0.0</v>
      </c>
      <c r="T25" s="137">
        <f t="shared" ref="T25:V25" si="10">$P$25*T17</f>
        <v>0</v>
      </c>
      <c r="U25" s="137">
        <f t="shared" si="10"/>
        <v>0</v>
      </c>
      <c r="V25" s="137">
        <f t="shared" si="10"/>
        <v>0</v>
      </c>
    </row>
    <row r="26" ht="15.75" customHeight="1">
      <c r="A26" s="42" t="s">
        <v>771</v>
      </c>
      <c r="B26" s="42" t="s">
        <v>1049</v>
      </c>
      <c r="F26" s="42" t="s">
        <v>1050</v>
      </c>
      <c r="O26" s="133" t="s">
        <v>374</v>
      </c>
      <c r="P26" s="136">
        <v>0.0</v>
      </c>
      <c r="T26" s="137">
        <f t="shared" ref="T26:V26" si="11">$P$26*T17</f>
        <v>0</v>
      </c>
      <c r="U26" s="137">
        <f t="shared" si="11"/>
        <v>0</v>
      </c>
      <c r="V26" s="137">
        <f t="shared" si="11"/>
        <v>0</v>
      </c>
    </row>
    <row r="27" ht="15.75" customHeight="1">
      <c r="H27" s="42" t="s">
        <v>1051</v>
      </c>
      <c r="O27" s="133" t="s">
        <v>375</v>
      </c>
      <c r="P27" s="136">
        <v>0.0</v>
      </c>
      <c r="T27" s="137">
        <f t="shared" ref="T27:V27" si="12">$P$27*T17</f>
        <v>0</v>
      </c>
      <c r="U27" s="137">
        <f t="shared" si="12"/>
        <v>0</v>
      </c>
      <c r="V27" s="137">
        <f t="shared" si="12"/>
        <v>0</v>
      </c>
    </row>
    <row r="28" ht="15.75" customHeight="1">
      <c r="A28" s="55" t="s">
        <v>236</v>
      </c>
      <c r="B28" s="55" t="s">
        <v>1052</v>
      </c>
      <c r="C28" s="55"/>
      <c r="D28" s="55" t="s">
        <v>238</v>
      </c>
      <c r="E28" s="55" t="s">
        <v>1053</v>
      </c>
      <c r="F28" s="55" t="s">
        <v>243</v>
      </c>
      <c r="G28" s="55" t="s">
        <v>244</v>
      </c>
      <c r="H28" s="55" t="s">
        <v>245</v>
      </c>
      <c r="I28" s="55" t="s">
        <v>1054</v>
      </c>
      <c r="J28" s="55" t="s">
        <v>771</v>
      </c>
      <c r="O28" s="133" t="s">
        <v>378</v>
      </c>
      <c r="P28" s="136">
        <v>0.04</v>
      </c>
      <c r="T28" s="137">
        <f t="shared" ref="T28:V28" si="13">$P$28*T17</f>
        <v>0</v>
      </c>
      <c r="U28" s="137">
        <f t="shared" si="13"/>
        <v>0</v>
      </c>
      <c r="V28" s="137">
        <f t="shared" si="13"/>
        <v>0</v>
      </c>
    </row>
    <row r="29" ht="15.75" customHeight="1">
      <c r="A29" s="42">
        <v>1.0</v>
      </c>
      <c r="B29" s="42" t="s">
        <v>1055</v>
      </c>
      <c r="D29" s="42" t="s">
        <v>1056</v>
      </c>
      <c r="E29" s="273">
        <v>40859.0</v>
      </c>
      <c r="F29" s="69">
        <v>100.0</v>
      </c>
      <c r="G29" s="69">
        <v>500.0</v>
      </c>
      <c r="H29" s="555">
        <f t="shared" ref="H29:H32" si="14">(ROUNDUP((DAYS360(E29,$D$2+365)/7),0))*(I29/52)</f>
        <v>113461.5385</v>
      </c>
      <c r="I29" s="556">
        <v>100000.0</v>
      </c>
      <c r="J29" s="42" t="s">
        <v>1057</v>
      </c>
      <c r="T29" s="137"/>
      <c r="U29" s="7"/>
      <c r="V29" s="7"/>
    </row>
    <row r="30" ht="15.75" customHeight="1">
      <c r="A30" s="42">
        <v>2.0</v>
      </c>
      <c r="B30" s="42" t="s">
        <v>1058</v>
      </c>
      <c r="D30" s="42" t="s">
        <v>1059</v>
      </c>
      <c r="E30" s="273">
        <v>40981.0</v>
      </c>
      <c r="F30" s="69">
        <v>100.0</v>
      </c>
      <c r="G30" s="69">
        <v>500.0</v>
      </c>
      <c r="H30" s="555">
        <f t="shared" si="14"/>
        <v>40384.61538</v>
      </c>
      <c r="I30" s="42">
        <v>50000.0</v>
      </c>
      <c r="J30" s="42" t="s">
        <v>1060</v>
      </c>
      <c r="T30" s="7"/>
      <c r="U30" s="7"/>
      <c r="V30" s="7"/>
    </row>
    <row r="31" ht="15.75" customHeight="1">
      <c r="A31" s="42">
        <v>3.0</v>
      </c>
      <c r="D31" s="42" t="s">
        <v>1061</v>
      </c>
      <c r="E31" s="273">
        <v>40928.0</v>
      </c>
      <c r="F31" s="69">
        <v>100.0</v>
      </c>
      <c r="G31" s="69">
        <v>500.0</v>
      </c>
      <c r="H31" s="555">
        <f t="shared" si="14"/>
        <v>28269.23077</v>
      </c>
      <c r="I31" s="42">
        <v>30000.0</v>
      </c>
      <c r="J31" s="42" t="s">
        <v>250</v>
      </c>
      <c r="T31" s="7"/>
      <c r="U31" s="7"/>
      <c r="V31" s="7"/>
    </row>
    <row r="32" ht="15.75" customHeight="1">
      <c r="A32" s="42">
        <v>4.0</v>
      </c>
      <c r="D32" s="42" t="s">
        <v>1062</v>
      </c>
      <c r="E32" s="273">
        <v>40967.0</v>
      </c>
      <c r="F32" s="69">
        <v>30.0</v>
      </c>
      <c r="G32" s="69">
        <v>500.0</v>
      </c>
      <c r="H32" s="555">
        <f t="shared" si="14"/>
        <v>0</v>
      </c>
      <c r="J32" s="42" t="s">
        <v>1057</v>
      </c>
      <c r="T32" s="7"/>
      <c r="U32" s="7"/>
      <c r="V32" s="7"/>
    </row>
    <row r="33" ht="15.75" customHeight="1">
      <c r="A33" s="42">
        <v>5.0</v>
      </c>
      <c r="E33" s="273"/>
      <c r="F33" s="69">
        <v>100.0</v>
      </c>
      <c r="G33" s="69">
        <v>500.0</v>
      </c>
      <c r="I33" s="555"/>
      <c r="J33" s="165"/>
      <c r="T33" s="7"/>
      <c r="U33" s="7"/>
      <c r="V33" s="7"/>
    </row>
    <row r="34" ht="15.75" customHeight="1">
      <c r="A34" s="42">
        <v>6.0</v>
      </c>
      <c r="E34" s="273"/>
      <c r="F34" s="273"/>
      <c r="G34" s="273"/>
      <c r="T34" s="7"/>
      <c r="U34" s="7"/>
      <c r="V34" s="7"/>
    </row>
    <row r="35" ht="15.75" customHeight="1">
      <c r="A35" s="42">
        <v>7.0</v>
      </c>
      <c r="E35" s="273"/>
      <c r="F35" s="273"/>
      <c r="G35" s="273"/>
      <c r="T35" s="7"/>
      <c r="U35" s="7"/>
      <c r="V35" s="7"/>
    </row>
    <row r="36" ht="15.75" customHeight="1">
      <c r="A36" s="42">
        <v>8.0</v>
      </c>
      <c r="E36" s="273"/>
      <c r="F36" s="273"/>
      <c r="G36" s="273"/>
      <c r="T36" s="7"/>
      <c r="U36" s="7"/>
      <c r="V36" s="7"/>
    </row>
    <row r="37" ht="15.75" customHeight="1">
      <c r="A37" s="42">
        <v>9.0</v>
      </c>
      <c r="E37" s="273"/>
      <c r="F37" s="273"/>
      <c r="G37" s="273"/>
      <c r="T37" s="7"/>
      <c r="U37" s="7"/>
      <c r="V37" s="7"/>
    </row>
    <row r="38" ht="15.75" customHeight="1">
      <c r="A38" s="42">
        <v>10.0</v>
      </c>
      <c r="T38" s="7"/>
      <c r="U38" s="7"/>
      <c r="V38" s="7"/>
    </row>
    <row r="39" ht="15.75" customHeight="1">
      <c r="A39" s="42">
        <v>11.0</v>
      </c>
      <c r="T39" s="7"/>
      <c r="U39" s="7"/>
      <c r="V39" s="7"/>
    </row>
    <row r="40" ht="15.75" customHeight="1">
      <c r="A40" s="42">
        <v>12.0</v>
      </c>
      <c r="T40" s="7"/>
      <c r="U40" s="7"/>
      <c r="V40" s="7"/>
    </row>
    <row r="41" ht="15.75" customHeight="1">
      <c r="A41" s="42">
        <v>13.0</v>
      </c>
      <c r="T41" s="7"/>
      <c r="U41" s="7"/>
      <c r="V41" s="7"/>
    </row>
    <row r="42" ht="15.75" customHeight="1">
      <c r="A42" s="42">
        <v>14.0</v>
      </c>
      <c r="T42" s="7"/>
      <c r="U42" s="7"/>
      <c r="V42" s="7"/>
    </row>
    <row r="43" ht="15.75" customHeight="1">
      <c r="A43" s="42">
        <v>15.0</v>
      </c>
      <c r="T43" s="7"/>
      <c r="U43" s="7"/>
      <c r="V43" s="7"/>
    </row>
    <row r="44" ht="15.75" customHeight="1">
      <c r="A44" s="42">
        <v>16.0</v>
      </c>
      <c r="T44" s="7"/>
      <c r="U44" s="7"/>
      <c r="V44" s="7"/>
    </row>
    <row r="45" ht="15.75" customHeight="1">
      <c r="A45" s="42">
        <v>17.0</v>
      </c>
      <c r="T45" s="7"/>
      <c r="U45" s="7"/>
      <c r="V45" s="7"/>
    </row>
    <row r="46" ht="15.75" customHeight="1">
      <c r="A46" s="42">
        <v>18.0</v>
      </c>
      <c r="T46" s="7"/>
      <c r="U46" s="7"/>
      <c r="V46" s="7"/>
    </row>
    <row r="47" ht="15.75" customHeight="1">
      <c r="A47" s="42">
        <v>19.0</v>
      </c>
      <c r="T47" s="7"/>
      <c r="U47" s="7"/>
      <c r="V47" s="7"/>
    </row>
    <row r="48" ht="15.75" customHeight="1">
      <c r="A48" s="42">
        <v>20.0</v>
      </c>
      <c r="T48" s="7"/>
      <c r="U48" s="7"/>
      <c r="V48" s="7"/>
    </row>
    <row r="49" ht="15.75" customHeight="1">
      <c r="A49" s="42">
        <v>21.0</v>
      </c>
      <c r="T49" s="7"/>
      <c r="U49" s="7"/>
      <c r="V49" s="7"/>
    </row>
    <row r="50" ht="15.75" customHeight="1">
      <c r="A50" s="42">
        <v>22.0</v>
      </c>
      <c r="T50" s="7"/>
      <c r="U50" s="7"/>
      <c r="V50" s="7"/>
    </row>
    <row r="51" ht="15.75" customHeight="1">
      <c r="A51" s="42">
        <v>23.0</v>
      </c>
      <c r="T51" s="7"/>
      <c r="U51" s="7"/>
      <c r="V51" s="7"/>
    </row>
    <row r="52" ht="15.75" customHeight="1">
      <c r="A52" s="42">
        <v>24.0</v>
      </c>
      <c r="T52" s="7"/>
      <c r="U52" s="7"/>
      <c r="V52" s="7"/>
    </row>
    <row r="53" ht="15.75" customHeight="1">
      <c r="A53" s="42">
        <v>25.0</v>
      </c>
      <c r="T53" s="7"/>
      <c r="U53" s="7"/>
      <c r="V53" s="7"/>
    </row>
    <row r="54" ht="15.75" customHeight="1">
      <c r="A54" s="42">
        <v>26.0</v>
      </c>
      <c r="T54" s="7"/>
      <c r="U54" s="7"/>
      <c r="V54" s="7"/>
    </row>
    <row r="55" ht="15.75" customHeight="1">
      <c r="A55" s="42">
        <v>27.0</v>
      </c>
      <c r="T55" s="7"/>
      <c r="U55" s="7"/>
      <c r="V55" s="7"/>
    </row>
    <row r="56" ht="15.75" customHeight="1">
      <c r="A56" s="42">
        <v>28.0</v>
      </c>
      <c r="T56" s="7"/>
      <c r="U56" s="7"/>
      <c r="V56" s="7"/>
    </row>
    <row r="57" ht="15.75" customHeight="1">
      <c r="A57" s="42">
        <v>29.0</v>
      </c>
      <c r="T57" s="7"/>
      <c r="U57" s="7"/>
      <c r="V57" s="7"/>
    </row>
    <row r="58" ht="15.75" customHeight="1">
      <c r="A58" s="42">
        <v>30.0</v>
      </c>
      <c r="T58" s="7"/>
      <c r="U58" s="7"/>
      <c r="V58" s="7"/>
    </row>
    <row r="59" ht="15.75" customHeight="1">
      <c r="A59" s="42">
        <v>31.0</v>
      </c>
      <c r="T59" s="7"/>
      <c r="U59" s="7"/>
      <c r="V59" s="7"/>
    </row>
    <row r="60" ht="15.75" customHeight="1">
      <c r="A60" s="42">
        <v>32.0</v>
      </c>
      <c r="T60" s="7"/>
      <c r="U60" s="7"/>
      <c r="V60" s="7"/>
    </row>
    <row r="61" ht="15.75" customHeight="1">
      <c r="A61" s="42">
        <v>33.0</v>
      </c>
      <c r="T61" s="7"/>
      <c r="U61" s="7"/>
      <c r="V61" s="7"/>
    </row>
    <row r="62" ht="15.75" customHeight="1">
      <c r="A62" s="42">
        <v>34.0</v>
      </c>
      <c r="T62" s="7"/>
      <c r="U62" s="7"/>
      <c r="V62" s="7"/>
    </row>
    <row r="63" ht="15.75" customHeight="1">
      <c r="A63" s="42">
        <v>35.0</v>
      </c>
      <c r="T63" s="7"/>
      <c r="U63" s="7"/>
      <c r="V63" s="7"/>
    </row>
    <row r="64" ht="15.75" customHeight="1">
      <c r="A64" s="42">
        <v>36.0</v>
      </c>
      <c r="T64" s="7"/>
      <c r="U64" s="7"/>
      <c r="V64" s="7"/>
    </row>
    <row r="65" ht="15.75" customHeight="1">
      <c r="A65" s="42">
        <v>37.0</v>
      </c>
      <c r="T65" s="7"/>
      <c r="U65" s="7"/>
      <c r="V65" s="7"/>
    </row>
    <row r="66" ht="15.75" customHeight="1">
      <c r="A66" s="42">
        <v>38.0</v>
      </c>
      <c r="T66" s="7"/>
      <c r="U66" s="7"/>
      <c r="V66" s="7"/>
    </row>
    <row r="67" ht="15.75" customHeight="1">
      <c r="A67" s="42">
        <v>39.0</v>
      </c>
      <c r="T67" s="7"/>
      <c r="U67" s="7"/>
      <c r="V67" s="7"/>
    </row>
    <row r="68" ht="15.75" customHeight="1">
      <c r="A68" s="42">
        <v>40.0</v>
      </c>
      <c r="T68" s="7"/>
      <c r="U68" s="7"/>
      <c r="V68" s="7"/>
    </row>
    <row r="69" ht="15.75" customHeight="1">
      <c r="A69" s="42">
        <v>41.0</v>
      </c>
      <c r="T69" s="7"/>
      <c r="U69" s="7"/>
      <c r="V69" s="7"/>
    </row>
    <row r="70" ht="15.75" customHeight="1">
      <c r="A70" s="42">
        <v>42.0</v>
      </c>
      <c r="T70" s="7"/>
      <c r="U70" s="7"/>
      <c r="V70" s="7"/>
    </row>
    <row r="71" ht="15.75" customHeight="1">
      <c r="A71" s="42">
        <v>43.0</v>
      </c>
      <c r="T71" s="7"/>
      <c r="U71" s="7"/>
      <c r="V71" s="7"/>
    </row>
    <row r="72" ht="15.75" customHeight="1">
      <c r="A72" s="42">
        <v>44.0</v>
      </c>
      <c r="T72" s="7"/>
      <c r="U72" s="7"/>
      <c r="V72" s="7"/>
    </row>
    <row r="73" ht="15.75" customHeight="1">
      <c r="A73" s="42">
        <v>45.0</v>
      </c>
      <c r="T73" s="7"/>
      <c r="U73" s="7"/>
      <c r="V73" s="7"/>
    </row>
    <row r="74" ht="15.75" customHeight="1">
      <c r="A74" s="42">
        <v>46.0</v>
      </c>
      <c r="T74" s="7"/>
      <c r="U74" s="7"/>
      <c r="V74" s="7"/>
    </row>
    <row r="75" ht="15.75" customHeight="1">
      <c r="A75" s="42">
        <v>47.0</v>
      </c>
      <c r="T75" s="7"/>
      <c r="U75" s="7"/>
      <c r="V75" s="7"/>
    </row>
    <row r="76" ht="15.75" customHeight="1">
      <c r="A76" s="42">
        <v>48.0</v>
      </c>
      <c r="T76" s="7"/>
      <c r="U76" s="7"/>
      <c r="V76" s="7"/>
    </row>
    <row r="77" ht="15.75" customHeight="1">
      <c r="A77" s="42">
        <v>49.0</v>
      </c>
      <c r="T77" s="7"/>
      <c r="U77" s="7"/>
      <c r="V77" s="7"/>
    </row>
    <row r="78" ht="15.75" customHeight="1">
      <c r="A78" s="42">
        <v>50.0</v>
      </c>
      <c r="T78" s="7"/>
      <c r="U78" s="7"/>
      <c r="V78" s="7"/>
    </row>
    <row r="79" ht="15.75" customHeight="1">
      <c r="T79" s="7"/>
      <c r="U79" s="7"/>
      <c r="V79" s="7"/>
    </row>
    <row r="80" ht="15.75" customHeight="1">
      <c r="T80" s="7"/>
      <c r="U80" s="7"/>
      <c r="V80" s="7"/>
    </row>
    <row r="81" ht="15.75" customHeight="1">
      <c r="T81" s="7"/>
      <c r="U81" s="7"/>
      <c r="V81" s="7"/>
    </row>
    <row r="82" ht="15.75" customHeight="1">
      <c r="T82" s="7"/>
      <c r="U82" s="7"/>
      <c r="V82" s="7"/>
    </row>
    <row r="83" ht="15.75" customHeight="1">
      <c r="T83" s="7"/>
      <c r="U83" s="7"/>
      <c r="V83" s="7"/>
    </row>
    <row r="84" ht="15.75" customHeight="1">
      <c r="T84" s="7"/>
      <c r="U84" s="7"/>
      <c r="V84" s="7"/>
    </row>
    <row r="85" ht="15.75" customHeight="1">
      <c r="T85" s="7"/>
      <c r="U85" s="7"/>
      <c r="V85" s="7"/>
    </row>
    <row r="86" ht="15.75" customHeight="1">
      <c r="T86" s="7"/>
      <c r="U86" s="7"/>
      <c r="V86" s="7"/>
    </row>
    <row r="87" ht="15.75" customHeight="1">
      <c r="T87" s="7"/>
      <c r="U87" s="7"/>
      <c r="V87" s="7"/>
    </row>
    <row r="88" ht="15.75" customHeight="1">
      <c r="T88" s="7"/>
      <c r="U88" s="7"/>
      <c r="V88" s="7"/>
    </row>
    <row r="89" ht="15.75" customHeight="1">
      <c r="T89" s="7"/>
      <c r="U89" s="7"/>
      <c r="V89" s="7"/>
    </row>
    <row r="90" ht="15.75" customHeight="1">
      <c r="T90" s="7"/>
      <c r="U90" s="7"/>
      <c r="V90" s="7"/>
    </row>
    <row r="91" ht="15.75" customHeight="1">
      <c r="T91" s="7"/>
      <c r="U91" s="7"/>
      <c r="V91" s="7"/>
    </row>
    <row r="92" ht="15.75" customHeight="1">
      <c r="T92" s="7"/>
      <c r="U92" s="7"/>
      <c r="V92" s="7"/>
    </row>
    <row r="93" ht="15.75" customHeight="1">
      <c r="T93" s="7"/>
      <c r="U93" s="7"/>
      <c r="V93" s="7"/>
    </row>
    <row r="94" ht="15.75" customHeight="1">
      <c r="T94" s="7"/>
      <c r="U94" s="7"/>
      <c r="V94" s="7"/>
    </row>
    <row r="95" ht="15.75" customHeight="1">
      <c r="T95" s="7"/>
      <c r="U95" s="7"/>
      <c r="V95" s="7"/>
    </row>
    <row r="96" ht="15.75" customHeight="1">
      <c r="T96" s="7"/>
      <c r="U96" s="7"/>
      <c r="V96" s="7"/>
    </row>
    <row r="97" ht="15.75" customHeight="1">
      <c r="T97" s="7"/>
      <c r="U97" s="7"/>
      <c r="V97" s="7"/>
    </row>
    <row r="98" ht="15.75" customHeight="1">
      <c r="T98" s="7"/>
      <c r="U98" s="7"/>
      <c r="V98" s="7"/>
    </row>
    <row r="99" ht="15.75" customHeight="1">
      <c r="T99" s="7"/>
      <c r="U99" s="7"/>
      <c r="V99" s="7"/>
    </row>
    <row r="100" ht="15.75" customHeight="1">
      <c r="T100" s="7"/>
      <c r="U100" s="7"/>
      <c r="V100" s="7"/>
    </row>
    <row r="101" ht="15.75" customHeight="1">
      <c r="T101" s="7"/>
      <c r="U101" s="7"/>
      <c r="V101" s="7"/>
    </row>
    <row r="102" ht="15.75" customHeight="1">
      <c r="T102" s="7"/>
      <c r="U102" s="7"/>
      <c r="V102" s="7"/>
    </row>
    <row r="103" ht="15.75" customHeight="1">
      <c r="T103" s="7"/>
      <c r="U103" s="7"/>
      <c r="V103" s="7"/>
    </row>
    <row r="104" ht="15.75" customHeight="1">
      <c r="T104" s="7"/>
      <c r="U104" s="7"/>
      <c r="V104" s="7"/>
    </row>
    <row r="105" ht="15.75" customHeight="1">
      <c r="T105" s="7"/>
      <c r="U105" s="7"/>
      <c r="V105" s="7"/>
    </row>
    <row r="106" ht="15.75" customHeight="1">
      <c r="T106" s="7"/>
      <c r="U106" s="7"/>
      <c r="V106" s="7"/>
    </row>
    <row r="107" ht="15.75" customHeight="1">
      <c r="T107" s="7"/>
      <c r="U107" s="7"/>
      <c r="V107" s="7"/>
    </row>
    <row r="108" ht="15.75" customHeight="1">
      <c r="T108" s="7"/>
      <c r="U108" s="7"/>
      <c r="V108" s="7"/>
    </row>
    <row r="109" ht="15.75" customHeight="1">
      <c r="T109" s="7"/>
      <c r="U109" s="7"/>
      <c r="V109" s="7"/>
    </row>
    <row r="110" ht="15.75" customHeight="1">
      <c r="T110" s="7"/>
      <c r="U110" s="7"/>
      <c r="V110" s="7"/>
    </row>
    <row r="111" ht="15.75" customHeight="1">
      <c r="T111" s="7"/>
      <c r="U111" s="7"/>
      <c r="V111" s="7"/>
    </row>
    <row r="112" ht="15.75" customHeight="1">
      <c r="T112" s="7"/>
      <c r="U112" s="7"/>
      <c r="V112" s="7"/>
    </row>
    <row r="113" ht="15.75" customHeight="1">
      <c r="T113" s="7"/>
      <c r="U113" s="7"/>
      <c r="V113" s="7"/>
    </row>
    <row r="114" ht="15.75" customHeight="1">
      <c r="T114" s="7"/>
      <c r="U114" s="7"/>
      <c r="V114" s="7"/>
    </row>
    <row r="115" ht="15.75" customHeight="1">
      <c r="T115" s="7"/>
      <c r="U115" s="7"/>
      <c r="V115" s="7"/>
    </row>
    <row r="116" ht="15.75" customHeight="1">
      <c r="T116" s="7"/>
      <c r="U116" s="7"/>
      <c r="V116" s="7"/>
    </row>
    <row r="117" ht="15.75" customHeight="1">
      <c r="T117" s="7"/>
      <c r="U117" s="7"/>
      <c r="V117" s="7"/>
    </row>
    <row r="118" ht="15.75" customHeight="1">
      <c r="T118" s="7"/>
      <c r="U118" s="7"/>
      <c r="V118" s="7"/>
    </row>
    <row r="119" ht="15.75" customHeight="1">
      <c r="T119" s="7"/>
      <c r="U119" s="7"/>
      <c r="V119" s="7"/>
    </row>
    <row r="120" ht="15.75" customHeight="1">
      <c r="T120" s="7"/>
      <c r="U120" s="7"/>
      <c r="V120" s="7"/>
    </row>
    <row r="121" ht="15.75" customHeight="1">
      <c r="T121" s="7"/>
      <c r="U121" s="7"/>
      <c r="V121" s="7"/>
    </row>
    <row r="122" ht="15.75" customHeight="1">
      <c r="T122" s="7"/>
      <c r="U122" s="7"/>
      <c r="V122" s="7"/>
    </row>
    <row r="123" ht="15.75" customHeight="1">
      <c r="T123" s="7"/>
      <c r="U123" s="7"/>
      <c r="V123" s="7"/>
    </row>
    <row r="124" ht="15.75" customHeight="1">
      <c r="T124" s="7"/>
      <c r="U124" s="7"/>
      <c r="V124" s="7"/>
    </row>
    <row r="125" ht="15.75" customHeight="1">
      <c r="T125" s="7"/>
      <c r="U125" s="7"/>
      <c r="V125" s="7"/>
    </row>
    <row r="126" ht="15.75" customHeight="1">
      <c r="T126" s="7"/>
      <c r="U126" s="7"/>
      <c r="V126" s="7"/>
    </row>
    <row r="127" ht="15.75" customHeight="1">
      <c r="T127" s="7"/>
      <c r="U127" s="7"/>
      <c r="V127" s="7"/>
    </row>
    <row r="128" ht="15.75" customHeight="1">
      <c r="T128" s="7"/>
      <c r="U128" s="7"/>
      <c r="V128" s="7"/>
    </row>
    <row r="129" ht="15.75" customHeight="1">
      <c r="T129" s="7"/>
      <c r="U129" s="7"/>
      <c r="V129" s="7"/>
    </row>
    <row r="130" ht="15.75" customHeight="1">
      <c r="T130" s="7"/>
      <c r="U130" s="7"/>
      <c r="V130" s="7"/>
    </row>
    <row r="131" ht="15.75" customHeight="1">
      <c r="T131" s="7"/>
      <c r="U131" s="7"/>
      <c r="V131" s="7"/>
    </row>
    <row r="132" ht="15.75" customHeight="1">
      <c r="T132" s="7"/>
      <c r="U132" s="7"/>
      <c r="V132" s="7"/>
    </row>
    <row r="133" ht="15.75" customHeight="1">
      <c r="T133" s="7"/>
      <c r="U133" s="7"/>
      <c r="V133" s="7"/>
    </row>
    <row r="134" ht="15.75" customHeight="1">
      <c r="T134" s="7"/>
      <c r="U134" s="7"/>
      <c r="V134" s="7"/>
    </row>
    <row r="135" ht="15.75" customHeight="1">
      <c r="T135" s="7"/>
      <c r="U135" s="7"/>
      <c r="V135" s="7"/>
    </row>
    <row r="136" ht="15.75" customHeight="1">
      <c r="T136" s="7"/>
      <c r="U136" s="7"/>
      <c r="V136" s="7"/>
    </row>
    <row r="137" ht="15.75" customHeight="1">
      <c r="T137" s="7"/>
      <c r="U137" s="7"/>
      <c r="V137" s="7"/>
    </row>
    <row r="138" ht="15.75" customHeight="1">
      <c r="T138" s="7"/>
      <c r="U138" s="7"/>
      <c r="V138" s="7"/>
    </row>
    <row r="139" ht="15.75" customHeight="1">
      <c r="T139" s="7"/>
      <c r="U139" s="7"/>
      <c r="V139" s="7"/>
    </row>
    <row r="140" ht="15.75" customHeight="1">
      <c r="T140" s="7"/>
      <c r="U140" s="7"/>
      <c r="V140" s="7"/>
    </row>
    <row r="141" ht="15.75" customHeight="1">
      <c r="T141" s="7"/>
      <c r="U141" s="7"/>
      <c r="V141" s="7"/>
    </row>
    <row r="142" ht="15.75" customHeight="1">
      <c r="T142" s="7"/>
      <c r="U142" s="7"/>
      <c r="V142" s="7"/>
    </row>
    <row r="143" ht="15.75" customHeight="1">
      <c r="T143" s="7"/>
      <c r="U143" s="7"/>
      <c r="V143" s="7"/>
    </row>
    <row r="144" ht="15.75" customHeight="1">
      <c r="T144" s="7"/>
      <c r="U144" s="7"/>
      <c r="V144" s="7"/>
    </row>
    <row r="145" ht="15.75" customHeight="1">
      <c r="T145" s="7"/>
      <c r="U145" s="7"/>
      <c r="V145" s="7"/>
    </row>
    <row r="146" ht="15.75" customHeight="1">
      <c r="T146" s="7"/>
      <c r="U146" s="7"/>
      <c r="V146" s="7"/>
    </row>
    <row r="147" ht="15.75" customHeight="1">
      <c r="T147" s="7"/>
      <c r="U147" s="7"/>
      <c r="V147" s="7"/>
    </row>
    <row r="148" ht="15.75" customHeight="1">
      <c r="T148" s="7"/>
      <c r="U148" s="7"/>
      <c r="V148" s="7"/>
    </row>
    <row r="149" ht="15.75" customHeight="1">
      <c r="T149" s="7"/>
      <c r="U149" s="7"/>
      <c r="V149" s="7"/>
    </row>
    <row r="150" ht="15.75" customHeight="1">
      <c r="T150" s="7"/>
      <c r="U150" s="7"/>
      <c r="V150" s="7"/>
    </row>
    <row r="151" ht="15.75" customHeight="1">
      <c r="T151" s="7"/>
      <c r="U151" s="7"/>
      <c r="V151" s="7"/>
    </row>
    <row r="152" ht="15.75" customHeight="1">
      <c r="T152" s="7"/>
      <c r="U152" s="7"/>
      <c r="V152" s="7"/>
    </row>
    <row r="153" ht="15.75" customHeight="1">
      <c r="T153" s="7"/>
      <c r="U153" s="7"/>
      <c r="V153" s="7"/>
    </row>
    <row r="154" ht="15.75" customHeight="1">
      <c r="T154" s="7"/>
      <c r="U154" s="7"/>
      <c r="V154" s="7"/>
    </row>
    <row r="155" ht="15.75" customHeight="1">
      <c r="T155" s="7"/>
      <c r="U155" s="7"/>
      <c r="V155" s="7"/>
    </row>
    <row r="156" ht="15.75" customHeight="1">
      <c r="T156" s="7"/>
      <c r="U156" s="7"/>
      <c r="V156" s="7"/>
    </row>
    <row r="157" ht="15.75" customHeight="1">
      <c r="T157" s="7"/>
      <c r="U157" s="7"/>
      <c r="V157" s="7"/>
    </row>
    <row r="158" ht="15.75" customHeight="1">
      <c r="T158" s="7"/>
      <c r="U158" s="7"/>
      <c r="V158" s="7"/>
    </row>
    <row r="159" ht="15.75" customHeight="1">
      <c r="T159" s="7"/>
      <c r="U159" s="7"/>
      <c r="V159" s="7"/>
    </row>
    <row r="160" ht="15.75" customHeight="1">
      <c r="T160" s="7"/>
      <c r="U160" s="7"/>
      <c r="V160" s="7"/>
    </row>
    <row r="161" ht="15.75" customHeight="1">
      <c r="T161" s="7"/>
      <c r="U161" s="7"/>
      <c r="V161" s="7"/>
    </row>
    <row r="162" ht="15.75" customHeight="1">
      <c r="T162" s="7"/>
      <c r="U162" s="7"/>
      <c r="V162" s="7"/>
    </row>
    <row r="163" ht="15.75" customHeight="1">
      <c r="T163" s="7"/>
      <c r="U163" s="7"/>
      <c r="V163" s="7"/>
    </row>
    <row r="164" ht="15.75" customHeight="1">
      <c r="T164" s="7"/>
      <c r="U164" s="7"/>
      <c r="V164" s="7"/>
    </row>
    <row r="165" ht="15.75" customHeight="1">
      <c r="T165" s="7"/>
      <c r="U165" s="7"/>
      <c r="V165" s="7"/>
    </row>
    <row r="166" ht="15.75" customHeight="1">
      <c r="T166" s="7"/>
      <c r="U166" s="7"/>
      <c r="V166" s="7"/>
    </row>
    <row r="167" ht="15.75" customHeight="1">
      <c r="T167" s="7"/>
      <c r="U167" s="7"/>
      <c r="V167" s="7"/>
    </row>
    <row r="168" ht="15.75" customHeight="1">
      <c r="T168" s="7"/>
      <c r="U168" s="7"/>
      <c r="V168" s="7"/>
    </row>
    <row r="169" ht="15.75" customHeight="1">
      <c r="T169" s="7"/>
      <c r="U169" s="7"/>
      <c r="V169" s="7"/>
    </row>
    <row r="170" ht="15.75" customHeight="1">
      <c r="T170" s="7"/>
      <c r="U170" s="7"/>
      <c r="V170" s="7"/>
    </row>
    <row r="171" ht="15.75" customHeight="1">
      <c r="T171" s="7"/>
      <c r="U171" s="7"/>
      <c r="V171" s="7"/>
    </row>
    <row r="172" ht="15.75" customHeight="1">
      <c r="T172" s="7"/>
      <c r="U172" s="7"/>
      <c r="V172" s="7"/>
    </row>
    <row r="173" ht="15.75" customHeight="1">
      <c r="T173" s="7"/>
      <c r="U173" s="7"/>
      <c r="V173" s="7"/>
    </row>
    <row r="174" ht="15.75" customHeight="1">
      <c r="T174" s="7"/>
      <c r="U174" s="7"/>
      <c r="V174" s="7"/>
    </row>
    <row r="175" ht="15.75" customHeight="1">
      <c r="T175" s="7"/>
      <c r="U175" s="7"/>
      <c r="V175" s="7"/>
    </row>
    <row r="176" ht="15.75" customHeight="1">
      <c r="T176" s="7"/>
      <c r="U176" s="7"/>
      <c r="V176" s="7"/>
    </row>
    <row r="177" ht="15.75" customHeight="1">
      <c r="T177" s="7"/>
      <c r="U177" s="7"/>
      <c r="V177" s="7"/>
    </row>
    <row r="178" ht="15.75" customHeight="1">
      <c r="T178" s="7"/>
      <c r="U178" s="7"/>
      <c r="V178" s="7"/>
    </row>
    <row r="179" ht="15.75" customHeight="1">
      <c r="T179" s="7"/>
      <c r="U179" s="7"/>
      <c r="V179" s="7"/>
    </row>
    <row r="180" ht="15.75" customHeight="1">
      <c r="T180" s="7"/>
      <c r="U180" s="7"/>
      <c r="V180" s="7"/>
    </row>
    <row r="181" ht="15.75" customHeight="1">
      <c r="T181" s="7"/>
      <c r="U181" s="7"/>
      <c r="V181" s="7"/>
    </row>
    <row r="182" ht="15.75" customHeight="1">
      <c r="T182" s="7"/>
      <c r="U182" s="7"/>
      <c r="V182" s="7"/>
    </row>
    <row r="183" ht="15.75" customHeight="1">
      <c r="T183" s="7"/>
      <c r="U183" s="7"/>
      <c r="V183" s="7"/>
    </row>
    <row r="184" ht="15.75" customHeight="1">
      <c r="T184" s="7"/>
      <c r="U184" s="7"/>
      <c r="V184" s="7"/>
    </row>
    <row r="185" ht="15.75" customHeight="1">
      <c r="T185" s="7"/>
      <c r="U185" s="7"/>
      <c r="V185" s="7"/>
    </row>
    <row r="186" ht="15.75" customHeight="1">
      <c r="T186" s="7"/>
      <c r="U186" s="7"/>
      <c r="V186" s="7"/>
    </row>
    <row r="187" ht="15.75" customHeight="1">
      <c r="T187" s="7"/>
      <c r="U187" s="7"/>
      <c r="V187" s="7"/>
    </row>
    <row r="188" ht="15.75" customHeight="1">
      <c r="T188" s="7"/>
      <c r="U188" s="7"/>
      <c r="V188" s="7"/>
    </row>
    <row r="189" ht="15.75" customHeight="1">
      <c r="T189" s="7"/>
      <c r="U189" s="7"/>
      <c r="V189" s="7"/>
    </row>
    <row r="190" ht="15.75" customHeight="1">
      <c r="T190" s="7"/>
      <c r="U190" s="7"/>
      <c r="V190" s="7"/>
    </row>
    <row r="191" ht="15.75" customHeight="1">
      <c r="T191" s="7"/>
      <c r="U191" s="7"/>
      <c r="V191" s="7"/>
    </row>
    <row r="192" ht="15.75" customHeight="1">
      <c r="T192" s="7"/>
      <c r="U192" s="7"/>
      <c r="V192" s="7"/>
    </row>
    <row r="193" ht="15.75" customHeight="1">
      <c r="T193" s="7"/>
      <c r="U193" s="7"/>
      <c r="V193" s="7"/>
    </row>
    <row r="194" ht="15.75" customHeight="1">
      <c r="T194" s="7"/>
      <c r="U194" s="7"/>
      <c r="V194" s="7"/>
    </row>
    <row r="195" ht="15.75" customHeight="1">
      <c r="T195" s="7"/>
      <c r="U195" s="7"/>
      <c r="V195" s="7"/>
    </row>
    <row r="196" ht="15.75" customHeight="1">
      <c r="T196" s="7"/>
      <c r="U196" s="7"/>
      <c r="V196" s="7"/>
    </row>
    <row r="197" ht="15.75" customHeight="1">
      <c r="T197" s="7"/>
      <c r="U197" s="7"/>
      <c r="V197" s="7"/>
    </row>
    <row r="198" ht="15.75" customHeight="1">
      <c r="T198" s="7"/>
      <c r="U198" s="7"/>
      <c r="V198" s="7"/>
    </row>
    <row r="199" ht="15.75" customHeight="1">
      <c r="T199" s="7"/>
      <c r="U199" s="7"/>
      <c r="V199" s="7"/>
    </row>
    <row r="200" ht="15.75" customHeight="1">
      <c r="T200" s="7"/>
      <c r="U200" s="7"/>
      <c r="V200" s="7"/>
    </row>
    <row r="201" ht="15.75" customHeight="1">
      <c r="T201" s="7"/>
      <c r="U201" s="7"/>
      <c r="V201" s="7"/>
    </row>
    <row r="202" ht="15.75" customHeight="1">
      <c r="T202" s="7"/>
      <c r="U202" s="7"/>
      <c r="V202" s="7"/>
    </row>
    <row r="203" ht="15.75" customHeight="1">
      <c r="T203" s="7"/>
      <c r="U203" s="7"/>
      <c r="V203" s="7"/>
    </row>
    <row r="204" ht="15.75" customHeight="1">
      <c r="T204" s="7"/>
      <c r="U204" s="7"/>
      <c r="V204" s="7"/>
    </row>
    <row r="205" ht="15.75" customHeight="1">
      <c r="T205" s="7"/>
      <c r="U205" s="7"/>
      <c r="V205" s="7"/>
    </row>
    <row r="206" ht="15.75" customHeight="1">
      <c r="T206" s="7"/>
      <c r="U206" s="7"/>
      <c r="V206" s="7"/>
    </row>
    <row r="207" ht="15.75" customHeight="1">
      <c r="T207" s="7"/>
      <c r="U207" s="7"/>
      <c r="V207" s="7"/>
    </row>
    <row r="208" ht="15.75" customHeight="1">
      <c r="T208" s="7"/>
      <c r="U208" s="7"/>
      <c r="V208" s="7"/>
    </row>
    <row r="209" ht="15.75" customHeight="1">
      <c r="T209" s="7"/>
      <c r="U209" s="7"/>
      <c r="V209" s="7"/>
    </row>
    <row r="210" ht="15.75" customHeight="1">
      <c r="T210" s="7"/>
      <c r="U210" s="7"/>
      <c r="V210" s="7"/>
    </row>
    <row r="211" ht="15.75" customHeight="1">
      <c r="T211" s="7"/>
      <c r="U211" s="7"/>
      <c r="V211" s="7"/>
    </row>
    <row r="212" ht="15.75" customHeight="1">
      <c r="T212" s="7"/>
      <c r="U212" s="7"/>
      <c r="V212" s="7"/>
    </row>
    <row r="213" ht="15.75" customHeight="1">
      <c r="T213" s="7"/>
      <c r="U213" s="7"/>
      <c r="V213" s="7"/>
    </row>
    <row r="214" ht="15.75" customHeight="1">
      <c r="T214" s="7"/>
      <c r="U214" s="7"/>
      <c r="V214" s="7"/>
    </row>
    <row r="215" ht="15.75" customHeight="1">
      <c r="T215" s="7"/>
      <c r="U215" s="7"/>
      <c r="V215" s="7"/>
    </row>
    <row r="216" ht="15.75" customHeight="1">
      <c r="T216" s="7"/>
      <c r="U216" s="7"/>
      <c r="V216" s="7"/>
    </row>
    <row r="217" ht="15.75" customHeight="1">
      <c r="T217" s="7"/>
      <c r="U217" s="7"/>
      <c r="V217" s="7"/>
    </row>
    <row r="218" ht="15.75" customHeight="1">
      <c r="T218" s="7"/>
      <c r="U218" s="7"/>
      <c r="V218" s="7"/>
    </row>
    <row r="219" ht="15.75" customHeight="1">
      <c r="T219" s="7"/>
      <c r="U219" s="7"/>
      <c r="V219" s="7"/>
    </row>
    <row r="220" ht="15.75" customHeight="1">
      <c r="T220" s="7"/>
      <c r="U220" s="7"/>
      <c r="V220" s="7"/>
    </row>
    <row r="221" ht="15.75" customHeight="1">
      <c r="T221" s="7"/>
      <c r="U221" s="7"/>
      <c r="V221" s="7"/>
    </row>
    <row r="222" ht="15.75" customHeight="1">
      <c r="T222" s="7"/>
      <c r="U222" s="7"/>
      <c r="V222" s="7"/>
    </row>
    <row r="223" ht="15.75" customHeight="1">
      <c r="T223" s="7"/>
      <c r="U223" s="7"/>
      <c r="V223" s="7"/>
    </row>
    <row r="224" ht="15.75" customHeight="1">
      <c r="T224" s="7"/>
      <c r="U224" s="7"/>
      <c r="V224" s="7"/>
    </row>
    <row r="225" ht="15.75" customHeight="1">
      <c r="T225" s="7"/>
      <c r="U225" s="7"/>
      <c r="V225" s="7"/>
    </row>
    <row r="226" ht="15.75" customHeight="1">
      <c r="T226" s="7"/>
      <c r="U226" s="7"/>
      <c r="V226" s="7"/>
    </row>
    <row r="227" ht="15.75" customHeight="1">
      <c r="T227" s="7"/>
      <c r="U227" s="7"/>
      <c r="V227" s="7"/>
    </row>
    <row r="228" ht="15.75" customHeight="1">
      <c r="T228" s="7"/>
      <c r="U228" s="7"/>
      <c r="V228" s="7"/>
    </row>
    <row r="229" ht="15.75" customHeight="1">
      <c r="T229" s="7"/>
      <c r="U229" s="7"/>
      <c r="V229" s="7"/>
    </row>
    <row r="230" ht="15.75" customHeight="1">
      <c r="T230" s="7"/>
      <c r="U230" s="7"/>
      <c r="V230" s="7"/>
    </row>
    <row r="231" ht="15.75" customHeight="1">
      <c r="T231" s="7"/>
      <c r="U231" s="7"/>
      <c r="V231" s="7"/>
    </row>
    <row r="232" ht="15.75" customHeight="1">
      <c r="T232" s="7"/>
      <c r="U232" s="7"/>
      <c r="V232" s="7"/>
    </row>
    <row r="233" ht="15.75" customHeight="1">
      <c r="T233" s="7"/>
      <c r="U233" s="7"/>
      <c r="V233" s="7"/>
    </row>
    <row r="234" ht="15.75" customHeight="1">
      <c r="T234" s="7"/>
      <c r="U234" s="7"/>
      <c r="V234" s="7"/>
    </row>
    <row r="235" ht="15.75" customHeight="1">
      <c r="T235" s="7"/>
      <c r="U235" s="7"/>
      <c r="V235" s="7"/>
    </row>
    <row r="236" ht="15.75" customHeight="1">
      <c r="T236" s="7"/>
      <c r="U236" s="7"/>
      <c r="V236" s="7"/>
    </row>
    <row r="237" ht="15.75" customHeight="1">
      <c r="T237" s="7"/>
      <c r="U237" s="7"/>
      <c r="V237" s="7"/>
    </row>
    <row r="238" ht="15.75" customHeight="1">
      <c r="T238" s="7"/>
      <c r="U238" s="7"/>
      <c r="V238" s="7"/>
    </row>
    <row r="239" ht="15.75" customHeight="1">
      <c r="T239" s="7"/>
      <c r="U239" s="7"/>
      <c r="V239" s="7"/>
    </row>
    <row r="240" ht="15.75" customHeight="1">
      <c r="T240" s="7"/>
      <c r="U240" s="7"/>
      <c r="V240" s="7"/>
    </row>
    <row r="241" ht="15.75" customHeight="1">
      <c r="T241" s="7"/>
      <c r="U241" s="7"/>
      <c r="V241" s="7"/>
    </row>
    <row r="242" ht="15.75" customHeight="1">
      <c r="T242" s="7"/>
      <c r="U242" s="7"/>
      <c r="V242" s="7"/>
    </row>
    <row r="243" ht="15.75" customHeight="1">
      <c r="T243" s="7"/>
      <c r="U243" s="7"/>
      <c r="V243" s="7"/>
    </row>
    <row r="244" ht="15.75" customHeight="1">
      <c r="T244" s="7"/>
      <c r="U244" s="7"/>
      <c r="V244" s="7"/>
    </row>
    <row r="245" ht="15.75" customHeight="1">
      <c r="T245" s="7"/>
      <c r="U245" s="7"/>
      <c r="V245" s="7"/>
    </row>
    <row r="246" ht="15.75" customHeight="1">
      <c r="T246" s="7"/>
      <c r="U246" s="7"/>
      <c r="V246" s="7"/>
    </row>
    <row r="247" ht="15.75" customHeight="1">
      <c r="T247" s="7"/>
      <c r="U247" s="7"/>
      <c r="V247" s="7"/>
    </row>
    <row r="248" ht="15.75" customHeight="1">
      <c r="T248" s="7"/>
      <c r="U248" s="7"/>
      <c r="V248" s="7"/>
    </row>
    <row r="249" ht="15.75" customHeight="1">
      <c r="T249" s="7"/>
      <c r="U249" s="7"/>
      <c r="V249" s="7"/>
    </row>
    <row r="250" ht="15.75" customHeight="1">
      <c r="T250" s="7"/>
      <c r="U250" s="7"/>
      <c r="V250" s="7"/>
    </row>
    <row r="251" ht="15.75" customHeight="1">
      <c r="T251" s="7"/>
      <c r="U251" s="7"/>
      <c r="V251" s="7"/>
    </row>
    <row r="252" ht="15.75" customHeight="1">
      <c r="T252" s="7"/>
      <c r="U252" s="7"/>
      <c r="V252" s="7"/>
    </row>
    <row r="253" ht="15.75" customHeight="1">
      <c r="T253" s="7"/>
      <c r="U253" s="7"/>
      <c r="V253" s="7"/>
    </row>
    <row r="254" ht="15.75" customHeight="1">
      <c r="T254" s="7"/>
      <c r="U254" s="7"/>
      <c r="V254" s="7"/>
    </row>
    <row r="255" ht="15.75" customHeight="1">
      <c r="T255" s="7"/>
      <c r="U255" s="7"/>
      <c r="V255" s="7"/>
    </row>
    <row r="256" ht="15.75" customHeight="1">
      <c r="T256" s="7"/>
      <c r="U256" s="7"/>
      <c r="V256" s="7"/>
    </row>
    <row r="257" ht="15.75" customHeight="1">
      <c r="T257" s="7"/>
      <c r="U257" s="7"/>
      <c r="V257" s="7"/>
    </row>
    <row r="258" ht="15.75" customHeight="1">
      <c r="T258" s="7"/>
      <c r="U258" s="7"/>
      <c r="V258" s="7"/>
    </row>
    <row r="259" ht="15.75" customHeight="1">
      <c r="T259" s="7"/>
      <c r="U259" s="7"/>
      <c r="V259" s="7"/>
    </row>
    <row r="260" ht="15.75" customHeight="1">
      <c r="T260" s="7"/>
      <c r="U260" s="7"/>
      <c r="V260" s="7"/>
    </row>
    <row r="261" ht="15.75" customHeight="1">
      <c r="T261" s="7"/>
      <c r="U261" s="7"/>
      <c r="V261" s="7"/>
    </row>
    <row r="262" ht="15.75" customHeight="1">
      <c r="T262" s="7"/>
      <c r="U262" s="7"/>
      <c r="V262" s="7"/>
    </row>
    <row r="263" ht="15.75" customHeight="1">
      <c r="T263" s="7"/>
      <c r="U263" s="7"/>
      <c r="V263" s="7"/>
    </row>
    <row r="264" ht="15.75" customHeight="1">
      <c r="T264" s="7"/>
      <c r="U264" s="7"/>
      <c r="V264" s="7"/>
    </row>
    <row r="265" ht="15.75" customHeight="1">
      <c r="T265" s="7"/>
      <c r="U265" s="7"/>
      <c r="V265" s="7"/>
    </row>
    <row r="266" ht="15.75" customHeight="1">
      <c r="T266" s="7"/>
      <c r="U266" s="7"/>
      <c r="V266" s="7"/>
    </row>
    <row r="267" ht="15.75" customHeight="1">
      <c r="T267" s="7"/>
      <c r="U267" s="7"/>
      <c r="V267" s="7"/>
    </row>
    <row r="268" ht="15.75" customHeight="1">
      <c r="T268" s="7"/>
      <c r="U268" s="7"/>
      <c r="V268" s="7"/>
    </row>
    <row r="269" ht="15.75" customHeight="1">
      <c r="T269" s="7"/>
      <c r="U269" s="7"/>
      <c r="V269" s="7"/>
    </row>
    <row r="270" ht="15.75" customHeight="1">
      <c r="T270" s="7"/>
      <c r="U270" s="7"/>
      <c r="V270" s="7"/>
    </row>
    <row r="271" ht="15.75" customHeight="1">
      <c r="T271" s="7"/>
      <c r="U271" s="7"/>
      <c r="V271" s="7"/>
    </row>
    <row r="272" ht="15.75" customHeight="1">
      <c r="T272" s="7"/>
      <c r="U272" s="7"/>
      <c r="V272" s="7"/>
    </row>
    <row r="273" ht="15.75" customHeight="1">
      <c r="T273" s="7"/>
      <c r="U273" s="7"/>
      <c r="V273" s="7"/>
    </row>
    <row r="274" ht="15.75" customHeight="1">
      <c r="T274" s="7"/>
      <c r="U274" s="7"/>
      <c r="V274" s="7"/>
    </row>
    <row r="275" ht="15.75" customHeight="1">
      <c r="T275" s="7"/>
      <c r="U275" s="7"/>
      <c r="V275" s="7"/>
    </row>
    <row r="276" ht="15.75" customHeight="1">
      <c r="T276" s="7"/>
      <c r="U276" s="7"/>
      <c r="V276" s="7"/>
    </row>
    <row r="277" ht="15.75" customHeight="1">
      <c r="T277" s="7"/>
      <c r="U277" s="7"/>
      <c r="V277" s="7"/>
    </row>
    <row r="278" ht="15.75" customHeight="1">
      <c r="T278" s="7"/>
      <c r="U278" s="7"/>
      <c r="V278" s="7"/>
    </row>
    <row r="279" ht="15.75" customHeight="1">
      <c r="T279" s="7"/>
      <c r="U279" s="7"/>
      <c r="V279" s="7"/>
    </row>
    <row r="280" ht="15.75" customHeight="1">
      <c r="T280" s="7"/>
      <c r="U280" s="7"/>
      <c r="V280" s="7"/>
    </row>
    <row r="281" ht="15.75" customHeight="1">
      <c r="T281" s="7"/>
      <c r="U281" s="7"/>
      <c r="V281" s="7"/>
    </row>
    <row r="282" ht="15.75" customHeight="1">
      <c r="T282" s="7"/>
      <c r="U282" s="7"/>
      <c r="V282" s="7"/>
    </row>
    <row r="283" ht="15.75" customHeight="1">
      <c r="T283" s="7"/>
      <c r="U283" s="7"/>
      <c r="V283" s="7"/>
    </row>
    <row r="284" ht="15.75" customHeight="1">
      <c r="T284" s="7"/>
      <c r="U284" s="7"/>
      <c r="V284" s="7"/>
    </row>
    <row r="285" ht="15.75" customHeight="1">
      <c r="T285" s="7"/>
      <c r="U285" s="7"/>
      <c r="V285" s="7"/>
    </row>
    <row r="286" ht="15.75" customHeight="1">
      <c r="T286" s="7"/>
      <c r="U286" s="7"/>
      <c r="V286" s="7"/>
    </row>
    <row r="287" ht="15.75" customHeight="1">
      <c r="T287" s="7"/>
      <c r="U287" s="7"/>
      <c r="V287" s="7"/>
    </row>
    <row r="288" ht="15.75" customHeight="1">
      <c r="T288" s="7"/>
      <c r="U288" s="7"/>
      <c r="V288" s="7"/>
    </row>
    <row r="289" ht="15.75" customHeight="1">
      <c r="T289" s="7"/>
      <c r="U289" s="7"/>
      <c r="V289" s="7"/>
    </row>
    <row r="290" ht="15.75" customHeight="1">
      <c r="T290" s="7"/>
      <c r="U290" s="7"/>
      <c r="V290" s="7"/>
    </row>
    <row r="291" ht="15.75" customHeight="1">
      <c r="T291" s="7"/>
      <c r="U291" s="7"/>
      <c r="V291" s="7"/>
    </row>
    <row r="292" ht="15.75" customHeight="1">
      <c r="T292" s="7"/>
      <c r="U292" s="7"/>
      <c r="V292" s="7"/>
    </row>
    <row r="293" ht="15.75" customHeight="1">
      <c r="T293" s="7"/>
      <c r="U293" s="7"/>
      <c r="V293" s="7"/>
    </row>
    <row r="294" ht="15.75" customHeight="1">
      <c r="T294" s="7"/>
      <c r="U294" s="7"/>
      <c r="V294" s="7"/>
    </row>
    <row r="295" ht="15.75" customHeight="1">
      <c r="T295" s="7"/>
      <c r="U295" s="7"/>
      <c r="V295" s="7"/>
    </row>
    <row r="296" ht="15.75" customHeight="1">
      <c r="T296" s="7"/>
      <c r="U296" s="7"/>
      <c r="V296" s="7"/>
    </row>
    <row r="297" ht="15.75" customHeight="1">
      <c r="T297" s="7"/>
      <c r="U297" s="7"/>
      <c r="V297" s="7"/>
    </row>
    <row r="298" ht="15.75" customHeight="1">
      <c r="T298" s="7"/>
      <c r="U298" s="7"/>
      <c r="V298" s="7"/>
    </row>
    <row r="299" ht="15.75" customHeight="1">
      <c r="T299" s="7"/>
      <c r="U299" s="7"/>
      <c r="V299" s="7"/>
    </row>
    <row r="300" ht="15.75" customHeight="1">
      <c r="T300" s="7"/>
      <c r="U300" s="7"/>
      <c r="V300" s="7"/>
    </row>
    <row r="301" ht="15.75" customHeight="1">
      <c r="T301" s="7"/>
      <c r="U301" s="7"/>
      <c r="V301" s="7"/>
    </row>
    <row r="302" ht="15.75" customHeight="1">
      <c r="T302" s="7"/>
      <c r="U302" s="7"/>
      <c r="V302" s="7"/>
    </row>
    <row r="303" ht="15.75" customHeight="1">
      <c r="T303" s="7"/>
      <c r="U303" s="7"/>
      <c r="V303" s="7"/>
    </row>
    <row r="304" ht="15.75" customHeight="1">
      <c r="T304" s="7"/>
      <c r="U304" s="7"/>
      <c r="V304" s="7"/>
    </row>
    <row r="305" ht="15.75" customHeight="1">
      <c r="T305" s="7"/>
      <c r="U305" s="7"/>
      <c r="V305" s="7"/>
    </row>
    <row r="306" ht="15.75" customHeight="1">
      <c r="T306" s="7"/>
      <c r="U306" s="7"/>
      <c r="V306" s="7"/>
    </row>
    <row r="307" ht="15.75" customHeight="1">
      <c r="T307" s="7"/>
      <c r="U307" s="7"/>
      <c r="V307" s="7"/>
    </row>
    <row r="308" ht="15.75" customHeight="1">
      <c r="T308" s="7"/>
      <c r="U308" s="7"/>
      <c r="V308" s="7"/>
    </row>
    <row r="309" ht="15.75" customHeight="1">
      <c r="T309" s="7"/>
      <c r="U309" s="7"/>
      <c r="V309" s="7"/>
    </row>
    <row r="310" ht="15.75" customHeight="1">
      <c r="T310" s="7"/>
      <c r="U310" s="7"/>
      <c r="V310" s="7"/>
    </row>
    <row r="311" ht="15.75" customHeight="1">
      <c r="T311" s="7"/>
      <c r="U311" s="7"/>
      <c r="V311" s="7"/>
    </row>
    <row r="312" ht="15.75" customHeight="1">
      <c r="T312" s="7"/>
      <c r="U312" s="7"/>
      <c r="V312" s="7"/>
    </row>
    <row r="313" ht="15.75" customHeight="1">
      <c r="T313" s="7"/>
      <c r="U313" s="7"/>
      <c r="V313" s="7"/>
    </row>
    <row r="314" ht="15.75" customHeight="1">
      <c r="T314" s="7"/>
      <c r="U314" s="7"/>
      <c r="V314" s="7"/>
    </row>
    <row r="315" ht="15.75" customHeight="1">
      <c r="T315" s="7"/>
      <c r="U315" s="7"/>
      <c r="V315" s="7"/>
    </row>
    <row r="316" ht="15.75" customHeight="1">
      <c r="T316" s="7"/>
      <c r="U316" s="7"/>
      <c r="V316" s="7"/>
    </row>
    <row r="317" ht="15.75" customHeight="1">
      <c r="T317" s="7"/>
      <c r="U317" s="7"/>
      <c r="V317" s="7"/>
    </row>
    <row r="318" ht="15.75" customHeight="1">
      <c r="T318" s="7"/>
      <c r="U318" s="7"/>
      <c r="V318" s="7"/>
    </row>
    <row r="319" ht="15.75" customHeight="1">
      <c r="T319" s="7"/>
      <c r="U319" s="7"/>
      <c r="V319" s="7"/>
    </row>
    <row r="320" ht="15.75" customHeight="1">
      <c r="T320" s="7"/>
      <c r="U320" s="7"/>
      <c r="V320" s="7"/>
    </row>
    <row r="321" ht="15.75" customHeight="1">
      <c r="T321" s="7"/>
      <c r="U321" s="7"/>
      <c r="V321" s="7"/>
    </row>
    <row r="322" ht="15.75" customHeight="1">
      <c r="T322" s="7"/>
      <c r="U322" s="7"/>
      <c r="V322" s="7"/>
    </row>
    <row r="323" ht="15.75" customHeight="1">
      <c r="T323" s="7"/>
      <c r="U323" s="7"/>
      <c r="V323" s="7"/>
    </row>
    <row r="324" ht="15.75" customHeight="1">
      <c r="T324" s="7"/>
      <c r="U324" s="7"/>
      <c r="V324" s="7"/>
    </row>
    <row r="325" ht="15.75" customHeight="1">
      <c r="T325" s="7"/>
      <c r="U325" s="7"/>
      <c r="V325" s="7"/>
    </row>
    <row r="326" ht="15.75" customHeight="1">
      <c r="T326" s="7"/>
      <c r="U326" s="7"/>
      <c r="V326" s="7"/>
    </row>
    <row r="327" ht="15.75" customHeight="1">
      <c r="T327" s="7"/>
      <c r="U327" s="7"/>
      <c r="V327" s="7"/>
    </row>
    <row r="328" ht="15.75" customHeight="1">
      <c r="T328" s="7"/>
      <c r="U328" s="7"/>
      <c r="V328" s="7"/>
    </row>
    <row r="329" ht="15.75" customHeight="1">
      <c r="T329" s="7"/>
      <c r="U329" s="7"/>
      <c r="V329" s="7"/>
    </row>
    <row r="330" ht="15.75" customHeight="1">
      <c r="T330" s="7"/>
      <c r="U330" s="7"/>
      <c r="V330" s="7"/>
    </row>
    <row r="331" ht="15.75" customHeight="1">
      <c r="T331" s="7"/>
      <c r="U331" s="7"/>
      <c r="V331" s="7"/>
    </row>
    <row r="332" ht="15.75" customHeight="1">
      <c r="T332" s="7"/>
      <c r="U332" s="7"/>
      <c r="V332" s="7"/>
    </row>
    <row r="333" ht="15.75" customHeight="1">
      <c r="T333" s="7"/>
      <c r="U333" s="7"/>
      <c r="V333" s="7"/>
    </row>
    <row r="334" ht="15.75" customHeight="1">
      <c r="T334" s="7"/>
      <c r="U334" s="7"/>
      <c r="V334" s="7"/>
    </row>
    <row r="335" ht="15.75" customHeight="1">
      <c r="T335" s="7"/>
      <c r="U335" s="7"/>
      <c r="V335" s="7"/>
    </row>
    <row r="336" ht="15.75" customHeight="1">
      <c r="T336" s="7"/>
      <c r="U336" s="7"/>
      <c r="V336" s="7"/>
    </row>
    <row r="337" ht="15.75" customHeight="1">
      <c r="T337" s="7"/>
      <c r="U337" s="7"/>
      <c r="V337" s="7"/>
    </row>
    <row r="338" ht="15.75" customHeight="1">
      <c r="T338" s="7"/>
      <c r="U338" s="7"/>
      <c r="V338" s="7"/>
    </row>
    <row r="339" ht="15.75" customHeight="1">
      <c r="T339" s="7"/>
      <c r="U339" s="7"/>
      <c r="V339" s="7"/>
    </row>
    <row r="340" ht="15.75" customHeight="1">
      <c r="T340" s="7"/>
      <c r="U340" s="7"/>
      <c r="V340" s="7"/>
    </row>
    <row r="341" ht="15.75" customHeight="1">
      <c r="T341" s="7"/>
      <c r="U341" s="7"/>
      <c r="V341" s="7"/>
    </row>
    <row r="342" ht="15.75" customHeight="1">
      <c r="T342" s="7"/>
      <c r="U342" s="7"/>
      <c r="V342" s="7"/>
    </row>
    <row r="343" ht="15.75" customHeight="1">
      <c r="T343" s="7"/>
      <c r="U343" s="7"/>
      <c r="V343" s="7"/>
    </row>
    <row r="344" ht="15.75" customHeight="1">
      <c r="T344" s="7"/>
      <c r="U344" s="7"/>
      <c r="V344" s="7"/>
    </row>
    <row r="345" ht="15.75" customHeight="1">
      <c r="T345" s="7"/>
      <c r="U345" s="7"/>
      <c r="V345" s="7"/>
    </row>
    <row r="346" ht="15.75" customHeight="1">
      <c r="T346" s="7"/>
      <c r="U346" s="7"/>
      <c r="V346" s="7"/>
    </row>
    <row r="347" ht="15.75" customHeight="1">
      <c r="T347" s="7"/>
      <c r="U347" s="7"/>
      <c r="V347" s="7"/>
    </row>
    <row r="348" ht="15.75" customHeight="1">
      <c r="T348" s="7"/>
      <c r="U348" s="7"/>
      <c r="V348" s="7"/>
    </row>
    <row r="349" ht="15.75" customHeight="1">
      <c r="T349" s="7"/>
      <c r="U349" s="7"/>
      <c r="V349" s="7"/>
    </row>
    <row r="350" ht="15.75" customHeight="1">
      <c r="T350" s="7"/>
      <c r="U350" s="7"/>
      <c r="V350" s="7"/>
    </row>
    <row r="351" ht="15.75" customHeight="1">
      <c r="T351" s="7"/>
      <c r="U351" s="7"/>
      <c r="V351" s="7"/>
    </row>
    <row r="352" ht="15.75" customHeight="1">
      <c r="T352" s="7"/>
      <c r="U352" s="7"/>
      <c r="V352" s="7"/>
    </row>
    <row r="353" ht="15.75" customHeight="1">
      <c r="T353" s="7"/>
      <c r="U353" s="7"/>
      <c r="V353" s="7"/>
    </row>
    <row r="354" ht="15.75" customHeight="1">
      <c r="T354" s="7"/>
      <c r="U354" s="7"/>
      <c r="V354" s="7"/>
    </row>
    <row r="355" ht="15.75" customHeight="1">
      <c r="T355" s="7"/>
      <c r="U355" s="7"/>
      <c r="V355" s="7"/>
    </row>
    <row r="356" ht="15.75" customHeight="1">
      <c r="T356" s="7"/>
      <c r="U356" s="7"/>
      <c r="V356" s="7"/>
    </row>
    <row r="357" ht="15.75" customHeight="1">
      <c r="T357" s="7"/>
      <c r="U357" s="7"/>
      <c r="V357" s="7"/>
    </row>
    <row r="358" ht="15.75" customHeight="1">
      <c r="T358" s="7"/>
      <c r="U358" s="7"/>
      <c r="V358" s="7"/>
    </row>
    <row r="359" ht="15.75" customHeight="1">
      <c r="T359" s="7"/>
      <c r="U359" s="7"/>
      <c r="V359" s="7"/>
    </row>
    <row r="360" ht="15.75" customHeight="1">
      <c r="T360" s="7"/>
      <c r="U360" s="7"/>
      <c r="V360" s="7"/>
    </row>
    <row r="361" ht="15.75" customHeight="1">
      <c r="T361" s="7"/>
      <c r="U361" s="7"/>
      <c r="V361" s="7"/>
    </row>
    <row r="362" ht="15.75" customHeight="1">
      <c r="T362" s="7"/>
      <c r="U362" s="7"/>
      <c r="V362" s="7"/>
    </row>
    <row r="363" ht="15.75" customHeight="1">
      <c r="T363" s="7"/>
      <c r="U363" s="7"/>
      <c r="V363" s="7"/>
    </row>
    <row r="364" ht="15.75" customHeight="1">
      <c r="T364" s="7"/>
      <c r="U364" s="7"/>
      <c r="V364" s="7"/>
    </row>
    <row r="365" ht="15.75" customHeight="1">
      <c r="T365" s="7"/>
      <c r="U365" s="7"/>
      <c r="V365" s="7"/>
    </row>
    <row r="366" ht="15.75" customHeight="1">
      <c r="T366" s="7"/>
      <c r="U366" s="7"/>
      <c r="V366" s="7"/>
    </row>
    <row r="367" ht="15.75" customHeight="1">
      <c r="T367" s="7"/>
      <c r="U367" s="7"/>
      <c r="V367" s="7"/>
    </row>
    <row r="368" ht="15.75" customHeight="1">
      <c r="T368" s="7"/>
      <c r="U368" s="7"/>
      <c r="V368" s="7"/>
    </row>
    <row r="369" ht="15.75" customHeight="1">
      <c r="T369" s="7"/>
      <c r="U369" s="7"/>
      <c r="V369" s="7"/>
    </row>
    <row r="370" ht="15.75" customHeight="1">
      <c r="T370" s="7"/>
      <c r="U370" s="7"/>
      <c r="V370" s="7"/>
    </row>
    <row r="371" ht="15.75" customHeight="1">
      <c r="T371" s="7"/>
      <c r="U371" s="7"/>
      <c r="V371" s="7"/>
    </row>
    <row r="372" ht="15.75" customHeight="1">
      <c r="T372" s="7"/>
      <c r="U372" s="7"/>
      <c r="V372" s="7"/>
    </row>
    <row r="373" ht="15.75" customHeight="1">
      <c r="T373" s="7"/>
      <c r="U373" s="7"/>
      <c r="V373" s="7"/>
    </row>
    <row r="374" ht="15.75" customHeight="1">
      <c r="T374" s="7"/>
      <c r="U374" s="7"/>
      <c r="V374" s="7"/>
    </row>
    <row r="375" ht="15.75" customHeight="1">
      <c r="T375" s="7"/>
      <c r="U375" s="7"/>
      <c r="V375" s="7"/>
    </row>
    <row r="376" ht="15.75" customHeight="1">
      <c r="T376" s="7"/>
      <c r="U376" s="7"/>
      <c r="V376" s="7"/>
    </row>
    <row r="377" ht="15.75" customHeight="1">
      <c r="T377" s="7"/>
      <c r="U377" s="7"/>
      <c r="V377" s="7"/>
    </row>
    <row r="378" ht="15.75" customHeight="1">
      <c r="T378" s="7"/>
      <c r="U378" s="7"/>
      <c r="V378" s="7"/>
    </row>
    <row r="379" ht="15.75" customHeight="1">
      <c r="T379" s="7"/>
      <c r="U379" s="7"/>
      <c r="V379" s="7"/>
    </row>
    <row r="380" ht="15.75" customHeight="1">
      <c r="T380" s="7"/>
      <c r="U380" s="7"/>
      <c r="V380" s="7"/>
    </row>
    <row r="381" ht="15.75" customHeight="1">
      <c r="T381" s="7"/>
      <c r="U381" s="7"/>
      <c r="V381" s="7"/>
    </row>
    <row r="382" ht="15.75" customHeight="1">
      <c r="T382" s="7"/>
      <c r="U382" s="7"/>
      <c r="V382" s="7"/>
    </row>
    <row r="383" ht="15.75" customHeight="1">
      <c r="T383" s="7"/>
      <c r="U383" s="7"/>
      <c r="V383" s="7"/>
    </row>
    <row r="384" ht="15.75" customHeight="1">
      <c r="T384" s="7"/>
      <c r="U384" s="7"/>
      <c r="V384" s="7"/>
    </row>
    <row r="385" ht="15.75" customHeight="1">
      <c r="T385" s="7"/>
      <c r="U385" s="7"/>
      <c r="V385" s="7"/>
    </row>
    <row r="386" ht="15.75" customHeight="1">
      <c r="T386" s="7"/>
      <c r="U386" s="7"/>
      <c r="V386" s="7"/>
    </row>
    <row r="387" ht="15.75" customHeight="1">
      <c r="T387" s="7"/>
      <c r="U387" s="7"/>
      <c r="V387" s="7"/>
    </row>
    <row r="388" ht="15.75" customHeight="1">
      <c r="T388" s="7"/>
      <c r="U388" s="7"/>
      <c r="V388" s="7"/>
    </row>
    <row r="389" ht="15.75" customHeight="1">
      <c r="T389" s="7"/>
      <c r="U389" s="7"/>
      <c r="V389" s="7"/>
    </row>
    <row r="390" ht="15.75" customHeight="1">
      <c r="T390" s="7"/>
      <c r="U390" s="7"/>
      <c r="V390" s="7"/>
    </row>
    <row r="391" ht="15.75" customHeight="1">
      <c r="T391" s="7"/>
      <c r="U391" s="7"/>
      <c r="V391" s="7"/>
    </row>
    <row r="392" ht="15.75" customHeight="1">
      <c r="T392" s="7"/>
      <c r="U392" s="7"/>
      <c r="V392" s="7"/>
    </row>
    <row r="393" ht="15.75" customHeight="1">
      <c r="T393" s="7"/>
      <c r="U393" s="7"/>
      <c r="V393" s="7"/>
    </row>
    <row r="394" ht="15.75" customHeight="1">
      <c r="T394" s="7"/>
      <c r="U394" s="7"/>
      <c r="V394" s="7"/>
    </row>
    <row r="395" ht="15.75" customHeight="1">
      <c r="T395" s="7"/>
      <c r="U395" s="7"/>
      <c r="V395" s="7"/>
    </row>
    <row r="396" ht="15.75" customHeight="1">
      <c r="T396" s="7"/>
      <c r="U396" s="7"/>
      <c r="V396" s="7"/>
    </row>
    <row r="397" ht="15.75" customHeight="1">
      <c r="T397" s="7"/>
      <c r="U397" s="7"/>
      <c r="V397" s="7"/>
    </row>
    <row r="398" ht="15.75" customHeight="1">
      <c r="T398" s="7"/>
      <c r="U398" s="7"/>
      <c r="V398" s="7"/>
    </row>
    <row r="399" ht="15.75" customHeight="1">
      <c r="T399" s="7"/>
      <c r="U399" s="7"/>
      <c r="V399" s="7"/>
    </row>
    <row r="400" ht="15.75" customHeight="1">
      <c r="T400" s="7"/>
      <c r="U400" s="7"/>
      <c r="V400" s="7"/>
    </row>
    <row r="401" ht="15.75" customHeight="1">
      <c r="T401" s="7"/>
      <c r="U401" s="7"/>
      <c r="V401" s="7"/>
    </row>
    <row r="402" ht="15.75" customHeight="1">
      <c r="T402" s="7"/>
      <c r="U402" s="7"/>
      <c r="V402" s="7"/>
    </row>
    <row r="403" ht="15.75" customHeight="1">
      <c r="T403" s="7"/>
      <c r="U403" s="7"/>
      <c r="V403" s="7"/>
    </row>
    <row r="404" ht="15.75" customHeight="1">
      <c r="T404" s="7"/>
      <c r="U404" s="7"/>
      <c r="V404" s="7"/>
    </row>
    <row r="405" ht="15.75" customHeight="1">
      <c r="T405" s="7"/>
      <c r="U405" s="7"/>
      <c r="V405" s="7"/>
    </row>
    <row r="406" ht="15.75" customHeight="1">
      <c r="T406" s="7"/>
      <c r="U406" s="7"/>
      <c r="V406" s="7"/>
    </row>
    <row r="407" ht="15.75" customHeight="1">
      <c r="T407" s="7"/>
      <c r="U407" s="7"/>
      <c r="V407" s="7"/>
    </row>
    <row r="408" ht="15.75" customHeight="1">
      <c r="T408" s="7"/>
      <c r="U408" s="7"/>
      <c r="V408" s="7"/>
    </row>
    <row r="409" ht="15.75" customHeight="1">
      <c r="T409" s="7"/>
      <c r="U409" s="7"/>
      <c r="V409" s="7"/>
    </row>
    <row r="410" ht="15.75" customHeight="1">
      <c r="T410" s="7"/>
      <c r="U410" s="7"/>
      <c r="V410" s="7"/>
    </row>
    <row r="411" ht="15.75" customHeight="1">
      <c r="T411" s="7"/>
      <c r="U411" s="7"/>
      <c r="V411" s="7"/>
    </row>
    <row r="412" ht="15.75" customHeight="1">
      <c r="T412" s="7"/>
      <c r="U412" s="7"/>
      <c r="V412" s="7"/>
    </row>
    <row r="413" ht="15.75" customHeight="1">
      <c r="T413" s="7"/>
      <c r="U413" s="7"/>
      <c r="V413" s="7"/>
    </row>
    <row r="414" ht="15.75" customHeight="1">
      <c r="T414" s="7"/>
      <c r="U414" s="7"/>
      <c r="V414" s="7"/>
    </row>
    <row r="415" ht="15.75" customHeight="1">
      <c r="T415" s="7"/>
      <c r="U415" s="7"/>
      <c r="V415" s="7"/>
    </row>
    <row r="416" ht="15.75" customHeight="1">
      <c r="T416" s="7"/>
      <c r="U416" s="7"/>
      <c r="V416" s="7"/>
    </row>
    <row r="417" ht="15.75" customHeight="1">
      <c r="T417" s="7"/>
      <c r="U417" s="7"/>
      <c r="V417" s="7"/>
    </row>
    <row r="418" ht="15.75" customHeight="1">
      <c r="T418" s="7"/>
      <c r="U418" s="7"/>
      <c r="V418" s="7"/>
    </row>
    <row r="419" ht="15.75" customHeight="1">
      <c r="T419" s="7"/>
      <c r="U419" s="7"/>
      <c r="V419" s="7"/>
    </row>
    <row r="420" ht="15.75" customHeight="1">
      <c r="T420" s="7"/>
      <c r="U420" s="7"/>
      <c r="V420" s="7"/>
    </row>
    <row r="421" ht="15.75" customHeight="1">
      <c r="T421" s="7"/>
      <c r="U421" s="7"/>
      <c r="V421" s="7"/>
    </row>
    <row r="422" ht="15.75" customHeight="1">
      <c r="T422" s="7"/>
      <c r="U422" s="7"/>
      <c r="V422" s="7"/>
    </row>
    <row r="423" ht="15.75" customHeight="1">
      <c r="T423" s="7"/>
      <c r="U423" s="7"/>
      <c r="V423" s="7"/>
    </row>
    <row r="424" ht="15.75" customHeight="1">
      <c r="T424" s="7"/>
      <c r="U424" s="7"/>
      <c r="V424" s="7"/>
    </row>
    <row r="425" ht="15.75" customHeight="1">
      <c r="T425" s="7"/>
      <c r="U425" s="7"/>
      <c r="V425" s="7"/>
    </row>
    <row r="426" ht="15.75" customHeight="1">
      <c r="T426" s="7"/>
      <c r="U426" s="7"/>
      <c r="V426" s="7"/>
    </row>
    <row r="427" ht="15.75" customHeight="1">
      <c r="T427" s="7"/>
      <c r="U427" s="7"/>
      <c r="V427" s="7"/>
    </row>
    <row r="428" ht="15.75" customHeight="1">
      <c r="T428" s="7"/>
      <c r="U428" s="7"/>
      <c r="V428" s="7"/>
    </row>
    <row r="429" ht="15.75" customHeight="1">
      <c r="T429" s="7"/>
      <c r="U429" s="7"/>
      <c r="V429" s="7"/>
    </row>
    <row r="430" ht="15.75" customHeight="1">
      <c r="T430" s="7"/>
      <c r="U430" s="7"/>
      <c r="V430" s="7"/>
    </row>
    <row r="431" ht="15.75" customHeight="1">
      <c r="T431" s="7"/>
      <c r="U431" s="7"/>
      <c r="V431" s="7"/>
    </row>
    <row r="432" ht="15.75" customHeight="1">
      <c r="T432" s="7"/>
      <c r="U432" s="7"/>
      <c r="V432" s="7"/>
    </row>
    <row r="433" ht="15.75" customHeight="1">
      <c r="T433" s="7"/>
      <c r="U433" s="7"/>
      <c r="V433" s="7"/>
    </row>
    <row r="434" ht="15.75" customHeight="1">
      <c r="T434" s="7"/>
      <c r="U434" s="7"/>
      <c r="V434" s="7"/>
    </row>
    <row r="435" ht="15.75" customHeight="1">
      <c r="T435" s="7"/>
      <c r="U435" s="7"/>
      <c r="V435" s="7"/>
    </row>
    <row r="436" ht="15.75" customHeight="1">
      <c r="T436" s="7"/>
      <c r="U436" s="7"/>
      <c r="V436" s="7"/>
    </row>
    <row r="437" ht="15.75" customHeight="1">
      <c r="T437" s="7"/>
      <c r="U437" s="7"/>
      <c r="V437" s="7"/>
    </row>
    <row r="438" ht="15.75" customHeight="1">
      <c r="T438" s="7"/>
      <c r="U438" s="7"/>
      <c r="V438" s="7"/>
    </row>
    <row r="439" ht="15.75" customHeight="1">
      <c r="T439" s="7"/>
      <c r="U439" s="7"/>
      <c r="V439" s="7"/>
    </row>
    <row r="440" ht="15.75" customHeight="1">
      <c r="T440" s="7"/>
      <c r="U440" s="7"/>
      <c r="V440" s="7"/>
    </row>
    <row r="441" ht="15.75" customHeight="1">
      <c r="T441" s="7"/>
      <c r="U441" s="7"/>
      <c r="V441" s="7"/>
    </row>
    <row r="442" ht="15.75" customHeight="1">
      <c r="T442" s="7"/>
      <c r="U442" s="7"/>
      <c r="V442" s="7"/>
    </row>
    <row r="443" ht="15.75" customHeight="1">
      <c r="T443" s="7"/>
      <c r="U443" s="7"/>
      <c r="V443" s="7"/>
    </row>
    <row r="444" ht="15.75" customHeight="1">
      <c r="T444" s="7"/>
      <c r="U444" s="7"/>
      <c r="V444" s="7"/>
    </row>
    <row r="445" ht="15.75" customHeight="1">
      <c r="T445" s="7"/>
      <c r="U445" s="7"/>
      <c r="V445" s="7"/>
    </row>
    <row r="446" ht="15.75" customHeight="1">
      <c r="T446" s="7"/>
      <c r="U446" s="7"/>
      <c r="V446" s="7"/>
    </row>
    <row r="447" ht="15.75" customHeight="1">
      <c r="T447" s="7"/>
      <c r="U447" s="7"/>
      <c r="V447" s="7"/>
    </row>
    <row r="448" ht="15.75" customHeight="1">
      <c r="T448" s="7"/>
      <c r="U448" s="7"/>
      <c r="V448" s="7"/>
    </row>
    <row r="449" ht="15.75" customHeight="1">
      <c r="T449" s="7"/>
      <c r="U449" s="7"/>
      <c r="V449" s="7"/>
    </row>
    <row r="450" ht="15.75" customHeight="1">
      <c r="T450" s="7"/>
      <c r="U450" s="7"/>
      <c r="V450" s="7"/>
    </row>
    <row r="451" ht="15.75" customHeight="1">
      <c r="T451" s="7"/>
      <c r="U451" s="7"/>
      <c r="V451" s="7"/>
    </row>
    <row r="452" ht="15.75" customHeight="1">
      <c r="T452" s="7"/>
      <c r="U452" s="7"/>
      <c r="V452" s="7"/>
    </row>
    <row r="453" ht="15.75" customHeight="1">
      <c r="T453" s="7"/>
      <c r="U453" s="7"/>
      <c r="V453" s="7"/>
    </row>
    <row r="454" ht="15.75" customHeight="1">
      <c r="T454" s="7"/>
      <c r="U454" s="7"/>
      <c r="V454" s="7"/>
    </row>
    <row r="455" ht="15.75" customHeight="1">
      <c r="T455" s="7"/>
      <c r="U455" s="7"/>
      <c r="V455" s="7"/>
    </row>
    <row r="456" ht="15.75" customHeight="1">
      <c r="T456" s="7"/>
      <c r="U456" s="7"/>
      <c r="V456" s="7"/>
    </row>
    <row r="457" ht="15.75" customHeight="1">
      <c r="T457" s="7"/>
      <c r="U457" s="7"/>
      <c r="V457" s="7"/>
    </row>
    <row r="458" ht="15.75" customHeight="1">
      <c r="T458" s="7"/>
      <c r="U458" s="7"/>
      <c r="V458" s="7"/>
    </row>
    <row r="459" ht="15.75" customHeight="1">
      <c r="T459" s="7"/>
      <c r="U459" s="7"/>
      <c r="V459" s="7"/>
    </row>
    <row r="460" ht="15.75" customHeight="1">
      <c r="T460" s="7"/>
      <c r="U460" s="7"/>
      <c r="V460" s="7"/>
    </row>
    <row r="461" ht="15.75" customHeight="1">
      <c r="T461" s="7"/>
      <c r="U461" s="7"/>
      <c r="V461" s="7"/>
    </row>
    <row r="462" ht="15.75" customHeight="1">
      <c r="T462" s="7"/>
      <c r="U462" s="7"/>
      <c r="V462" s="7"/>
    </row>
    <row r="463" ht="15.75" customHeight="1">
      <c r="T463" s="7"/>
      <c r="U463" s="7"/>
      <c r="V463" s="7"/>
    </row>
    <row r="464" ht="15.75" customHeight="1">
      <c r="T464" s="7"/>
      <c r="U464" s="7"/>
      <c r="V464" s="7"/>
    </row>
    <row r="465" ht="15.75" customHeight="1">
      <c r="T465" s="7"/>
      <c r="U465" s="7"/>
      <c r="V465" s="7"/>
    </row>
    <row r="466" ht="15.75" customHeight="1">
      <c r="T466" s="7"/>
      <c r="U466" s="7"/>
      <c r="V466" s="7"/>
    </row>
    <row r="467" ht="15.75" customHeight="1">
      <c r="T467" s="7"/>
      <c r="U467" s="7"/>
      <c r="V467" s="7"/>
    </row>
    <row r="468" ht="15.75" customHeight="1">
      <c r="T468" s="7"/>
      <c r="U468" s="7"/>
      <c r="V468" s="7"/>
    </row>
    <row r="469" ht="15.75" customHeight="1">
      <c r="T469" s="7"/>
      <c r="U469" s="7"/>
      <c r="V469" s="7"/>
    </row>
    <row r="470" ht="15.75" customHeight="1">
      <c r="T470" s="7"/>
      <c r="U470" s="7"/>
      <c r="V470" s="7"/>
    </row>
    <row r="471" ht="15.75" customHeight="1">
      <c r="T471" s="7"/>
      <c r="U471" s="7"/>
      <c r="V471" s="7"/>
    </row>
    <row r="472" ht="15.75" customHeight="1">
      <c r="T472" s="7"/>
      <c r="U472" s="7"/>
      <c r="V472" s="7"/>
    </row>
    <row r="473" ht="15.75" customHeight="1">
      <c r="T473" s="7"/>
      <c r="U473" s="7"/>
      <c r="V473" s="7"/>
    </row>
    <row r="474" ht="15.75" customHeight="1">
      <c r="T474" s="7"/>
      <c r="U474" s="7"/>
      <c r="V474" s="7"/>
    </row>
    <row r="475" ht="15.75" customHeight="1">
      <c r="T475" s="7"/>
      <c r="U475" s="7"/>
      <c r="V475" s="7"/>
    </row>
    <row r="476" ht="15.75" customHeight="1">
      <c r="T476" s="7"/>
      <c r="U476" s="7"/>
      <c r="V476" s="7"/>
    </row>
    <row r="477" ht="15.75" customHeight="1">
      <c r="T477" s="7"/>
      <c r="U477" s="7"/>
      <c r="V477" s="7"/>
    </row>
    <row r="478" ht="15.75" customHeight="1">
      <c r="T478" s="7"/>
      <c r="U478" s="7"/>
      <c r="V478" s="7"/>
    </row>
    <row r="479" ht="15.75" customHeight="1">
      <c r="T479" s="7"/>
      <c r="U479" s="7"/>
      <c r="V479" s="7"/>
    </row>
    <row r="480" ht="15.75" customHeight="1">
      <c r="T480" s="7"/>
      <c r="U480" s="7"/>
      <c r="V480" s="7"/>
    </row>
    <row r="481" ht="15.75" customHeight="1">
      <c r="T481" s="7"/>
      <c r="U481" s="7"/>
      <c r="V481" s="7"/>
    </row>
    <row r="482" ht="15.75" customHeight="1">
      <c r="T482" s="7"/>
      <c r="U482" s="7"/>
      <c r="V482" s="7"/>
    </row>
    <row r="483" ht="15.75" customHeight="1">
      <c r="T483" s="7"/>
      <c r="U483" s="7"/>
      <c r="V483" s="7"/>
    </row>
    <row r="484" ht="15.75" customHeight="1">
      <c r="T484" s="7"/>
      <c r="U484" s="7"/>
      <c r="V484" s="7"/>
    </row>
    <row r="485" ht="15.75" customHeight="1">
      <c r="T485" s="7"/>
      <c r="U485" s="7"/>
      <c r="V485" s="7"/>
    </row>
    <row r="486" ht="15.75" customHeight="1">
      <c r="T486" s="7"/>
      <c r="U486" s="7"/>
      <c r="V486" s="7"/>
    </row>
    <row r="487" ht="15.75" customHeight="1">
      <c r="T487" s="7"/>
      <c r="U487" s="7"/>
      <c r="V487" s="7"/>
    </row>
    <row r="488" ht="15.75" customHeight="1">
      <c r="T488" s="7"/>
      <c r="U488" s="7"/>
      <c r="V488" s="7"/>
    </row>
    <row r="489" ht="15.75" customHeight="1">
      <c r="T489" s="7"/>
      <c r="U489" s="7"/>
      <c r="V489" s="7"/>
    </row>
    <row r="490" ht="15.75" customHeight="1">
      <c r="T490" s="7"/>
      <c r="U490" s="7"/>
      <c r="V490" s="7"/>
    </row>
    <row r="491" ht="15.75" customHeight="1">
      <c r="T491" s="7"/>
      <c r="U491" s="7"/>
      <c r="V491" s="7"/>
    </row>
    <row r="492" ht="15.75" customHeight="1">
      <c r="T492" s="7"/>
      <c r="U492" s="7"/>
      <c r="V492" s="7"/>
    </row>
    <row r="493" ht="15.75" customHeight="1">
      <c r="T493" s="7"/>
      <c r="U493" s="7"/>
      <c r="V493" s="7"/>
    </row>
    <row r="494" ht="15.75" customHeight="1">
      <c r="T494" s="7"/>
      <c r="U494" s="7"/>
      <c r="V494" s="7"/>
    </row>
    <row r="495" ht="15.75" customHeight="1">
      <c r="T495" s="7"/>
      <c r="U495" s="7"/>
      <c r="V495" s="7"/>
    </row>
    <row r="496" ht="15.75" customHeight="1">
      <c r="T496" s="7"/>
      <c r="U496" s="7"/>
      <c r="V496" s="7"/>
    </row>
    <row r="497" ht="15.75" customHeight="1">
      <c r="T497" s="7"/>
      <c r="U497" s="7"/>
      <c r="V497" s="7"/>
    </row>
    <row r="498" ht="15.75" customHeight="1">
      <c r="T498" s="7"/>
      <c r="U498" s="7"/>
      <c r="V498" s="7"/>
    </row>
    <row r="499" ht="15.75" customHeight="1">
      <c r="T499" s="7"/>
      <c r="U499" s="7"/>
      <c r="V499" s="7"/>
    </row>
    <row r="500" ht="15.75" customHeight="1">
      <c r="T500" s="7"/>
      <c r="U500" s="7"/>
      <c r="V500" s="7"/>
    </row>
    <row r="501" ht="15.75" customHeight="1">
      <c r="T501" s="7"/>
      <c r="U501" s="7"/>
      <c r="V501" s="7"/>
    </row>
    <row r="502" ht="15.75" customHeight="1">
      <c r="T502" s="7"/>
      <c r="U502" s="7"/>
      <c r="V502" s="7"/>
    </row>
    <row r="503" ht="15.75" customHeight="1">
      <c r="T503" s="7"/>
      <c r="U503" s="7"/>
      <c r="V503" s="7"/>
    </row>
    <row r="504" ht="15.75" customHeight="1">
      <c r="T504" s="7"/>
      <c r="U504" s="7"/>
      <c r="V504" s="7"/>
    </row>
    <row r="505" ht="15.75" customHeight="1">
      <c r="T505" s="7"/>
      <c r="U505" s="7"/>
      <c r="V505" s="7"/>
    </row>
    <row r="506" ht="15.75" customHeight="1">
      <c r="T506" s="7"/>
      <c r="U506" s="7"/>
      <c r="V506" s="7"/>
    </row>
    <row r="507" ht="15.75" customHeight="1">
      <c r="T507" s="7"/>
      <c r="U507" s="7"/>
      <c r="V507" s="7"/>
    </row>
    <row r="508" ht="15.75" customHeight="1">
      <c r="T508" s="7"/>
      <c r="U508" s="7"/>
      <c r="V508" s="7"/>
    </row>
    <row r="509" ht="15.75" customHeight="1">
      <c r="T509" s="7"/>
      <c r="U509" s="7"/>
      <c r="V509" s="7"/>
    </row>
    <row r="510" ht="15.75" customHeight="1">
      <c r="T510" s="7"/>
      <c r="U510" s="7"/>
      <c r="V510" s="7"/>
    </row>
    <row r="511" ht="15.75" customHeight="1">
      <c r="T511" s="7"/>
      <c r="U511" s="7"/>
      <c r="V511" s="7"/>
    </row>
    <row r="512" ht="15.75" customHeight="1">
      <c r="T512" s="7"/>
      <c r="U512" s="7"/>
      <c r="V512" s="7"/>
    </row>
    <row r="513" ht="15.75" customHeight="1">
      <c r="T513" s="7"/>
      <c r="U513" s="7"/>
      <c r="V513" s="7"/>
    </row>
    <row r="514" ht="15.75" customHeight="1">
      <c r="T514" s="7"/>
      <c r="U514" s="7"/>
      <c r="V514" s="7"/>
    </row>
    <row r="515" ht="15.75" customHeight="1">
      <c r="T515" s="7"/>
      <c r="U515" s="7"/>
      <c r="V515" s="7"/>
    </row>
    <row r="516" ht="15.75" customHeight="1">
      <c r="T516" s="7"/>
      <c r="U516" s="7"/>
      <c r="V516" s="7"/>
    </row>
    <row r="517" ht="15.75" customHeight="1">
      <c r="T517" s="7"/>
      <c r="U517" s="7"/>
      <c r="V517" s="7"/>
    </row>
    <row r="518" ht="15.75" customHeight="1">
      <c r="T518" s="7"/>
      <c r="U518" s="7"/>
      <c r="V518" s="7"/>
    </row>
    <row r="519" ht="15.75" customHeight="1">
      <c r="T519" s="7"/>
      <c r="U519" s="7"/>
      <c r="V519" s="7"/>
    </row>
    <row r="520" ht="15.75" customHeight="1">
      <c r="T520" s="7"/>
      <c r="U520" s="7"/>
      <c r="V520" s="7"/>
    </row>
    <row r="521" ht="15.75" customHeight="1">
      <c r="T521" s="7"/>
      <c r="U521" s="7"/>
      <c r="V521" s="7"/>
    </row>
    <row r="522" ht="15.75" customHeight="1">
      <c r="T522" s="7"/>
      <c r="U522" s="7"/>
      <c r="V522" s="7"/>
    </row>
    <row r="523" ht="15.75" customHeight="1">
      <c r="T523" s="7"/>
      <c r="U523" s="7"/>
      <c r="V523" s="7"/>
    </row>
    <row r="524" ht="15.75" customHeight="1">
      <c r="T524" s="7"/>
      <c r="U524" s="7"/>
      <c r="V524" s="7"/>
    </row>
    <row r="525" ht="15.75" customHeight="1">
      <c r="T525" s="7"/>
      <c r="U525" s="7"/>
      <c r="V525" s="7"/>
    </row>
    <row r="526" ht="15.75" customHeight="1">
      <c r="T526" s="7"/>
      <c r="U526" s="7"/>
      <c r="V526" s="7"/>
    </row>
    <row r="527" ht="15.75" customHeight="1">
      <c r="T527" s="7"/>
      <c r="U527" s="7"/>
      <c r="V527" s="7"/>
    </row>
    <row r="528" ht="15.75" customHeight="1">
      <c r="T528" s="7"/>
      <c r="U528" s="7"/>
      <c r="V528" s="7"/>
    </row>
    <row r="529" ht="15.75" customHeight="1">
      <c r="T529" s="7"/>
      <c r="U529" s="7"/>
      <c r="V529" s="7"/>
    </row>
    <row r="530" ht="15.75" customHeight="1">
      <c r="T530" s="7"/>
      <c r="U530" s="7"/>
      <c r="V530" s="7"/>
    </row>
    <row r="531" ht="15.75" customHeight="1">
      <c r="T531" s="7"/>
      <c r="U531" s="7"/>
      <c r="V531" s="7"/>
    </row>
    <row r="532" ht="15.75" customHeight="1">
      <c r="T532" s="7"/>
      <c r="U532" s="7"/>
      <c r="V532" s="7"/>
    </row>
    <row r="533" ht="15.75" customHeight="1">
      <c r="T533" s="7"/>
      <c r="U533" s="7"/>
      <c r="V533" s="7"/>
    </row>
    <row r="534" ht="15.75" customHeight="1">
      <c r="T534" s="7"/>
      <c r="U534" s="7"/>
      <c r="V534" s="7"/>
    </row>
    <row r="535" ht="15.75" customHeight="1">
      <c r="T535" s="7"/>
      <c r="U535" s="7"/>
      <c r="V535" s="7"/>
    </row>
    <row r="536" ht="15.75" customHeight="1">
      <c r="T536" s="7"/>
      <c r="U536" s="7"/>
      <c r="V536" s="7"/>
    </row>
    <row r="537" ht="15.75" customHeight="1">
      <c r="T537" s="7"/>
      <c r="U537" s="7"/>
      <c r="V537" s="7"/>
    </row>
    <row r="538" ht="15.75" customHeight="1">
      <c r="T538" s="7"/>
      <c r="U538" s="7"/>
      <c r="V538" s="7"/>
    </row>
    <row r="539" ht="15.75" customHeight="1">
      <c r="T539" s="7"/>
      <c r="U539" s="7"/>
      <c r="V539" s="7"/>
    </row>
    <row r="540" ht="15.75" customHeight="1">
      <c r="T540" s="7"/>
      <c r="U540" s="7"/>
      <c r="V540" s="7"/>
    </row>
    <row r="541" ht="15.75" customHeight="1">
      <c r="T541" s="7"/>
      <c r="U541" s="7"/>
      <c r="V541" s="7"/>
    </row>
    <row r="542" ht="15.75" customHeight="1">
      <c r="T542" s="7"/>
      <c r="U542" s="7"/>
      <c r="V542" s="7"/>
    </row>
    <row r="543" ht="15.75" customHeight="1">
      <c r="T543" s="7"/>
      <c r="U543" s="7"/>
      <c r="V543" s="7"/>
    </row>
    <row r="544" ht="15.75" customHeight="1">
      <c r="T544" s="7"/>
      <c r="U544" s="7"/>
      <c r="V544" s="7"/>
    </row>
    <row r="545" ht="15.75" customHeight="1">
      <c r="T545" s="7"/>
      <c r="U545" s="7"/>
      <c r="V545" s="7"/>
    </row>
    <row r="546" ht="15.75" customHeight="1">
      <c r="T546" s="7"/>
      <c r="U546" s="7"/>
      <c r="V546" s="7"/>
    </row>
    <row r="547" ht="15.75" customHeight="1">
      <c r="T547" s="7"/>
      <c r="U547" s="7"/>
      <c r="V547" s="7"/>
    </row>
    <row r="548" ht="15.75" customHeight="1">
      <c r="T548" s="7"/>
      <c r="U548" s="7"/>
      <c r="V548" s="7"/>
    </row>
    <row r="549" ht="15.75" customHeight="1">
      <c r="T549" s="7"/>
      <c r="U549" s="7"/>
      <c r="V549" s="7"/>
    </row>
    <row r="550" ht="15.75" customHeight="1">
      <c r="T550" s="7"/>
      <c r="U550" s="7"/>
      <c r="V550" s="7"/>
    </row>
    <row r="551" ht="15.75" customHeight="1">
      <c r="T551" s="7"/>
      <c r="U551" s="7"/>
      <c r="V551" s="7"/>
    </row>
    <row r="552" ht="15.75" customHeight="1">
      <c r="T552" s="7"/>
      <c r="U552" s="7"/>
      <c r="V552" s="7"/>
    </row>
    <row r="553" ht="15.75" customHeight="1">
      <c r="T553" s="7"/>
      <c r="U553" s="7"/>
      <c r="V553" s="7"/>
    </row>
    <row r="554" ht="15.75" customHeight="1">
      <c r="T554" s="7"/>
      <c r="U554" s="7"/>
      <c r="V554" s="7"/>
    </row>
    <row r="555" ht="15.75" customHeight="1">
      <c r="T555" s="7"/>
      <c r="U555" s="7"/>
      <c r="V555" s="7"/>
    </row>
    <row r="556" ht="15.75" customHeight="1">
      <c r="T556" s="7"/>
      <c r="U556" s="7"/>
      <c r="V556" s="7"/>
    </row>
    <row r="557" ht="15.75" customHeight="1">
      <c r="T557" s="7"/>
      <c r="U557" s="7"/>
      <c r="V557" s="7"/>
    </row>
    <row r="558" ht="15.75" customHeight="1">
      <c r="T558" s="7"/>
      <c r="U558" s="7"/>
      <c r="V558" s="7"/>
    </row>
    <row r="559" ht="15.75" customHeight="1">
      <c r="T559" s="7"/>
      <c r="U559" s="7"/>
      <c r="V559" s="7"/>
    </row>
    <row r="560" ht="15.75" customHeight="1">
      <c r="T560" s="7"/>
      <c r="U560" s="7"/>
      <c r="V560" s="7"/>
    </row>
    <row r="561" ht="15.75" customHeight="1">
      <c r="T561" s="7"/>
      <c r="U561" s="7"/>
      <c r="V561" s="7"/>
    </row>
    <row r="562" ht="15.75" customHeight="1">
      <c r="T562" s="7"/>
      <c r="U562" s="7"/>
      <c r="V562" s="7"/>
    </row>
    <row r="563" ht="15.75" customHeight="1">
      <c r="T563" s="7"/>
      <c r="U563" s="7"/>
      <c r="V563" s="7"/>
    </row>
    <row r="564" ht="15.75" customHeight="1">
      <c r="T564" s="7"/>
      <c r="U564" s="7"/>
      <c r="V564" s="7"/>
    </row>
    <row r="565" ht="15.75" customHeight="1">
      <c r="T565" s="7"/>
      <c r="U565" s="7"/>
      <c r="V565" s="7"/>
    </row>
    <row r="566" ht="15.75" customHeight="1">
      <c r="T566" s="7"/>
      <c r="U566" s="7"/>
      <c r="V566" s="7"/>
    </row>
    <row r="567" ht="15.75" customHeight="1">
      <c r="T567" s="7"/>
      <c r="U567" s="7"/>
      <c r="V567" s="7"/>
    </row>
    <row r="568" ht="15.75" customHeight="1">
      <c r="T568" s="7"/>
      <c r="U568" s="7"/>
      <c r="V568" s="7"/>
    </row>
    <row r="569" ht="15.75" customHeight="1">
      <c r="T569" s="7"/>
      <c r="U569" s="7"/>
      <c r="V569" s="7"/>
    </row>
    <row r="570" ht="15.75" customHeight="1">
      <c r="T570" s="7"/>
      <c r="U570" s="7"/>
      <c r="V570" s="7"/>
    </row>
    <row r="571" ht="15.75" customHeight="1">
      <c r="T571" s="7"/>
      <c r="U571" s="7"/>
      <c r="V571" s="7"/>
    </row>
    <row r="572" ht="15.75" customHeight="1">
      <c r="T572" s="7"/>
      <c r="U572" s="7"/>
      <c r="V572" s="7"/>
    </row>
    <row r="573" ht="15.75" customHeight="1">
      <c r="T573" s="7"/>
      <c r="U573" s="7"/>
      <c r="V573" s="7"/>
    </row>
    <row r="574" ht="15.75" customHeight="1">
      <c r="T574" s="7"/>
      <c r="U574" s="7"/>
      <c r="V574" s="7"/>
    </row>
    <row r="575" ht="15.75" customHeight="1">
      <c r="T575" s="7"/>
      <c r="U575" s="7"/>
      <c r="V575" s="7"/>
    </row>
    <row r="576" ht="15.75" customHeight="1">
      <c r="T576" s="7"/>
      <c r="U576" s="7"/>
      <c r="V576" s="7"/>
    </row>
    <row r="577" ht="15.75" customHeight="1">
      <c r="T577" s="7"/>
      <c r="U577" s="7"/>
      <c r="V577" s="7"/>
    </row>
    <row r="578" ht="15.75" customHeight="1">
      <c r="T578" s="7"/>
      <c r="U578" s="7"/>
      <c r="V578" s="7"/>
    </row>
    <row r="579" ht="15.75" customHeight="1">
      <c r="T579" s="7"/>
      <c r="U579" s="7"/>
      <c r="V579" s="7"/>
    </row>
    <row r="580" ht="15.75" customHeight="1">
      <c r="T580" s="7"/>
      <c r="U580" s="7"/>
      <c r="V580" s="7"/>
    </row>
    <row r="581" ht="15.75" customHeight="1">
      <c r="T581" s="7"/>
      <c r="U581" s="7"/>
      <c r="V581" s="7"/>
    </row>
    <row r="582" ht="15.75" customHeight="1">
      <c r="T582" s="7"/>
      <c r="U582" s="7"/>
      <c r="V582" s="7"/>
    </row>
    <row r="583" ht="15.75" customHeight="1">
      <c r="T583" s="7"/>
      <c r="U583" s="7"/>
      <c r="V583" s="7"/>
    </row>
    <row r="584" ht="15.75" customHeight="1">
      <c r="T584" s="7"/>
      <c r="U584" s="7"/>
      <c r="V584" s="7"/>
    </row>
    <row r="585" ht="15.75" customHeight="1">
      <c r="T585" s="7"/>
      <c r="U585" s="7"/>
      <c r="V585" s="7"/>
    </row>
    <row r="586" ht="15.75" customHeight="1">
      <c r="T586" s="7"/>
      <c r="U586" s="7"/>
      <c r="V586" s="7"/>
    </row>
    <row r="587" ht="15.75" customHeight="1">
      <c r="T587" s="7"/>
      <c r="U587" s="7"/>
      <c r="V587" s="7"/>
    </row>
    <row r="588" ht="15.75" customHeight="1">
      <c r="T588" s="7"/>
      <c r="U588" s="7"/>
      <c r="V588" s="7"/>
    </row>
    <row r="589" ht="15.75" customHeight="1">
      <c r="T589" s="7"/>
      <c r="U589" s="7"/>
      <c r="V589" s="7"/>
    </row>
    <row r="590" ht="15.75" customHeight="1">
      <c r="T590" s="7"/>
      <c r="U590" s="7"/>
      <c r="V590" s="7"/>
    </row>
    <row r="591" ht="15.75" customHeight="1">
      <c r="T591" s="7"/>
      <c r="U591" s="7"/>
      <c r="V591" s="7"/>
    </row>
    <row r="592" ht="15.75" customHeight="1">
      <c r="T592" s="7"/>
      <c r="U592" s="7"/>
      <c r="V592" s="7"/>
    </row>
    <row r="593" ht="15.75" customHeight="1">
      <c r="T593" s="7"/>
      <c r="U593" s="7"/>
      <c r="V593" s="7"/>
    </row>
    <row r="594" ht="15.75" customHeight="1">
      <c r="T594" s="7"/>
      <c r="U594" s="7"/>
      <c r="V594" s="7"/>
    </row>
    <row r="595" ht="15.75" customHeight="1">
      <c r="T595" s="7"/>
      <c r="U595" s="7"/>
      <c r="V595" s="7"/>
    </row>
    <row r="596" ht="15.75" customHeight="1">
      <c r="T596" s="7"/>
      <c r="U596" s="7"/>
      <c r="V596" s="7"/>
    </row>
    <row r="597" ht="15.75" customHeight="1">
      <c r="T597" s="7"/>
      <c r="U597" s="7"/>
      <c r="V597" s="7"/>
    </row>
    <row r="598" ht="15.75" customHeight="1">
      <c r="T598" s="7"/>
      <c r="U598" s="7"/>
      <c r="V598" s="7"/>
    </row>
    <row r="599" ht="15.75" customHeight="1">
      <c r="T599" s="7"/>
      <c r="U599" s="7"/>
      <c r="V599" s="7"/>
    </row>
    <row r="600" ht="15.75" customHeight="1">
      <c r="T600" s="7"/>
      <c r="U600" s="7"/>
      <c r="V600" s="7"/>
    </row>
    <row r="601" ht="15.75" customHeight="1">
      <c r="T601" s="7"/>
      <c r="U601" s="7"/>
      <c r="V601" s="7"/>
    </row>
    <row r="602" ht="15.75" customHeight="1">
      <c r="T602" s="7"/>
      <c r="U602" s="7"/>
      <c r="V602" s="7"/>
    </row>
    <row r="603" ht="15.75" customHeight="1">
      <c r="T603" s="7"/>
      <c r="U603" s="7"/>
      <c r="V603" s="7"/>
    </row>
    <row r="604" ht="15.75" customHeight="1">
      <c r="T604" s="7"/>
      <c r="U604" s="7"/>
      <c r="V604" s="7"/>
    </row>
    <row r="605" ht="15.75" customHeight="1">
      <c r="T605" s="7"/>
      <c r="U605" s="7"/>
      <c r="V605" s="7"/>
    </row>
    <row r="606" ht="15.75" customHeight="1">
      <c r="T606" s="7"/>
      <c r="U606" s="7"/>
      <c r="V606" s="7"/>
    </row>
    <row r="607" ht="15.75" customHeight="1">
      <c r="T607" s="7"/>
      <c r="U607" s="7"/>
      <c r="V607" s="7"/>
    </row>
    <row r="608" ht="15.75" customHeight="1">
      <c r="T608" s="7"/>
      <c r="U608" s="7"/>
      <c r="V608" s="7"/>
    </row>
    <row r="609" ht="15.75" customHeight="1">
      <c r="T609" s="7"/>
      <c r="U609" s="7"/>
      <c r="V609" s="7"/>
    </row>
    <row r="610" ht="15.75" customHeight="1">
      <c r="T610" s="7"/>
      <c r="U610" s="7"/>
      <c r="V610" s="7"/>
    </row>
    <row r="611" ht="15.75" customHeight="1">
      <c r="T611" s="7"/>
      <c r="U611" s="7"/>
      <c r="V611" s="7"/>
    </row>
    <row r="612" ht="15.75" customHeight="1">
      <c r="T612" s="7"/>
      <c r="U612" s="7"/>
      <c r="V612" s="7"/>
    </row>
    <row r="613" ht="15.75" customHeight="1">
      <c r="T613" s="7"/>
      <c r="U613" s="7"/>
      <c r="V613" s="7"/>
    </row>
    <row r="614" ht="15.75" customHeight="1">
      <c r="T614" s="7"/>
      <c r="U614" s="7"/>
      <c r="V614" s="7"/>
    </row>
    <row r="615" ht="15.75" customHeight="1">
      <c r="T615" s="7"/>
      <c r="U615" s="7"/>
      <c r="V615" s="7"/>
    </row>
    <row r="616" ht="15.75" customHeight="1">
      <c r="T616" s="7"/>
      <c r="U616" s="7"/>
      <c r="V616" s="7"/>
    </row>
    <row r="617" ht="15.75" customHeight="1">
      <c r="T617" s="7"/>
      <c r="U617" s="7"/>
      <c r="V617" s="7"/>
    </row>
    <row r="618" ht="15.75" customHeight="1">
      <c r="T618" s="7"/>
      <c r="U618" s="7"/>
      <c r="V618" s="7"/>
    </row>
    <row r="619" ht="15.75" customHeight="1">
      <c r="T619" s="7"/>
      <c r="U619" s="7"/>
      <c r="V619" s="7"/>
    </row>
    <row r="620" ht="15.75" customHeight="1">
      <c r="T620" s="7"/>
      <c r="U620" s="7"/>
      <c r="V620" s="7"/>
    </row>
    <row r="621" ht="15.75" customHeight="1">
      <c r="T621" s="7"/>
      <c r="U621" s="7"/>
      <c r="V621" s="7"/>
    </row>
    <row r="622" ht="15.75" customHeight="1">
      <c r="T622" s="7"/>
      <c r="U622" s="7"/>
      <c r="V622" s="7"/>
    </row>
    <row r="623" ht="15.75" customHeight="1">
      <c r="T623" s="7"/>
      <c r="U623" s="7"/>
      <c r="V623" s="7"/>
    </row>
    <row r="624" ht="15.75" customHeight="1">
      <c r="T624" s="7"/>
      <c r="U624" s="7"/>
      <c r="V624" s="7"/>
    </row>
    <row r="625" ht="15.75" customHeight="1">
      <c r="T625" s="7"/>
      <c r="U625" s="7"/>
      <c r="V625" s="7"/>
    </row>
    <row r="626" ht="15.75" customHeight="1">
      <c r="T626" s="7"/>
      <c r="U626" s="7"/>
      <c r="V626" s="7"/>
    </row>
    <row r="627" ht="15.75" customHeight="1">
      <c r="T627" s="7"/>
      <c r="U627" s="7"/>
      <c r="V627" s="7"/>
    </row>
    <row r="628" ht="15.75" customHeight="1">
      <c r="T628" s="7"/>
      <c r="U628" s="7"/>
      <c r="V628" s="7"/>
    </row>
    <row r="629" ht="15.75" customHeight="1">
      <c r="T629" s="7"/>
      <c r="U629" s="7"/>
      <c r="V629" s="7"/>
    </row>
    <row r="630" ht="15.75" customHeight="1">
      <c r="T630" s="7"/>
      <c r="U630" s="7"/>
      <c r="V630" s="7"/>
    </row>
    <row r="631" ht="15.75" customHeight="1">
      <c r="T631" s="7"/>
      <c r="U631" s="7"/>
      <c r="V631" s="7"/>
    </row>
    <row r="632" ht="15.75" customHeight="1">
      <c r="T632" s="7"/>
      <c r="U632" s="7"/>
      <c r="V632" s="7"/>
    </row>
    <row r="633" ht="15.75" customHeight="1">
      <c r="T633" s="7"/>
      <c r="U633" s="7"/>
      <c r="V633" s="7"/>
    </row>
    <row r="634" ht="15.75" customHeight="1">
      <c r="T634" s="7"/>
      <c r="U634" s="7"/>
      <c r="V634" s="7"/>
    </row>
    <row r="635" ht="15.75" customHeight="1">
      <c r="T635" s="7"/>
      <c r="U635" s="7"/>
      <c r="V635" s="7"/>
    </row>
    <row r="636" ht="15.75" customHeight="1">
      <c r="T636" s="7"/>
      <c r="U636" s="7"/>
      <c r="V636" s="7"/>
    </row>
    <row r="637" ht="15.75" customHeight="1">
      <c r="T637" s="7"/>
      <c r="U637" s="7"/>
      <c r="V637" s="7"/>
    </row>
    <row r="638" ht="15.75" customHeight="1">
      <c r="T638" s="7"/>
      <c r="U638" s="7"/>
      <c r="V638" s="7"/>
    </row>
    <row r="639" ht="15.75" customHeight="1">
      <c r="T639" s="7"/>
      <c r="U639" s="7"/>
      <c r="V639" s="7"/>
    </row>
    <row r="640" ht="15.75" customHeight="1">
      <c r="T640" s="7"/>
      <c r="U640" s="7"/>
      <c r="V640" s="7"/>
    </row>
    <row r="641" ht="15.75" customHeight="1">
      <c r="T641" s="7"/>
      <c r="U641" s="7"/>
      <c r="V641" s="7"/>
    </row>
    <row r="642" ht="15.75" customHeight="1">
      <c r="T642" s="7"/>
      <c r="U642" s="7"/>
      <c r="V642" s="7"/>
    </row>
    <row r="643" ht="15.75" customHeight="1">
      <c r="T643" s="7"/>
      <c r="U643" s="7"/>
      <c r="V643" s="7"/>
    </row>
    <row r="644" ht="15.75" customHeight="1">
      <c r="T644" s="7"/>
      <c r="U644" s="7"/>
      <c r="V644" s="7"/>
    </row>
    <row r="645" ht="15.75" customHeight="1">
      <c r="T645" s="7"/>
      <c r="U645" s="7"/>
      <c r="V645" s="7"/>
    </row>
    <row r="646" ht="15.75" customHeight="1">
      <c r="T646" s="7"/>
      <c r="U646" s="7"/>
      <c r="V646" s="7"/>
    </row>
    <row r="647" ht="15.75" customHeight="1">
      <c r="T647" s="7"/>
      <c r="U647" s="7"/>
      <c r="V647" s="7"/>
    </row>
    <row r="648" ht="15.75" customHeight="1">
      <c r="T648" s="7"/>
      <c r="U648" s="7"/>
      <c r="V648" s="7"/>
    </row>
    <row r="649" ht="15.75" customHeight="1">
      <c r="T649" s="7"/>
      <c r="U649" s="7"/>
      <c r="V649" s="7"/>
    </row>
    <row r="650" ht="15.75" customHeight="1">
      <c r="T650" s="7"/>
      <c r="U650" s="7"/>
      <c r="V650" s="7"/>
    </row>
    <row r="651" ht="15.75" customHeight="1">
      <c r="T651" s="7"/>
      <c r="U651" s="7"/>
      <c r="V651" s="7"/>
    </row>
    <row r="652" ht="15.75" customHeight="1">
      <c r="T652" s="7"/>
      <c r="U652" s="7"/>
      <c r="V652" s="7"/>
    </row>
    <row r="653" ht="15.75" customHeight="1">
      <c r="T653" s="7"/>
      <c r="U653" s="7"/>
      <c r="V653" s="7"/>
    </row>
    <row r="654" ht="15.75" customHeight="1">
      <c r="T654" s="7"/>
      <c r="U654" s="7"/>
      <c r="V654" s="7"/>
    </row>
    <row r="655" ht="15.75" customHeight="1">
      <c r="T655" s="7"/>
      <c r="U655" s="7"/>
      <c r="V655" s="7"/>
    </row>
    <row r="656" ht="15.75" customHeight="1">
      <c r="T656" s="7"/>
      <c r="U656" s="7"/>
      <c r="V656" s="7"/>
    </row>
    <row r="657" ht="15.75" customHeight="1">
      <c r="T657" s="7"/>
      <c r="U657" s="7"/>
      <c r="V657" s="7"/>
    </row>
    <row r="658" ht="15.75" customHeight="1">
      <c r="T658" s="7"/>
      <c r="U658" s="7"/>
      <c r="V658" s="7"/>
    </row>
    <row r="659" ht="15.75" customHeight="1">
      <c r="T659" s="7"/>
      <c r="U659" s="7"/>
      <c r="V659" s="7"/>
    </row>
    <row r="660" ht="15.75" customHeight="1">
      <c r="T660" s="7"/>
      <c r="U660" s="7"/>
      <c r="V660" s="7"/>
    </row>
    <row r="661" ht="15.75" customHeight="1">
      <c r="T661" s="7"/>
      <c r="U661" s="7"/>
      <c r="V661" s="7"/>
    </row>
    <row r="662" ht="15.75" customHeight="1">
      <c r="T662" s="7"/>
      <c r="U662" s="7"/>
      <c r="V662" s="7"/>
    </row>
    <row r="663" ht="15.75" customHeight="1">
      <c r="T663" s="7"/>
      <c r="U663" s="7"/>
      <c r="V663" s="7"/>
    </row>
    <row r="664" ht="15.75" customHeight="1">
      <c r="T664" s="7"/>
      <c r="U664" s="7"/>
      <c r="V664" s="7"/>
    </row>
    <row r="665" ht="15.75" customHeight="1">
      <c r="T665" s="7"/>
      <c r="U665" s="7"/>
      <c r="V665" s="7"/>
    </row>
    <row r="666" ht="15.75" customHeight="1">
      <c r="T666" s="7"/>
      <c r="U666" s="7"/>
      <c r="V666" s="7"/>
    </row>
    <row r="667" ht="15.75" customHeight="1">
      <c r="T667" s="7"/>
      <c r="U667" s="7"/>
      <c r="V667" s="7"/>
    </row>
    <row r="668" ht="15.75" customHeight="1">
      <c r="T668" s="7"/>
      <c r="U668" s="7"/>
      <c r="V668" s="7"/>
    </row>
    <row r="669" ht="15.75" customHeight="1">
      <c r="T669" s="7"/>
      <c r="U669" s="7"/>
      <c r="V669" s="7"/>
    </row>
    <row r="670" ht="15.75" customHeight="1">
      <c r="T670" s="7"/>
      <c r="U670" s="7"/>
      <c r="V670" s="7"/>
    </row>
    <row r="671" ht="15.75" customHeight="1">
      <c r="T671" s="7"/>
      <c r="U671" s="7"/>
      <c r="V671" s="7"/>
    </row>
    <row r="672" ht="15.75" customHeight="1">
      <c r="T672" s="7"/>
      <c r="U672" s="7"/>
      <c r="V672" s="7"/>
    </row>
    <row r="673" ht="15.75" customHeight="1">
      <c r="T673" s="7"/>
      <c r="U673" s="7"/>
      <c r="V673" s="7"/>
    </row>
    <row r="674" ht="15.75" customHeight="1">
      <c r="T674" s="7"/>
      <c r="U674" s="7"/>
      <c r="V674" s="7"/>
    </row>
    <row r="675" ht="15.75" customHeight="1">
      <c r="T675" s="7"/>
      <c r="U675" s="7"/>
      <c r="V675" s="7"/>
    </row>
    <row r="676" ht="15.75" customHeight="1">
      <c r="T676" s="7"/>
      <c r="U676" s="7"/>
      <c r="V676" s="7"/>
    </row>
    <row r="677" ht="15.75" customHeight="1">
      <c r="T677" s="7"/>
      <c r="U677" s="7"/>
      <c r="V677" s="7"/>
    </row>
    <row r="678" ht="15.75" customHeight="1">
      <c r="T678" s="7"/>
      <c r="U678" s="7"/>
      <c r="V678" s="7"/>
    </row>
    <row r="679" ht="15.75" customHeight="1">
      <c r="T679" s="7"/>
      <c r="U679" s="7"/>
      <c r="V679" s="7"/>
    </row>
    <row r="680" ht="15.75" customHeight="1">
      <c r="T680" s="7"/>
      <c r="U680" s="7"/>
      <c r="V680" s="7"/>
    </row>
    <row r="681" ht="15.75" customHeight="1">
      <c r="T681" s="7"/>
      <c r="U681" s="7"/>
      <c r="V681" s="7"/>
    </row>
    <row r="682" ht="15.75" customHeight="1">
      <c r="T682" s="7"/>
      <c r="U682" s="7"/>
      <c r="V682" s="7"/>
    </row>
    <row r="683" ht="15.75" customHeight="1">
      <c r="T683" s="7"/>
      <c r="U683" s="7"/>
      <c r="V683" s="7"/>
    </row>
    <row r="684" ht="15.75" customHeight="1">
      <c r="T684" s="7"/>
      <c r="U684" s="7"/>
      <c r="V684" s="7"/>
    </row>
    <row r="685" ht="15.75" customHeight="1">
      <c r="T685" s="7"/>
      <c r="U685" s="7"/>
      <c r="V685" s="7"/>
    </row>
    <row r="686" ht="15.75" customHeight="1">
      <c r="T686" s="7"/>
      <c r="U686" s="7"/>
      <c r="V686" s="7"/>
    </row>
    <row r="687" ht="15.75" customHeight="1">
      <c r="T687" s="7"/>
      <c r="U687" s="7"/>
      <c r="V687" s="7"/>
    </row>
    <row r="688" ht="15.75" customHeight="1">
      <c r="T688" s="7"/>
      <c r="U688" s="7"/>
      <c r="V688" s="7"/>
    </row>
    <row r="689" ht="15.75" customHeight="1">
      <c r="T689" s="7"/>
      <c r="U689" s="7"/>
      <c r="V689" s="7"/>
    </row>
    <row r="690" ht="15.75" customHeight="1">
      <c r="T690" s="7"/>
      <c r="U690" s="7"/>
      <c r="V690" s="7"/>
    </row>
    <row r="691" ht="15.75" customHeight="1">
      <c r="T691" s="7"/>
      <c r="U691" s="7"/>
      <c r="V691" s="7"/>
    </row>
    <row r="692" ht="15.75" customHeight="1">
      <c r="T692" s="7"/>
      <c r="U692" s="7"/>
      <c r="V692" s="7"/>
    </row>
    <row r="693" ht="15.75" customHeight="1">
      <c r="T693" s="7"/>
      <c r="U693" s="7"/>
      <c r="V693" s="7"/>
    </row>
    <row r="694" ht="15.75" customHeight="1">
      <c r="T694" s="7"/>
      <c r="U694" s="7"/>
      <c r="V694" s="7"/>
    </row>
    <row r="695" ht="15.75" customHeight="1">
      <c r="T695" s="7"/>
      <c r="U695" s="7"/>
      <c r="V695" s="7"/>
    </row>
    <row r="696" ht="15.75" customHeight="1">
      <c r="T696" s="7"/>
      <c r="U696" s="7"/>
      <c r="V696" s="7"/>
    </row>
    <row r="697" ht="15.75" customHeight="1">
      <c r="T697" s="7"/>
      <c r="U697" s="7"/>
      <c r="V697" s="7"/>
    </row>
    <row r="698" ht="15.75" customHeight="1">
      <c r="T698" s="7"/>
      <c r="U698" s="7"/>
      <c r="V698" s="7"/>
    </row>
    <row r="699" ht="15.75" customHeight="1">
      <c r="T699" s="7"/>
      <c r="U699" s="7"/>
      <c r="V699" s="7"/>
    </row>
    <row r="700" ht="15.75" customHeight="1">
      <c r="T700" s="7"/>
      <c r="U700" s="7"/>
      <c r="V700" s="7"/>
    </row>
    <row r="701" ht="15.75" customHeight="1">
      <c r="T701" s="7"/>
      <c r="U701" s="7"/>
      <c r="V701" s="7"/>
    </row>
    <row r="702" ht="15.75" customHeight="1">
      <c r="T702" s="7"/>
      <c r="U702" s="7"/>
      <c r="V702" s="7"/>
    </row>
    <row r="703" ht="15.75" customHeight="1">
      <c r="T703" s="7"/>
      <c r="U703" s="7"/>
      <c r="V703" s="7"/>
    </row>
    <row r="704" ht="15.75" customHeight="1">
      <c r="T704" s="7"/>
      <c r="U704" s="7"/>
      <c r="V704" s="7"/>
    </row>
    <row r="705" ht="15.75" customHeight="1">
      <c r="T705" s="7"/>
      <c r="U705" s="7"/>
      <c r="V705" s="7"/>
    </row>
    <row r="706" ht="15.75" customHeight="1">
      <c r="T706" s="7"/>
      <c r="U706" s="7"/>
      <c r="V706" s="7"/>
    </row>
    <row r="707" ht="15.75" customHeight="1">
      <c r="T707" s="7"/>
      <c r="U707" s="7"/>
      <c r="V707" s="7"/>
    </row>
    <row r="708" ht="15.75" customHeight="1">
      <c r="T708" s="7"/>
      <c r="U708" s="7"/>
      <c r="V708" s="7"/>
    </row>
    <row r="709" ht="15.75" customHeight="1">
      <c r="T709" s="7"/>
      <c r="U709" s="7"/>
      <c r="V709" s="7"/>
    </row>
    <row r="710" ht="15.75" customHeight="1">
      <c r="T710" s="7"/>
      <c r="U710" s="7"/>
      <c r="V710" s="7"/>
    </row>
    <row r="711" ht="15.75" customHeight="1">
      <c r="T711" s="7"/>
      <c r="U711" s="7"/>
      <c r="V711" s="7"/>
    </row>
    <row r="712" ht="15.75" customHeight="1">
      <c r="T712" s="7"/>
      <c r="U712" s="7"/>
      <c r="V712" s="7"/>
    </row>
    <row r="713" ht="15.75" customHeight="1">
      <c r="T713" s="7"/>
      <c r="U713" s="7"/>
      <c r="V713" s="7"/>
    </row>
    <row r="714" ht="15.75" customHeight="1">
      <c r="T714" s="7"/>
      <c r="U714" s="7"/>
      <c r="V714" s="7"/>
    </row>
    <row r="715" ht="15.75" customHeight="1">
      <c r="T715" s="7"/>
      <c r="U715" s="7"/>
      <c r="V715" s="7"/>
    </row>
    <row r="716" ht="15.75" customHeight="1">
      <c r="T716" s="7"/>
      <c r="U716" s="7"/>
      <c r="V716" s="7"/>
    </row>
    <row r="717" ht="15.75" customHeight="1">
      <c r="T717" s="7"/>
      <c r="U717" s="7"/>
      <c r="V717" s="7"/>
    </row>
    <row r="718" ht="15.75" customHeight="1">
      <c r="T718" s="7"/>
      <c r="U718" s="7"/>
      <c r="V718" s="7"/>
    </row>
    <row r="719" ht="15.75" customHeight="1">
      <c r="T719" s="7"/>
      <c r="U719" s="7"/>
      <c r="V719" s="7"/>
    </row>
    <row r="720" ht="15.75" customHeight="1">
      <c r="T720" s="7"/>
      <c r="U720" s="7"/>
      <c r="V720" s="7"/>
    </row>
    <row r="721" ht="15.75" customHeight="1">
      <c r="T721" s="7"/>
      <c r="U721" s="7"/>
      <c r="V721" s="7"/>
    </row>
    <row r="722" ht="15.75" customHeight="1">
      <c r="T722" s="7"/>
      <c r="U722" s="7"/>
      <c r="V722" s="7"/>
    </row>
    <row r="723" ht="15.75" customHeight="1">
      <c r="T723" s="7"/>
      <c r="U723" s="7"/>
      <c r="V723" s="7"/>
    </row>
    <row r="724" ht="15.75" customHeight="1">
      <c r="T724" s="7"/>
      <c r="U724" s="7"/>
      <c r="V724" s="7"/>
    </row>
    <row r="725" ht="15.75" customHeight="1">
      <c r="T725" s="7"/>
      <c r="U725" s="7"/>
      <c r="V725" s="7"/>
    </row>
    <row r="726" ht="15.75" customHeight="1">
      <c r="T726" s="7"/>
      <c r="U726" s="7"/>
      <c r="V726" s="7"/>
    </row>
    <row r="727" ht="15.75" customHeight="1">
      <c r="T727" s="7"/>
      <c r="U727" s="7"/>
      <c r="V727" s="7"/>
    </row>
    <row r="728" ht="15.75" customHeight="1">
      <c r="T728" s="7"/>
      <c r="U728" s="7"/>
      <c r="V728" s="7"/>
    </row>
    <row r="729" ht="15.75" customHeight="1">
      <c r="T729" s="7"/>
      <c r="U729" s="7"/>
      <c r="V729" s="7"/>
    </row>
    <row r="730" ht="15.75" customHeight="1">
      <c r="T730" s="7"/>
      <c r="U730" s="7"/>
      <c r="V730" s="7"/>
    </row>
    <row r="731" ht="15.75" customHeight="1">
      <c r="T731" s="7"/>
      <c r="U731" s="7"/>
      <c r="V731" s="7"/>
    </row>
    <row r="732" ht="15.75" customHeight="1">
      <c r="T732" s="7"/>
      <c r="U732" s="7"/>
      <c r="V732" s="7"/>
    </row>
    <row r="733" ht="15.75" customHeight="1">
      <c r="T733" s="7"/>
      <c r="U733" s="7"/>
      <c r="V733" s="7"/>
    </row>
    <row r="734" ht="15.75" customHeight="1">
      <c r="T734" s="7"/>
      <c r="U734" s="7"/>
      <c r="V734" s="7"/>
    </row>
    <row r="735" ht="15.75" customHeight="1">
      <c r="T735" s="7"/>
      <c r="U735" s="7"/>
      <c r="V735" s="7"/>
    </row>
    <row r="736" ht="15.75" customHeight="1">
      <c r="T736" s="7"/>
      <c r="U736" s="7"/>
      <c r="V736" s="7"/>
    </row>
    <row r="737" ht="15.75" customHeight="1">
      <c r="T737" s="7"/>
      <c r="U737" s="7"/>
      <c r="V737" s="7"/>
    </row>
    <row r="738" ht="15.75" customHeight="1">
      <c r="T738" s="7"/>
      <c r="U738" s="7"/>
      <c r="V738" s="7"/>
    </row>
    <row r="739" ht="15.75" customHeight="1">
      <c r="T739" s="7"/>
      <c r="U739" s="7"/>
      <c r="V739" s="7"/>
    </row>
    <row r="740" ht="15.75" customHeight="1">
      <c r="T740" s="7"/>
      <c r="U740" s="7"/>
      <c r="V740" s="7"/>
    </row>
    <row r="741" ht="15.75" customHeight="1">
      <c r="T741" s="7"/>
      <c r="U741" s="7"/>
      <c r="V741" s="7"/>
    </row>
    <row r="742" ht="15.75" customHeight="1">
      <c r="T742" s="7"/>
      <c r="U742" s="7"/>
      <c r="V742" s="7"/>
    </row>
    <row r="743" ht="15.75" customHeight="1">
      <c r="T743" s="7"/>
      <c r="U743" s="7"/>
      <c r="V743" s="7"/>
    </row>
    <row r="744" ht="15.75" customHeight="1">
      <c r="T744" s="7"/>
      <c r="U744" s="7"/>
      <c r="V744" s="7"/>
    </row>
    <row r="745" ht="15.75" customHeight="1">
      <c r="T745" s="7"/>
      <c r="U745" s="7"/>
      <c r="V745" s="7"/>
    </row>
    <row r="746" ht="15.75" customHeight="1">
      <c r="T746" s="7"/>
      <c r="U746" s="7"/>
      <c r="V746" s="7"/>
    </row>
    <row r="747" ht="15.75" customHeight="1">
      <c r="T747" s="7"/>
      <c r="U747" s="7"/>
      <c r="V747" s="7"/>
    </row>
    <row r="748" ht="15.75" customHeight="1">
      <c r="T748" s="7"/>
      <c r="U748" s="7"/>
      <c r="V748" s="7"/>
    </row>
    <row r="749" ht="15.75" customHeight="1">
      <c r="T749" s="7"/>
      <c r="U749" s="7"/>
      <c r="V749" s="7"/>
    </row>
    <row r="750" ht="15.75" customHeight="1">
      <c r="T750" s="7"/>
      <c r="U750" s="7"/>
      <c r="V750" s="7"/>
    </row>
    <row r="751" ht="15.75" customHeight="1">
      <c r="T751" s="7"/>
      <c r="U751" s="7"/>
      <c r="V751" s="7"/>
    </row>
    <row r="752" ht="15.75" customHeight="1">
      <c r="T752" s="7"/>
      <c r="U752" s="7"/>
      <c r="V752" s="7"/>
    </row>
    <row r="753" ht="15.75" customHeight="1">
      <c r="T753" s="7"/>
      <c r="U753" s="7"/>
      <c r="V753" s="7"/>
    </row>
    <row r="754" ht="15.75" customHeight="1">
      <c r="T754" s="7"/>
      <c r="U754" s="7"/>
      <c r="V754" s="7"/>
    </row>
    <row r="755" ht="15.75" customHeight="1">
      <c r="T755" s="7"/>
      <c r="U755" s="7"/>
      <c r="V755" s="7"/>
    </row>
    <row r="756" ht="15.75" customHeight="1">
      <c r="T756" s="7"/>
      <c r="U756" s="7"/>
      <c r="V756" s="7"/>
    </row>
    <row r="757" ht="15.75" customHeight="1">
      <c r="T757" s="7"/>
      <c r="U757" s="7"/>
      <c r="V757" s="7"/>
    </row>
    <row r="758" ht="15.75" customHeight="1">
      <c r="T758" s="7"/>
      <c r="U758" s="7"/>
      <c r="V758" s="7"/>
    </row>
    <row r="759" ht="15.75" customHeight="1">
      <c r="T759" s="7"/>
      <c r="U759" s="7"/>
      <c r="V759" s="7"/>
    </row>
    <row r="760" ht="15.75" customHeight="1">
      <c r="T760" s="7"/>
      <c r="U760" s="7"/>
      <c r="V760" s="7"/>
    </row>
    <row r="761" ht="15.75" customHeight="1">
      <c r="T761" s="7"/>
      <c r="U761" s="7"/>
      <c r="V761" s="7"/>
    </row>
    <row r="762" ht="15.75" customHeight="1">
      <c r="T762" s="7"/>
      <c r="U762" s="7"/>
      <c r="V762" s="7"/>
    </row>
    <row r="763" ht="15.75" customHeight="1">
      <c r="T763" s="7"/>
      <c r="U763" s="7"/>
      <c r="V763" s="7"/>
    </row>
    <row r="764" ht="15.75" customHeight="1">
      <c r="T764" s="7"/>
      <c r="U764" s="7"/>
      <c r="V764" s="7"/>
    </row>
    <row r="765" ht="15.75" customHeight="1">
      <c r="T765" s="7"/>
      <c r="U765" s="7"/>
      <c r="V765" s="7"/>
    </row>
    <row r="766" ht="15.75" customHeight="1">
      <c r="T766" s="7"/>
      <c r="U766" s="7"/>
      <c r="V766" s="7"/>
    </row>
    <row r="767" ht="15.75" customHeight="1">
      <c r="T767" s="7"/>
      <c r="U767" s="7"/>
      <c r="V767" s="7"/>
    </row>
    <row r="768" ht="15.75" customHeight="1">
      <c r="T768" s="7"/>
      <c r="U768" s="7"/>
      <c r="V768" s="7"/>
    </row>
    <row r="769" ht="15.75" customHeight="1">
      <c r="T769" s="7"/>
      <c r="U769" s="7"/>
      <c r="V769" s="7"/>
    </row>
    <row r="770" ht="15.75" customHeight="1">
      <c r="T770" s="7"/>
      <c r="U770" s="7"/>
      <c r="V770" s="7"/>
    </row>
    <row r="771" ht="15.75" customHeight="1">
      <c r="T771" s="7"/>
      <c r="U771" s="7"/>
      <c r="V771" s="7"/>
    </row>
    <row r="772" ht="15.75" customHeight="1">
      <c r="T772" s="7"/>
      <c r="U772" s="7"/>
      <c r="V772" s="7"/>
    </row>
    <row r="773" ht="15.75" customHeight="1">
      <c r="T773" s="7"/>
      <c r="U773" s="7"/>
      <c r="V773" s="7"/>
    </row>
    <row r="774" ht="15.75" customHeight="1">
      <c r="T774" s="7"/>
      <c r="U774" s="7"/>
      <c r="V774" s="7"/>
    </row>
    <row r="775" ht="15.75" customHeight="1">
      <c r="T775" s="7"/>
      <c r="U775" s="7"/>
      <c r="V775" s="7"/>
    </row>
    <row r="776" ht="15.75" customHeight="1">
      <c r="T776" s="7"/>
      <c r="U776" s="7"/>
      <c r="V776" s="7"/>
    </row>
    <row r="777" ht="15.75" customHeight="1">
      <c r="T777" s="7"/>
      <c r="U777" s="7"/>
      <c r="V777" s="7"/>
    </row>
    <row r="778" ht="15.75" customHeight="1">
      <c r="T778" s="7"/>
      <c r="U778" s="7"/>
      <c r="V778" s="7"/>
    </row>
    <row r="779" ht="15.75" customHeight="1">
      <c r="T779" s="7"/>
      <c r="U779" s="7"/>
      <c r="V779" s="7"/>
    </row>
    <row r="780" ht="15.75" customHeight="1">
      <c r="T780" s="7"/>
      <c r="U780" s="7"/>
      <c r="V780" s="7"/>
    </row>
    <row r="781" ht="15.75" customHeight="1">
      <c r="T781" s="7"/>
      <c r="U781" s="7"/>
      <c r="V781" s="7"/>
    </row>
    <row r="782" ht="15.75" customHeight="1">
      <c r="T782" s="7"/>
      <c r="U782" s="7"/>
      <c r="V782" s="7"/>
    </row>
    <row r="783" ht="15.75" customHeight="1">
      <c r="T783" s="7"/>
      <c r="U783" s="7"/>
      <c r="V783" s="7"/>
    </row>
    <row r="784" ht="15.75" customHeight="1">
      <c r="T784" s="7"/>
      <c r="U784" s="7"/>
      <c r="V784" s="7"/>
    </row>
    <row r="785" ht="15.75" customHeight="1">
      <c r="T785" s="7"/>
      <c r="U785" s="7"/>
      <c r="V785" s="7"/>
    </row>
    <row r="786" ht="15.75" customHeight="1">
      <c r="T786" s="7"/>
      <c r="U786" s="7"/>
      <c r="V786" s="7"/>
    </row>
    <row r="787" ht="15.75" customHeight="1">
      <c r="T787" s="7"/>
      <c r="U787" s="7"/>
      <c r="V787" s="7"/>
    </row>
    <row r="788" ht="15.75" customHeight="1">
      <c r="T788" s="7"/>
      <c r="U788" s="7"/>
      <c r="V788" s="7"/>
    </row>
    <row r="789" ht="15.75" customHeight="1">
      <c r="T789" s="7"/>
      <c r="U789" s="7"/>
      <c r="V789" s="7"/>
    </row>
    <row r="790" ht="15.75" customHeight="1">
      <c r="T790" s="7"/>
      <c r="U790" s="7"/>
      <c r="V790" s="7"/>
    </row>
    <row r="791" ht="15.75" customHeight="1">
      <c r="T791" s="7"/>
      <c r="U791" s="7"/>
      <c r="V791" s="7"/>
    </row>
    <row r="792" ht="15.75" customHeight="1">
      <c r="T792" s="7"/>
      <c r="U792" s="7"/>
      <c r="V792" s="7"/>
    </row>
    <row r="793" ht="15.75" customHeight="1">
      <c r="T793" s="7"/>
      <c r="U793" s="7"/>
      <c r="V793" s="7"/>
    </row>
    <row r="794" ht="15.75" customHeight="1">
      <c r="T794" s="7"/>
      <c r="U794" s="7"/>
      <c r="V794" s="7"/>
    </row>
    <row r="795" ht="15.75" customHeight="1">
      <c r="T795" s="7"/>
      <c r="U795" s="7"/>
      <c r="V795" s="7"/>
    </row>
    <row r="796" ht="15.75" customHeight="1">
      <c r="T796" s="7"/>
      <c r="U796" s="7"/>
      <c r="V796" s="7"/>
    </row>
    <row r="797" ht="15.75" customHeight="1">
      <c r="T797" s="7"/>
      <c r="U797" s="7"/>
      <c r="V797" s="7"/>
    </row>
    <row r="798" ht="15.75" customHeight="1">
      <c r="T798" s="7"/>
      <c r="U798" s="7"/>
      <c r="V798" s="7"/>
    </row>
    <row r="799" ht="15.75" customHeight="1">
      <c r="T799" s="7"/>
      <c r="U799" s="7"/>
      <c r="V799" s="7"/>
    </row>
    <row r="800" ht="15.75" customHeight="1">
      <c r="T800" s="7"/>
      <c r="U800" s="7"/>
      <c r="V800" s="7"/>
    </row>
    <row r="801" ht="15.75" customHeight="1">
      <c r="T801" s="7"/>
      <c r="U801" s="7"/>
      <c r="V801" s="7"/>
    </row>
    <row r="802" ht="15.75" customHeight="1">
      <c r="T802" s="7"/>
      <c r="U802" s="7"/>
      <c r="V802" s="7"/>
    </row>
    <row r="803" ht="15.75" customHeight="1">
      <c r="T803" s="7"/>
      <c r="U803" s="7"/>
      <c r="V803" s="7"/>
    </row>
    <row r="804" ht="15.75" customHeight="1">
      <c r="T804" s="7"/>
      <c r="U804" s="7"/>
      <c r="V804" s="7"/>
    </row>
    <row r="805" ht="15.75" customHeight="1">
      <c r="T805" s="7"/>
      <c r="U805" s="7"/>
      <c r="V805" s="7"/>
    </row>
    <row r="806" ht="15.75" customHeight="1">
      <c r="T806" s="7"/>
      <c r="U806" s="7"/>
      <c r="V806" s="7"/>
    </row>
    <row r="807" ht="15.75" customHeight="1">
      <c r="T807" s="7"/>
      <c r="U807" s="7"/>
      <c r="V807" s="7"/>
    </row>
    <row r="808" ht="15.75" customHeight="1">
      <c r="T808" s="7"/>
      <c r="U808" s="7"/>
      <c r="V808" s="7"/>
    </row>
    <row r="809" ht="15.75" customHeight="1">
      <c r="T809" s="7"/>
      <c r="U809" s="7"/>
      <c r="V809" s="7"/>
    </row>
    <row r="810" ht="15.75" customHeight="1">
      <c r="T810" s="7"/>
      <c r="U810" s="7"/>
      <c r="V810" s="7"/>
    </row>
    <row r="811" ht="15.75" customHeight="1">
      <c r="T811" s="7"/>
      <c r="U811" s="7"/>
      <c r="V811" s="7"/>
    </row>
    <row r="812" ht="15.75" customHeight="1">
      <c r="T812" s="7"/>
      <c r="U812" s="7"/>
      <c r="V812" s="7"/>
    </row>
    <row r="813" ht="15.75" customHeight="1">
      <c r="T813" s="7"/>
      <c r="U813" s="7"/>
      <c r="V813" s="7"/>
    </row>
    <row r="814" ht="15.75" customHeight="1">
      <c r="T814" s="7"/>
      <c r="U814" s="7"/>
      <c r="V814" s="7"/>
    </row>
    <row r="815" ht="15.75" customHeight="1">
      <c r="T815" s="7"/>
      <c r="U815" s="7"/>
      <c r="V815" s="7"/>
    </row>
    <row r="816" ht="15.75" customHeight="1">
      <c r="T816" s="7"/>
      <c r="U816" s="7"/>
      <c r="V816" s="7"/>
    </row>
    <row r="817" ht="15.75" customHeight="1">
      <c r="T817" s="7"/>
      <c r="U817" s="7"/>
      <c r="V817" s="7"/>
    </row>
    <row r="818" ht="15.75" customHeight="1">
      <c r="T818" s="7"/>
      <c r="U818" s="7"/>
      <c r="V818" s="7"/>
    </row>
    <row r="819" ht="15.75" customHeight="1">
      <c r="T819" s="7"/>
      <c r="U819" s="7"/>
      <c r="V819" s="7"/>
    </row>
    <row r="820" ht="15.75" customHeight="1">
      <c r="T820" s="7"/>
      <c r="U820" s="7"/>
      <c r="V820" s="7"/>
    </row>
    <row r="821" ht="15.75" customHeight="1">
      <c r="T821" s="7"/>
      <c r="U821" s="7"/>
      <c r="V821" s="7"/>
    </row>
    <row r="822" ht="15.75" customHeight="1">
      <c r="T822" s="7"/>
      <c r="U822" s="7"/>
      <c r="V822" s="7"/>
    </row>
    <row r="823" ht="15.75" customHeight="1">
      <c r="T823" s="7"/>
      <c r="U823" s="7"/>
      <c r="V823" s="7"/>
    </row>
    <row r="824" ht="15.75" customHeight="1">
      <c r="T824" s="7"/>
      <c r="U824" s="7"/>
      <c r="V824" s="7"/>
    </row>
    <row r="825" ht="15.75" customHeight="1">
      <c r="T825" s="7"/>
      <c r="U825" s="7"/>
      <c r="V825" s="7"/>
    </row>
    <row r="826" ht="15.75" customHeight="1">
      <c r="T826" s="7"/>
      <c r="U826" s="7"/>
      <c r="V826" s="7"/>
    </row>
    <row r="827" ht="15.75" customHeight="1">
      <c r="T827" s="7"/>
      <c r="U827" s="7"/>
      <c r="V827" s="7"/>
    </row>
    <row r="828" ht="15.75" customHeight="1">
      <c r="T828" s="7"/>
      <c r="U828" s="7"/>
      <c r="V828" s="7"/>
    </row>
    <row r="829" ht="15.75" customHeight="1">
      <c r="T829" s="7"/>
      <c r="U829" s="7"/>
      <c r="V829" s="7"/>
    </row>
    <row r="830" ht="15.75" customHeight="1">
      <c r="T830" s="7"/>
      <c r="U830" s="7"/>
      <c r="V830" s="7"/>
    </row>
    <row r="831" ht="15.75" customHeight="1">
      <c r="T831" s="7"/>
      <c r="U831" s="7"/>
      <c r="V831" s="7"/>
    </row>
    <row r="832" ht="15.75" customHeight="1">
      <c r="T832" s="7"/>
      <c r="U832" s="7"/>
      <c r="V832" s="7"/>
    </row>
    <row r="833" ht="15.75" customHeight="1">
      <c r="T833" s="7"/>
      <c r="U833" s="7"/>
      <c r="V833" s="7"/>
    </row>
    <row r="834" ht="15.75" customHeight="1">
      <c r="T834" s="7"/>
      <c r="U834" s="7"/>
      <c r="V834" s="7"/>
    </row>
    <row r="835" ht="15.75" customHeight="1">
      <c r="T835" s="7"/>
      <c r="U835" s="7"/>
      <c r="V835" s="7"/>
    </row>
    <row r="836" ht="15.75" customHeight="1">
      <c r="T836" s="7"/>
      <c r="U836" s="7"/>
      <c r="V836" s="7"/>
    </row>
    <row r="837" ht="15.75" customHeight="1">
      <c r="T837" s="7"/>
      <c r="U837" s="7"/>
      <c r="V837" s="7"/>
    </row>
    <row r="838" ht="15.75" customHeight="1">
      <c r="T838" s="7"/>
      <c r="U838" s="7"/>
      <c r="V838" s="7"/>
    </row>
    <row r="839" ht="15.75" customHeight="1">
      <c r="T839" s="7"/>
      <c r="U839" s="7"/>
      <c r="V839" s="7"/>
    </row>
    <row r="840" ht="15.75" customHeight="1">
      <c r="T840" s="7"/>
      <c r="U840" s="7"/>
      <c r="V840" s="7"/>
    </row>
    <row r="841" ht="15.75" customHeight="1">
      <c r="T841" s="7"/>
      <c r="U841" s="7"/>
      <c r="V841" s="7"/>
    </row>
    <row r="842" ht="15.75" customHeight="1">
      <c r="T842" s="7"/>
      <c r="U842" s="7"/>
      <c r="V842" s="7"/>
    </row>
    <row r="843" ht="15.75" customHeight="1">
      <c r="T843" s="7"/>
      <c r="U843" s="7"/>
      <c r="V843" s="7"/>
    </row>
    <row r="844" ht="15.75" customHeight="1">
      <c r="T844" s="7"/>
      <c r="U844" s="7"/>
      <c r="V844" s="7"/>
    </row>
    <row r="845" ht="15.75" customHeight="1">
      <c r="T845" s="7"/>
      <c r="U845" s="7"/>
      <c r="V845" s="7"/>
    </row>
    <row r="846" ht="15.75" customHeight="1">
      <c r="T846" s="7"/>
      <c r="U846" s="7"/>
      <c r="V846" s="7"/>
    </row>
    <row r="847" ht="15.75" customHeight="1">
      <c r="T847" s="7"/>
      <c r="U847" s="7"/>
      <c r="V847" s="7"/>
    </row>
    <row r="848" ht="15.75" customHeight="1">
      <c r="T848" s="7"/>
      <c r="U848" s="7"/>
      <c r="V848" s="7"/>
    </row>
    <row r="849" ht="15.75" customHeight="1">
      <c r="T849" s="7"/>
      <c r="U849" s="7"/>
      <c r="V849" s="7"/>
    </row>
    <row r="850" ht="15.75" customHeight="1">
      <c r="T850" s="7"/>
      <c r="U850" s="7"/>
      <c r="V850" s="7"/>
    </row>
    <row r="851" ht="15.75" customHeight="1">
      <c r="T851" s="7"/>
      <c r="U851" s="7"/>
      <c r="V851" s="7"/>
    </row>
    <row r="852" ht="15.75" customHeight="1">
      <c r="T852" s="7"/>
      <c r="U852" s="7"/>
      <c r="V852" s="7"/>
    </row>
    <row r="853" ht="15.75" customHeight="1">
      <c r="T853" s="7"/>
      <c r="U853" s="7"/>
      <c r="V853" s="7"/>
    </row>
    <row r="854" ht="15.75" customHeight="1">
      <c r="T854" s="7"/>
      <c r="U854" s="7"/>
      <c r="V854" s="7"/>
    </row>
    <row r="855" ht="15.75" customHeight="1">
      <c r="T855" s="7"/>
      <c r="U855" s="7"/>
      <c r="V855" s="7"/>
    </row>
    <row r="856" ht="15.75" customHeight="1">
      <c r="T856" s="7"/>
      <c r="U856" s="7"/>
      <c r="V856" s="7"/>
    </row>
    <row r="857" ht="15.75" customHeight="1">
      <c r="T857" s="7"/>
      <c r="U857" s="7"/>
      <c r="V857" s="7"/>
    </row>
    <row r="858" ht="15.75" customHeight="1">
      <c r="T858" s="7"/>
      <c r="U858" s="7"/>
      <c r="V858" s="7"/>
    </row>
    <row r="859" ht="15.75" customHeight="1">
      <c r="T859" s="7"/>
      <c r="U859" s="7"/>
      <c r="V859" s="7"/>
    </row>
    <row r="860" ht="15.75" customHeight="1">
      <c r="T860" s="7"/>
      <c r="U860" s="7"/>
      <c r="V860" s="7"/>
    </row>
    <row r="861" ht="15.75" customHeight="1">
      <c r="T861" s="7"/>
      <c r="U861" s="7"/>
      <c r="V861" s="7"/>
    </row>
    <row r="862" ht="15.75" customHeight="1">
      <c r="T862" s="7"/>
      <c r="U862" s="7"/>
      <c r="V862" s="7"/>
    </row>
    <row r="863" ht="15.75" customHeight="1">
      <c r="T863" s="7"/>
      <c r="U863" s="7"/>
      <c r="V863" s="7"/>
    </row>
    <row r="864" ht="15.75" customHeight="1">
      <c r="T864" s="7"/>
      <c r="U864" s="7"/>
      <c r="V864" s="7"/>
    </row>
    <row r="865" ht="15.75" customHeight="1">
      <c r="T865" s="7"/>
      <c r="U865" s="7"/>
      <c r="V865" s="7"/>
    </row>
    <row r="866" ht="15.75" customHeight="1">
      <c r="T866" s="7"/>
      <c r="U866" s="7"/>
      <c r="V866" s="7"/>
    </row>
    <row r="867" ht="15.75" customHeight="1">
      <c r="T867" s="7"/>
      <c r="U867" s="7"/>
      <c r="V867" s="7"/>
    </row>
    <row r="868" ht="15.75" customHeight="1">
      <c r="T868" s="7"/>
      <c r="U868" s="7"/>
      <c r="V868" s="7"/>
    </row>
    <row r="869" ht="15.75" customHeight="1">
      <c r="T869" s="7"/>
      <c r="U869" s="7"/>
      <c r="V869" s="7"/>
    </row>
    <row r="870" ht="15.75" customHeight="1">
      <c r="T870" s="7"/>
      <c r="U870" s="7"/>
      <c r="V870" s="7"/>
    </row>
    <row r="871" ht="15.75" customHeight="1">
      <c r="T871" s="7"/>
      <c r="U871" s="7"/>
      <c r="V871" s="7"/>
    </row>
    <row r="872" ht="15.75" customHeight="1">
      <c r="T872" s="7"/>
      <c r="U872" s="7"/>
      <c r="V872" s="7"/>
    </row>
    <row r="873" ht="15.75" customHeight="1">
      <c r="T873" s="7"/>
      <c r="U873" s="7"/>
      <c r="V873" s="7"/>
    </row>
    <row r="874" ht="15.75" customHeight="1">
      <c r="T874" s="7"/>
      <c r="U874" s="7"/>
      <c r="V874" s="7"/>
    </row>
    <row r="875" ht="15.75" customHeight="1">
      <c r="T875" s="7"/>
      <c r="U875" s="7"/>
      <c r="V875" s="7"/>
    </row>
    <row r="876" ht="15.75" customHeight="1">
      <c r="T876" s="7"/>
      <c r="U876" s="7"/>
      <c r="V876" s="7"/>
    </row>
    <row r="877" ht="15.75" customHeight="1">
      <c r="T877" s="7"/>
      <c r="U877" s="7"/>
      <c r="V877" s="7"/>
    </row>
    <row r="878" ht="15.75" customHeight="1">
      <c r="T878" s="7"/>
      <c r="U878" s="7"/>
      <c r="V878" s="7"/>
    </row>
    <row r="879" ht="15.75" customHeight="1">
      <c r="T879" s="7"/>
      <c r="U879" s="7"/>
      <c r="V879" s="7"/>
    </row>
    <row r="880" ht="15.75" customHeight="1">
      <c r="T880" s="7"/>
      <c r="U880" s="7"/>
      <c r="V880" s="7"/>
    </row>
    <row r="881" ht="15.75" customHeight="1">
      <c r="T881" s="7"/>
      <c r="U881" s="7"/>
      <c r="V881" s="7"/>
    </row>
    <row r="882" ht="15.75" customHeight="1">
      <c r="T882" s="7"/>
      <c r="U882" s="7"/>
      <c r="V882" s="7"/>
    </row>
    <row r="883" ht="15.75" customHeight="1">
      <c r="T883" s="7"/>
      <c r="U883" s="7"/>
      <c r="V883" s="7"/>
    </row>
    <row r="884" ht="15.75" customHeight="1">
      <c r="T884" s="7"/>
      <c r="U884" s="7"/>
      <c r="V884" s="7"/>
    </row>
    <row r="885" ht="15.75" customHeight="1">
      <c r="T885" s="7"/>
      <c r="U885" s="7"/>
      <c r="V885" s="7"/>
    </row>
    <row r="886" ht="15.75" customHeight="1">
      <c r="T886" s="7"/>
      <c r="U886" s="7"/>
      <c r="V886" s="7"/>
    </row>
    <row r="887" ht="15.75" customHeight="1">
      <c r="T887" s="7"/>
      <c r="U887" s="7"/>
      <c r="V887" s="7"/>
    </row>
    <row r="888" ht="15.75" customHeight="1">
      <c r="T888" s="7"/>
      <c r="U888" s="7"/>
      <c r="V888" s="7"/>
    </row>
    <row r="889" ht="15.75" customHeight="1">
      <c r="T889" s="7"/>
      <c r="U889" s="7"/>
      <c r="V889" s="7"/>
    </row>
    <row r="890" ht="15.75" customHeight="1">
      <c r="T890" s="7"/>
      <c r="U890" s="7"/>
      <c r="V890" s="7"/>
    </row>
    <row r="891" ht="15.75" customHeight="1">
      <c r="T891" s="7"/>
      <c r="U891" s="7"/>
      <c r="V891" s="7"/>
    </row>
    <row r="892" ht="15.75" customHeight="1">
      <c r="T892" s="7"/>
      <c r="U892" s="7"/>
      <c r="V892" s="7"/>
    </row>
    <row r="893" ht="15.75" customHeight="1">
      <c r="T893" s="7"/>
      <c r="U893" s="7"/>
      <c r="V893" s="7"/>
    </row>
    <row r="894" ht="15.75" customHeight="1">
      <c r="T894" s="7"/>
      <c r="U894" s="7"/>
      <c r="V894" s="7"/>
    </row>
    <row r="895" ht="15.75" customHeight="1">
      <c r="T895" s="7"/>
      <c r="U895" s="7"/>
      <c r="V895" s="7"/>
    </row>
    <row r="896" ht="15.75" customHeight="1">
      <c r="T896" s="7"/>
      <c r="U896" s="7"/>
      <c r="V896" s="7"/>
    </row>
    <row r="897" ht="15.75" customHeight="1">
      <c r="T897" s="7"/>
      <c r="U897" s="7"/>
      <c r="V897" s="7"/>
    </row>
    <row r="898" ht="15.75" customHeight="1">
      <c r="T898" s="7"/>
      <c r="U898" s="7"/>
      <c r="V898" s="7"/>
    </row>
    <row r="899" ht="15.75" customHeight="1">
      <c r="T899" s="7"/>
      <c r="U899" s="7"/>
      <c r="V899" s="7"/>
    </row>
    <row r="900" ht="15.75" customHeight="1">
      <c r="T900" s="7"/>
      <c r="U900" s="7"/>
      <c r="V900" s="7"/>
    </row>
    <row r="901" ht="15.75" customHeight="1">
      <c r="T901" s="7"/>
      <c r="U901" s="7"/>
      <c r="V901" s="7"/>
    </row>
    <row r="902" ht="15.75" customHeight="1">
      <c r="T902" s="7"/>
      <c r="U902" s="7"/>
      <c r="V902" s="7"/>
    </row>
    <row r="903" ht="15.75" customHeight="1">
      <c r="T903" s="7"/>
      <c r="U903" s="7"/>
      <c r="V903" s="7"/>
    </row>
    <row r="904" ht="15.75" customHeight="1">
      <c r="T904" s="7"/>
      <c r="U904" s="7"/>
      <c r="V904" s="7"/>
    </row>
    <row r="905" ht="15.75" customHeight="1">
      <c r="T905" s="7"/>
      <c r="U905" s="7"/>
      <c r="V905" s="7"/>
    </row>
    <row r="906" ht="15.75" customHeight="1">
      <c r="T906" s="7"/>
      <c r="U906" s="7"/>
      <c r="V906" s="7"/>
    </row>
    <row r="907" ht="15.75" customHeight="1">
      <c r="T907" s="7"/>
      <c r="U907" s="7"/>
      <c r="V907" s="7"/>
    </row>
    <row r="908" ht="15.75" customHeight="1">
      <c r="T908" s="7"/>
      <c r="U908" s="7"/>
      <c r="V908" s="7"/>
    </row>
    <row r="909" ht="15.75" customHeight="1">
      <c r="T909" s="7"/>
      <c r="U909" s="7"/>
      <c r="V909" s="7"/>
    </row>
    <row r="910" ht="15.75" customHeight="1">
      <c r="T910" s="7"/>
      <c r="U910" s="7"/>
      <c r="V910" s="7"/>
    </row>
    <row r="911" ht="15.75" customHeight="1">
      <c r="T911" s="7"/>
      <c r="U911" s="7"/>
      <c r="V911" s="7"/>
    </row>
    <row r="912" ht="15.75" customHeight="1">
      <c r="T912" s="7"/>
      <c r="U912" s="7"/>
      <c r="V912" s="7"/>
    </row>
    <row r="913" ht="15.75" customHeight="1">
      <c r="T913" s="7"/>
      <c r="U913" s="7"/>
      <c r="V913" s="7"/>
    </row>
    <row r="914" ht="15.75" customHeight="1">
      <c r="T914" s="7"/>
      <c r="U914" s="7"/>
      <c r="V914" s="7"/>
    </row>
    <row r="915" ht="15.75" customHeight="1">
      <c r="T915" s="7"/>
      <c r="U915" s="7"/>
      <c r="V915" s="7"/>
    </row>
    <row r="916" ht="15.75" customHeight="1">
      <c r="T916" s="7"/>
      <c r="U916" s="7"/>
      <c r="V916" s="7"/>
    </row>
    <row r="917" ht="15.75" customHeight="1">
      <c r="T917" s="7"/>
      <c r="U917" s="7"/>
      <c r="V917" s="7"/>
    </row>
    <row r="918" ht="15.75" customHeight="1">
      <c r="T918" s="7"/>
      <c r="U918" s="7"/>
      <c r="V918" s="7"/>
    </row>
    <row r="919" ht="15.75" customHeight="1">
      <c r="T919" s="7"/>
      <c r="U919" s="7"/>
      <c r="V919" s="7"/>
    </row>
    <row r="920" ht="15.75" customHeight="1">
      <c r="T920" s="7"/>
      <c r="U920" s="7"/>
      <c r="V920" s="7"/>
    </row>
    <row r="921" ht="15.75" customHeight="1">
      <c r="T921" s="7"/>
      <c r="U921" s="7"/>
      <c r="V921" s="7"/>
    </row>
    <row r="922" ht="15.75" customHeight="1">
      <c r="T922" s="7"/>
      <c r="U922" s="7"/>
      <c r="V922" s="7"/>
    </row>
    <row r="923" ht="15.75" customHeight="1">
      <c r="T923" s="7"/>
      <c r="U923" s="7"/>
      <c r="V923" s="7"/>
    </row>
    <row r="924" ht="15.75" customHeight="1">
      <c r="T924" s="7"/>
      <c r="U924" s="7"/>
      <c r="V924" s="7"/>
    </row>
    <row r="925" ht="15.75" customHeight="1">
      <c r="T925" s="7"/>
      <c r="U925" s="7"/>
      <c r="V925" s="7"/>
    </row>
    <row r="926" ht="15.75" customHeight="1">
      <c r="T926" s="7"/>
      <c r="U926" s="7"/>
      <c r="V926" s="7"/>
    </row>
    <row r="927" ht="15.75" customHeight="1">
      <c r="T927" s="7"/>
      <c r="U927" s="7"/>
      <c r="V927" s="7"/>
    </row>
    <row r="928" ht="15.75" customHeight="1">
      <c r="T928" s="7"/>
      <c r="U928" s="7"/>
      <c r="V928" s="7"/>
    </row>
    <row r="929" ht="15.75" customHeight="1">
      <c r="T929" s="7"/>
      <c r="U929" s="7"/>
      <c r="V929" s="7"/>
    </row>
    <row r="930" ht="15.75" customHeight="1">
      <c r="T930" s="7"/>
      <c r="U930" s="7"/>
      <c r="V930" s="7"/>
    </row>
    <row r="931" ht="15.75" customHeight="1">
      <c r="T931" s="7"/>
      <c r="U931" s="7"/>
      <c r="V931" s="7"/>
    </row>
    <row r="932" ht="15.75" customHeight="1">
      <c r="T932" s="7"/>
      <c r="U932" s="7"/>
      <c r="V932" s="7"/>
    </row>
    <row r="933" ht="15.75" customHeight="1">
      <c r="T933" s="7"/>
      <c r="U933" s="7"/>
      <c r="V933" s="7"/>
    </row>
    <row r="934" ht="15.75" customHeight="1">
      <c r="T934" s="7"/>
      <c r="U934" s="7"/>
      <c r="V934" s="7"/>
    </row>
    <row r="935" ht="15.75" customHeight="1">
      <c r="T935" s="7"/>
      <c r="U935" s="7"/>
      <c r="V935" s="7"/>
    </row>
    <row r="936" ht="15.75" customHeight="1">
      <c r="T936" s="7"/>
      <c r="U936" s="7"/>
      <c r="V936" s="7"/>
    </row>
    <row r="937" ht="15.75" customHeight="1">
      <c r="T937" s="7"/>
      <c r="U937" s="7"/>
      <c r="V937" s="7"/>
    </row>
    <row r="938" ht="15.75" customHeight="1">
      <c r="T938" s="7"/>
      <c r="U938" s="7"/>
      <c r="V938" s="7"/>
    </row>
    <row r="939" ht="15.75" customHeight="1">
      <c r="T939" s="7"/>
      <c r="U939" s="7"/>
      <c r="V939" s="7"/>
    </row>
    <row r="940" ht="15.75" customHeight="1">
      <c r="T940" s="7"/>
      <c r="U940" s="7"/>
      <c r="V940" s="7"/>
    </row>
    <row r="941" ht="15.75" customHeight="1">
      <c r="T941" s="7"/>
      <c r="U941" s="7"/>
      <c r="V941" s="7"/>
    </row>
    <row r="942" ht="15.75" customHeight="1">
      <c r="T942" s="7"/>
      <c r="U942" s="7"/>
      <c r="V942" s="7"/>
    </row>
    <row r="943" ht="15.75" customHeight="1">
      <c r="T943" s="7"/>
      <c r="U943" s="7"/>
      <c r="V943" s="7"/>
    </row>
    <row r="944" ht="15.75" customHeight="1">
      <c r="T944" s="7"/>
      <c r="U944" s="7"/>
      <c r="V944" s="7"/>
    </row>
    <row r="945" ht="15.75" customHeight="1">
      <c r="T945" s="7"/>
      <c r="U945" s="7"/>
      <c r="V945" s="7"/>
    </row>
    <row r="946" ht="15.75" customHeight="1">
      <c r="T946" s="7"/>
      <c r="U946" s="7"/>
      <c r="V946" s="7"/>
    </row>
    <row r="947" ht="15.75" customHeight="1">
      <c r="T947" s="7"/>
      <c r="U947" s="7"/>
      <c r="V947" s="7"/>
    </row>
    <row r="948" ht="15.75" customHeight="1">
      <c r="T948" s="7"/>
      <c r="U948" s="7"/>
      <c r="V948" s="7"/>
    </row>
    <row r="949" ht="15.75" customHeight="1">
      <c r="T949" s="7"/>
      <c r="U949" s="7"/>
      <c r="V949" s="7"/>
    </row>
    <row r="950" ht="15.75" customHeight="1">
      <c r="T950" s="7"/>
      <c r="U950" s="7"/>
      <c r="V950" s="7"/>
    </row>
    <row r="951" ht="15.75" customHeight="1">
      <c r="T951" s="7"/>
      <c r="U951" s="7"/>
      <c r="V951" s="7"/>
    </row>
    <row r="952" ht="15.75" customHeight="1">
      <c r="T952" s="7"/>
      <c r="U952" s="7"/>
      <c r="V952" s="7"/>
    </row>
    <row r="953" ht="15.75" customHeight="1">
      <c r="T953" s="7"/>
      <c r="U953" s="7"/>
      <c r="V953" s="7"/>
    </row>
    <row r="954" ht="15.75" customHeight="1">
      <c r="T954" s="7"/>
      <c r="U954" s="7"/>
      <c r="V954" s="7"/>
    </row>
    <row r="955" ht="15.75" customHeight="1">
      <c r="T955" s="7"/>
      <c r="U955" s="7"/>
      <c r="V955" s="7"/>
    </row>
    <row r="956" ht="15.75" customHeight="1">
      <c r="T956" s="7"/>
      <c r="U956" s="7"/>
      <c r="V956" s="7"/>
    </row>
    <row r="957" ht="15.75" customHeight="1">
      <c r="T957" s="7"/>
      <c r="U957" s="7"/>
      <c r="V957" s="7"/>
    </row>
    <row r="958" ht="15.75" customHeight="1">
      <c r="T958" s="7"/>
      <c r="U958" s="7"/>
      <c r="V958" s="7"/>
    </row>
    <row r="959" ht="15.75" customHeight="1">
      <c r="T959" s="7"/>
      <c r="U959" s="7"/>
      <c r="V959" s="7"/>
    </row>
    <row r="960" ht="15.75" customHeight="1">
      <c r="T960" s="7"/>
      <c r="U960" s="7"/>
      <c r="V960" s="7"/>
    </row>
    <row r="961" ht="15.75" customHeight="1">
      <c r="T961" s="7"/>
      <c r="U961" s="7"/>
      <c r="V961" s="7"/>
    </row>
    <row r="962" ht="15.75" customHeight="1">
      <c r="T962" s="7"/>
      <c r="U962" s="7"/>
      <c r="V962" s="7"/>
    </row>
    <row r="963" ht="15.75" customHeight="1">
      <c r="T963" s="7"/>
      <c r="U963" s="7"/>
      <c r="V963" s="7"/>
    </row>
    <row r="964" ht="15.75" customHeight="1">
      <c r="T964" s="7"/>
      <c r="U964" s="7"/>
      <c r="V964" s="7"/>
    </row>
    <row r="965" ht="15.75" customHeight="1">
      <c r="T965" s="7"/>
      <c r="U965" s="7"/>
      <c r="V965" s="7"/>
    </row>
    <row r="966" ht="15.75" customHeight="1">
      <c r="T966" s="7"/>
      <c r="U966" s="7"/>
      <c r="V966" s="7"/>
    </row>
    <row r="967" ht="15.75" customHeight="1">
      <c r="T967" s="7"/>
      <c r="U967" s="7"/>
      <c r="V967" s="7"/>
    </row>
    <row r="968" ht="15.75" customHeight="1">
      <c r="T968" s="7"/>
      <c r="U968" s="7"/>
      <c r="V968" s="7"/>
    </row>
    <row r="969" ht="15.75" customHeight="1">
      <c r="T969" s="7"/>
      <c r="U969" s="7"/>
      <c r="V969" s="7"/>
    </row>
    <row r="970" ht="15.75" customHeight="1">
      <c r="T970" s="7"/>
      <c r="U970" s="7"/>
      <c r="V970" s="7"/>
    </row>
    <row r="971" ht="15.75" customHeight="1">
      <c r="T971" s="7"/>
      <c r="U971" s="7"/>
      <c r="V971" s="7"/>
    </row>
    <row r="972" ht="15.75" customHeight="1">
      <c r="T972" s="7"/>
      <c r="U972" s="7"/>
      <c r="V972" s="7"/>
    </row>
    <row r="973" ht="15.75" customHeight="1">
      <c r="T973" s="7"/>
      <c r="U973" s="7"/>
      <c r="V973" s="7"/>
    </row>
    <row r="974" ht="15.75" customHeight="1">
      <c r="T974" s="7"/>
      <c r="U974" s="7"/>
      <c r="V974" s="7"/>
    </row>
    <row r="975" ht="15.75" customHeight="1">
      <c r="T975" s="7"/>
      <c r="U975" s="7"/>
      <c r="V975" s="7"/>
    </row>
    <row r="976" ht="15.75" customHeight="1">
      <c r="T976" s="7"/>
      <c r="U976" s="7"/>
      <c r="V976" s="7"/>
    </row>
    <row r="977" ht="15.75" customHeight="1">
      <c r="T977" s="7"/>
      <c r="U977" s="7"/>
      <c r="V977" s="7"/>
    </row>
    <row r="978" ht="15.75" customHeight="1">
      <c r="T978" s="7"/>
      <c r="U978" s="7"/>
      <c r="V978" s="7"/>
    </row>
    <row r="979" ht="15.75" customHeight="1">
      <c r="T979" s="7"/>
      <c r="U979" s="7"/>
      <c r="V979" s="7"/>
    </row>
    <row r="980" ht="15.75" customHeight="1">
      <c r="T980" s="7"/>
      <c r="U980" s="7"/>
      <c r="V980" s="7"/>
    </row>
    <row r="981" ht="15.75" customHeight="1">
      <c r="T981" s="7"/>
      <c r="U981" s="7"/>
      <c r="V981" s="7"/>
    </row>
    <row r="982" ht="15.75" customHeight="1">
      <c r="T982" s="7"/>
      <c r="U982" s="7"/>
      <c r="V982" s="7"/>
    </row>
    <row r="983" ht="15.75" customHeight="1">
      <c r="T983" s="7"/>
      <c r="U983" s="7"/>
      <c r="V983" s="7"/>
    </row>
    <row r="984" ht="15.75" customHeight="1">
      <c r="T984" s="7"/>
      <c r="U984" s="7"/>
      <c r="V984" s="7"/>
    </row>
    <row r="985" ht="15.75" customHeight="1">
      <c r="T985" s="7"/>
      <c r="U985" s="7"/>
      <c r="V985" s="7"/>
    </row>
    <row r="986" ht="15.75" customHeight="1">
      <c r="T986" s="7"/>
      <c r="U986" s="7"/>
      <c r="V986" s="7"/>
    </row>
    <row r="987" ht="15.75" customHeight="1">
      <c r="T987" s="7"/>
      <c r="U987" s="7"/>
      <c r="V987" s="7"/>
    </row>
    <row r="988" ht="15.75" customHeight="1">
      <c r="T988" s="7"/>
      <c r="U988" s="7"/>
      <c r="V988" s="7"/>
    </row>
    <row r="989" ht="15.75" customHeight="1">
      <c r="T989" s="7"/>
      <c r="U989" s="7"/>
      <c r="V989" s="7"/>
    </row>
    <row r="990" ht="15.75" customHeight="1">
      <c r="T990" s="7"/>
      <c r="U990" s="7"/>
      <c r="V990" s="7"/>
    </row>
    <row r="991" ht="15.75" customHeight="1">
      <c r="T991" s="7"/>
      <c r="U991" s="7"/>
      <c r="V991" s="7"/>
    </row>
    <row r="992" ht="15.75" customHeight="1">
      <c r="T992" s="7"/>
      <c r="U992" s="7"/>
      <c r="V992" s="7"/>
    </row>
    <row r="993" ht="15.75" customHeight="1">
      <c r="T993" s="7"/>
      <c r="U993" s="7"/>
      <c r="V993" s="7"/>
    </row>
    <row r="994" ht="15.75" customHeight="1">
      <c r="T994" s="7"/>
      <c r="U994" s="7"/>
      <c r="V994" s="7"/>
    </row>
    <row r="995" ht="15.75" customHeight="1">
      <c r="T995" s="7"/>
      <c r="U995" s="7"/>
      <c r="V995" s="7"/>
    </row>
    <row r="996" ht="15.75" customHeight="1">
      <c r="T996" s="7"/>
      <c r="U996" s="7"/>
      <c r="V996" s="7"/>
    </row>
    <row r="997" ht="15.75" customHeight="1">
      <c r="T997" s="7"/>
      <c r="U997" s="7"/>
      <c r="V997" s="7"/>
    </row>
    <row r="998" ht="15.75" customHeight="1">
      <c r="T998" s="7"/>
      <c r="U998" s="7"/>
      <c r="V998" s="7"/>
    </row>
    <row r="999" ht="15.75" customHeight="1">
      <c r="T999" s="7"/>
      <c r="U999" s="7"/>
      <c r="V999" s="7"/>
    </row>
    <row r="1000" ht="15.75" customHeight="1">
      <c r="T1000" s="7"/>
      <c r="U1000" s="7"/>
      <c r="V1000" s="7"/>
    </row>
  </sheetData>
  <printOptions/>
  <pageMargins bottom="0.75" footer="0.0" header="0.0" left="0.7" right="0.7" top="0.75"/>
  <pageSetup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5"/>
    <col customWidth="1" min="2" max="2" width="24.75"/>
    <col customWidth="1" min="3" max="3" width="9.13"/>
    <col customWidth="1" min="4" max="4" width="12.63"/>
    <col customWidth="1" min="5" max="5" width="12.0"/>
    <col customWidth="1" min="6" max="7" width="11.75"/>
    <col customWidth="1" min="8" max="8" width="11.13"/>
    <col customWidth="1" min="9" max="10" width="12.38"/>
    <col customWidth="1" min="11" max="11" width="10.0"/>
    <col customWidth="1" min="12" max="12" width="10.25"/>
    <col customWidth="1" min="13" max="13" width="9.13"/>
    <col customWidth="1" min="14" max="14" width="10.0"/>
    <col customWidth="1" min="15" max="15" width="11.38"/>
    <col customWidth="1" min="16" max="17" width="9.13"/>
    <col customWidth="1" min="18" max="18" width="2.88"/>
    <col customWidth="1" min="19" max="19" width="9.75"/>
    <col customWidth="1" min="20" max="20" width="10.38"/>
    <col customWidth="1" min="21" max="21" width="5.63"/>
    <col customWidth="1" min="22" max="26" width="7.75"/>
  </cols>
  <sheetData>
    <row r="1">
      <c r="A1" s="5" t="str">
        <f>Company_Name&amp;" | Salaries &amp; Wages Projections |"</f>
        <v>OTW Paints | Salaries &amp; Wages Projections |</v>
      </c>
      <c r="B1" s="5"/>
      <c r="C1" s="5"/>
      <c r="D1" s="5"/>
      <c r="I1" s="127" t="s">
        <v>1063</v>
      </c>
      <c r="T1" s="7"/>
      <c r="U1" s="7"/>
      <c r="V1" s="7"/>
    </row>
    <row r="2">
      <c r="B2" s="360" t="s">
        <v>1064</v>
      </c>
      <c r="T2" s="7"/>
      <c r="U2" s="7"/>
      <c r="V2" s="7"/>
    </row>
    <row r="3">
      <c r="B3" s="360"/>
      <c r="U3" s="7"/>
      <c r="V3" s="7"/>
      <c r="W3" s="7"/>
    </row>
    <row r="4">
      <c r="A4" s="364" t="s">
        <v>1065</v>
      </c>
      <c r="B4" s="367"/>
      <c r="C4" s="367"/>
      <c r="D4" s="367"/>
      <c r="E4" s="367"/>
      <c r="F4" s="367"/>
      <c r="G4" s="367"/>
      <c r="H4" s="367"/>
      <c r="I4" s="367"/>
      <c r="J4" s="557"/>
      <c r="U4" s="7"/>
      <c r="V4" s="7"/>
      <c r="W4" s="7"/>
    </row>
    <row r="5">
      <c r="B5" s="42" t="s">
        <v>997</v>
      </c>
      <c r="C5" s="273">
        <f>Projected_Start_Date</f>
        <v>42370</v>
      </c>
      <c r="E5" s="133" t="s">
        <v>998</v>
      </c>
      <c r="F5" s="558">
        <v>0.03</v>
      </c>
      <c r="I5" s="133" t="s">
        <v>999</v>
      </c>
      <c r="J5" s="558">
        <v>0.03</v>
      </c>
      <c r="U5" s="7"/>
      <c r="V5" s="7"/>
      <c r="W5" s="7"/>
    </row>
    <row r="6">
      <c r="U6" s="7"/>
      <c r="V6" s="7"/>
      <c r="W6" s="7"/>
    </row>
    <row r="7">
      <c r="A7" s="371"/>
      <c r="B7" s="19"/>
      <c r="C7" s="79"/>
      <c r="D7" s="19"/>
      <c r="E7" s="372">
        <f>DATE(YEAR(Projected_Start_Date),1,1)</f>
        <v>42370</v>
      </c>
      <c r="F7" s="372">
        <f t="shared" ref="F7:P7" si="1">EDATE(E7,1)</f>
        <v>42401</v>
      </c>
      <c r="G7" s="372">
        <f t="shared" si="1"/>
        <v>42430</v>
      </c>
      <c r="H7" s="372">
        <f t="shared" si="1"/>
        <v>42461</v>
      </c>
      <c r="I7" s="372">
        <f t="shared" si="1"/>
        <v>42491</v>
      </c>
      <c r="J7" s="372">
        <f t="shared" si="1"/>
        <v>42522</v>
      </c>
      <c r="K7" s="372">
        <f t="shared" si="1"/>
        <v>42552</v>
      </c>
      <c r="L7" s="372">
        <f t="shared" si="1"/>
        <v>42583</v>
      </c>
      <c r="M7" s="372">
        <f t="shared" si="1"/>
        <v>42614</v>
      </c>
      <c r="N7" s="372">
        <f t="shared" si="1"/>
        <v>42644</v>
      </c>
      <c r="O7" s="372">
        <f t="shared" si="1"/>
        <v>42675</v>
      </c>
      <c r="P7" s="372">
        <f t="shared" si="1"/>
        <v>42705</v>
      </c>
      <c r="Q7" s="559" t="s">
        <v>315</v>
      </c>
      <c r="R7" s="237"/>
      <c r="S7" s="560" t="s">
        <v>107</v>
      </c>
      <c r="T7" s="561" t="s">
        <v>109</v>
      </c>
      <c r="U7" s="7"/>
      <c r="V7" s="7"/>
      <c r="W7" s="7"/>
    </row>
    <row r="8">
      <c r="A8" s="53"/>
      <c r="B8" s="133"/>
      <c r="C8" s="12"/>
      <c r="D8" s="378" t="s">
        <v>360</v>
      </c>
      <c r="E8" s="379">
        <f t="shared" ref="E8:P8" si="2">SUM(E9:E10)</f>
        <v>2</v>
      </c>
      <c r="F8" s="380">
        <f t="shared" si="2"/>
        <v>2</v>
      </c>
      <c r="G8" s="380">
        <f t="shared" si="2"/>
        <v>2</v>
      </c>
      <c r="H8" s="380">
        <f t="shared" si="2"/>
        <v>2</v>
      </c>
      <c r="I8" s="380">
        <f t="shared" si="2"/>
        <v>2</v>
      </c>
      <c r="J8" s="380">
        <f t="shared" si="2"/>
        <v>2</v>
      </c>
      <c r="K8" s="380">
        <f t="shared" si="2"/>
        <v>2</v>
      </c>
      <c r="L8" s="380">
        <f t="shared" si="2"/>
        <v>2</v>
      </c>
      <c r="M8" s="380">
        <f t="shared" si="2"/>
        <v>2</v>
      </c>
      <c r="N8" s="380">
        <f t="shared" si="2"/>
        <v>2</v>
      </c>
      <c r="O8" s="380">
        <f t="shared" si="2"/>
        <v>2</v>
      </c>
      <c r="P8" s="380">
        <f t="shared" si="2"/>
        <v>2</v>
      </c>
      <c r="Q8" s="426"/>
      <c r="S8" s="53"/>
      <c r="T8" s="562"/>
      <c r="U8" s="134"/>
      <c r="V8" s="134"/>
    </row>
    <row r="9">
      <c r="A9" s="53"/>
      <c r="B9" s="12"/>
      <c r="C9" s="12"/>
      <c r="D9" s="133" t="s">
        <v>361</v>
      </c>
      <c r="E9" s="427">
        <f>COUNTIFS(PERS_StartDate,"&lt;="&amp;E7,PERS_Status,"Full-Time")+COUNTIFS(PERS_StartDate,"&lt;="&amp;E7,PERS_Status,"Part-Time")</f>
        <v>0</v>
      </c>
      <c r="F9" s="563">
        <f>COUNTIFS(PERS_StartDate,"&lt;="&amp;F7,PERS_Status,"Full-Time")+COUNTIFS(PERS_StartDate,"&lt;="&amp;F7,PERS_Status,"Part-Time")</f>
        <v>0</v>
      </c>
      <c r="G9" s="563">
        <f>COUNTIFS(PERS_StartDate,"&lt;="&amp;G7,PERS_Status,"Full-Time")+COUNTIFS(PERS_StartDate,"&lt;="&amp;G7,PERS_Status,"Part-Time")</f>
        <v>0</v>
      </c>
      <c r="H9" s="563">
        <f>COUNTIFS(PERS_StartDate,"&lt;="&amp;H7,PERS_Status,"Full-Time")+COUNTIFS(PERS_StartDate,"&lt;="&amp;H7,PERS_Status,"Part-Time")</f>
        <v>0</v>
      </c>
      <c r="I9" s="563">
        <f>COUNTIFS(PERS_StartDate,"&lt;="&amp;I7,PERS_Status,"Full-Time")+COUNTIFS(PERS_StartDate,"&lt;="&amp;I7,PERS_Status,"Part-Time")</f>
        <v>0</v>
      </c>
      <c r="J9" s="563">
        <f>COUNTIFS(PERS_StartDate,"&lt;="&amp;J7,PERS_Status,"Full-Time")+COUNTIFS(PERS_StartDate,"&lt;="&amp;J7,PERS_Status,"Part-Time")</f>
        <v>0</v>
      </c>
      <c r="K9" s="563">
        <f>COUNTIFS(PERS_StartDate,"&lt;="&amp;K7,PERS_Status,"Full-Time")+COUNTIFS(PERS_StartDate,"&lt;="&amp;K7,PERS_Status,"Part-Time")</f>
        <v>0</v>
      </c>
      <c r="L9" s="563">
        <f>COUNTIFS(PERS_StartDate,"&lt;="&amp;L7,PERS_Status,"Full-Time")+COUNTIFS(PERS_StartDate,"&lt;="&amp;L7,PERS_Status,"Part-Time")</f>
        <v>0</v>
      </c>
      <c r="M9" s="563">
        <f>COUNTIFS(PERS_StartDate,"&lt;="&amp;M7,PERS_Status,"Full-Time")+COUNTIFS(PERS_StartDate,"&lt;="&amp;M7,PERS_Status,"Part-Time")</f>
        <v>0</v>
      </c>
      <c r="N9" s="563">
        <f>COUNTIFS(PERS_StartDate,"&lt;="&amp;N7,PERS_Status,"Full-Time")+COUNTIFS(PERS_StartDate,"&lt;="&amp;N7,PERS_Status,"Part-Time")</f>
        <v>0</v>
      </c>
      <c r="O9" s="563">
        <f>COUNTIFS(PERS_StartDate,"&lt;="&amp;O7,PERS_Status,"Full-Time")+COUNTIFS(PERS_StartDate,"&lt;="&amp;O7,PERS_Status,"Part-Time")</f>
        <v>0</v>
      </c>
      <c r="P9" s="563">
        <f>COUNTIFS(PERS_StartDate,"&lt;="&amp;P7,PERS_Status,"Full-Time")+COUNTIFS(PERS_StartDate,"&lt;="&amp;P7,PERS_Status,"Part-Time")</f>
        <v>0</v>
      </c>
      <c r="Q9" s="426"/>
      <c r="S9" s="53"/>
      <c r="T9" s="562"/>
      <c r="U9" s="134"/>
      <c r="V9" s="134"/>
    </row>
    <row r="10">
      <c r="A10" s="53"/>
      <c r="B10" s="12"/>
      <c r="C10" s="12"/>
      <c r="D10" s="133" t="s">
        <v>362</v>
      </c>
      <c r="E10" s="427">
        <f>COUNTIFS(PERS_StartDate,"&lt;="&amp;E7,PERS_Status,"Contractor")</f>
        <v>2</v>
      </c>
      <c r="F10" s="563">
        <f>COUNTIFS(PERS_StartDate,"&lt;="&amp;F7,PERS_Status,"Contractor")</f>
        <v>2</v>
      </c>
      <c r="G10" s="563">
        <f>COUNTIFS(PERS_StartDate,"&lt;="&amp;G7,PERS_Status,"Contractor")</f>
        <v>2</v>
      </c>
      <c r="H10" s="563">
        <f>COUNTIFS(PERS_StartDate,"&lt;="&amp;H7,PERS_Status,"Contractor")</f>
        <v>2</v>
      </c>
      <c r="I10" s="563">
        <f>COUNTIFS(PERS_StartDate,"&lt;="&amp;I7,PERS_Status,"Contractor")</f>
        <v>2</v>
      </c>
      <c r="J10" s="563">
        <f>COUNTIFS(PERS_StartDate,"&lt;="&amp;J7,PERS_Status,"Contractor")</f>
        <v>2</v>
      </c>
      <c r="K10" s="563">
        <f>COUNTIFS(PERS_StartDate,"&lt;="&amp;K7,PERS_Status,"Contractor")</f>
        <v>2</v>
      </c>
      <c r="L10" s="563">
        <f>COUNTIFS(PERS_StartDate,"&lt;="&amp;L7,PERS_Status,"Contractor")</f>
        <v>2</v>
      </c>
      <c r="M10" s="563">
        <f>COUNTIFS(PERS_StartDate,"&lt;="&amp;M7,PERS_Status,"Contractor")</f>
        <v>2</v>
      </c>
      <c r="N10" s="563">
        <f>COUNTIFS(PERS_StartDate,"&lt;="&amp;N7,PERS_Status,"Contractor")</f>
        <v>2</v>
      </c>
      <c r="O10" s="563">
        <f>COUNTIFS(PERS_StartDate,"&lt;="&amp;O7,PERS_Status,"Contractor")</f>
        <v>2</v>
      </c>
      <c r="P10" s="563">
        <f>COUNTIFS(PERS_StartDate,"&lt;="&amp;P7,PERS_Status,"Contractor")</f>
        <v>2</v>
      </c>
      <c r="Q10" s="426"/>
      <c r="S10" s="53"/>
      <c r="T10" s="27"/>
      <c r="U10" s="7"/>
      <c r="V10" s="7"/>
    </row>
    <row r="11">
      <c r="A11" s="53"/>
      <c r="B11" s="12"/>
      <c r="C11" s="12"/>
      <c r="D11" s="138"/>
      <c r="E11" s="383"/>
      <c r="F11" s="384"/>
      <c r="G11" s="384"/>
      <c r="H11" s="384"/>
      <c r="I11" s="384"/>
      <c r="J11" s="384"/>
      <c r="K11" s="384"/>
      <c r="L11" s="384"/>
      <c r="M11" s="384"/>
      <c r="N11" s="384"/>
      <c r="O11" s="384"/>
      <c r="P11" s="384"/>
      <c r="Q11" s="426"/>
      <c r="S11" s="385"/>
      <c r="T11" s="219"/>
      <c r="U11" s="7"/>
      <c r="V11" s="7"/>
      <c r="W11" s="7"/>
    </row>
    <row r="12">
      <c r="A12" s="53"/>
      <c r="B12" s="12"/>
      <c r="C12" s="12"/>
      <c r="D12" s="378" t="s">
        <v>363</v>
      </c>
      <c r="E12" s="387">
        <f>SUMIFS(PERS_FirstMo,PERS_StartDate,"&gt;="&amp;E$7,PERS_StartDate,"&lt;"&amp;F$7,PERS_Status,"Full-Time")+SUMIFS(PERS_FirstMo,PERS_StartDate,"&gt;="&amp;E$7,PERS_StartDate,"&lt;"&amp;F$7,PERS_Status,"Part-Time")+SUMIFS(PERS_Monthly,PERS_StartDate,"&lt;"&amp;E$7,PERS_Status,"Full-Time")+SUMIFS(PERS_Monthly,PERS_StartDate,"&lt;"&amp;E$7,PERS_Status,"Part-Time")</f>
        <v>0</v>
      </c>
      <c r="F12" s="388">
        <f>SUMIFS(PERS_FirstMo,PERS_StartDate,"&gt;="&amp;F$7,PERS_StartDate,"&lt;"&amp;G$7,PERS_Status,"Full-Time")+SUMIFS(PERS_FirstMo,PERS_StartDate,"&gt;="&amp;F$7,PERS_StartDate,"&lt;"&amp;G$7,PERS_Status,"Part-Time")+SUMIFS(PERS_Monthly,PERS_StartDate,"&lt;"&amp;F$7,PERS_Status,"Full-Time")+SUMIFS(PERS_Monthly,PERS_StartDate,"&lt;"&amp;F$7,PERS_Status,"Part-Time")</f>
        <v>0</v>
      </c>
      <c r="G12" s="388">
        <f>SUMIFS(PERS_FirstMo,PERS_StartDate,"&gt;="&amp;G$7,PERS_StartDate,"&lt;"&amp;H$7,PERS_Status,"Full-Time")+SUMIFS(PERS_FirstMo,PERS_StartDate,"&gt;="&amp;G$7,PERS_StartDate,"&lt;"&amp;H$7,PERS_Status,"Part-Time")+SUMIFS(PERS_Monthly,PERS_StartDate,"&lt;"&amp;G$7,PERS_Status,"Full-Time")+SUMIFS(PERS_Monthly,PERS_StartDate,"&lt;"&amp;G$7,PERS_Status,"Part-Time")</f>
        <v>0</v>
      </c>
      <c r="H12" s="388">
        <f>SUMIFS(PERS_FirstMo,PERS_StartDate,"&gt;="&amp;H$7,PERS_StartDate,"&lt;"&amp;I$7,PERS_Status,"Full-Time")+SUMIFS(PERS_FirstMo,PERS_StartDate,"&gt;="&amp;H$7,PERS_StartDate,"&lt;"&amp;I$7,PERS_Status,"Part-Time")+SUMIFS(PERS_Monthly,PERS_StartDate,"&lt;"&amp;H$7,PERS_Status,"Full-Time")+SUMIFS(PERS_Monthly,PERS_StartDate,"&lt;"&amp;H$7,PERS_Status,"Part-Time")</f>
        <v>0</v>
      </c>
      <c r="I12" s="388">
        <f>SUMIFS(PERS_FirstMo,PERS_StartDate,"&gt;="&amp;I$7,PERS_StartDate,"&lt;"&amp;J$7,PERS_Status,"Full-Time")+SUMIFS(PERS_FirstMo,PERS_StartDate,"&gt;="&amp;I$7,PERS_StartDate,"&lt;"&amp;J$7,PERS_Status,"Part-Time")+SUMIFS(PERS_Monthly,PERS_StartDate,"&lt;"&amp;I$7,PERS_Status,"Full-Time")+SUMIFS(PERS_Monthly,PERS_StartDate,"&lt;"&amp;I$7,PERS_Status,"Part-Time")</f>
        <v>0</v>
      </c>
      <c r="J12" s="388">
        <f>SUMIFS(PERS_FirstMo,PERS_StartDate,"&gt;="&amp;J$7,PERS_StartDate,"&lt;"&amp;K$7,PERS_Status,"Full-Time")+SUMIFS(PERS_FirstMo,PERS_StartDate,"&gt;="&amp;J$7,PERS_StartDate,"&lt;"&amp;K$7,PERS_Status,"Part-Time")+SUMIFS(PERS_Monthly,PERS_StartDate,"&lt;"&amp;J$7,PERS_Status,"Full-Time")+SUMIFS(PERS_Monthly,PERS_StartDate,"&lt;"&amp;J$7,PERS_Status,"Part-Time")</f>
        <v>0</v>
      </c>
      <c r="K12" s="388">
        <f>SUMIFS(PERS_FirstMo,PERS_StartDate,"&gt;="&amp;K$7,PERS_StartDate,"&lt;"&amp;L$7,PERS_Status,"Full-Time")+SUMIFS(PERS_FirstMo,PERS_StartDate,"&gt;="&amp;K$7,PERS_StartDate,"&lt;"&amp;L$7,PERS_Status,"Part-Time")+SUMIFS(PERS_Monthly,PERS_StartDate,"&lt;"&amp;K$7,PERS_Status,"Full-Time")+SUMIFS(PERS_Monthly,PERS_StartDate,"&lt;"&amp;K$7,PERS_Status,"Part-Time")</f>
        <v>0</v>
      </c>
      <c r="L12" s="388">
        <f>SUMIFS(PERS_FirstMo,PERS_StartDate,"&gt;="&amp;L$7,PERS_StartDate,"&lt;"&amp;M$7,PERS_Status,"Full-Time")+SUMIFS(PERS_FirstMo,PERS_StartDate,"&gt;="&amp;L$7,PERS_StartDate,"&lt;"&amp;M$7,PERS_Status,"Part-Time")+SUMIFS(PERS_Monthly,PERS_StartDate,"&lt;"&amp;L$7,PERS_Status,"Full-Time")+SUMIFS(PERS_Monthly,PERS_StartDate,"&lt;"&amp;L$7,PERS_Status,"Part-Time")</f>
        <v>0</v>
      </c>
      <c r="M12" s="388">
        <f>SUMIFS(PERS_FirstMo,PERS_StartDate,"&gt;="&amp;M$7,PERS_StartDate,"&lt;"&amp;N$7,PERS_Status,"Full-Time")+SUMIFS(PERS_FirstMo,PERS_StartDate,"&gt;="&amp;M$7,PERS_StartDate,"&lt;"&amp;N$7,PERS_Status,"Part-Time")+SUMIFS(PERS_Monthly,PERS_StartDate,"&lt;"&amp;M$7,PERS_Status,"Full-Time")+SUMIFS(PERS_Monthly,PERS_StartDate,"&lt;"&amp;M$7,PERS_Status,"Part-Time")</f>
        <v>0</v>
      </c>
      <c r="N12" s="388">
        <f>SUMIFS(PERS_FirstMo,PERS_StartDate,"&gt;="&amp;N$7,PERS_StartDate,"&lt;"&amp;O$7,PERS_Status,"Full-Time")+SUMIFS(PERS_FirstMo,PERS_StartDate,"&gt;="&amp;N$7,PERS_StartDate,"&lt;"&amp;O$7,PERS_Status,"Part-Time")+SUMIFS(PERS_Monthly,PERS_StartDate,"&lt;"&amp;N$7,PERS_Status,"Full-Time")+SUMIFS(PERS_Monthly,PERS_StartDate,"&lt;"&amp;N$7,PERS_Status,"Part-Time")</f>
        <v>0</v>
      </c>
      <c r="O12" s="388">
        <f>SUMIFS(PERS_FirstMo,PERS_StartDate,"&gt;="&amp;O$7,PERS_StartDate,"&lt;"&amp;P$7,PERS_Status,"Full-Time")+SUMIFS(PERS_FirstMo,PERS_StartDate,"&gt;="&amp;O$7,PERS_StartDate,"&lt;"&amp;P$7,PERS_Status,"Part-Time")+SUMIFS(PERS_Monthly,PERS_StartDate,"&lt;"&amp;O$7,PERS_Status,"Full-Time")+SUMIFS(PERS_Monthly,PERS_StartDate,"&lt;"&amp;O$7,PERS_Status,"Part-Time")</f>
        <v>0</v>
      </c>
      <c r="P12" s="388">
        <f>SUMIFS(PERS_FirstMo,PERS_StartDate,"&gt;="&amp;P$7,PERS_StartDate,"&lt;"&amp;Q$7,PERS_Status,"Full-Time")+SUMIFS(PERS_FirstMo,PERS_StartDate,"&gt;="&amp;P$7,PERS_StartDate,"&lt;"&amp;Q$7,PERS_Status,"Part-Time")+SUMIFS(PERS_Monthly,PERS_StartDate,"&lt;"&amp;P$7,PERS_Status,"Full-Time")+SUMIFS(PERS_Monthly,PERS_StartDate,"&lt;"&amp;P$7,PERS_Status,"Part-Time")</f>
        <v>0</v>
      </c>
      <c r="Q12" s="389">
        <f t="shared" ref="Q12:Q14" si="3">SUM(E12:P12)</f>
        <v>0</v>
      </c>
      <c r="S12" s="573">
        <f t="shared" ref="S12:S15" si="4">Q12*(1+$F$5)</f>
        <v>0</v>
      </c>
      <c r="T12" s="574">
        <f t="shared" ref="T12:T15" si="5">S12*(1+$J$5)</f>
        <v>0</v>
      </c>
      <c r="U12" s="7"/>
      <c r="V12" s="7"/>
      <c r="W12" s="7"/>
    </row>
    <row r="13">
      <c r="A13" s="53"/>
      <c r="B13" s="12"/>
      <c r="C13" s="12"/>
      <c r="D13" s="378" t="s">
        <v>365</v>
      </c>
      <c r="E13" s="387">
        <f>SUMIFS(PERS_FirstMo,PERS_StartDate,"&gt;="&amp;E$7,PERS_StartDate,"&lt;"&amp;F$7,PERS_Status,"Contractor")+SUMIFS(PERS_Monthly,PERS_StartDate,"&lt;"&amp;E$7,PERS_Status,"Contractor")</f>
        <v>4022.988506</v>
      </c>
      <c r="F13" s="388">
        <f>SUMIFS(PERS_FirstMo,PERS_StartDate,"&gt;="&amp;F$7,PERS_StartDate,"&lt;"&amp;G$7,PERS_Status,"Contractor")+SUMIFS(PERS_Monthly,PERS_StartDate,"&lt;"&amp;F$7,PERS_Status,"Contractor")</f>
        <v>4166.666667</v>
      </c>
      <c r="G13" s="388">
        <f>SUMIFS(PERS_FirstMo,PERS_StartDate,"&gt;="&amp;G$7,PERS_StartDate,"&lt;"&amp;H$7,PERS_Status,"Contractor")+SUMIFS(PERS_Monthly,PERS_StartDate,"&lt;"&amp;G$7,PERS_Status,"Contractor")</f>
        <v>4166.666667</v>
      </c>
      <c r="H13" s="388">
        <f>SUMIFS(PERS_FirstMo,PERS_StartDate,"&gt;="&amp;H$7,PERS_StartDate,"&lt;"&amp;I$7,PERS_Status,"Contractor")+SUMIFS(PERS_Monthly,PERS_StartDate,"&lt;"&amp;H$7,PERS_Status,"Contractor")</f>
        <v>4166.666667</v>
      </c>
      <c r="I13" s="388">
        <f>SUMIFS(PERS_FirstMo,PERS_StartDate,"&gt;="&amp;I$7,PERS_StartDate,"&lt;"&amp;J$7,PERS_Status,"Contractor")+SUMIFS(PERS_Monthly,PERS_StartDate,"&lt;"&amp;I$7,PERS_Status,"Contractor")</f>
        <v>4166.666667</v>
      </c>
      <c r="J13" s="388">
        <f>SUMIFS(PERS_FirstMo,PERS_StartDate,"&gt;="&amp;J$7,PERS_StartDate,"&lt;"&amp;K$7,PERS_Status,"Contractor")+SUMIFS(PERS_Monthly,PERS_StartDate,"&lt;"&amp;J$7,PERS_Status,"Contractor")</f>
        <v>4166.666667</v>
      </c>
      <c r="K13" s="388">
        <f>SUMIFS(PERS_FirstMo,PERS_StartDate,"&gt;="&amp;K$7,PERS_StartDate,"&lt;"&amp;L$7,PERS_Status,"Contractor")+SUMIFS(PERS_Monthly,PERS_StartDate,"&lt;"&amp;K$7,PERS_Status,"Contractor")</f>
        <v>4166.666667</v>
      </c>
      <c r="L13" s="388">
        <f>SUMIFS(PERS_FirstMo,PERS_StartDate,"&gt;="&amp;L$7,PERS_StartDate,"&lt;"&amp;M$7,PERS_Status,"Contractor")+SUMIFS(PERS_Monthly,PERS_StartDate,"&lt;"&amp;L$7,PERS_Status,"Contractor")</f>
        <v>4166.666667</v>
      </c>
      <c r="M13" s="388">
        <f>SUMIFS(PERS_FirstMo,PERS_StartDate,"&gt;="&amp;M$7,PERS_StartDate,"&lt;"&amp;N$7,PERS_Status,"Contractor")+SUMIFS(PERS_Monthly,PERS_StartDate,"&lt;"&amp;M$7,PERS_Status,"Contractor")</f>
        <v>4166.666667</v>
      </c>
      <c r="N13" s="388">
        <f>SUMIFS(PERS_FirstMo,PERS_StartDate,"&gt;="&amp;N$7,PERS_StartDate,"&lt;"&amp;O$7,PERS_Status,"Contractor")+SUMIFS(PERS_Monthly,PERS_StartDate,"&lt;"&amp;N$7,PERS_Status,"Contractor")</f>
        <v>4166.666667</v>
      </c>
      <c r="O13" s="388">
        <f>SUMIFS(PERS_FirstMo,PERS_StartDate,"&gt;="&amp;O$7,PERS_StartDate,"&lt;"&amp;P$7,PERS_Status,"Contractor")+SUMIFS(PERS_Monthly,PERS_StartDate,"&lt;"&amp;O$7,PERS_Status,"Contractor")</f>
        <v>4166.666667</v>
      </c>
      <c r="P13" s="388">
        <f>SUMIFS(PERS_FirstMo,PERS_StartDate,"&gt;="&amp;P$7,PERS_StartDate,"&lt;"&amp;Q$7,PERS_Status,"Contractor")+SUMIFS(PERS_Monthly,PERS_StartDate,"&lt;"&amp;P$7,PERS_Status,"Contractor")</f>
        <v>4166.666667</v>
      </c>
      <c r="Q13" s="389">
        <f t="shared" si="3"/>
        <v>49856.32184</v>
      </c>
      <c r="S13" s="573">
        <f t="shared" si="4"/>
        <v>51352.01149</v>
      </c>
      <c r="T13" s="574">
        <f t="shared" si="5"/>
        <v>52892.57184</v>
      </c>
      <c r="U13" s="7"/>
      <c r="V13" s="7"/>
      <c r="W13" s="7"/>
    </row>
    <row r="14">
      <c r="A14" s="53"/>
      <c r="B14" s="12"/>
      <c r="C14" s="12"/>
      <c r="D14" s="378" t="s">
        <v>366</v>
      </c>
      <c r="E14" s="387">
        <f t="shared" ref="E14:P14" si="6">SUM(E18:E25)</f>
        <v>40.83333333</v>
      </c>
      <c r="F14" s="388">
        <f t="shared" si="6"/>
        <v>40.83333333</v>
      </c>
      <c r="G14" s="388">
        <f t="shared" si="6"/>
        <v>40.83333333</v>
      </c>
      <c r="H14" s="388">
        <f t="shared" si="6"/>
        <v>40.83333333</v>
      </c>
      <c r="I14" s="388">
        <f t="shared" si="6"/>
        <v>40.83333333</v>
      </c>
      <c r="J14" s="388">
        <f t="shared" si="6"/>
        <v>40.83333333</v>
      </c>
      <c r="K14" s="388">
        <f t="shared" si="6"/>
        <v>40.83333333</v>
      </c>
      <c r="L14" s="388">
        <f t="shared" si="6"/>
        <v>40.83333333</v>
      </c>
      <c r="M14" s="388">
        <f t="shared" si="6"/>
        <v>40.83333333</v>
      </c>
      <c r="N14" s="388">
        <f t="shared" si="6"/>
        <v>40.83333333</v>
      </c>
      <c r="O14" s="388">
        <f t="shared" si="6"/>
        <v>40.83333333</v>
      </c>
      <c r="P14" s="388">
        <f t="shared" si="6"/>
        <v>40.83333333</v>
      </c>
      <c r="Q14" s="389">
        <f t="shared" si="3"/>
        <v>490</v>
      </c>
      <c r="S14" s="573">
        <f t="shared" si="4"/>
        <v>504.7</v>
      </c>
      <c r="T14" s="574">
        <f t="shared" si="5"/>
        <v>519.841</v>
      </c>
      <c r="U14" s="7"/>
      <c r="V14" s="7"/>
      <c r="W14" s="7"/>
    </row>
    <row r="15">
      <c r="A15" s="53"/>
      <c r="B15" s="12"/>
      <c r="C15" s="12"/>
      <c r="D15" s="404" t="s">
        <v>263</v>
      </c>
      <c r="E15" s="405">
        <f t="shared" ref="E15:Q15" si="7">SUM(E12:E14)</f>
        <v>4063.821839</v>
      </c>
      <c r="F15" s="428">
        <f t="shared" si="7"/>
        <v>4207.5</v>
      </c>
      <c r="G15" s="428">
        <f t="shared" si="7"/>
        <v>4207.5</v>
      </c>
      <c r="H15" s="428">
        <f t="shared" si="7"/>
        <v>4207.5</v>
      </c>
      <c r="I15" s="428">
        <f t="shared" si="7"/>
        <v>4207.5</v>
      </c>
      <c r="J15" s="428">
        <f t="shared" si="7"/>
        <v>4207.5</v>
      </c>
      <c r="K15" s="428">
        <f t="shared" si="7"/>
        <v>4207.5</v>
      </c>
      <c r="L15" s="428">
        <f t="shared" si="7"/>
        <v>4207.5</v>
      </c>
      <c r="M15" s="428">
        <f t="shared" si="7"/>
        <v>4207.5</v>
      </c>
      <c r="N15" s="428">
        <f t="shared" si="7"/>
        <v>4207.5</v>
      </c>
      <c r="O15" s="428">
        <f t="shared" si="7"/>
        <v>4207.5</v>
      </c>
      <c r="P15" s="428">
        <f t="shared" si="7"/>
        <v>4207.5</v>
      </c>
      <c r="Q15" s="582">
        <f t="shared" si="7"/>
        <v>50346.32184</v>
      </c>
      <c r="S15" s="583">
        <f t="shared" si="4"/>
        <v>51856.71149</v>
      </c>
      <c r="T15" s="584">
        <f t="shared" si="5"/>
        <v>53412.41284</v>
      </c>
      <c r="U15" s="7"/>
      <c r="V15" s="7"/>
    </row>
    <row r="16">
      <c r="A16" s="53"/>
      <c r="B16" s="25"/>
      <c r="C16" s="12"/>
      <c r="D16" s="12"/>
      <c r="E16" s="383"/>
      <c r="F16" s="384"/>
      <c r="G16" s="384"/>
      <c r="H16" s="384"/>
      <c r="I16" s="384"/>
      <c r="J16" s="396"/>
      <c r="K16" s="384"/>
      <c r="L16" s="384"/>
      <c r="M16" s="384"/>
      <c r="N16" s="384"/>
      <c r="O16" s="384"/>
      <c r="P16" s="384"/>
      <c r="Q16" s="426"/>
      <c r="U16" s="7"/>
      <c r="V16" s="7"/>
      <c r="W16" s="7"/>
    </row>
    <row r="17">
      <c r="A17" s="53"/>
      <c r="B17" s="25" t="s">
        <v>366</v>
      </c>
      <c r="C17" s="12"/>
      <c r="D17" s="138" t="s">
        <v>368</v>
      </c>
      <c r="E17" s="383"/>
      <c r="F17" s="384"/>
      <c r="G17" s="384"/>
      <c r="H17" s="384"/>
      <c r="I17" s="384"/>
      <c r="J17" s="384"/>
      <c r="K17" s="384"/>
      <c r="L17" s="384"/>
      <c r="M17" s="384"/>
      <c r="N17" s="384"/>
      <c r="O17" s="384"/>
      <c r="P17" s="384"/>
      <c r="Q17" s="426"/>
      <c r="U17" s="7"/>
      <c r="V17" s="7"/>
      <c r="W17" s="7"/>
    </row>
    <row r="18">
      <c r="A18" s="53"/>
      <c r="B18" s="133" t="s">
        <v>369</v>
      </c>
      <c r="C18" s="136">
        <v>0.062</v>
      </c>
      <c r="D18" s="12">
        <v>102000.0</v>
      </c>
      <c r="E18" s="411">
        <f t="shared" ref="E18:P18" si="8">$C$18*E12</f>
        <v>0</v>
      </c>
      <c r="F18" s="585">
        <f t="shared" si="8"/>
        <v>0</v>
      </c>
      <c r="G18" s="585">
        <f t="shared" si="8"/>
        <v>0</v>
      </c>
      <c r="H18" s="585">
        <f t="shared" si="8"/>
        <v>0</v>
      </c>
      <c r="I18" s="585">
        <f t="shared" si="8"/>
        <v>0</v>
      </c>
      <c r="J18" s="585">
        <f t="shared" si="8"/>
        <v>0</v>
      </c>
      <c r="K18" s="585">
        <f t="shared" si="8"/>
        <v>0</v>
      </c>
      <c r="L18" s="585">
        <f t="shared" si="8"/>
        <v>0</v>
      </c>
      <c r="M18" s="585">
        <f t="shared" si="8"/>
        <v>0</v>
      </c>
      <c r="N18" s="585">
        <f t="shared" si="8"/>
        <v>0</v>
      </c>
      <c r="O18" s="585">
        <f t="shared" si="8"/>
        <v>0</v>
      </c>
      <c r="P18" s="585">
        <f t="shared" si="8"/>
        <v>0</v>
      </c>
      <c r="Q18" s="426"/>
      <c r="U18" s="7"/>
      <c r="V18" s="7"/>
      <c r="W18" s="7"/>
    </row>
    <row r="19">
      <c r="A19" s="53"/>
      <c r="B19" s="133" t="s">
        <v>370</v>
      </c>
      <c r="C19" s="136">
        <v>0.0145</v>
      </c>
      <c r="D19" s="12"/>
      <c r="E19" s="411">
        <f t="shared" ref="E19:P19" si="9">$C$19*E12</f>
        <v>0</v>
      </c>
      <c r="F19" s="585">
        <f t="shared" si="9"/>
        <v>0</v>
      </c>
      <c r="G19" s="585">
        <f t="shared" si="9"/>
        <v>0</v>
      </c>
      <c r="H19" s="585">
        <f t="shared" si="9"/>
        <v>0</v>
      </c>
      <c r="I19" s="585">
        <f t="shared" si="9"/>
        <v>0</v>
      </c>
      <c r="J19" s="585">
        <f t="shared" si="9"/>
        <v>0</v>
      </c>
      <c r="K19" s="585">
        <f t="shared" si="9"/>
        <v>0</v>
      </c>
      <c r="L19" s="585">
        <f t="shared" si="9"/>
        <v>0</v>
      </c>
      <c r="M19" s="585">
        <f t="shared" si="9"/>
        <v>0</v>
      </c>
      <c r="N19" s="585">
        <f t="shared" si="9"/>
        <v>0</v>
      </c>
      <c r="O19" s="585">
        <f t="shared" si="9"/>
        <v>0</v>
      </c>
      <c r="P19" s="585">
        <f t="shared" si="9"/>
        <v>0</v>
      </c>
      <c r="Q19" s="426"/>
      <c r="U19" s="7"/>
      <c r="V19" s="7"/>
      <c r="W19" s="7"/>
    </row>
    <row r="20">
      <c r="A20" s="53"/>
      <c r="B20" s="133" t="s">
        <v>371</v>
      </c>
      <c r="C20" s="136">
        <v>0.008</v>
      </c>
      <c r="D20" s="12">
        <v>7000.0</v>
      </c>
      <c r="E20" s="411">
        <f t="shared" ref="E20:P20" si="10">($C$20*$D$20/12)*E8</f>
        <v>9.333333333</v>
      </c>
      <c r="F20" s="585">
        <f t="shared" si="10"/>
        <v>9.333333333</v>
      </c>
      <c r="G20" s="585">
        <f t="shared" si="10"/>
        <v>9.333333333</v>
      </c>
      <c r="H20" s="585">
        <f t="shared" si="10"/>
        <v>9.333333333</v>
      </c>
      <c r="I20" s="585">
        <f t="shared" si="10"/>
        <v>9.333333333</v>
      </c>
      <c r="J20" s="585">
        <f t="shared" si="10"/>
        <v>9.333333333</v>
      </c>
      <c r="K20" s="585">
        <f t="shared" si="10"/>
        <v>9.333333333</v>
      </c>
      <c r="L20" s="585">
        <f t="shared" si="10"/>
        <v>9.333333333</v>
      </c>
      <c r="M20" s="585">
        <f t="shared" si="10"/>
        <v>9.333333333</v>
      </c>
      <c r="N20" s="585">
        <f t="shared" si="10"/>
        <v>9.333333333</v>
      </c>
      <c r="O20" s="585">
        <f t="shared" si="10"/>
        <v>9.333333333</v>
      </c>
      <c r="P20" s="585">
        <f t="shared" si="10"/>
        <v>9.333333333</v>
      </c>
      <c r="Q20" s="426"/>
      <c r="U20" s="7"/>
      <c r="V20" s="7"/>
      <c r="W20" s="7"/>
    </row>
    <row r="21" ht="15.75" customHeight="1">
      <c r="A21" s="53"/>
      <c r="B21" s="133" t="s">
        <v>372</v>
      </c>
      <c r="C21" s="136">
        <v>0.027</v>
      </c>
      <c r="D21" s="12">
        <v>7000.0</v>
      </c>
      <c r="E21" s="411">
        <f t="shared" ref="E21:P21" si="11">($C$21*$D$21/12)*E8</f>
        <v>31.5</v>
      </c>
      <c r="F21" s="585">
        <f t="shared" si="11"/>
        <v>31.5</v>
      </c>
      <c r="G21" s="585">
        <f t="shared" si="11"/>
        <v>31.5</v>
      </c>
      <c r="H21" s="585">
        <f t="shared" si="11"/>
        <v>31.5</v>
      </c>
      <c r="I21" s="585">
        <f t="shared" si="11"/>
        <v>31.5</v>
      </c>
      <c r="J21" s="585">
        <f t="shared" si="11"/>
        <v>31.5</v>
      </c>
      <c r="K21" s="585">
        <f t="shared" si="11"/>
        <v>31.5</v>
      </c>
      <c r="L21" s="585">
        <f t="shared" si="11"/>
        <v>31.5</v>
      </c>
      <c r="M21" s="585">
        <f t="shared" si="11"/>
        <v>31.5</v>
      </c>
      <c r="N21" s="585">
        <f t="shared" si="11"/>
        <v>31.5</v>
      </c>
      <c r="O21" s="585">
        <f t="shared" si="11"/>
        <v>31.5</v>
      </c>
      <c r="P21" s="585">
        <f t="shared" si="11"/>
        <v>31.5</v>
      </c>
      <c r="Q21" s="426"/>
      <c r="U21" s="7"/>
      <c r="V21" s="7"/>
      <c r="W21" s="7"/>
    </row>
    <row r="22" ht="15.75" customHeight="1">
      <c r="A22" s="53"/>
      <c r="B22" s="133" t="s">
        <v>373</v>
      </c>
      <c r="C22" s="136">
        <v>0.0</v>
      </c>
      <c r="D22" s="136"/>
      <c r="E22" s="411">
        <f t="shared" ref="E22:P22" si="12">$C$22*E12</f>
        <v>0</v>
      </c>
      <c r="F22" s="585">
        <f t="shared" si="12"/>
        <v>0</v>
      </c>
      <c r="G22" s="585">
        <f t="shared" si="12"/>
        <v>0</v>
      </c>
      <c r="H22" s="585">
        <f t="shared" si="12"/>
        <v>0</v>
      </c>
      <c r="I22" s="585">
        <f t="shared" si="12"/>
        <v>0</v>
      </c>
      <c r="J22" s="585">
        <f t="shared" si="12"/>
        <v>0</v>
      </c>
      <c r="K22" s="585">
        <f t="shared" si="12"/>
        <v>0</v>
      </c>
      <c r="L22" s="585">
        <f t="shared" si="12"/>
        <v>0</v>
      </c>
      <c r="M22" s="585">
        <f t="shared" si="12"/>
        <v>0</v>
      </c>
      <c r="N22" s="585">
        <f t="shared" si="12"/>
        <v>0</v>
      </c>
      <c r="O22" s="585">
        <f t="shared" si="12"/>
        <v>0</v>
      </c>
      <c r="P22" s="585">
        <f t="shared" si="12"/>
        <v>0</v>
      </c>
      <c r="Q22" s="426"/>
      <c r="U22" s="7"/>
      <c r="V22" s="7"/>
      <c r="W22" s="7"/>
    </row>
    <row r="23" ht="15.75" customHeight="1">
      <c r="A23" s="53"/>
      <c r="B23" s="133" t="s">
        <v>374</v>
      </c>
      <c r="C23" s="136">
        <v>0.0</v>
      </c>
      <c r="D23" s="136"/>
      <c r="E23" s="411">
        <f t="shared" ref="E23:P23" si="13">$C$23*E12</f>
        <v>0</v>
      </c>
      <c r="F23" s="585">
        <f t="shared" si="13"/>
        <v>0</v>
      </c>
      <c r="G23" s="585">
        <f t="shared" si="13"/>
        <v>0</v>
      </c>
      <c r="H23" s="585">
        <f t="shared" si="13"/>
        <v>0</v>
      </c>
      <c r="I23" s="585">
        <f t="shared" si="13"/>
        <v>0</v>
      </c>
      <c r="J23" s="585">
        <f t="shared" si="13"/>
        <v>0</v>
      </c>
      <c r="K23" s="585">
        <f t="shared" si="13"/>
        <v>0</v>
      </c>
      <c r="L23" s="585">
        <f t="shared" si="13"/>
        <v>0</v>
      </c>
      <c r="M23" s="585">
        <f t="shared" si="13"/>
        <v>0</v>
      </c>
      <c r="N23" s="585">
        <f t="shared" si="13"/>
        <v>0</v>
      </c>
      <c r="O23" s="585">
        <f t="shared" si="13"/>
        <v>0</v>
      </c>
      <c r="P23" s="585">
        <f t="shared" si="13"/>
        <v>0</v>
      </c>
      <c r="Q23" s="426"/>
      <c r="U23" s="7"/>
      <c r="V23" s="7"/>
      <c r="W23" s="7"/>
    </row>
    <row r="24" ht="15.75" customHeight="1">
      <c r="A24" s="53"/>
      <c r="B24" s="133" t="s">
        <v>375</v>
      </c>
      <c r="C24" s="136">
        <v>0.0</v>
      </c>
      <c r="D24" s="136"/>
      <c r="E24" s="411">
        <f t="shared" ref="E24:P24" si="14">$C$24*E12</f>
        <v>0</v>
      </c>
      <c r="F24" s="585">
        <f t="shared" si="14"/>
        <v>0</v>
      </c>
      <c r="G24" s="585">
        <f t="shared" si="14"/>
        <v>0</v>
      </c>
      <c r="H24" s="585">
        <f t="shared" si="14"/>
        <v>0</v>
      </c>
      <c r="I24" s="585">
        <f t="shared" si="14"/>
        <v>0</v>
      </c>
      <c r="J24" s="585">
        <f t="shared" si="14"/>
        <v>0</v>
      </c>
      <c r="K24" s="585">
        <f t="shared" si="14"/>
        <v>0</v>
      </c>
      <c r="L24" s="585">
        <f t="shared" si="14"/>
        <v>0</v>
      </c>
      <c r="M24" s="585">
        <f t="shared" si="14"/>
        <v>0</v>
      </c>
      <c r="N24" s="585">
        <f t="shared" si="14"/>
        <v>0</v>
      </c>
      <c r="O24" s="585">
        <f t="shared" si="14"/>
        <v>0</v>
      </c>
      <c r="P24" s="585">
        <f t="shared" si="14"/>
        <v>0</v>
      </c>
      <c r="Q24" s="426"/>
      <c r="U24" s="7"/>
      <c r="V24" s="7"/>
      <c r="W24" s="7"/>
    </row>
    <row r="25" ht="15.75" customHeight="1">
      <c r="A25" s="40"/>
      <c r="B25" s="139" t="s">
        <v>378</v>
      </c>
      <c r="C25" s="430">
        <v>0.04</v>
      </c>
      <c r="D25" s="43"/>
      <c r="E25" s="414">
        <f t="shared" ref="E25:P25" si="15">$C$25*E12</f>
        <v>0</v>
      </c>
      <c r="F25" s="586">
        <f t="shared" si="15"/>
        <v>0</v>
      </c>
      <c r="G25" s="586">
        <f t="shared" si="15"/>
        <v>0</v>
      </c>
      <c r="H25" s="586">
        <f t="shared" si="15"/>
        <v>0</v>
      </c>
      <c r="I25" s="586">
        <f t="shared" si="15"/>
        <v>0</v>
      </c>
      <c r="J25" s="586">
        <f t="shared" si="15"/>
        <v>0</v>
      </c>
      <c r="K25" s="586">
        <f t="shared" si="15"/>
        <v>0</v>
      </c>
      <c r="L25" s="586">
        <f t="shared" si="15"/>
        <v>0</v>
      </c>
      <c r="M25" s="586">
        <f t="shared" si="15"/>
        <v>0</v>
      </c>
      <c r="N25" s="586">
        <f t="shared" si="15"/>
        <v>0</v>
      </c>
      <c r="O25" s="586">
        <f t="shared" si="15"/>
        <v>0</v>
      </c>
      <c r="P25" s="586">
        <f t="shared" si="15"/>
        <v>0</v>
      </c>
      <c r="Q25" s="587"/>
      <c r="R25" s="25"/>
      <c r="T25" s="25"/>
      <c r="U25" s="55"/>
      <c r="V25" s="55"/>
      <c r="W25" s="55"/>
    </row>
    <row r="26" ht="15.75" customHeight="1">
      <c r="B26" s="133"/>
      <c r="O26" s="133"/>
      <c r="T26" s="134"/>
      <c r="U26" s="134"/>
      <c r="V26" s="134"/>
    </row>
    <row r="27" ht="15.75" customHeight="1">
      <c r="A27" s="364" t="s">
        <v>1085</v>
      </c>
      <c r="B27" s="367"/>
      <c r="C27" s="367"/>
      <c r="D27" s="367"/>
      <c r="E27" s="367"/>
      <c r="F27" s="367"/>
      <c r="G27" s="367"/>
      <c r="H27" s="367"/>
      <c r="I27" s="367"/>
      <c r="O27" s="133"/>
      <c r="P27" s="136"/>
      <c r="T27" s="137"/>
      <c r="U27" s="137"/>
      <c r="V27" s="137"/>
    </row>
    <row r="28" ht="15.75" customHeight="1">
      <c r="O28" s="133"/>
      <c r="P28" s="136"/>
      <c r="T28" s="137"/>
      <c r="U28" s="137"/>
      <c r="V28" s="137"/>
    </row>
    <row r="29" ht="15.75" customHeight="1">
      <c r="A29" s="143" t="s">
        <v>236</v>
      </c>
      <c r="B29" s="37" t="s">
        <v>238</v>
      </c>
      <c r="C29" s="37" t="s">
        <v>771</v>
      </c>
      <c r="D29" s="44" t="s">
        <v>1052</v>
      </c>
      <c r="E29" s="37" t="s">
        <v>1053</v>
      </c>
      <c r="F29" s="37" t="s">
        <v>243</v>
      </c>
      <c r="G29" s="37" t="s">
        <v>244</v>
      </c>
      <c r="H29" s="37" t="s">
        <v>245</v>
      </c>
      <c r="I29" s="588" t="s">
        <v>1054</v>
      </c>
      <c r="O29" s="133"/>
      <c r="P29" s="136"/>
      <c r="T29" s="137"/>
      <c r="U29" s="137"/>
      <c r="V29" s="137"/>
    </row>
    <row r="30" ht="15.75" customHeight="1">
      <c r="A30" s="53">
        <v>1.0</v>
      </c>
      <c r="B30" s="147" t="s">
        <v>1056</v>
      </c>
      <c r="C30" s="147" t="s">
        <v>1057</v>
      </c>
      <c r="D30" s="147"/>
      <c r="E30" s="150">
        <v>41059.0</v>
      </c>
      <c r="F30" s="69">
        <f t="shared" ref="F30:F79" si="16">IF(ISBLANK(E30),"",IF(E30&lt;$E$7,G30,(NETWORKDAYS(E30,EOMONTH(E30,0)))*(I30/(40*4*12))))</f>
        <v>7500</v>
      </c>
      <c r="G30" s="69">
        <f>IF(ISBLANK(E30),"",IF(OR(E30&lt;Projected_Start_Date,AND(E30&gt;Projected_Start_Date,E30&lt;(Projected_Start_Date+365))),I30/12,""))</f>
        <v>7500</v>
      </c>
      <c r="H30" s="153">
        <f t="shared" ref="H30:H79" si="17">IF(ISBLANK(E30),"",IF(E30&lt;=$C$5,52*(I30/52),IF(AND(E30&gt;$C$5,E30&lt;=($C$5+364)),((52-WEEKNUM(E30,1))*I30/52),"")))</f>
        <v>90000</v>
      </c>
      <c r="I30" s="157">
        <v>90000.0</v>
      </c>
      <c r="O30" s="133"/>
      <c r="P30" s="136"/>
      <c r="T30" s="137"/>
      <c r="U30" s="137"/>
      <c r="V30" s="137"/>
    </row>
    <row r="31" ht="15.75" customHeight="1">
      <c r="A31" s="53">
        <v>2.0</v>
      </c>
      <c r="B31" s="147" t="s">
        <v>1059</v>
      </c>
      <c r="C31" s="147" t="s">
        <v>1057</v>
      </c>
      <c r="D31" s="147"/>
      <c r="E31" s="150">
        <v>40543.0</v>
      </c>
      <c r="F31" s="69">
        <f t="shared" si="16"/>
        <v>8333.333333</v>
      </c>
      <c r="G31" s="69">
        <f>IF(ISBLANK(E31),"",IF(OR(E31&lt;Projected_Start_Date,AND(E31&gt;Projected_Start_Date,E31&lt;(Projected_Start_Date+365))),I31/12,""))</f>
        <v>8333.333333</v>
      </c>
      <c r="H31" s="153">
        <f t="shared" si="17"/>
        <v>100000</v>
      </c>
      <c r="I31" s="157">
        <v>100000.0</v>
      </c>
      <c r="O31" s="133"/>
      <c r="P31" s="136"/>
      <c r="T31" s="137"/>
      <c r="U31" s="137"/>
      <c r="V31" s="137"/>
    </row>
    <row r="32" ht="15.75" customHeight="1">
      <c r="A32" s="53">
        <v>3.0</v>
      </c>
      <c r="B32" s="147" t="s">
        <v>1061</v>
      </c>
      <c r="C32" s="147" t="s">
        <v>250</v>
      </c>
      <c r="D32" s="147"/>
      <c r="E32" s="150">
        <v>40909.0</v>
      </c>
      <c r="F32" s="69">
        <f t="shared" si="16"/>
        <v>8333.333333</v>
      </c>
      <c r="G32" s="69">
        <f>IF(ISBLANK(E32),"",IF(OR(E32&lt;Projected_Start_Date,AND(E32&gt;Projected_Start_Date,E32&lt;(Projected_Start_Date+365))),I32/12,""))</f>
        <v>8333.333333</v>
      </c>
      <c r="H32" s="153">
        <f t="shared" si="17"/>
        <v>100000</v>
      </c>
      <c r="I32" s="157">
        <v>100000.0</v>
      </c>
      <c r="O32" s="133"/>
      <c r="P32" s="136"/>
      <c r="T32" s="137"/>
      <c r="U32" s="137"/>
      <c r="V32" s="137"/>
    </row>
    <row r="33" ht="15.75" customHeight="1">
      <c r="A33" s="53">
        <v>4.0</v>
      </c>
      <c r="B33" s="147" t="s">
        <v>1062</v>
      </c>
      <c r="C33" s="147" t="s">
        <v>1057</v>
      </c>
      <c r="D33" s="147"/>
      <c r="E33" s="150">
        <v>40950.0</v>
      </c>
      <c r="F33" s="589">
        <f t="shared" si="16"/>
        <v>8333.333333</v>
      </c>
      <c r="G33" s="69">
        <f>IF(ISBLANK(E33),"",IF(OR(E33&lt;Projected_Start_Date,AND(E33&gt;Projected_Start_Date,E33&lt;(Projected_Start_Date+365))),I33/12,""))</f>
        <v>8333.333333</v>
      </c>
      <c r="H33" s="153">
        <f t="shared" si="17"/>
        <v>100000</v>
      </c>
      <c r="I33" s="157">
        <v>100000.0</v>
      </c>
      <c r="O33" s="133"/>
      <c r="P33" s="136"/>
      <c r="T33" s="137"/>
      <c r="U33" s="137"/>
      <c r="V33" s="137"/>
    </row>
    <row r="34" ht="15.75" customHeight="1">
      <c r="A34" s="53">
        <v>5.0</v>
      </c>
      <c r="B34" s="147"/>
      <c r="C34" s="179"/>
      <c r="D34" s="147"/>
      <c r="E34" s="150"/>
      <c r="F34" s="69" t="str">
        <f t="shared" si="16"/>
        <v/>
      </c>
      <c r="G34" s="69" t="str">
        <f>IF(ISBLANK(E34),"",IF(OR(E34&lt;Projected_Start_Date,AND(E34&gt;Projected_Start_Date,E34&lt;(Projected_Start_Date+365))),I34/12,""))</f>
        <v/>
      </c>
      <c r="H34" s="153" t="str">
        <f t="shared" si="17"/>
        <v/>
      </c>
      <c r="I34" s="157"/>
      <c r="O34" s="133"/>
      <c r="P34" s="136"/>
      <c r="T34" s="137"/>
      <c r="U34" s="137"/>
      <c r="V34" s="137"/>
    </row>
    <row r="35" ht="15.75" customHeight="1">
      <c r="A35" s="53">
        <v>6.0</v>
      </c>
      <c r="B35" s="147"/>
      <c r="C35" s="147"/>
      <c r="D35" s="147"/>
      <c r="E35" s="150"/>
      <c r="F35" s="69" t="str">
        <f t="shared" si="16"/>
        <v/>
      </c>
      <c r="G35" s="69" t="str">
        <f>IF(ISBLANK(E35),"",IF(OR(E35&lt;Projected_Start_Date,AND(E35&gt;Projected_Start_Date,E35&lt;(Projected_Start_Date+365))),I35/12,""))</f>
        <v/>
      </c>
      <c r="H35" s="153" t="str">
        <f t="shared" si="17"/>
        <v/>
      </c>
      <c r="I35" s="157"/>
      <c r="T35" s="137"/>
      <c r="U35" s="7"/>
      <c r="V35" s="7"/>
    </row>
    <row r="36" ht="15.75" customHeight="1">
      <c r="A36" s="53">
        <v>7.0</v>
      </c>
      <c r="B36" s="147"/>
      <c r="C36" s="147"/>
      <c r="D36" s="147"/>
      <c r="E36" s="150"/>
      <c r="F36" s="69" t="str">
        <f t="shared" si="16"/>
        <v/>
      </c>
      <c r="G36" s="69" t="str">
        <f>IF(ISBLANK(E36),"",IF(OR(E36&lt;Projected_Start_Date,AND(E36&gt;Projected_Start_Date,E36&lt;(Projected_Start_Date+365))),I36/12,""))</f>
        <v/>
      </c>
      <c r="H36" s="153" t="str">
        <f t="shared" si="17"/>
        <v/>
      </c>
      <c r="I36" s="157"/>
      <c r="T36" s="7"/>
      <c r="U36" s="7"/>
      <c r="V36" s="7"/>
    </row>
    <row r="37" ht="15.75" customHeight="1">
      <c r="A37" s="53">
        <v>8.0</v>
      </c>
      <c r="B37" s="147"/>
      <c r="C37" s="147"/>
      <c r="D37" s="147"/>
      <c r="E37" s="150"/>
      <c r="F37" s="69" t="str">
        <f t="shared" si="16"/>
        <v/>
      </c>
      <c r="G37" s="69" t="str">
        <f>IF(ISBLANK(E37),"",IF(OR(E37&lt;Projected_Start_Date,AND(E37&gt;Projected_Start_Date,E37&lt;(Projected_Start_Date+365))),I37/12,""))</f>
        <v/>
      </c>
      <c r="H37" s="153" t="str">
        <f t="shared" si="17"/>
        <v/>
      </c>
      <c r="I37" s="157"/>
      <c r="T37" s="7"/>
      <c r="U37" s="7"/>
      <c r="V37" s="7"/>
    </row>
    <row r="38" ht="15.75" customHeight="1">
      <c r="A38" s="53">
        <v>9.0</v>
      </c>
      <c r="B38" s="147"/>
      <c r="C38" s="147"/>
      <c r="D38" s="147"/>
      <c r="E38" s="150"/>
      <c r="F38" s="69" t="str">
        <f t="shared" si="16"/>
        <v/>
      </c>
      <c r="G38" s="69" t="str">
        <f>IF(ISBLANK(E38),"",IF(OR(E38&lt;Projected_Start_Date,AND(E38&gt;Projected_Start_Date,E38&lt;(Projected_Start_Date+365))),I38/12,""))</f>
        <v/>
      </c>
      <c r="H38" s="153" t="str">
        <f t="shared" si="17"/>
        <v/>
      </c>
      <c r="I38" s="157"/>
      <c r="T38" s="7"/>
      <c r="U38" s="7"/>
      <c r="V38" s="7"/>
    </row>
    <row r="39" ht="15.75" customHeight="1">
      <c r="A39" s="53">
        <v>10.0</v>
      </c>
      <c r="B39" s="147"/>
      <c r="C39" s="147"/>
      <c r="D39" s="147"/>
      <c r="E39" s="150"/>
      <c r="F39" s="69" t="str">
        <f t="shared" si="16"/>
        <v/>
      </c>
      <c r="G39" s="69" t="str">
        <f>IF(ISBLANK(E39),"",IF(OR(E39&lt;Projected_Start_Date,AND(E39&gt;Projected_Start_Date,E39&lt;(Projected_Start_Date+365))),I39/12,""))</f>
        <v/>
      </c>
      <c r="H39" s="153" t="str">
        <f t="shared" si="17"/>
        <v/>
      </c>
      <c r="I39" s="157"/>
      <c r="T39" s="7"/>
      <c r="U39" s="7"/>
      <c r="V39" s="7"/>
    </row>
    <row r="40" ht="15.75" customHeight="1">
      <c r="A40" s="53">
        <v>11.0</v>
      </c>
      <c r="B40" s="147"/>
      <c r="C40" s="147"/>
      <c r="D40" s="147"/>
      <c r="E40" s="150"/>
      <c r="F40" s="69" t="str">
        <f t="shared" si="16"/>
        <v/>
      </c>
      <c r="G40" s="69" t="str">
        <f>IF(ISBLANK(E40),"",IF(OR(E40&lt;Projected_Start_Date,AND(E40&gt;Projected_Start_Date,E40&lt;(Projected_Start_Date+365))),I40/12,""))</f>
        <v/>
      </c>
      <c r="H40" s="153" t="str">
        <f t="shared" si="17"/>
        <v/>
      </c>
      <c r="I40" s="157"/>
      <c r="T40" s="7"/>
      <c r="U40" s="7"/>
      <c r="V40" s="7"/>
    </row>
    <row r="41" ht="15.75" customHeight="1">
      <c r="A41" s="53">
        <v>12.0</v>
      </c>
      <c r="B41" s="147"/>
      <c r="C41" s="147"/>
      <c r="D41" s="147"/>
      <c r="E41" s="150"/>
      <c r="F41" s="69" t="str">
        <f t="shared" si="16"/>
        <v/>
      </c>
      <c r="G41" s="69" t="str">
        <f>IF(ISBLANK(E41),"",IF(OR(E41&lt;Projected_Start_Date,AND(E41&gt;Projected_Start_Date,E41&lt;(Projected_Start_Date+365))),I41/12,""))</f>
        <v/>
      </c>
      <c r="H41" s="153" t="str">
        <f t="shared" si="17"/>
        <v/>
      </c>
      <c r="I41" s="157"/>
      <c r="T41" s="7"/>
      <c r="U41" s="7"/>
      <c r="V41" s="7"/>
    </row>
    <row r="42" ht="15.75" customHeight="1">
      <c r="A42" s="53">
        <v>13.0</v>
      </c>
      <c r="B42" s="147"/>
      <c r="C42" s="147"/>
      <c r="D42" s="147"/>
      <c r="E42" s="150"/>
      <c r="F42" s="69" t="str">
        <f t="shared" si="16"/>
        <v/>
      </c>
      <c r="G42" s="69" t="str">
        <f>IF(ISBLANK(E42),"",IF(OR(E42&lt;Projected_Start_Date,AND(E42&gt;Projected_Start_Date,E42&lt;(Projected_Start_Date+365))),I42/12,""))</f>
        <v/>
      </c>
      <c r="H42" s="153" t="str">
        <f t="shared" si="17"/>
        <v/>
      </c>
      <c r="I42" s="157"/>
      <c r="T42" s="7"/>
      <c r="U42" s="7"/>
      <c r="V42" s="7"/>
    </row>
    <row r="43" ht="15.75" customHeight="1">
      <c r="A43" s="53">
        <v>14.0</v>
      </c>
      <c r="B43" s="147"/>
      <c r="C43" s="147"/>
      <c r="D43" s="147"/>
      <c r="E43" s="150"/>
      <c r="F43" s="69" t="str">
        <f t="shared" si="16"/>
        <v/>
      </c>
      <c r="G43" s="69" t="str">
        <f>IF(ISBLANK(E43),"",IF(OR(E43&lt;Projected_Start_Date,AND(E43&gt;Projected_Start_Date,E43&lt;(Projected_Start_Date+365))),I43/12,""))</f>
        <v/>
      </c>
      <c r="H43" s="153" t="str">
        <f t="shared" si="17"/>
        <v/>
      </c>
      <c r="I43" s="157"/>
      <c r="T43" s="7"/>
      <c r="U43" s="7"/>
      <c r="V43" s="7"/>
    </row>
    <row r="44" ht="15.75" customHeight="1">
      <c r="A44" s="53">
        <v>15.0</v>
      </c>
      <c r="B44" s="147"/>
      <c r="C44" s="147"/>
      <c r="D44" s="147"/>
      <c r="E44" s="150"/>
      <c r="F44" s="69" t="str">
        <f t="shared" si="16"/>
        <v/>
      </c>
      <c r="G44" s="69" t="str">
        <f>IF(ISBLANK(E44),"",IF(OR(E44&lt;Projected_Start_Date,AND(E44&gt;Projected_Start_Date,E44&lt;(Projected_Start_Date+365))),I44/12,""))</f>
        <v/>
      </c>
      <c r="H44" s="153" t="str">
        <f t="shared" si="17"/>
        <v/>
      </c>
      <c r="I44" s="157"/>
      <c r="T44" s="7"/>
      <c r="U44" s="7"/>
      <c r="V44" s="7"/>
    </row>
    <row r="45" ht="15.75" customHeight="1">
      <c r="A45" s="53">
        <v>16.0</v>
      </c>
      <c r="B45" s="147"/>
      <c r="C45" s="147"/>
      <c r="D45" s="147"/>
      <c r="E45" s="150"/>
      <c r="F45" s="69" t="str">
        <f t="shared" si="16"/>
        <v/>
      </c>
      <c r="G45" s="69" t="str">
        <f>IF(ISBLANK(E45),"",IF(OR(E45&lt;Projected_Start_Date,AND(E45&gt;Projected_Start_Date,E45&lt;(Projected_Start_Date+365))),I45/12,""))</f>
        <v/>
      </c>
      <c r="H45" s="153" t="str">
        <f t="shared" si="17"/>
        <v/>
      </c>
      <c r="I45" s="157"/>
      <c r="T45" s="7"/>
      <c r="U45" s="7"/>
      <c r="V45" s="7"/>
    </row>
    <row r="46" ht="15.75" customHeight="1">
      <c r="A46" s="53">
        <v>17.0</v>
      </c>
      <c r="B46" s="147"/>
      <c r="C46" s="147"/>
      <c r="D46" s="147"/>
      <c r="E46" s="150"/>
      <c r="F46" s="69" t="str">
        <f t="shared" si="16"/>
        <v/>
      </c>
      <c r="G46" s="69" t="str">
        <f>IF(ISBLANK(E46),"",IF(OR(E46&lt;Projected_Start_Date,AND(E46&gt;Projected_Start_Date,E46&lt;(Projected_Start_Date+365))),I46/12,""))</f>
        <v/>
      </c>
      <c r="H46" s="153" t="str">
        <f t="shared" si="17"/>
        <v/>
      </c>
      <c r="I46" s="157"/>
      <c r="T46" s="7"/>
      <c r="U46" s="7"/>
      <c r="V46" s="7"/>
    </row>
    <row r="47" ht="15.75" customHeight="1">
      <c r="A47" s="53">
        <v>18.0</v>
      </c>
      <c r="B47" s="147"/>
      <c r="C47" s="147"/>
      <c r="D47" s="147"/>
      <c r="E47" s="150"/>
      <c r="F47" s="69" t="str">
        <f t="shared" si="16"/>
        <v/>
      </c>
      <c r="G47" s="69" t="str">
        <f>IF(ISBLANK(E47),"",IF(OR(E47&lt;Projected_Start_Date,AND(E47&gt;Projected_Start_Date,E47&lt;(Projected_Start_Date+365))),I47/12,""))</f>
        <v/>
      </c>
      <c r="H47" s="153" t="str">
        <f t="shared" si="17"/>
        <v/>
      </c>
      <c r="I47" s="157"/>
      <c r="T47" s="7"/>
      <c r="U47" s="7"/>
      <c r="V47" s="7"/>
    </row>
    <row r="48" ht="15.75" customHeight="1">
      <c r="A48" s="53">
        <v>19.0</v>
      </c>
      <c r="B48" s="147"/>
      <c r="C48" s="147"/>
      <c r="D48" s="147"/>
      <c r="E48" s="150"/>
      <c r="F48" s="69" t="str">
        <f t="shared" si="16"/>
        <v/>
      </c>
      <c r="G48" s="69" t="str">
        <f>IF(ISBLANK(E48),"",IF(OR(E48&lt;Projected_Start_Date,AND(E48&gt;Projected_Start_Date,E48&lt;(Projected_Start_Date+365))),I48/12,""))</f>
        <v/>
      </c>
      <c r="H48" s="153" t="str">
        <f t="shared" si="17"/>
        <v/>
      </c>
      <c r="I48" s="157"/>
      <c r="T48" s="7"/>
      <c r="U48" s="7"/>
      <c r="V48" s="7"/>
    </row>
    <row r="49" ht="15.75" customHeight="1">
      <c r="A49" s="53">
        <v>20.0</v>
      </c>
      <c r="B49" s="147"/>
      <c r="C49" s="147"/>
      <c r="D49" s="147"/>
      <c r="E49" s="150"/>
      <c r="F49" s="69" t="str">
        <f t="shared" si="16"/>
        <v/>
      </c>
      <c r="G49" s="69" t="str">
        <f>IF(ISBLANK(E49),"",IF(OR(E49&lt;Projected_Start_Date,AND(E49&gt;Projected_Start_Date,E49&lt;(Projected_Start_Date+365))),I49/12,""))</f>
        <v/>
      </c>
      <c r="H49" s="153" t="str">
        <f t="shared" si="17"/>
        <v/>
      </c>
      <c r="I49" s="157"/>
      <c r="T49" s="7"/>
      <c r="U49" s="7"/>
      <c r="V49" s="7"/>
    </row>
    <row r="50" ht="15.75" customHeight="1">
      <c r="A50" s="53">
        <v>21.0</v>
      </c>
      <c r="B50" s="147"/>
      <c r="C50" s="147"/>
      <c r="D50" s="147"/>
      <c r="E50" s="150"/>
      <c r="F50" s="69" t="str">
        <f t="shared" si="16"/>
        <v/>
      </c>
      <c r="G50" s="69" t="str">
        <f>IF(ISBLANK(E50),"",IF(OR(E50&lt;Projected_Start_Date,AND(E50&gt;Projected_Start_Date,E50&lt;(Projected_Start_Date+365))),I50/12,""))</f>
        <v/>
      </c>
      <c r="H50" s="153" t="str">
        <f t="shared" si="17"/>
        <v/>
      </c>
      <c r="I50" s="157"/>
      <c r="T50" s="7"/>
      <c r="U50" s="7"/>
      <c r="V50" s="7"/>
    </row>
    <row r="51" ht="15.75" customHeight="1">
      <c r="A51" s="53">
        <v>22.0</v>
      </c>
      <c r="B51" s="147"/>
      <c r="C51" s="147"/>
      <c r="D51" s="147"/>
      <c r="E51" s="150"/>
      <c r="F51" s="69" t="str">
        <f t="shared" si="16"/>
        <v/>
      </c>
      <c r="G51" s="69" t="str">
        <f>IF(ISBLANK(E51),"",IF(OR(E51&lt;Projected_Start_Date,AND(E51&gt;Projected_Start_Date,E51&lt;(Projected_Start_Date+365))),I51/12,""))</f>
        <v/>
      </c>
      <c r="H51" s="153" t="str">
        <f t="shared" si="17"/>
        <v/>
      </c>
      <c r="I51" s="157"/>
      <c r="T51" s="7"/>
      <c r="U51" s="7"/>
      <c r="V51" s="7"/>
    </row>
    <row r="52" ht="15.75" customHeight="1">
      <c r="A52" s="53">
        <v>23.0</v>
      </c>
      <c r="B52" s="147"/>
      <c r="C52" s="147"/>
      <c r="D52" s="147"/>
      <c r="E52" s="150"/>
      <c r="F52" s="69" t="str">
        <f t="shared" si="16"/>
        <v/>
      </c>
      <c r="G52" s="69" t="str">
        <f>IF(ISBLANK(E52),"",IF(OR(E52&lt;Projected_Start_Date,AND(E52&gt;Projected_Start_Date,E52&lt;(Projected_Start_Date+365))),I52/12,""))</f>
        <v/>
      </c>
      <c r="H52" s="153" t="str">
        <f t="shared" si="17"/>
        <v/>
      </c>
      <c r="I52" s="157"/>
      <c r="T52" s="7"/>
      <c r="U52" s="7"/>
      <c r="V52" s="7"/>
    </row>
    <row r="53" ht="15.75" customHeight="1">
      <c r="A53" s="53">
        <v>24.0</v>
      </c>
      <c r="B53" s="147"/>
      <c r="C53" s="147"/>
      <c r="D53" s="147"/>
      <c r="E53" s="150"/>
      <c r="F53" s="69" t="str">
        <f t="shared" si="16"/>
        <v/>
      </c>
      <c r="G53" s="69" t="str">
        <f>IF(ISBLANK(E53),"",IF(OR(E53&lt;Projected_Start_Date,AND(E53&gt;Projected_Start_Date,E53&lt;(Projected_Start_Date+365))),I53/12,""))</f>
        <v/>
      </c>
      <c r="H53" s="153" t="str">
        <f t="shared" si="17"/>
        <v/>
      </c>
      <c r="I53" s="157"/>
      <c r="T53" s="7"/>
      <c r="U53" s="7"/>
      <c r="V53" s="7"/>
    </row>
    <row r="54" ht="15.75" customHeight="1">
      <c r="A54" s="53">
        <v>25.0</v>
      </c>
      <c r="B54" s="147"/>
      <c r="C54" s="147"/>
      <c r="D54" s="147"/>
      <c r="E54" s="150"/>
      <c r="F54" s="69" t="str">
        <f t="shared" si="16"/>
        <v/>
      </c>
      <c r="G54" s="69" t="str">
        <f>IF(ISBLANK(E54),"",IF(OR(E54&lt;Projected_Start_Date,AND(E54&gt;Projected_Start_Date,E54&lt;(Projected_Start_Date+365))),I54/12,""))</f>
        <v/>
      </c>
      <c r="H54" s="153" t="str">
        <f t="shared" si="17"/>
        <v/>
      </c>
      <c r="I54" s="157"/>
      <c r="T54" s="7"/>
      <c r="U54" s="7"/>
      <c r="V54" s="7"/>
    </row>
    <row r="55" ht="15.75" customHeight="1">
      <c r="A55" s="53">
        <v>26.0</v>
      </c>
      <c r="B55" s="147"/>
      <c r="C55" s="147"/>
      <c r="D55" s="147"/>
      <c r="E55" s="150"/>
      <c r="F55" s="69" t="str">
        <f t="shared" si="16"/>
        <v/>
      </c>
      <c r="G55" s="69" t="str">
        <f>IF(ISBLANK(E55),"",IF(OR(E55&lt;Projected_Start_Date,AND(E55&gt;Projected_Start_Date,E55&lt;(Projected_Start_Date+365))),I55/12,""))</f>
        <v/>
      </c>
      <c r="H55" s="153" t="str">
        <f t="shared" si="17"/>
        <v/>
      </c>
      <c r="I55" s="157"/>
      <c r="T55" s="7"/>
      <c r="U55" s="7"/>
      <c r="V55" s="7"/>
    </row>
    <row r="56" ht="15.75" customHeight="1">
      <c r="A56" s="53">
        <v>27.0</v>
      </c>
      <c r="B56" s="147"/>
      <c r="C56" s="147"/>
      <c r="D56" s="147"/>
      <c r="E56" s="150"/>
      <c r="F56" s="69" t="str">
        <f t="shared" si="16"/>
        <v/>
      </c>
      <c r="G56" s="69" t="str">
        <f>IF(ISBLANK(E56),"",IF(OR(E56&lt;Projected_Start_Date,AND(E56&gt;Projected_Start_Date,E56&lt;(Projected_Start_Date+365))),I56/12,""))</f>
        <v/>
      </c>
      <c r="H56" s="153" t="str">
        <f t="shared" si="17"/>
        <v/>
      </c>
      <c r="I56" s="157"/>
      <c r="T56" s="7"/>
      <c r="U56" s="7"/>
      <c r="V56" s="7"/>
    </row>
    <row r="57" ht="15.75" customHeight="1">
      <c r="A57" s="53">
        <v>28.0</v>
      </c>
      <c r="B57" s="147"/>
      <c r="C57" s="147"/>
      <c r="D57" s="147"/>
      <c r="E57" s="150"/>
      <c r="F57" s="69" t="str">
        <f t="shared" si="16"/>
        <v/>
      </c>
      <c r="G57" s="69" t="str">
        <f>IF(ISBLANK(E57),"",IF(OR(E57&lt;Projected_Start_Date,AND(E57&gt;Projected_Start_Date,E57&lt;(Projected_Start_Date+365))),I57/12,""))</f>
        <v/>
      </c>
      <c r="H57" s="153" t="str">
        <f t="shared" si="17"/>
        <v/>
      </c>
      <c r="I57" s="157"/>
      <c r="T57" s="7"/>
      <c r="U57" s="7"/>
      <c r="V57" s="7"/>
    </row>
    <row r="58" ht="15.75" customHeight="1">
      <c r="A58" s="53">
        <v>29.0</v>
      </c>
      <c r="B58" s="147"/>
      <c r="C58" s="147"/>
      <c r="D58" s="147"/>
      <c r="E58" s="150"/>
      <c r="F58" s="69" t="str">
        <f t="shared" si="16"/>
        <v/>
      </c>
      <c r="G58" s="69" t="str">
        <f>IF(ISBLANK(E58),"",IF(OR(E58&lt;Projected_Start_Date,AND(E58&gt;Projected_Start_Date,E58&lt;(Projected_Start_Date+365))),I58/12,""))</f>
        <v/>
      </c>
      <c r="H58" s="153" t="str">
        <f t="shared" si="17"/>
        <v/>
      </c>
      <c r="I58" s="157"/>
      <c r="T58" s="7"/>
      <c r="U58" s="7"/>
      <c r="V58" s="7"/>
    </row>
    <row r="59" ht="15.75" customHeight="1">
      <c r="A59" s="53">
        <v>30.0</v>
      </c>
      <c r="B59" s="147"/>
      <c r="C59" s="147"/>
      <c r="D59" s="147"/>
      <c r="E59" s="150"/>
      <c r="F59" s="69" t="str">
        <f t="shared" si="16"/>
        <v/>
      </c>
      <c r="G59" s="69" t="str">
        <f>IF(ISBLANK(E59),"",IF(OR(E59&lt;Projected_Start_Date,AND(E59&gt;Projected_Start_Date,E59&lt;(Projected_Start_Date+365))),I59/12,""))</f>
        <v/>
      </c>
      <c r="H59" s="153" t="str">
        <f t="shared" si="17"/>
        <v/>
      </c>
      <c r="I59" s="157"/>
      <c r="T59" s="7"/>
      <c r="U59" s="7"/>
      <c r="V59" s="7"/>
    </row>
    <row r="60" ht="15.75" customHeight="1">
      <c r="A60" s="53">
        <v>31.0</v>
      </c>
      <c r="B60" s="147"/>
      <c r="C60" s="147"/>
      <c r="D60" s="147"/>
      <c r="E60" s="150"/>
      <c r="F60" s="69" t="str">
        <f t="shared" si="16"/>
        <v/>
      </c>
      <c r="G60" s="69" t="str">
        <f>IF(ISBLANK(E60),"",IF(OR(E60&lt;Projected_Start_Date,AND(E60&gt;Projected_Start_Date,E60&lt;(Projected_Start_Date+365))),I60/12,""))</f>
        <v/>
      </c>
      <c r="H60" s="153" t="str">
        <f t="shared" si="17"/>
        <v/>
      </c>
      <c r="I60" s="157"/>
      <c r="T60" s="7"/>
      <c r="U60" s="7"/>
      <c r="V60" s="7"/>
    </row>
    <row r="61" ht="15.75" customHeight="1">
      <c r="A61" s="53">
        <v>32.0</v>
      </c>
      <c r="B61" s="147"/>
      <c r="C61" s="147"/>
      <c r="D61" s="147"/>
      <c r="E61" s="150"/>
      <c r="F61" s="69" t="str">
        <f t="shared" si="16"/>
        <v/>
      </c>
      <c r="G61" s="69" t="str">
        <f>IF(ISBLANK(E61),"",IF(OR(E61&lt;Projected_Start_Date,AND(E61&gt;Projected_Start_Date,E61&lt;(Projected_Start_Date+365))),I61/12,""))</f>
        <v/>
      </c>
      <c r="H61" s="153" t="str">
        <f t="shared" si="17"/>
        <v/>
      </c>
      <c r="I61" s="157"/>
      <c r="T61" s="7"/>
      <c r="U61" s="7"/>
      <c r="V61" s="7"/>
    </row>
    <row r="62" ht="15.75" customHeight="1">
      <c r="A62" s="53">
        <v>33.0</v>
      </c>
      <c r="B62" s="147"/>
      <c r="C62" s="147"/>
      <c r="D62" s="147"/>
      <c r="E62" s="150"/>
      <c r="F62" s="69" t="str">
        <f t="shared" si="16"/>
        <v/>
      </c>
      <c r="G62" s="69" t="str">
        <f>IF(ISBLANK(E62),"",IF(OR(E62&lt;Projected_Start_Date,AND(E62&gt;Projected_Start_Date,E62&lt;(Projected_Start_Date+365))),I62/12,""))</f>
        <v/>
      </c>
      <c r="H62" s="153" t="str">
        <f t="shared" si="17"/>
        <v/>
      </c>
      <c r="I62" s="157"/>
      <c r="T62" s="7"/>
      <c r="U62" s="7"/>
      <c r="V62" s="7"/>
    </row>
    <row r="63" ht="15.75" customHeight="1">
      <c r="A63" s="53">
        <v>34.0</v>
      </c>
      <c r="B63" s="147"/>
      <c r="C63" s="147"/>
      <c r="D63" s="147"/>
      <c r="E63" s="150"/>
      <c r="F63" s="69" t="str">
        <f t="shared" si="16"/>
        <v/>
      </c>
      <c r="G63" s="69" t="str">
        <f>IF(ISBLANK(E63),"",IF(OR(E63&lt;Projected_Start_Date,AND(E63&gt;Projected_Start_Date,E63&lt;(Projected_Start_Date+365))),I63/12,""))</f>
        <v/>
      </c>
      <c r="H63" s="153" t="str">
        <f t="shared" si="17"/>
        <v/>
      </c>
      <c r="I63" s="157"/>
      <c r="T63" s="7"/>
      <c r="U63" s="7"/>
      <c r="V63" s="7"/>
    </row>
    <row r="64" ht="15.75" customHeight="1">
      <c r="A64" s="53">
        <v>35.0</v>
      </c>
      <c r="B64" s="147"/>
      <c r="C64" s="147"/>
      <c r="D64" s="147"/>
      <c r="E64" s="150"/>
      <c r="F64" s="69" t="str">
        <f t="shared" si="16"/>
        <v/>
      </c>
      <c r="G64" s="69" t="str">
        <f>IF(ISBLANK(E64),"",IF(OR(E64&lt;Projected_Start_Date,AND(E64&gt;Projected_Start_Date,E64&lt;(Projected_Start_Date+365))),I64/12,""))</f>
        <v/>
      </c>
      <c r="H64" s="153" t="str">
        <f t="shared" si="17"/>
        <v/>
      </c>
      <c r="I64" s="157"/>
      <c r="T64" s="7"/>
      <c r="U64" s="7"/>
      <c r="V64" s="7"/>
    </row>
    <row r="65" ht="15.75" customHeight="1">
      <c r="A65" s="53">
        <v>36.0</v>
      </c>
      <c r="B65" s="147"/>
      <c r="C65" s="147"/>
      <c r="D65" s="147"/>
      <c r="E65" s="150"/>
      <c r="F65" s="69" t="str">
        <f t="shared" si="16"/>
        <v/>
      </c>
      <c r="G65" s="69" t="str">
        <f>IF(ISBLANK(E65),"",IF(OR(E65&lt;Projected_Start_Date,AND(E65&gt;Projected_Start_Date,E65&lt;(Projected_Start_Date+365))),I65/12,""))</f>
        <v/>
      </c>
      <c r="H65" s="153" t="str">
        <f t="shared" si="17"/>
        <v/>
      </c>
      <c r="I65" s="157"/>
      <c r="T65" s="7"/>
      <c r="U65" s="7"/>
      <c r="V65" s="7"/>
    </row>
    <row r="66" ht="15.75" customHeight="1">
      <c r="A66" s="53">
        <v>37.0</v>
      </c>
      <c r="B66" s="147"/>
      <c r="C66" s="147"/>
      <c r="D66" s="147"/>
      <c r="E66" s="150"/>
      <c r="F66" s="69" t="str">
        <f t="shared" si="16"/>
        <v/>
      </c>
      <c r="G66" s="69" t="str">
        <f>IF(ISBLANK(E66),"",IF(OR(E66&lt;Projected_Start_Date,AND(E66&gt;Projected_Start_Date,E66&lt;(Projected_Start_Date+365))),I66/12,""))</f>
        <v/>
      </c>
      <c r="H66" s="153" t="str">
        <f t="shared" si="17"/>
        <v/>
      </c>
      <c r="I66" s="157"/>
      <c r="T66" s="7"/>
      <c r="U66" s="7"/>
      <c r="V66" s="7"/>
    </row>
    <row r="67" ht="15.75" customHeight="1">
      <c r="A67" s="53">
        <v>38.0</v>
      </c>
      <c r="B67" s="147"/>
      <c r="C67" s="147"/>
      <c r="D67" s="147"/>
      <c r="E67" s="150"/>
      <c r="F67" s="69" t="str">
        <f t="shared" si="16"/>
        <v/>
      </c>
      <c r="G67" s="69" t="str">
        <f>IF(ISBLANK(E67),"",IF(OR(E67&lt;Projected_Start_Date,AND(E67&gt;Projected_Start_Date,E67&lt;(Projected_Start_Date+365))),I67/12,""))</f>
        <v/>
      </c>
      <c r="H67" s="153" t="str">
        <f t="shared" si="17"/>
        <v/>
      </c>
      <c r="I67" s="157"/>
      <c r="T67" s="7"/>
      <c r="U67" s="7"/>
      <c r="V67" s="7"/>
    </row>
    <row r="68" ht="15.75" customHeight="1">
      <c r="A68" s="53">
        <v>39.0</v>
      </c>
      <c r="B68" s="147"/>
      <c r="C68" s="147"/>
      <c r="D68" s="147"/>
      <c r="E68" s="150"/>
      <c r="F68" s="69" t="str">
        <f t="shared" si="16"/>
        <v/>
      </c>
      <c r="G68" s="69" t="str">
        <f>IF(ISBLANK(E68),"",IF(OR(E68&lt;Projected_Start_Date,AND(E68&gt;Projected_Start_Date,E68&lt;(Projected_Start_Date+365))),I68/12,""))</f>
        <v/>
      </c>
      <c r="H68" s="153" t="str">
        <f t="shared" si="17"/>
        <v/>
      </c>
      <c r="I68" s="157"/>
      <c r="T68" s="7"/>
      <c r="U68" s="7"/>
      <c r="V68" s="7"/>
    </row>
    <row r="69" ht="15.75" customHeight="1">
      <c r="A69" s="53">
        <v>40.0</v>
      </c>
      <c r="B69" s="147"/>
      <c r="C69" s="147"/>
      <c r="D69" s="147"/>
      <c r="E69" s="150"/>
      <c r="F69" s="69" t="str">
        <f t="shared" si="16"/>
        <v/>
      </c>
      <c r="G69" s="69" t="str">
        <f>IF(ISBLANK(E69),"",IF(OR(E69&lt;Projected_Start_Date,AND(E69&gt;Projected_Start_Date,E69&lt;(Projected_Start_Date+365))),I69/12,""))</f>
        <v/>
      </c>
      <c r="H69" s="153" t="str">
        <f t="shared" si="17"/>
        <v/>
      </c>
      <c r="I69" s="157"/>
      <c r="T69" s="7"/>
      <c r="U69" s="7"/>
      <c r="V69" s="7"/>
    </row>
    <row r="70" ht="15.75" customHeight="1">
      <c r="A70" s="53">
        <v>41.0</v>
      </c>
      <c r="B70" s="147"/>
      <c r="C70" s="147"/>
      <c r="D70" s="147"/>
      <c r="E70" s="150"/>
      <c r="F70" s="69" t="str">
        <f t="shared" si="16"/>
        <v/>
      </c>
      <c r="G70" s="69" t="str">
        <f>IF(ISBLANK(E70),"",IF(OR(E70&lt;Projected_Start_Date,AND(E70&gt;Projected_Start_Date,E70&lt;(Projected_Start_Date+365))),I70/12,""))</f>
        <v/>
      </c>
      <c r="H70" s="153" t="str">
        <f t="shared" si="17"/>
        <v/>
      </c>
      <c r="I70" s="157"/>
      <c r="T70" s="7"/>
      <c r="U70" s="7"/>
      <c r="V70" s="7"/>
    </row>
    <row r="71" ht="15.75" customHeight="1">
      <c r="A71" s="53">
        <v>42.0</v>
      </c>
      <c r="B71" s="147"/>
      <c r="C71" s="147"/>
      <c r="D71" s="147"/>
      <c r="E71" s="150"/>
      <c r="F71" s="69" t="str">
        <f t="shared" si="16"/>
        <v/>
      </c>
      <c r="G71" s="69" t="str">
        <f>IF(ISBLANK(E71),"",IF(OR(E71&lt;Projected_Start_Date,AND(E71&gt;Projected_Start_Date,E71&lt;(Projected_Start_Date+365))),I71/12,""))</f>
        <v/>
      </c>
      <c r="H71" s="153" t="str">
        <f t="shared" si="17"/>
        <v/>
      </c>
      <c r="I71" s="157"/>
      <c r="T71" s="7"/>
      <c r="U71" s="7"/>
      <c r="V71" s="7"/>
    </row>
    <row r="72" ht="15.75" customHeight="1">
      <c r="A72" s="53">
        <v>43.0</v>
      </c>
      <c r="B72" s="147"/>
      <c r="C72" s="147"/>
      <c r="D72" s="147"/>
      <c r="E72" s="150"/>
      <c r="F72" s="69" t="str">
        <f t="shared" si="16"/>
        <v/>
      </c>
      <c r="G72" s="69" t="str">
        <f>IF(ISBLANK(E72),"",IF(OR(E72&lt;Projected_Start_Date,AND(E72&gt;Projected_Start_Date,E72&lt;(Projected_Start_Date+365))),I72/12,""))</f>
        <v/>
      </c>
      <c r="H72" s="153" t="str">
        <f t="shared" si="17"/>
        <v/>
      </c>
      <c r="I72" s="157"/>
      <c r="T72" s="7"/>
      <c r="U72" s="7"/>
      <c r="V72" s="7"/>
    </row>
    <row r="73" ht="15.75" customHeight="1">
      <c r="A73" s="53">
        <v>44.0</v>
      </c>
      <c r="B73" s="147"/>
      <c r="C73" s="147"/>
      <c r="D73" s="147"/>
      <c r="E73" s="150"/>
      <c r="F73" s="69" t="str">
        <f t="shared" si="16"/>
        <v/>
      </c>
      <c r="G73" s="69" t="str">
        <f>IF(ISBLANK(E73),"",IF(OR(E73&lt;Projected_Start_Date,AND(E73&gt;Projected_Start_Date,E73&lt;(Projected_Start_Date+365))),I73/12,""))</f>
        <v/>
      </c>
      <c r="H73" s="153" t="str">
        <f t="shared" si="17"/>
        <v/>
      </c>
      <c r="I73" s="157"/>
      <c r="T73" s="7"/>
      <c r="U73" s="7"/>
      <c r="V73" s="7"/>
    </row>
    <row r="74" ht="15.75" customHeight="1">
      <c r="A74" s="53">
        <v>45.0</v>
      </c>
      <c r="B74" s="147"/>
      <c r="C74" s="147"/>
      <c r="D74" s="147"/>
      <c r="E74" s="150"/>
      <c r="F74" s="69" t="str">
        <f t="shared" si="16"/>
        <v/>
      </c>
      <c r="G74" s="69" t="str">
        <f>IF(ISBLANK(E74),"",IF(OR(E74&lt;Projected_Start_Date,AND(E74&gt;Projected_Start_Date,E74&lt;(Projected_Start_Date+365))),I74/12,""))</f>
        <v/>
      </c>
      <c r="H74" s="153" t="str">
        <f t="shared" si="17"/>
        <v/>
      </c>
      <c r="I74" s="157"/>
      <c r="T74" s="7"/>
      <c r="U74" s="7"/>
      <c r="V74" s="7"/>
    </row>
    <row r="75" ht="15.75" customHeight="1">
      <c r="A75" s="53">
        <v>46.0</v>
      </c>
      <c r="B75" s="147"/>
      <c r="C75" s="147"/>
      <c r="D75" s="147"/>
      <c r="E75" s="150"/>
      <c r="F75" s="69" t="str">
        <f t="shared" si="16"/>
        <v/>
      </c>
      <c r="G75" s="69" t="str">
        <f>IF(ISBLANK(E75),"",IF(OR(E75&lt;Projected_Start_Date,AND(E75&gt;Projected_Start_Date,E75&lt;(Projected_Start_Date+365))),I75/12,""))</f>
        <v/>
      </c>
      <c r="H75" s="153" t="str">
        <f t="shared" si="17"/>
        <v/>
      </c>
      <c r="I75" s="157"/>
      <c r="T75" s="7"/>
      <c r="U75" s="7"/>
      <c r="V75" s="7"/>
    </row>
    <row r="76" ht="15.75" customHeight="1">
      <c r="A76" s="53">
        <v>47.0</v>
      </c>
      <c r="B76" s="147"/>
      <c r="C76" s="147"/>
      <c r="D76" s="147"/>
      <c r="E76" s="150"/>
      <c r="F76" s="69" t="str">
        <f t="shared" si="16"/>
        <v/>
      </c>
      <c r="G76" s="69" t="str">
        <f>IF(ISBLANK(E76),"",IF(OR(E76&lt;Projected_Start_Date,AND(E76&gt;Projected_Start_Date,E76&lt;(Projected_Start_Date+365))),I76/12,""))</f>
        <v/>
      </c>
      <c r="H76" s="153" t="str">
        <f t="shared" si="17"/>
        <v/>
      </c>
      <c r="I76" s="157"/>
      <c r="T76" s="7"/>
      <c r="U76" s="7"/>
      <c r="V76" s="7"/>
    </row>
    <row r="77" ht="15.75" customHeight="1">
      <c r="A77" s="53">
        <v>48.0</v>
      </c>
      <c r="B77" s="147"/>
      <c r="C77" s="147"/>
      <c r="D77" s="147"/>
      <c r="E77" s="150"/>
      <c r="F77" s="69" t="str">
        <f t="shared" si="16"/>
        <v/>
      </c>
      <c r="G77" s="69" t="str">
        <f>IF(ISBLANK(E77),"",IF(OR(E77&lt;Projected_Start_Date,AND(E77&gt;Projected_Start_Date,E77&lt;(Projected_Start_Date+365))),I77/12,""))</f>
        <v/>
      </c>
      <c r="H77" s="153" t="str">
        <f t="shared" si="17"/>
        <v/>
      </c>
      <c r="I77" s="157"/>
      <c r="T77" s="7"/>
      <c r="U77" s="7"/>
      <c r="V77" s="7"/>
    </row>
    <row r="78" ht="15.75" customHeight="1">
      <c r="A78" s="53">
        <v>49.0</v>
      </c>
      <c r="B78" s="147"/>
      <c r="C78" s="147"/>
      <c r="D78" s="147"/>
      <c r="E78" s="150"/>
      <c r="F78" s="69" t="str">
        <f t="shared" si="16"/>
        <v/>
      </c>
      <c r="G78" s="69" t="str">
        <f>IF(ISBLANK(E78),"",IF(OR(E78&lt;Projected_Start_Date,AND(E78&gt;Projected_Start_Date,E78&lt;(Projected_Start_Date+365))),I78/12,""))</f>
        <v/>
      </c>
      <c r="H78" s="153" t="str">
        <f t="shared" si="17"/>
        <v/>
      </c>
      <c r="I78" s="157"/>
      <c r="T78" s="7"/>
      <c r="U78" s="7"/>
      <c r="V78" s="7"/>
    </row>
    <row r="79" ht="15.75" customHeight="1">
      <c r="A79" s="40">
        <v>50.0</v>
      </c>
      <c r="B79" s="147"/>
      <c r="C79" s="147"/>
      <c r="D79" s="147"/>
      <c r="E79" s="150"/>
      <c r="F79" s="590" t="str">
        <f t="shared" si="16"/>
        <v/>
      </c>
      <c r="G79" s="590" t="str">
        <f>IF(ISBLANK(E79),"",IF(OR(E79&lt;Projected_Start_Date,AND(E79&gt;Projected_Start_Date,E79&lt;(Projected_Start_Date+365))),I79/12,""))</f>
        <v/>
      </c>
      <c r="H79" s="100" t="str">
        <f t="shared" si="17"/>
        <v/>
      </c>
      <c r="I79" s="206"/>
      <c r="T79" s="7"/>
      <c r="U79" s="7"/>
      <c r="V79" s="7"/>
    </row>
    <row r="80" ht="15.75" customHeight="1">
      <c r="T80" s="7"/>
      <c r="U80" s="7"/>
      <c r="V80" s="7"/>
    </row>
    <row r="81" ht="15.75" customHeight="1">
      <c r="T81" s="7"/>
      <c r="U81" s="7"/>
      <c r="V81" s="7"/>
    </row>
    <row r="82" ht="15.75" customHeight="1">
      <c r="T82" s="7"/>
      <c r="U82" s="7"/>
      <c r="V82" s="7"/>
    </row>
    <row r="83" ht="15.75" customHeight="1">
      <c r="T83" s="7"/>
      <c r="U83" s="7"/>
      <c r="V83" s="7"/>
    </row>
    <row r="84" ht="15.75" customHeight="1">
      <c r="T84" s="7"/>
      <c r="U84" s="7"/>
      <c r="V84" s="7"/>
    </row>
    <row r="85" ht="15.75" customHeight="1">
      <c r="T85" s="7"/>
      <c r="U85" s="7"/>
      <c r="V85" s="7"/>
    </row>
    <row r="86" ht="15.75" customHeight="1">
      <c r="T86" s="7"/>
      <c r="U86" s="7"/>
      <c r="V86" s="7"/>
    </row>
    <row r="87" ht="15.75" customHeight="1">
      <c r="T87" s="7"/>
      <c r="U87" s="7"/>
      <c r="V87" s="7"/>
    </row>
    <row r="88" ht="15.75" customHeight="1">
      <c r="T88" s="7"/>
      <c r="U88" s="7"/>
      <c r="V88" s="7"/>
    </row>
    <row r="89" ht="15.75" customHeight="1">
      <c r="T89" s="7"/>
      <c r="U89" s="7"/>
      <c r="V89" s="7"/>
    </row>
    <row r="90" ht="15.75" customHeight="1">
      <c r="T90" s="7"/>
      <c r="U90" s="7"/>
      <c r="V90" s="7"/>
    </row>
    <row r="91" ht="15.75" customHeight="1">
      <c r="T91" s="7"/>
      <c r="U91" s="7"/>
      <c r="V91" s="7"/>
    </row>
    <row r="92" ht="15.75" customHeight="1">
      <c r="T92" s="7"/>
      <c r="U92" s="7"/>
      <c r="V92" s="7"/>
    </row>
    <row r="93" ht="15.75" customHeight="1">
      <c r="T93" s="7"/>
      <c r="U93" s="7"/>
      <c r="V93" s="7"/>
    </row>
    <row r="94" ht="15.75" customHeight="1">
      <c r="T94" s="7"/>
      <c r="U94" s="7"/>
      <c r="V94" s="7"/>
    </row>
    <row r="95" ht="15.75" customHeight="1">
      <c r="T95" s="7"/>
      <c r="U95" s="7"/>
      <c r="V95" s="7"/>
    </row>
    <row r="96" ht="15.75" customHeight="1">
      <c r="T96" s="7"/>
      <c r="U96" s="7"/>
      <c r="V96" s="7"/>
    </row>
    <row r="97" ht="15.75" customHeight="1">
      <c r="T97" s="7"/>
      <c r="U97" s="7"/>
      <c r="V97" s="7"/>
    </row>
    <row r="98" ht="15.75" customHeight="1">
      <c r="T98" s="7"/>
      <c r="U98" s="7"/>
      <c r="V98" s="7"/>
    </row>
    <row r="99" ht="15.75" customHeight="1">
      <c r="T99" s="7"/>
      <c r="U99" s="7"/>
      <c r="V99" s="7"/>
    </row>
    <row r="100" ht="15.75" customHeight="1">
      <c r="T100" s="7"/>
      <c r="U100" s="7"/>
      <c r="V100" s="7"/>
    </row>
    <row r="101" ht="15.75" customHeight="1">
      <c r="T101" s="7"/>
      <c r="U101" s="7"/>
      <c r="V101" s="7"/>
    </row>
    <row r="102" ht="15.75" customHeight="1">
      <c r="T102" s="7"/>
      <c r="U102" s="7"/>
      <c r="V102" s="7"/>
    </row>
    <row r="103" ht="15.75" customHeight="1">
      <c r="T103" s="7"/>
      <c r="U103" s="7"/>
      <c r="V103" s="7"/>
    </row>
    <row r="104" ht="15.75" customHeight="1">
      <c r="T104" s="7"/>
      <c r="U104" s="7"/>
      <c r="V104" s="7"/>
    </row>
    <row r="105" ht="15.75" customHeight="1">
      <c r="T105" s="7"/>
      <c r="U105" s="7"/>
      <c r="V105" s="7"/>
    </row>
    <row r="106" ht="15.75" customHeight="1">
      <c r="T106" s="7"/>
      <c r="U106" s="7"/>
      <c r="V106" s="7"/>
    </row>
    <row r="107" ht="15.75" customHeight="1">
      <c r="T107" s="7"/>
      <c r="U107" s="7"/>
      <c r="V107" s="7"/>
    </row>
    <row r="108" ht="15.75" customHeight="1">
      <c r="T108" s="7"/>
      <c r="U108" s="7"/>
      <c r="V108" s="7"/>
    </row>
    <row r="109" ht="15.75" customHeight="1">
      <c r="T109" s="7"/>
      <c r="U109" s="7"/>
      <c r="V109" s="7"/>
    </row>
    <row r="110" ht="15.75" customHeight="1">
      <c r="T110" s="7"/>
      <c r="U110" s="7"/>
      <c r="V110" s="7"/>
    </row>
    <row r="111" ht="15.75" customHeight="1">
      <c r="T111" s="7"/>
      <c r="U111" s="7"/>
      <c r="V111" s="7"/>
    </row>
    <row r="112" ht="15.75" customHeight="1">
      <c r="T112" s="7"/>
      <c r="U112" s="7"/>
      <c r="V112" s="7"/>
    </row>
    <row r="113" ht="15.75" customHeight="1">
      <c r="T113" s="7"/>
      <c r="U113" s="7"/>
      <c r="V113" s="7"/>
    </row>
    <row r="114" ht="15.75" customHeight="1">
      <c r="T114" s="7"/>
      <c r="U114" s="7"/>
      <c r="V114" s="7"/>
    </row>
    <row r="115" ht="15.75" customHeight="1">
      <c r="T115" s="7"/>
      <c r="U115" s="7"/>
      <c r="V115" s="7"/>
    </row>
    <row r="116" ht="15.75" customHeight="1">
      <c r="T116" s="7"/>
      <c r="U116" s="7"/>
      <c r="V116" s="7"/>
    </row>
    <row r="117" ht="15.75" customHeight="1">
      <c r="T117" s="7"/>
      <c r="U117" s="7"/>
      <c r="V117" s="7"/>
    </row>
    <row r="118" ht="15.75" customHeight="1">
      <c r="T118" s="7"/>
      <c r="U118" s="7"/>
      <c r="V118" s="7"/>
    </row>
    <row r="119" ht="15.75" customHeight="1">
      <c r="T119" s="7"/>
      <c r="U119" s="7"/>
      <c r="V119" s="7"/>
    </row>
    <row r="120" ht="15.75" customHeight="1">
      <c r="T120" s="7"/>
      <c r="U120" s="7"/>
      <c r="V120" s="7"/>
    </row>
    <row r="121" ht="15.75" customHeight="1">
      <c r="T121" s="7"/>
      <c r="U121" s="7"/>
      <c r="V121" s="7"/>
    </row>
    <row r="122" ht="15.75" customHeight="1">
      <c r="T122" s="7"/>
      <c r="U122" s="7"/>
      <c r="V122" s="7"/>
    </row>
    <row r="123" ht="15.75" customHeight="1">
      <c r="T123" s="7"/>
      <c r="U123" s="7"/>
      <c r="V123" s="7"/>
    </row>
    <row r="124" ht="15.75" customHeight="1">
      <c r="T124" s="7"/>
      <c r="U124" s="7"/>
      <c r="V124" s="7"/>
    </row>
    <row r="125" ht="15.75" customHeight="1">
      <c r="T125" s="7"/>
      <c r="U125" s="7"/>
      <c r="V125" s="7"/>
    </row>
    <row r="126" ht="15.75" customHeight="1">
      <c r="T126" s="7"/>
      <c r="U126" s="7"/>
      <c r="V126" s="7"/>
    </row>
    <row r="127" ht="15.75" customHeight="1">
      <c r="T127" s="7"/>
      <c r="U127" s="7"/>
      <c r="V127" s="7"/>
    </row>
    <row r="128" ht="15.75" customHeight="1">
      <c r="T128" s="7"/>
      <c r="U128" s="7"/>
      <c r="V128" s="7"/>
    </row>
    <row r="129" ht="15.75" customHeight="1">
      <c r="T129" s="7"/>
      <c r="U129" s="7"/>
      <c r="V129" s="7"/>
    </row>
    <row r="130" ht="15.75" customHeight="1">
      <c r="T130" s="7"/>
      <c r="U130" s="7"/>
      <c r="V130" s="7"/>
    </row>
    <row r="131" ht="15.75" customHeight="1">
      <c r="T131" s="7"/>
      <c r="U131" s="7"/>
      <c r="V131" s="7"/>
    </row>
    <row r="132" ht="15.75" customHeight="1">
      <c r="T132" s="7"/>
      <c r="U132" s="7"/>
      <c r="V132" s="7"/>
    </row>
    <row r="133" ht="15.75" customHeight="1">
      <c r="T133" s="7"/>
      <c r="U133" s="7"/>
      <c r="V133" s="7"/>
    </row>
    <row r="134" ht="15.75" customHeight="1">
      <c r="T134" s="7"/>
      <c r="U134" s="7"/>
      <c r="V134" s="7"/>
    </row>
    <row r="135" ht="15.75" customHeight="1">
      <c r="T135" s="7"/>
      <c r="U135" s="7"/>
      <c r="V135" s="7"/>
    </row>
    <row r="136" ht="15.75" customHeight="1">
      <c r="T136" s="7"/>
      <c r="U136" s="7"/>
      <c r="V136" s="7"/>
    </row>
    <row r="137" ht="15.75" customHeight="1">
      <c r="T137" s="7"/>
      <c r="U137" s="7"/>
      <c r="V137" s="7"/>
    </row>
    <row r="138" ht="15.75" customHeight="1">
      <c r="T138" s="7"/>
      <c r="U138" s="7"/>
      <c r="V138" s="7"/>
    </row>
    <row r="139" ht="15.75" customHeight="1">
      <c r="T139" s="7"/>
      <c r="U139" s="7"/>
      <c r="V139" s="7"/>
    </row>
    <row r="140" ht="15.75" customHeight="1">
      <c r="T140" s="7"/>
      <c r="U140" s="7"/>
      <c r="V140" s="7"/>
    </row>
    <row r="141" ht="15.75" customHeight="1">
      <c r="T141" s="7"/>
      <c r="U141" s="7"/>
      <c r="V141" s="7"/>
    </row>
    <row r="142" ht="15.75" customHeight="1">
      <c r="T142" s="7"/>
      <c r="U142" s="7"/>
      <c r="V142" s="7"/>
    </row>
    <row r="143" ht="15.75" customHeight="1">
      <c r="T143" s="7"/>
      <c r="U143" s="7"/>
      <c r="V143" s="7"/>
    </row>
    <row r="144" ht="15.75" customHeight="1">
      <c r="T144" s="7"/>
      <c r="U144" s="7"/>
      <c r="V144" s="7"/>
    </row>
    <row r="145" ht="15.75" customHeight="1">
      <c r="T145" s="7"/>
      <c r="U145" s="7"/>
      <c r="V145" s="7"/>
    </row>
    <row r="146" ht="15.75" customHeight="1">
      <c r="T146" s="7"/>
      <c r="U146" s="7"/>
      <c r="V146" s="7"/>
    </row>
    <row r="147" ht="15.75" customHeight="1">
      <c r="T147" s="7"/>
      <c r="U147" s="7"/>
      <c r="V147" s="7"/>
    </row>
    <row r="148" ht="15.75" customHeight="1">
      <c r="T148" s="7"/>
      <c r="U148" s="7"/>
      <c r="V148" s="7"/>
    </row>
    <row r="149" ht="15.75" customHeight="1">
      <c r="T149" s="7"/>
      <c r="U149" s="7"/>
      <c r="V149" s="7"/>
    </row>
    <row r="150" ht="15.75" customHeight="1">
      <c r="T150" s="7"/>
      <c r="U150" s="7"/>
      <c r="V150" s="7"/>
    </row>
    <row r="151" ht="15.75" customHeight="1">
      <c r="T151" s="7"/>
      <c r="U151" s="7"/>
      <c r="V151" s="7"/>
    </row>
    <row r="152" ht="15.75" customHeight="1">
      <c r="T152" s="7"/>
      <c r="U152" s="7"/>
      <c r="V152" s="7"/>
    </row>
    <row r="153" ht="15.75" customHeight="1">
      <c r="T153" s="7"/>
      <c r="U153" s="7"/>
      <c r="V153" s="7"/>
    </row>
    <row r="154" ht="15.75" customHeight="1">
      <c r="T154" s="7"/>
      <c r="U154" s="7"/>
      <c r="V154" s="7"/>
    </row>
    <row r="155" ht="15.75" customHeight="1">
      <c r="T155" s="7"/>
      <c r="U155" s="7"/>
      <c r="V155" s="7"/>
    </row>
    <row r="156" ht="15.75" customHeight="1">
      <c r="T156" s="7"/>
      <c r="U156" s="7"/>
      <c r="V156" s="7"/>
    </row>
    <row r="157" ht="15.75" customHeight="1">
      <c r="T157" s="7"/>
      <c r="U157" s="7"/>
      <c r="V157" s="7"/>
    </row>
    <row r="158" ht="15.75" customHeight="1">
      <c r="T158" s="7"/>
      <c r="U158" s="7"/>
      <c r="V158" s="7"/>
    </row>
    <row r="159" ht="15.75" customHeight="1">
      <c r="T159" s="7"/>
      <c r="U159" s="7"/>
      <c r="V159" s="7"/>
    </row>
    <row r="160" ht="15.75" customHeight="1">
      <c r="T160" s="7"/>
      <c r="U160" s="7"/>
      <c r="V160" s="7"/>
    </row>
    <row r="161" ht="15.75" customHeight="1">
      <c r="T161" s="7"/>
      <c r="U161" s="7"/>
      <c r="V161" s="7"/>
    </row>
    <row r="162" ht="15.75" customHeight="1">
      <c r="T162" s="7"/>
      <c r="U162" s="7"/>
      <c r="V162" s="7"/>
    </row>
    <row r="163" ht="15.75" customHeight="1">
      <c r="T163" s="7"/>
      <c r="U163" s="7"/>
      <c r="V163" s="7"/>
    </row>
    <row r="164" ht="15.75" customHeight="1">
      <c r="T164" s="7"/>
      <c r="U164" s="7"/>
      <c r="V164" s="7"/>
    </row>
    <row r="165" ht="15.75" customHeight="1">
      <c r="T165" s="7"/>
      <c r="U165" s="7"/>
      <c r="V165" s="7"/>
    </row>
    <row r="166" ht="15.75" customHeight="1">
      <c r="T166" s="7"/>
      <c r="U166" s="7"/>
      <c r="V166" s="7"/>
    </row>
    <row r="167" ht="15.75" customHeight="1">
      <c r="T167" s="7"/>
      <c r="U167" s="7"/>
      <c r="V167" s="7"/>
    </row>
    <row r="168" ht="15.75" customHeight="1">
      <c r="T168" s="7"/>
      <c r="U168" s="7"/>
      <c r="V168" s="7"/>
    </row>
    <row r="169" ht="15.75" customHeight="1">
      <c r="T169" s="7"/>
      <c r="U169" s="7"/>
      <c r="V169" s="7"/>
    </row>
    <row r="170" ht="15.75" customHeight="1">
      <c r="T170" s="7"/>
      <c r="U170" s="7"/>
      <c r="V170" s="7"/>
    </row>
    <row r="171" ht="15.75" customHeight="1">
      <c r="T171" s="7"/>
      <c r="U171" s="7"/>
      <c r="V171" s="7"/>
    </row>
    <row r="172" ht="15.75" customHeight="1">
      <c r="T172" s="7"/>
      <c r="U172" s="7"/>
      <c r="V172" s="7"/>
    </row>
    <row r="173" ht="15.75" customHeight="1">
      <c r="T173" s="7"/>
      <c r="U173" s="7"/>
      <c r="V173" s="7"/>
    </row>
    <row r="174" ht="15.75" customHeight="1">
      <c r="T174" s="7"/>
      <c r="U174" s="7"/>
      <c r="V174" s="7"/>
    </row>
    <row r="175" ht="15.75" customHeight="1">
      <c r="T175" s="7"/>
      <c r="U175" s="7"/>
      <c r="V175" s="7"/>
    </row>
    <row r="176" ht="15.75" customHeight="1">
      <c r="T176" s="7"/>
      <c r="U176" s="7"/>
      <c r="V176" s="7"/>
    </row>
    <row r="177" ht="15.75" customHeight="1">
      <c r="T177" s="7"/>
      <c r="U177" s="7"/>
      <c r="V177" s="7"/>
    </row>
    <row r="178" ht="15.75" customHeight="1">
      <c r="T178" s="7"/>
      <c r="U178" s="7"/>
      <c r="V178" s="7"/>
    </row>
    <row r="179" ht="15.75" customHeight="1">
      <c r="T179" s="7"/>
      <c r="U179" s="7"/>
      <c r="V179" s="7"/>
    </row>
    <row r="180" ht="15.75" customHeight="1">
      <c r="T180" s="7"/>
      <c r="U180" s="7"/>
      <c r="V180" s="7"/>
    </row>
    <row r="181" ht="15.75" customHeight="1">
      <c r="T181" s="7"/>
      <c r="U181" s="7"/>
      <c r="V181" s="7"/>
    </row>
    <row r="182" ht="15.75" customHeight="1">
      <c r="T182" s="7"/>
      <c r="U182" s="7"/>
      <c r="V182" s="7"/>
    </row>
    <row r="183" ht="15.75" customHeight="1">
      <c r="T183" s="7"/>
      <c r="U183" s="7"/>
      <c r="V183" s="7"/>
    </row>
    <row r="184" ht="15.75" customHeight="1">
      <c r="T184" s="7"/>
      <c r="U184" s="7"/>
      <c r="V184" s="7"/>
    </row>
    <row r="185" ht="15.75" customHeight="1">
      <c r="T185" s="7"/>
      <c r="U185" s="7"/>
      <c r="V185" s="7"/>
    </row>
    <row r="186" ht="15.75" customHeight="1">
      <c r="T186" s="7"/>
      <c r="U186" s="7"/>
      <c r="V186" s="7"/>
    </row>
    <row r="187" ht="15.75" customHeight="1">
      <c r="T187" s="7"/>
      <c r="U187" s="7"/>
      <c r="V187" s="7"/>
    </row>
    <row r="188" ht="15.75" customHeight="1">
      <c r="T188" s="7"/>
      <c r="U188" s="7"/>
      <c r="V188" s="7"/>
    </row>
    <row r="189" ht="15.75" customHeight="1">
      <c r="T189" s="7"/>
      <c r="U189" s="7"/>
      <c r="V189" s="7"/>
    </row>
    <row r="190" ht="15.75" customHeight="1">
      <c r="T190" s="7"/>
      <c r="U190" s="7"/>
      <c r="V190" s="7"/>
    </row>
    <row r="191" ht="15.75" customHeight="1">
      <c r="T191" s="7"/>
      <c r="U191" s="7"/>
      <c r="V191" s="7"/>
    </row>
    <row r="192" ht="15.75" customHeight="1">
      <c r="T192" s="7"/>
      <c r="U192" s="7"/>
      <c r="V192" s="7"/>
    </row>
    <row r="193" ht="15.75" customHeight="1">
      <c r="T193" s="7"/>
      <c r="U193" s="7"/>
      <c r="V193" s="7"/>
    </row>
    <row r="194" ht="15.75" customHeight="1">
      <c r="T194" s="7"/>
      <c r="U194" s="7"/>
      <c r="V194" s="7"/>
    </row>
    <row r="195" ht="15.75" customHeight="1">
      <c r="T195" s="7"/>
      <c r="U195" s="7"/>
      <c r="V195" s="7"/>
    </row>
    <row r="196" ht="15.75" customHeight="1">
      <c r="T196" s="7"/>
      <c r="U196" s="7"/>
      <c r="V196" s="7"/>
    </row>
    <row r="197" ht="15.75" customHeight="1">
      <c r="T197" s="7"/>
      <c r="U197" s="7"/>
      <c r="V197" s="7"/>
    </row>
    <row r="198" ht="15.75" customHeight="1">
      <c r="T198" s="7"/>
      <c r="U198" s="7"/>
      <c r="V198" s="7"/>
    </row>
    <row r="199" ht="15.75" customHeight="1">
      <c r="T199" s="7"/>
      <c r="U199" s="7"/>
      <c r="V199" s="7"/>
    </row>
    <row r="200" ht="15.75" customHeight="1">
      <c r="T200" s="7"/>
      <c r="U200" s="7"/>
      <c r="V200" s="7"/>
    </row>
    <row r="201" ht="15.75" customHeight="1">
      <c r="T201" s="7"/>
      <c r="U201" s="7"/>
      <c r="V201" s="7"/>
    </row>
    <row r="202" ht="15.75" customHeight="1">
      <c r="T202" s="7"/>
      <c r="U202" s="7"/>
      <c r="V202" s="7"/>
    </row>
    <row r="203" ht="15.75" customHeight="1">
      <c r="T203" s="7"/>
      <c r="U203" s="7"/>
      <c r="V203" s="7"/>
    </row>
    <row r="204" ht="15.75" customHeight="1">
      <c r="T204" s="7"/>
      <c r="U204" s="7"/>
      <c r="V204" s="7"/>
    </row>
    <row r="205" ht="15.75" customHeight="1">
      <c r="T205" s="7"/>
      <c r="U205" s="7"/>
      <c r="V205" s="7"/>
    </row>
    <row r="206" ht="15.75" customHeight="1">
      <c r="T206" s="7"/>
      <c r="U206" s="7"/>
      <c r="V206" s="7"/>
    </row>
    <row r="207" ht="15.75" customHeight="1">
      <c r="T207" s="7"/>
      <c r="U207" s="7"/>
      <c r="V207" s="7"/>
    </row>
    <row r="208" ht="15.75" customHeight="1">
      <c r="T208" s="7"/>
      <c r="U208" s="7"/>
      <c r="V208" s="7"/>
    </row>
    <row r="209" ht="15.75" customHeight="1">
      <c r="T209" s="7"/>
      <c r="U209" s="7"/>
      <c r="V209" s="7"/>
    </row>
    <row r="210" ht="15.75" customHeight="1">
      <c r="T210" s="7"/>
      <c r="U210" s="7"/>
      <c r="V210" s="7"/>
    </row>
    <row r="211" ht="15.75" customHeight="1">
      <c r="T211" s="7"/>
      <c r="U211" s="7"/>
      <c r="V211" s="7"/>
    </row>
    <row r="212" ht="15.75" customHeight="1">
      <c r="T212" s="7"/>
      <c r="U212" s="7"/>
      <c r="V212" s="7"/>
    </row>
    <row r="213" ht="15.75" customHeight="1">
      <c r="T213" s="7"/>
      <c r="U213" s="7"/>
      <c r="V213" s="7"/>
    </row>
    <row r="214" ht="15.75" customHeight="1">
      <c r="T214" s="7"/>
      <c r="U214" s="7"/>
      <c r="V214" s="7"/>
    </row>
    <row r="215" ht="15.75" customHeight="1">
      <c r="T215" s="7"/>
      <c r="U215" s="7"/>
      <c r="V215" s="7"/>
    </row>
    <row r="216" ht="15.75" customHeight="1">
      <c r="T216" s="7"/>
      <c r="U216" s="7"/>
      <c r="V216" s="7"/>
    </row>
    <row r="217" ht="15.75" customHeight="1">
      <c r="T217" s="7"/>
      <c r="U217" s="7"/>
      <c r="V217" s="7"/>
    </row>
    <row r="218" ht="15.75" customHeight="1">
      <c r="T218" s="7"/>
      <c r="U218" s="7"/>
      <c r="V218" s="7"/>
    </row>
    <row r="219" ht="15.75" customHeight="1">
      <c r="T219" s="7"/>
      <c r="U219" s="7"/>
      <c r="V219" s="7"/>
    </row>
    <row r="220" ht="15.75" customHeight="1">
      <c r="T220" s="7"/>
      <c r="U220" s="7"/>
      <c r="V220" s="7"/>
    </row>
    <row r="221" ht="15.75" customHeight="1">
      <c r="T221" s="7"/>
      <c r="U221" s="7"/>
      <c r="V221" s="7"/>
    </row>
    <row r="222" ht="15.75" customHeight="1">
      <c r="T222" s="7"/>
      <c r="U222" s="7"/>
      <c r="V222" s="7"/>
    </row>
    <row r="223" ht="15.75" customHeight="1">
      <c r="T223" s="7"/>
      <c r="U223" s="7"/>
      <c r="V223" s="7"/>
    </row>
    <row r="224" ht="15.75" customHeight="1">
      <c r="T224" s="7"/>
      <c r="U224" s="7"/>
      <c r="V224" s="7"/>
    </row>
    <row r="225" ht="15.75" customHeight="1">
      <c r="T225" s="7"/>
      <c r="U225" s="7"/>
      <c r="V225" s="7"/>
    </row>
    <row r="226" ht="15.75" customHeight="1">
      <c r="T226" s="7"/>
      <c r="U226" s="7"/>
      <c r="V226" s="7"/>
    </row>
    <row r="227" ht="15.75" customHeight="1">
      <c r="T227" s="7"/>
      <c r="U227" s="7"/>
      <c r="V227" s="7"/>
    </row>
    <row r="228" ht="15.75" customHeight="1">
      <c r="T228" s="7"/>
      <c r="U228" s="7"/>
      <c r="V228" s="7"/>
    </row>
    <row r="229" ht="15.75" customHeight="1">
      <c r="T229" s="7"/>
      <c r="U229" s="7"/>
      <c r="V229" s="7"/>
    </row>
    <row r="230" ht="15.75" customHeight="1">
      <c r="T230" s="7"/>
      <c r="U230" s="7"/>
      <c r="V230" s="7"/>
    </row>
    <row r="231" ht="15.75" customHeight="1">
      <c r="T231" s="7"/>
      <c r="U231" s="7"/>
      <c r="V231" s="7"/>
    </row>
    <row r="232" ht="15.75" customHeight="1">
      <c r="T232" s="7"/>
      <c r="U232" s="7"/>
      <c r="V232" s="7"/>
    </row>
    <row r="233" ht="15.75" customHeight="1">
      <c r="T233" s="7"/>
      <c r="U233" s="7"/>
      <c r="V233" s="7"/>
    </row>
    <row r="234" ht="15.75" customHeight="1">
      <c r="T234" s="7"/>
      <c r="U234" s="7"/>
      <c r="V234" s="7"/>
    </row>
    <row r="235" ht="15.75" customHeight="1">
      <c r="T235" s="7"/>
      <c r="U235" s="7"/>
      <c r="V235" s="7"/>
    </row>
    <row r="236" ht="15.75" customHeight="1">
      <c r="T236" s="7"/>
      <c r="U236" s="7"/>
      <c r="V236" s="7"/>
    </row>
    <row r="237" ht="15.75" customHeight="1">
      <c r="T237" s="7"/>
      <c r="U237" s="7"/>
      <c r="V237" s="7"/>
    </row>
    <row r="238" ht="15.75" customHeight="1">
      <c r="T238" s="7"/>
      <c r="U238" s="7"/>
      <c r="V238" s="7"/>
    </row>
    <row r="239" ht="15.75" customHeight="1">
      <c r="T239" s="7"/>
      <c r="U239" s="7"/>
      <c r="V239" s="7"/>
    </row>
    <row r="240" ht="15.75" customHeight="1">
      <c r="T240" s="7"/>
      <c r="U240" s="7"/>
      <c r="V240" s="7"/>
    </row>
    <row r="241" ht="15.75" customHeight="1">
      <c r="T241" s="7"/>
      <c r="U241" s="7"/>
      <c r="V241" s="7"/>
    </row>
    <row r="242" ht="15.75" customHeight="1">
      <c r="T242" s="7"/>
      <c r="U242" s="7"/>
      <c r="V242" s="7"/>
    </row>
    <row r="243" ht="15.75" customHeight="1">
      <c r="T243" s="7"/>
      <c r="U243" s="7"/>
      <c r="V243" s="7"/>
    </row>
    <row r="244" ht="15.75" customHeight="1">
      <c r="T244" s="7"/>
      <c r="U244" s="7"/>
      <c r="V244" s="7"/>
    </row>
    <row r="245" ht="15.75" customHeight="1">
      <c r="T245" s="7"/>
      <c r="U245" s="7"/>
      <c r="V245" s="7"/>
    </row>
    <row r="246" ht="15.75" customHeight="1">
      <c r="T246" s="7"/>
      <c r="U246" s="7"/>
      <c r="V246" s="7"/>
    </row>
    <row r="247" ht="15.75" customHeight="1">
      <c r="T247" s="7"/>
      <c r="U247" s="7"/>
      <c r="V247" s="7"/>
    </row>
    <row r="248" ht="15.75" customHeight="1">
      <c r="T248" s="7"/>
      <c r="U248" s="7"/>
      <c r="V248" s="7"/>
    </row>
    <row r="249" ht="15.75" customHeight="1">
      <c r="T249" s="7"/>
      <c r="U249" s="7"/>
      <c r="V249" s="7"/>
    </row>
    <row r="250" ht="15.75" customHeight="1">
      <c r="T250" s="7"/>
      <c r="U250" s="7"/>
      <c r="V250" s="7"/>
    </row>
    <row r="251" ht="15.75" customHeight="1">
      <c r="T251" s="7"/>
      <c r="U251" s="7"/>
      <c r="V251" s="7"/>
    </row>
    <row r="252" ht="15.75" customHeight="1">
      <c r="T252" s="7"/>
      <c r="U252" s="7"/>
      <c r="V252" s="7"/>
    </row>
    <row r="253" ht="15.75" customHeight="1">
      <c r="T253" s="7"/>
      <c r="U253" s="7"/>
      <c r="V253" s="7"/>
    </row>
    <row r="254" ht="15.75" customHeight="1">
      <c r="T254" s="7"/>
      <c r="U254" s="7"/>
      <c r="V254" s="7"/>
    </row>
    <row r="255" ht="15.75" customHeight="1">
      <c r="T255" s="7"/>
      <c r="U255" s="7"/>
      <c r="V255" s="7"/>
    </row>
    <row r="256" ht="15.75" customHeight="1">
      <c r="T256" s="7"/>
      <c r="U256" s="7"/>
      <c r="V256" s="7"/>
    </row>
    <row r="257" ht="15.75" customHeight="1">
      <c r="T257" s="7"/>
      <c r="U257" s="7"/>
      <c r="V257" s="7"/>
    </row>
    <row r="258" ht="15.75" customHeight="1">
      <c r="T258" s="7"/>
      <c r="U258" s="7"/>
      <c r="V258" s="7"/>
    </row>
    <row r="259" ht="15.75" customHeight="1">
      <c r="T259" s="7"/>
      <c r="U259" s="7"/>
      <c r="V259" s="7"/>
    </row>
    <row r="260" ht="15.75" customHeight="1">
      <c r="T260" s="7"/>
      <c r="U260" s="7"/>
      <c r="V260" s="7"/>
    </row>
    <row r="261" ht="15.75" customHeight="1">
      <c r="T261" s="7"/>
      <c r="U261" s="7"/>
      <c r="V261" s="7"/>
    </row>
    <row r="262" ht="15.75" customHeight="1">
      <c r="T262" s="7"/>
      <c r="U262" s="7"/>
      <c r="V262" s="7"/>
    </row>
    <row r="263" ht="15.75" customHeight="1">
      <c r="T263" s="7"/>
      <c r="U263" s="7"/>
      <c r="V263" s="7"/>
    </row>
    <row r="264" ht="15.75" customHeight="1">
      <c r="T264" s="7"/>
      <c r="U264" s="7"/>
      <c r="V264" s="7"/>
    </row>
    <row r="265" ht="15.75" customHeight="1">
      <c r="T265" s="7"/>
      <c r="U265" s="7"/>
      <c r="V265" s="7"/>
    </row>
    <row r="266" ht="15.75" customHeight="1">
      <c r="T266" s="7"/>
      <c r="U266" s="7"/>
      <c r="V266" s="7"/>
    </row>
    <row r="267" ht="15.75" customHeight="1">
      <c r="T267" s="7"/>
      <c r="U267" s="7"/>
      <c r="V267" s="7"/>
    </row>
    <row r="268" ht="15.75" customHeight="1">
      <c r="T268" s="7"/>
      <c r="U268" s="7"/>
      <c r="V268" s="7"/>
    </row>
    <row r="269" ht="15.75" customHeight="1">
      <c r="T269" s="7"/>
      <c r="U269" s="7"/>
      <c r="V269" s="7"/>
    </row>
    <row r="270" ht="15.75" customHeight="1">
      <c r="T270" s="7"/>
      <c r="U270" s="7"/>
      <c r="V270" s="7"/>
    </row>
    <row r="271" ht="15.75" customHeight="1">
      <c r="T271" s="7"/>
      <c r="U271" s="7"/>
      <c r="V271" s="7"/>
    </row>
    <row r="272" ht="15.75" customHeight="1">
      <c r="T272" s="7"/>
      <c r="U272" s="7"/>
      <c r="V272" s="7"/>
    </row>
    <row r="273" ht="15.75" customHeight="1">
      <c r="T273" s="7"/>
      <c r="U273" s="7"/>
      <c r="V273" s="7"/>
    </row>
    <row r="274" ht="15.75" customHeight="1">
      <c r="T274" s="7"/>
      <c r="U274" s="7"/>
      <c r="V274" s="7"/>
    </row>
    <row r="275" ht="15.75" customHeight="1">
      <c r="T275" s="7"/>
      <c r="U275" s="7"/>
      <c r="V275" s="7"/>
    </row>
    <row r="276" ht="15.75" customHeight="1">
      <c r="T276" s="7"/>
      <c r="U276" s="7"/>
      <c r="V276" s="7"/>
    </row>
    <row r="277" ht="15.75" customHeight="1">
      <c r="T277" s="7"/>
      <c r="U277" s="7"/>
      <c r="V277" s="7"/>
    </row>
    <row r="278" ht="15.75" customHeight="1">
      <c r="T278" s="7"/>
      <c r="U278" s="7"/>
      <c r="V278" s="7"/>
    </row>
    <row r="279" ht="15.75" customHeight="1">
      <c r="T279" s="7"/>
      <c r="U279" s="7"/>
      <c r="V279" s="7"/>
    </row>
    <row r="280" ht="15.75" customHeight="1">
      <c r="T280" s="7"/>
      <c r="U280" s="7"/>
      <c r="V280" s="7"/>
    </row>
    <row r="281" ht="15.75" customHeight="1">
      <c r="T281" s="7"/>
      <c r="U281" s="7"/>
      <c r="V281" s="7"/>
    </row>
    <row r="282" ht="15.75" customHeight="1">
      <c r="T282" s="7"/>
      <c r="U282" s="7"/>
      <c r="V282" s="7"/>
    </row>
    <row r="283" ht="15.75" customHeight="1">
      <c r="T283" s="7"/>
      <c r="U283" s="7"/>
      <c r="V283" s="7"/>
    </row>
    <row r="284" ht="15.75" customHeight="1">
      <c r="T284" s="7"/>
      <c r="U284" s="7"/>
      <c r="V284" s="7"/>
    </row>
    <row r="285" ht="15.75" customHeight="1">
      <c r="T285" s="7"/>
      <c r="U285" s="7"/>
      <c r="V285" s="7"/>
    </row>
    <row r="286" ht="15.75" customHeight="1">
      <c r="T286" s="7"/>
      <c r="U286" s="7"/>
      <c r="V286" s="7"/>
    </row>
    <row r="287" ht="15.75" customHeight="1">
      <c r="T287" s="7"/>
      <c r="U287" s="7"/>
      <c r="V287" s="7"/>
    </row>
    <row r="288" ht="15.75" customHeight="1">
      <c r="T288" s="7"/>
      <c r="U288" s="7"/>
      <c r="V288" s="7"/>
    </row>
    <row r="289" ht="15.75" customHeight="1">
      <c r="T289" s="7"/>
      <c r="U289" s="7"/>
      <c r="V289" s="7"/>
    </row>
    <row r="290" ht="15.75" customHeight="1">
      <c r="T290" s="7"/>
      <c r="U290" s="7"/>
      <c r="V290" s="7"/>
    </row>
    <row r="291" ht="15.75" customHeight="1">
      <c r="T291" s="7"/>
      <c r="U291" s="7"/>
      <c r="V291" s="7"/>
    </row>
    <row r="292" ht="15.75" customHeight="1">
      <c r="T292" s="7"/>
      <c r="U292" s="7"/>
      <c r="V292" s="7"/>
    </row>
    <row r="293" ht="15.75" customHeight="1">
      <c r="T293" s="7"/>
      <c r="U293" s="7"/>
      <c r="V293" s="7"/>
    </row>
    <row r="294" ht="15.75" customHeight="1">
      <c r="T294" s="7"/>
      <c r="U294" s="7"/>
      <c r="V294" s="7"/>
    </row>
    <row r="295" ht="15.75" customHeight="1">
      <c r="T295" s="7"/>
      <c r="U295" s="7"/>
      <c r="V295" s="7"/>
    </row>
    <row r="296" ht="15.75" customHeight="1">
      <c r="T296" s="7"/>
      <c r="U296" s="7"/>
      <c r="V296" s="7"/>
    </row>
    <row r="297" ht="15.75" customHeight="1">
      <c r="T297" s="7"/>
      <c r="U297" s="7"/>
      <c r="V297" s="7"/>
    </row>
    <row r="298" ht="15.75" customHeight="1">
      <c r="T298" s="7"/>
      <c r="U298" s="7"/>
      <c r="V298" s="7"/>
    </row>
    <row r="299" ht="15.75" customHeight="1">
      <c r="T299" s="7"/>
      <c r="U299" s="7"/>
      <c r="V299" s="7"/>
    </row>
    <row r="300" ht="15.75" customHeight="1">
      <c r="T300" s="7"/>
      <c r="U300" s="7"/>
      <c r="V300" s="7"/>
    </row>
    <row r="301" ht="15.75" customHeight="1">
      <c r="T301" s="7"/>
      <c r="U301" s="7"/>
      <c r="V301" s="7"/>
    </row>
    <row r="302" ht="15.75" customHeight="1">
      <c r="T302" s="7"/>
      <c r="U302" s="7"/>
      <c r="V302" s="7"/>
    </row>
    <row r="303" ht="15.75" customHeight="1">
      <c r="T303" s="7"/>
      <c r="U303" s="7"/>
      <c r="V303" s="7"/>
    </row>
    <row r="304" ht="15.75" customHeight="1">
      <c r="T304" s="7"/>
      <c r="U304" s="7"/>
      <c r="V304" s="7"/>
    </row>
    <row r="305" ht="15.75" customHeight="1">
      <c r="T305" s="7"/>
      <c r="U305" s="7"/>
      <c r="V305" s="7"/>
    </row>
    <row r="306" ht="15.75" customHeight="1">
      <c r="T306" s="7"/>
      <c r="U306" s="7"/>
      <c r="V306" s="7"/>
    </row>
    <row r="307" ht="15.75" customHeight="1">
      <c r="T307" s="7"/>
      <c r="U307" s="7"/>
      <c r="V307" s="7"/>
    </row>
    <row r="308" ht="15.75" customHeight="1">
      <c r="T308" s="7"/>
      <c r="U308" s="7"/>
      <c r="V308" s="7"/>
    </row>
    <row r="309" ht="15.75" customHeight="1">
      <c r="T309" s="7"/>
      <c r="U309" s="7"/>
      <c r="V309" s="7"/>
    </row>
    <row r="310" ht="15.75" customHeight="1">
      <c r="T310" s="7"/>
      <c r="U310" s="7"/>
      <c r="V310" s="7"/>
    </row>
    <row r="311" ht="15.75" customHeight="1">
      <c r="T311" s="7"/>
      <c r="U311" s="7"/>
      <c r="V311" s="7"/>
    </row>
    <row r="312" ht="15.75" customHeight="1">
      <c r="T312" s="7"/>
      <c r="U312" s="7"/>
      <c r="V312" s="7"/>
    </row>
    <row r="313" ht="15.75" customHeight="1">
      <c r="T313" s="7"/>
      <c r="U313" s="7"/>
      <c r="V313" s="7"/>
    </row>
    <row r="314" ht="15.75" customHeight="1">
      <c r="T314" s="7"/>
      <c r="U314" s="7"/>
      <c r="V314" s="7"/>
    </row>
    <row r="315" ht="15.75" customHeight="1">
      <c r="T315" s="7"/>
      <c r="U315" s="7"/>
      <c r="V315" s="7"/>
    </row>
    <row r="316" ht="15.75" customHeight="1">
      <c r="T316" s="7"/>
      <c r="U316" s="7"/>
      <c r="V316" s="7"/>
    </row>
    <row r="317" ht="15.75" customHeight="1">
      <c r="T317" s="7"/>
      <c r="U317" s="7"/>
      <c r="V317" s="7"/>
    </row>
    <row r="318" ht="15.75" customHeight="1">
      <c r="T318" s="7"/>
      <c r="U318" s="7"/>
      <c r="V318" s="7"/>
    </row>
    <row r="319" ht="15.75" customHeight="1">
      <c r="T319" s="7"/>
      <c r="U319" s="7"/>
      <c r="V319" s="7"/>
    </row>
    <row r="320" ht="15.75" customHeight="1">
      <c r="T320" s="7"/>
      <c r="U320" s="7"/>
      <c r="V320" s="7"/>
    </row>
    <row r="321" ht="15.75" customHeight="1">
      <c r="T321" s="7"/>
      <c r="U321" s="7"/>
      <c r="V321" s="7"/>
    </row>
    <row r="322" ht="15.75" customHeight="1">
      <c r="T322" s="7"/>
      <c r="U322" s="7"/>
      <c r="V322" s="7"/>
    </row>
    <row r="323" ht="15.75" customHeight="1">
      <c r="T323" s="7"/>
      <c r="U323" s="7"/>
      <c r="V323" s="7"/>
    </row>
    <row r="324" ht="15.75" customHeight="1">
      <c r="T324" s="7"/>
      <c r="U324" s="7"/>
      <c r="V324" s="7"/>
    </row>
    <row r="325" ht="15.75" customHeight="1">
      <c r="T325" s="7"/>
      <c r="U325" s="7"/>
      <c r="V325" s="7"/>
    </row>
    <row r="326" ht="15.75" customHeight="1">
      <c r="T326" s="7"/>
      <c r="U326" s="7"/>
      <c r="V326" s="7"/>
    </row>
    <row r="327" ht="15.75" customHeight="1">
      <c r="T327" s="7"/>
      <c r="U327" s="7"/>
      <c r="V327" s="7"/>
    </row>
    <row r="328" ht="15.75" customHeight="1">
      <c r="T328" s="7"/>
      <c r="U328" s="7"/>
      <c r="V328" s="7"/>
    </row>
    <row r="329" ht="15.75" customHeight="1">
      <c r="T329" s="7"/>
      <c r="U329" s="7"/>
      <c r="V329" s="7"/>
    </row>
    <row r="330" ht="15.75" customHeight="1">
      <c r="T330" s="7"/>
      <c r="U330" s="7"/>
      <c r="V330" s="7"/>
    </row>
    <row r="331" ht="15.75" customHeight="1">
      <c r="T331" s="7"/>
      <c r="U331" s="7"/>
      <c r="V331" s="7"/>
    </row>
    <row r="332" ht="15.75" customHeight="1">
      <c r="T332" s="7"/>
      <c r="U332" s="7"/>
      <c r="V332" s="7"/>
    </row>
    <row r="333" ht="15.75" customHeight="1">
      <c r="T333" s="7"/>
      <c r="U333" s="7"/>
      <c r="V333" s="7"/>
    </row>
    <row r="334" ht="15.75" customHeight="1">
      <c r="T334" s="7"/>
      <c r="U334" s="7"/>
      <c r="V334" s="7"/>
    </row>
    <row r="335" ht="15.75" customHeight="1">
      <c r="T335" s="7"/>
      <c r="U335" s="7"/>
      <c r="V335" s="7"/>
    </row>
    <row r="336" ht="15.75" customHeight="1">
      <c r="T336" s="7"/>
      <c r="U336" s="7"/>
      <c r="V336" s="7"/>
    </row>
    <row r="337" ht="15.75" customHeight="1">
      <c r="T337" s="7"/>
      <c r="U337" s="7"/>
      <c r="V337" s="7"/>
    </row>
    <row r="338" ht="15.75" customHeight="1">
      <c r="T338" s="7"/>
      <c r="U338" s="7"/>
      <c r="V338" s="7"/>
    </row>
    <row r="339" ht="15.75" customHeight="1">
      <c r="T339" s="7"/>
      <c r="U339" s="7"/>
      <c r="V339" s="7"/>
    </row>
    <row r="340" ht="15.75" customHeight="1">
      <c r="T340" s="7"/>
      <c r="U340" s="7"/>
      <c r="V340" s="7"/>
    </row>
    <row r="341" ht="15.75" customHeight="1">
      <c r="T341" s="7"/>
      <c r="U341" s="7"/>
      <c r="V341" s="7"/>
    </row>
    <row r="342" ht="15.75" customHeight="1">
      <c r="T342" s="7"/>
      <c r="U342" s="7"/>
      <c r="V342" s="7"/>
    </row>
    <row r="343" ht="15.75" customHeight="1">
      <c r="T343" s="7"/>
      <c r="U343" s="7"/>
      <c r="V343" s="7"/>
    </row>
    <row r="344" ht="15.75" customHeight="1">
      <c r="T344" s="7"/>
      <c r="U344" s="7"/>
      <c r="V344" s="7"/>
    </row>
    <row r="345" ht="15.75" customHeight="1">
      <c r="T345" s="7"/>
      <c r="U345" s="7"/>
      <c r="V345" s="7"/>
    </row>
    <row r="346" ht="15.75" customHeight="1">
      <c r="T346" s="7"/>
      <c r="U346" s="7"/>
      <c r="V346" s="7"/>
    </row>
    <row r="347" ht="15.75" customHeight="1">
      <c r="T347" s="7"/>
      <c r="U347" s="7"/>
      <c r="V347" s="7"/>
    </row>
    <row r="348" ht="15.75" customHeight="1">
      <c r="T348" s="7"/>
      <c r="U348" s="7"/>
      <c r="V348" s="7"/>
    </row>
    <row r="349" ht="15.75" customHeight="1">
      <c r="T349" s="7"/>
      <c r="U349" s="7"/>
      <c r="V349" s="7"/>
    </row>
    <row r="350" ht="15.75" customHeight="1">
      <c r="T350" s="7"/>
      <c r="U350" s="7"/>
      <c r="V350" s="7"/>
    </row>
    <row r="351" ht="15.75" customHeight="1">
      <c r="T351" s="7"/>
      <c r="U351" s="7"/>
      <c r="V351" s="7"/>
    </row>
    <row r="352" ht="15.75" customHeight="1">
      <c r="T352" s="7"/>
      <c r="U352" s="7"/>
      <c r="V352" s="7"/>
    </row>
    <row r="353" ht="15.75" customHeight="1">
      <c r="T353" s="7"/>
      <c r="U353" s="7"/>
      <c r="V353" s="7"/>
    </row>
    <row r="354" ht="15.75" customHeight="1">
      <c r="T354" s="7"/>
      <c r="U354" s="7"/>
      <c r="V354" s="7"/>
    </row>
    <row r="355" ht="15.75" customHeight="1">
      <c r="T355" s="7"/>
      <c r="U355" s="7"/>
      <c r="V355" s="7"/>
    </row>
    <row r="356" ht="15.75" customHeight="1">
      <c r="T356" s="7"/>
      <c r="U356" s="7"/>
      <c r="V356" s="7"/>
    </row>
    <row r="357" ht="15.75" customHeight="1">
      <c r="T357" s="7"/>
      <c r="U357" s="7"/>
      <c r="V357" s="7"/>
    </row>
    <row r="358" ht="15.75" customHeight="1">
      <c r="T358" s="7"/>
      <c r="U358" s="7"/>
      <c r="V358" s="7"/>
    </row>
    <row r="359" ht="15.75" customHeight="1">
      <c r="T359" s="7"/>
      <c r="U359" s="7"/>
      <c r="V359" s="7"/>
    </row>
    <row r="360" ht="15.75" customHeight="1">
      <c r="T360" s="7"/>
      <c r="U360" s="7"/>
      <c r="V360" s="7"/>
    </row>
    <row r="361" ht="15.75" customHeight="1">
      <c r="T361" s="7"/>
      <c r="U361" s="7"/>
      <c r="V361" s="7"/>
    </row>
    <row r="362" ht="15.75" customHeight="1">
      <c r="T362" s="7"/>
      <c r="U362" s="7"/>
      <c r="V362" s="7"/>
    </row>
    <row r="363" ht="15.75" customHeight="1">
      <c r="T363" s="7"/>
      <c r="U363" s="7"/>
      <c r="V363" s="7"/>
    </row>
    <row r="364" ht="15.75" customHeight="1">
      <c r="T364" s="7"/>
      <c r="U364" s="7"/>
      <c r="V364" s="7"/>
    </row>
    <row r="365" ht="15.75" customHeight="1">
      <c r="T365" s="7"/>
      <c r="U365" s="7"/>
      <c r="V365" s="7"/>
    </row>
    <row r="366" ht="15.75" customHeight="1">
      <c r="T366" s="7"/>
      <c r="U366" s="7"/>
      <c r="V366" s="7"/>
    </row>
    <row r="367" ht="15.75" customHeight="1">
      <c r="T367" s="7"/>
      <c r="U367" s="7"/>
      <c r="V367" s="7"/>
    </row>
    <row r="368" ht="15.75" customHeight="1">
      <c r="T368" s="7"/>
      <c r="U368" s="7"/>
      <c r="V368" s="7"/>
    </row>
    <row r="369" ht="15.75" customHeight="1">
      <c r="T369" s="7"/>
      <c r="U369" s="7"/>
      <c r="V369" s="7"/>
    </row>
    <row r="370" ht="15.75" customHeight="1">
      <c r="T370" s="7"/>
      <c r="U370" s="7"/>
      <c r="V370" s="7"/>
    </row>
    <row r="371" ht="15.75" customHeight="1">
      <c r="T371" s="7"/>
      <c r="U371" s="7"/>
      <c r="V371" s="7"/>
    </row>
    <row r="372" ht="15.75" customHeight="1">
      <c r="T372" s="7"/>
      <c r="U372" s="7"/>
      <c r="V372" s="7"/>
    </row>
    <row r="373" ht="15.75" customHeight="1">
      <c r="T373" s="7"/>
      <c r="U373" s="7"/>
      <c r="V373" s="7"/>
    </row>
    <row r="374" ht="15.75" customHeight="1">
      <c r="T374" s="7"/>
      <c r="U374" s="7"/>
      <c r="V374" s="7"/>
    </row>
    <row r="375" ht="15.75" customHeight="1">
      <c r="T375" s="7"/>
      <c r="U375" s="7"/>
      <c r="V375" s="7"/>
    </row>
    <row r="376" ht="15.75" customHeight="1">
      <c r="T376" s="7"/>
      <c r="U376" s="7"/>
      <c r="V376" s="7"/>
    </row>
    <row r="377" ht="15.75" customHeight="1">
      <c r="T377" s="7"/>
      <c r="U377" s="7"/>
      <c r="V377" s="7"/>
    </row>
    <row r="378" ht="15.75" customHeight="1">
      <c r="T378" s="7"/>
      <c r="U378" s="7"/>
      <c r="V378" s="7"/>
    </row>
    <row r="379" ht="15.75" customHeight="1">
      <c r="T379" s="7"/>
      <c r="U379" s="7"/>
      <c r="V379" s="7"/>
    </row>
    <row r="380" ht="15.75" customHeight="1">
      <c r="T380" s="7"/>
      <c r="U380" s="7"/>
      <c r="V380" s="7"/>
    </row>
    <row r="381" ht="15.75" customHeight="1">
      <c r="T381" s="7"/>
      <c r="U381" s="7"/>
      <c r="V381" s="7"/>
    </row>
    <row r="382" ht="15.75" customHeight="1">
      <c r="T382" s="7"/>
      <c r="U382" s="7"/>
      <c r="V382" s="7"/>
    </row>
    <row r="383" ht="15.75" customHeight="1">
      <c r="T383" s="7"/>
      <c r="U383" s="7"/>
      <c r="V383" s="7"/>
    </row>
    <row r="384" ht="15.75" customHeight="1">
      <c r="T384" s="7"/>
      <c r="U384" s="7"/>
      <c r="V384" s="7"/>
    </row>
    <row r="385" ht="15.75" customHeight="1">
      <c r="T385" s="7"/>
      <c r="U385" s="7"/>
      <c r="V385" s="7"/>
    </row>
    <row r="386" ht="15.75" customHeight="1">
      <c r="T386" s="7"/>
      <c r="U386" s="7"/>
      <c r="V386" s="7"/>
    </row>
    <row r="387" ht="15.75" customHeight="1">
      <c r="T387" s="7"/>
      <c r="U387" s="7"/>
      <c r="V387" s="7"/>
    </row>
    <row r="388" ht="15.75" customHeight="1">
      <c r="T388" s="7"/>
      <c r="U388" s="7"/>
      <c r="V388" s="7"/>
    </row>
    <row r="389" ht="15.75" customHeight="1">
      <c r="T389" s="7"/>
      <c r="U389" s="7"/>
      <c r="V389" s="7"/>
    </row>
    <row r="390" ht="15.75" customHeight="1">
      <c r="T390" s="7"/>
      <c r="U390" s="7"/>
      <c r="V390" s="7"/>
    </row>
    <row r="391" ht="15.75" customHeight="1">
      <c r="T391" s="7"/>
      <c r="U391" s="7"/>
      <c r="V391" s="7"/>
    </row>
    <row r="392" ht="15.75" customHeight="1">
      <c r="T392" s="7"/>
      <c r="U392" s="7"/>
      <c r="V392" s="7"/>
    </row>
    <row r="393" ht="15.75" customHeight="1">
      <c r="T393" s="7"/>
      <c r="U393" s="7"/>
      <c r="V393" s="7"/>
    </row>
    <row r="394" ht="15.75" customHeight="1">
      <c r="T394" s="7"/>
      <c r="U394" s="7"/>
      <c r="V394" s="7"/>
    </row>
    <row r="395" ht="15.75" customHeight="1">
      <c r="T395" s="7"/>
      <c r="U395" s="7"/>
      <c r="V395" s="7"/>
    </row>
    <row r="396" ht="15.75" customHeight="1">
      <c r="T396" s="7"/>
      <c r="U396" s="7"/>
      <c r="V396" s="7"/>
    </row>
    <row r="397" ht="15.75" customHeight="1">
      <c r="T397" s="7"/>
      <c r="U397" s="7"/>
      <c r="V397" s="7"/>
    </row>
    <row r="398" ht="15.75" customHeight="1">
      <c r="T398" s="7"/>
      <c r="U398" s="7"/>
      <c r="V398" s="7"/>
    </row>
    <row r="399" ht="15.75" customHeight="1">
      <c r="T399" s="7"/>
      <c r="U399" s="7"/>
      <c r="V399" s="7"/>
    </row>
    <row r="400" ht="15.75" customHeight="1">
      <c r="T400" s="7"/>
      <c r="U400" s="7"/>
      <c r="V400" s="7"/>
    </row>
    <row r="401" ht="15.75" customHeight="1">
      <c r="T401" s="7"/>
      <c r="U401" s="7"/>
      <c r="V401" s="7"/>
    </row>
    <row r="402" ht="15.75" customHeight="1">
      <c r="T402" s="7"/>
      <c r="U402" s="7"/>
      <c r="V402" s="7"/>
    </row>
    <row r="403" ht="15.75" customHeight="1">
      <c r="T403" s="7"/>
      <c r="U403" s="7"/>
      <c r="V403" s="7"/>
    </row>
    <row r="404" ht="15.75" customHeight="1">
      <c r="T404" s="7"/>
      <c r="U404" s="7"/>
      <c r="V404" s="7"/>
    </row>
    <row r="405" ht="15.75" customHeight="1">
      <c r="T405" s="7"/>
      <c r="U405" s="7"/>
      <c r="V405" s="7"/>
    </row>
    <row r="406" ht="15.75" customHeight="1">
      <c r="T406" s="7"/>
      <c r="U406" s="7"/>
      <c r="V406" s="7"/>
    </row>
    <row r="407" ht="15.75" customHeight="1">
      <c r="T407" s="7"/>
      <c r="U407" s="7"/>
      <c r="V407" s="7"/>
    </row>
    <row r="408" ht="15.75" customHeight="1">
      <c r="T408" s="7"/>
      <c r="U408" s="7"/>
      <c r="V408" s="7"/>
    </row>
    <row r="409" ht="15.75" customHeight="1">
      <c r="T409" s="7"/>
      <c r="U409" s="7"/>
      <c r="V409" s="7"/>
    </row>
    <row r="410" ht="15.75" customHeight="1">
      <c r="T410" s="7"/>
      <c r="U410" s="7"/>
      <c r="V410" s="7"/>
    </row>
    <row r="411" ht="15.75" customHeight="1">
      <c r="T411" s="7"/>
      <c r="U411" s="7"/>
      <c r="V411" s="7"/>
    </row>
    <row r="412" ht="15.75" customHeight="1">
      <c r="T412" s="7"/>
      <c r="U412" s="7"/>
      <c r="V412" s="7"/>
    </row>
    <row r="413" ht="15.75" customHeight="1">
      <c r="T413" s="7"/>
      <c r="U413" s="7"/>
      <c r="V413" s="7"/>
    </row>
    <row r="414" ht="15.75" customHeight="1">
      <c r="T414" s="7"/>
      <c r="U414" s="7"/>
      <c r="V414" s="7"/>
    </row>
    <row r="415" ht="15.75" customHeight="1">
      <c r="T415" s="7"/>
      <c r="U415" s="7"/>
      <c r="V415" s="7"/>
    </row>
    <row r="416" ht="15.75" customHeight="1">
      <c r="T416" s="7"/>
      <c r="U416" s="7"/>
      <c r="V416" s="7"/>
    </row>
    <row r="417" ht="15.75" customHeight="1">
      <c r="T417" s="7"/>
      <c r="U417" s="7"/>
      <c r="V417" s="7"/>
    </row>
    <row r="418" ht="15.75" customHeight="1">
      <c r="T418" s="7"/>
      <c r="U418" s="7"/>
      <c r="V418" s="7"/>
    </row>
    <row r="419" ht="15.75" customHeight="1">
      <c r="T419" s="7"/>
      <c r="U419" s="7"/>
      <c r="V419" s="7"/>
    </row>
    <row r="420" ht="15.75" customHeight="1">
      <c r="T420" s="7"/>
      <c r="U420" s="7"/>
      <c r="V420" s="7"/>
    </row>
    <row r="421" ht="15.75" customHeight="1">
      <c r="T421" s="7"/>
      <c r="U421" s="7"/>
      <c r="V421" s="7"/>
    </row>
    <row r="422" ht="15.75" customHeight="1">
      <c r="T422" s="7"/>
      <c r="U422" s="7"/>
      <c r="V422" s="7"/>
    </row>
    <row r="423" ht="15.75" customHeight="1">
      <c r="T423" s="7"/>
      <c r="U423" s="7"/>
      <c r="V423" s="7"/>
    </row>
    <row r="424" ht="15.75" customHeight="1">
      <c r="T424" s="7"/>
      <c r="U424" s="7"/>
      <c r="V424" s="7"/>
    </row>
    <row r="425" ht="15.75" customHeight="1">
      <c r="T425" s="7"/>
      <c r="U425" s="7"/>
      <c r="V425" s="7"/>
    </row>
    <row r="426" ht="15.75" customHeight="1">
      <c r="T426" s="7"/>
      <c r="U426" s="7"/>
      <c r="V426" s="7"/>
    </row>
    <row r="427" ht="15.75" customHeight="1">
      <c r="T427" s="7"/>
      <c r="U427" s="7"/>
      <c r="V427" s="7"/>
    </row>
    <row r="428" ht="15.75" customHeight="1">
      <c r="T428" s="7"/>
      <c r="U428" s="7"/>
      <c r="V428" s="7"/>
    </row>
    <row r="429" ht="15.75" customHeight="1">
      <c r="T429" s="7"/>
      <c r="U429" s="7"/>
      <c r="V429" s="7"/>
    </row>
    <row r="430" ht="15.75" customHeight="1">
      <c r="T430" s="7"/>
      <c r="U430" s="7"/>
      <c r="V430" s="7"/>
    </row>
    <row r="431" ht="15.75" customHeight="1">
      <c r="T431" s="7"/>
      <c r="U431" s="7"/>
      <c r="V431" s="7"/>
    </row>
    <row r="432" ht="15.75" customHeight="1">
      <c r="T432" s="7"/>
      <c r="U432" s="7"/>
      <c r="V432" s="7"/>
    </row>
    <row r="433" ht="15.75" customHeight="1">
      <c r="T433" s="7"/>
      <c r="U433" s="7"/>
      <c r="V433" s="7"/>
    </row>
    <row r="434" ht="15.75" customHeight="1">
      <c r="T434" s="7"/>
      <c r="U434" s="7"/>
      <c r="V434" s="7"/>
    </row>
    <row r="435" ht="15.75" customHeight="1">
      <c r="T435" s="7"/>
      <c r="U435" s="7"/>
      <c r="V435" s="7"/>
    </row>
    <row r="436" ht="15.75" customHeight="1">
      <c r="T436" s="7"/>
      <c r="U436" s="7"/>
      <c r="V436" s="7"/>
    </row>
    <row r="437" ht="15.75" customHeight="1">
      <c r="T437" s="7"/>
      <c r="U437" s="7"/>
      <c r="V437" s="7"/>
    </row>
    <row r="438" ht="15.75" customHeight="1">
      <c r="T438" s="7"/>
      <c r="U438" s="7"/>
      <c r="V438" s="7"/>
    </row>
    <row r="439" ht="15.75" customHeight="1">
      <c r="T439" s="7"/>
      <c r="U439" s="7"/>
      <c r="V439" s="7"/>
    </row>
    <row r="440" ht="15.75" customHeight="1">
      <c r="T440" s="7"/>
      <c r="U440" s="7"/>
      <c r="V440" s="7"/>
    </row>
    <row r="441" ht="15.75" customHeight="1">
      <c r="T441" s="7"/>
      <c r="U441" s="7"/>
      <c r="V441" s="7"/>
    </row>
    <row r="442" ht="15.75" customHeight="1">
      <c r="T442" s="7"/>
      <c r="U442" s="7"/>
      <c r="V442" s="7"/>
    </row>
    <row r="443" ht="15.75" customHeight="1">
      <c r="T443" s="7"/>
      <c r="U443" s="7"/>
      <c r="V443" s="7"/>
    </row>
    <row r="444" ht="15.75" customHeight="1">
      <c r="T444" s="7"/>
      <c r="U444" s="7"/>
      <c r="V444" s="7"/>
    </row>
    <row r="445" ht="15.75" customHeight="1">
      <c r="T445" s="7"/>
      <c r="U445" s="7"/>
      <c r="V445" s="7"/>
    </row>
    <row r="446" ht="15.75" customHeight="1">
      <c r="T446" s="7"/>
      <c r="U446" s="7"/>
      <c r="V446" s="7"/>
    </row>
    <row r="447" ht="15.75" customHeight="1">
      <c r="T447" s="7"/>
      <c r="U447" s="7"/>
      <c r="V447" s="7"/>
    </row>
    <row r="448" ht="15.75" customHeight="1">
      <c r="T448" s="7"/>
      <c r="U448" s="7"/>
      <c r="V448" s="7"/>
    </row>
    <row r="449" ht="15.75" customHeight="1">
      <c r="T449" s="7"/>
      <c r="U449" s="7"/>
      <c r="V449" s="7"/>
    </row>
    <row r="450" ht="15.75" customHeight="1">
      <c r="T450" s="7"/>
      <c r="U450" s="7"/>
      <c r="V450" s="7"/>
    </row>
    <row r="451" ht="15.75" customHeight="1">
      <c r="T451" s="7"/>
      <c r="U451" s="7"/>
      <c r="V451" s="7"/>
    </row>
    <row r="452" ht="15.75" customHeight="1">
      <c r="T452" s="7"/>
      <c r="U452" s="7"/>
      <c r="V452" s="7"/>
    </row>
    <row r="453" ht="15.75" customHeight="1">
      <c r="T453" s="7"/>
      <c r="U453" s="7"/>
      <c r="V453" s="7"/>
    </row>
    <row r="454" ht="15.75" customHeight="1">
      <c r="T454" s="7"/>
      <c r="U454" s="7"/>
      <c r="V454" s="7"/>
    </row>
    <row r="455" ht="15.75" customHeight="1">
      <c r="T455" s="7"/>
      <c r="U455" s="7"/>
      <c r="V455" s="7"/>
    </row>
    <row r="456" ht="15.75" customHeight="1">
      <c r="T456" s="7"/>
      <c r="U456" s="7"/>
      <c r="V456" s="7"/>
    </row>
    <row r="457" ht="15.75" customHeight="1">
      <c r="T457" s="7"/>
      <c r="U457" s="7"/>
      <c r="V457" s="7"/>
    </row>
    <row r="458" ht="15.75" customHeight="1">
      <c r="T458" s="7"/>
      <c r="U458" s="7"/>
      <c r="V458" s="7"/>
    </row>
    <row r="459" ht="15.75" customHeight="1">
      <c r="T459" s="7"/>
      <c r="U459" s="7"/>
      <c r="V459" s="7"/>
    </row>
    <row r="460" ht="15.75" customHeight="1">
      <c r="T460" s="7"/>
      <c r="U460" s="7"/>
      <c r="V460" s="7"/>
    </row>
    <row r="461" ht="15.75" customHeight="1">
      <c r="T461" s="7"/>
      <c r="U461" s="7"/>
      <c r="V461" s="7"/>
    </row>
    <row r="462" ht="15.75" customHeight="1">
      <c r="T462" s="7"/>
      <c r="U462" s="7"/>
      <c r="V462" s="7"/>
    </row>
    <row r="463" ht="15.75" customHeight="1">
      <c r="T463" s="7"/>
      <c r="U463" s="7"/>
      <c r="V463" s="7"/>
    </row>
    <row r="464" ht="15.75" customHeight="1">
      <c r="T464" s="7"/>
      <c r="U464" s="7"/>
      <c r="V464" s="7"/>
    </row>
    <row r="465" ht="15.75" customHeight="1">
      <c r="T465" s="7"/>
      <c r="U465" s="7"/>
      <c r="V465" s="7"/>
    </row>
    <row r="466" ht="15.75" customHeight="1">
      <c r="T466" s="7"/>
      <c r="U466" s="7"/>
      <c r="V466" s="7"/>
    </row>
    <row r="467" ht="15.75" customHeight="1">
      <c r="T467" s="7"/>
      <c r="U467" s="7"/>
      <c r="V467" s="7"/>
    </row>
    <row r="468" ht="15.75" customHeight="1">
      <c r="T468" s="7"/>
      <c r="U468" s="7"/>
      <c r="V468" s="7"/>
    </row>
    <row r="469" ht="15.75" customHeight="1">
      <c r="T469" s="7"/>
      <c r="U469" s="7"/>
      <c r="V469" s="7"/>
    </row>
    <row r="470" ht="15.75" customHeight="1">
      <c r="T470" s="7"/>
      <c r="U470" s="7"/>
      <c r="V470" s="7"/>
    </row>
    <row r="471" ht="15.75" customHeight="1">
      <c r="T471" s="7"/>
      <c r="U471" s="7"/>
      <c r="V471" s="7"/>
    </row>
    <row r="472" ht="15.75" customHeight="1">
      <c r="T472" s="7"/>
      <c r="U472" s="7"/>
      <c r="V472" s="7"/>
    </row>
    <row r="473" ht="15.75" customHeight="1">
      <c r="T473" s="7"/>
      <c r="U473" s="7"/>
      <c r="V473" s="7"/>
    </row>
    <row r="474" ht="15.75" customHeight="1">
      <c r="T474" s="7"/>
      <c r="U474" s="7"/>
      <c r="V474" s="7"/>
    </row>
    <row r="475" ht="15.75" customHeight="1">
      <c r="T475" s="7"/>
      <c r="U475" s="7"/>
      <c r="V475" s="7"/>
    </row>
    <row r="476" ht="15.75" customHeight="1">
      <c r="T476" s="7"/>
      <c r="U476" s="7"/>
      <c r="V476" s="7"/>
    </row>
    <row r="477" ht="15.75" customHeight="1">
      <c r="T477" s="7"/>
      <c r="U477" s="7"/>
      <c r="V477" s="7"/>
    </row>
    <row r="478" ht="15.75" customHeight="1">
      <c r="T478" s="7"/>
      <c r="U478" s="7"/>
      <c r="V478" s="7"/>
    </row>
    <row r="479" ht="15.75" customHeight="1">
      <c r="T479" s="7"/>
      <c r="U479" s="7"/>
      <c r="V479" s="7"/>
    </row>
    <row r="480" ht="15.75" customHeight="1">
      <c r="T480" s="7"/>
      <c r="U480" s="7"/>
      <c r="V480" s="7"/>
    </row>
    <row r="481" ht="15.75" customHeight="1">
      <c r="T481" s="7"/>
      <c r="U481" s="7"/>
      <c r="V481" s="7"/>
    </row>
    <row r="482" ht="15.75" customHeight="1">
      <c r="T482" s="7"/>
      <c r="U482" s="7"/>
      <c r="V482" s="7"/>
    </row>
    <row r="483" ht="15.75" customHeight="1">
      <c r="T483" s="7"/>
      <c r="U483" s="7"/>
      <c r="V483" s="7"/>
    </row>
    <row r="484" ht="15.75" customHeight="1">
      <c r="T484" s="7"/>
      <c r="U484" s="7"/>
      <c r="V484" s="7"/>
    </row>
    <row r="485" ht="15.75" customHeight="1">
      <c r="T485" s="7"/>
      <c r="U485" s="7"/>
      <c r="V485" s="7"/>
    </row>
    <row r="486" ht="15.75" customHeight="1">
      <c r="T486" s="7"/>
      <c r="U486" s="7"/>
      <c r="V486" s="7"/>
    </row>
    <row r="487" ht="15.75" customHeight="1">
      <c r="T487" s="7"/>
      <c r="U487" s="7"/>
      <c r="V487" s="7"/>
    </row>
    <row r="488" ht="15.75" customHeight="1">
      <c r="T488" s="7"/>
      <c r="U488" s="7"/>
      <c r="V488" s="7"/>
    </row>
    <row r="489" ht="15.75" customHeight="1">
      <c r="T489" s="7"/>
      <c r="U489" s="7"/>
      <c r="V489" s="7"/>
    </row>
    <row r="490" ht="15.75" customHeight="1">
      <c r="T490" s="7"/>
      <c r="U490" s="7"/>
      <c r="V490" s="7"/>
    </row>
    <row r="491" ht="15.75" customHeight="1">
      <c r="T491" s="7"/>
      <c r="U491" s="7"/>
      <c r="V491" s="7"/>
    </row>
    <row r="492" ht="15.75" customHeight="1">
      <c r="T492" s="7"/>
      <c r="U492" s="7"/>
      <c r="V492" s="7"/>
    </row>
    <row r="493" ht="15.75" customHeight="1">
      <c r="T493" s="7"/>
      <c r="U493" s="7"/>
      <c r="V493" s="7"/>
    </row>
    <row r="494" ht="15.75" customHeight="1">
      <c r="T494" s="7"/>
      <c r="U494" s="7"/>
      <c r="V494" s="7"/>
    </row>
    <row r="495" ht="15.75" customHeight="1">
      <c r="T495" s="7"/>
      <c r="U495" s="7"/>
      <c r="V495" s="7"/>
    </row>
    <row r="496" ht="15.75" customHeight="1">
      <c r="T496" s="7"/>
      <c r="U496" s="7"/>
      <c r="V496" s="7"/>
    </row>
    <row r="497" ht="15.75" customHeight="1">
      <c r="T497" s="7"/>
      <c r="U497" s="7"/>
      <c r="V497" s="7"/>
    </row>
    <row r="498" ht="15.75" customHeight="1">
      <c r="T498" s="7"/>
      <c r="U498" s="7"/>
      <c r="V498" s="7"/>
    </row>
    <row r="499" ht="15.75" customHeight="1">
      <c r="T499" s="7"/>
      <c r="U499" s="7"/>
      <c r="V499" s="7"/>
    </row>
    <row r="500" ht="15.75" customHeight="1">
      <c r="T500" s="7"/>
      <c r="U500" s="7"/>
      <c r="V500" s="7"/>
    </row>
    <row r="501" ht="15.75" customHeight="1">
      <c r="T501" s="7"/>
      <c r="U501" s="7"/>
      <c r="V501" s="7"/>
    </row>
    <row r="502" ht="15.75" customHeight="1">
      <c r="T502" s="7"/>
      <c r="U502" s="7"/>
      <c r="V502" s="7"/>
    </row>
    <row r="503" ht="15.75" customHeight="1">
      <c r="T503" s="7"/>
      <c r="U503" s="7"/>
      <c r="V503" s="7"/>
    </row>
    <row r="504" ht="15.75" customHeight="1">
      <c r="T504" s="7"/>
      <c r="U504" s="7"/>
      <c r="V504" s="7"/>
    </row>
    <row r="505" ht="15.75" customHeight="1">
      <c r="T505" s="7"/>
      <c r="U505" s="7"/>
      <c r="V505" s="7"/>
    </row>
    <row r="506" ht="15.75" customHeight="1">
      <c r="T506" s="7"/>
      <c r="U506" s="7"/>
      <c r="V506" s="7"/>
    </row>
    <row r="507" ht="15.75" customHeight="1">
      <c r="T507" s="7"/>
      <c r="U507" s="7"/>
      <c r="V507" s="7"/>
    </row>
    <row r="508" ht="15.75" customHeight="1">
      <c r="T508" s="7"/>
      <c r="U508" s="7"/>
      <c r="V508" s="7"/>
    </row>
    <row r="509" ht="15.75" customHeight="1">
      <c r="T509" s="7"/>
      <c r="U509" s="7"/>
      <c r="V509" s="7"/>
    </row>
    <row r="510" ht="15.75" customHeight="1">
      <c r="T510" s="7"/>
      <c r="U510" s="7"/>
      <c r="V510" s="7"/>
    </row>
    <row r="511" ht="15.75" customHeight="1">
      <c r="T511" s="7"/>
      <c r="U511" s="7"/>
      <c r="V511" s="7"/>
    </row>
    <row r="512" ht="15.75" customHeight="1">
      <c r="T512" s="7"/>
      <c r="U512" s="7"/>
      <c r="V512" s="7"/>
    </row>
    <row r="513" ht="15.75" customHeight="1">
      <c r="T513" s="7"/>
      <c r="U513" s="7"/>
      <c r="V513" s="7"/>
    </row>
    <row r="514" ht="15.75" customHeight="1">
      <c r="T514" s="7"/>
      <c r="U514" s="7"/>
      <c r="V514" s="7"/>
    </row>
    <row r="515" ht="15.75" customHeight="1">
      <c r="T515" s="7"/>
      <c r="U515" s="7"/>
      <c r="V515" s="7"/>
    </row>
    <row r="516" ht="15.75" customHeight="1">
      <c r="T516" s="7"/>
      <c r="U516" s="7"/>
      <c r="V516" s="7"/>
    </row>
    <row r="517" ht="15.75" customHeight="1">
      <c r="T517" s="7"/>
      <c r="U517" s="7"/>
      <c r="V517" s="7"/>
    </row>
    <row r="518" ht="15.75" customHeight="1">
      <c r="T518" s="7"/>
      <c r="U518" s="7"/>
      <c r="V518" s="7"/>
    </row>
    <row r="519" ht="15.75" customHeight="1">
      <c r="T519" s="7"/>
      <c r="U519" s="7"/>
      <c r="V519" s="7"/>
    </row>
    <row r="520" ht="15.75" customHeight="1">
      <c r="T520" s="7"/>
      <c r="U520" s="7"/>
      <c r="V520" s="7"/>
    </row>
    <row r="521" ht="15.75" customHeight="1">
      <c r="T521" s="7"/>
      <c r="U521" s="7"/>
      <c r="V521" s="7"/>
    </row>
    <row r="522" ht="15.75" customHeight="1">
      <c r="T522" s="7"/>
      <c r="U522" s="7"/>
      <c r="V522" s="7"/>
    </row>
    <row r="523" ht="15.75" customHeight="1">
      <c r="T523" s="7"/>
      <c r="U523" s="7"/>
      <c r="V523" s="7"/>
    </row>
    <row r="524" ht="15.75" customHeight="1">
      <c r="T524" s="7"/>
      <c r="U524" s="7"/>
      <c r="V524" s="7"/>
    </row>
    <row r="525" ht="15.75" customHeight="1">
      <c r="T525" s="7"/>
      <c r="U525" s="7"/>
      <c r="V525" s="7"/>
    </row>
    <row r="526" ht="15.75" customHeight="1">
      <c r="T526" s="7"/>
      <c r="U526" s="7"/>
      <c r="V526" s="7"/>
    </row>
    <row r="527" ht="15.75" customHeight="1">
      <c r="T527" s="7"/>
      <c r="U527" s="7"/>
      <c r="V527" s="7"/>
    </row>
    <row r="528" ht="15.75" customHeight="1">
      <c r="T528" s="7"/>
      <c r="U528" s="7"/>
      <c r="V528" s="7"/>
    </row>
    <row r="529" ht="15.75" customHeight="1">
      <c r="T529" s="7"/>
      <c r="U529" s="7"/>
      <c r="V529" s="7"/>
    </row>
    <row r="530" ht="15.75" customHeight="1">
      <c r="T530" s="7"/>
      <c r="U530" s="7"/>
      <c r="V530" s="7"/>
    </row>
    <row r="531" ht="15.75" customHeight="1">
      <c r="T531" s="7"/>
      <c r="U531" s="7"/>
      <c r="V531" s="7"/>
    </row>
    <row r="532" ht="15.75" customHeight="1">
      <c r="T532" s="7"/>
      <c r="U532" s="7"/>
      <c r="V532" s="7"/>
    </row>
    <row r="533" ht="15.75" customHeight="1">
      <c r="T533" s="7"/>
      <c r="U533" s="7"/>
      <c r="V533" s="7"/>
    </row>
    <row r="534" ht="15.75" customHeight="1">
      <c r="T534" s="7"/>
      <c r="U534" s="7"/>
      <c r="V534" s="7"/>
    </row>
    <row r="535" ht="15.75" customHeight="1">
      <c r="T535" s="7"/>
      <c r="U535" s="7"/>
      <c r="V535" s="7"/>
    </row>
    <row r="536" ht="15.75" customHeight="1">
      <c r="T536" s="7"/>
      <c r="U536" s="7"/>
      <c r="V536" s="7"/>
    </row>
    <row r="537" ht="15.75" customHeight="1">
      <c r="T537" s="7"/>
      <c r="U537" s="7"/>
      <c r="V537" s="7"/>
    </row>
    <row r="538" ht="15.75" customHeight="1">
      <c r="T538" s="7"/>
      <c r="U538" s="7"/>
      <c r="V538" s="7"/>
    </row>
    <row r="539" ht="15.75" customHeight="1">
      <c r="T539" s="7"/>
      <c r="U539" s="7"/>
      <c r="V539" s="7"/>
    </row>
    <row r="540" ht="15.75" customHeight="1">
      <c r="T540" s="7"/>
      <c r="U540" s="7"/>
      <c r="V540" s="7"/>
    </row>
    <row r="541" ht="15.75" customHeight="1">
      <c r="T541" s="7"/>
      <c r="U541" s="7"/>
      <c r="V541" s="7"/>
    </row>
    <row r="542" ht="15.75" customHeight="1">
      <c r="T542" s="7"/>
      <c r="U542" s="7"/>
      <c r="V542" s="7"/>
    </row>
    <row r="543" ht="15.75" customHeight="1">
      <c r="T543" s="7"/>
      <c r="U543" s="7"/>
      <c r="V543" s="7"/>
    </row>
    <row r="544" ht="15.75" customHeight="1">
      <c r="T544" s="7"/>
      <c r="U544" s="7"/>
      <c r="V544" s="7"/>
    </row>
    <row r="545" ht="15.75" customHeight="1">
      <c r="T545" s="7"/>
      <c r="U545" s="7"/>
      <c r="V545" s="7"/>
    </row>
    <row r="546" ht="15.75" customHeight="1">
      <c r="T546" s="7"/>
      <c r="U546" s="7"/>
      <c r="V546" s="7"/>
    </row>
    <row r="547" ht="15.75" customHeight="1">
      <c r="T547" s="7"/>
      <c r="U547" s="7"/>
      <c r="V547" s="7"/>
    </row>
    <row r="548" ht="15.75" customHeight="1">
      <c r="T548" s="7"/>
      <c r="U548" s="7"/>
      <c r="V548" s="7"/>
    </row>
    <row r="549" ht="15.75" customHeight="1">
      <c r="T549" s="7"/>
      <c r="U549" s="7"/>
      <c r="V549" s="7"/>
    </row>
    <row r="550" ht="15.75" customHeight="1">
      <c r="T550" s="7"/>
      <c r="U550" s="7"/>
      <c r="V550" s="7"/>
    </row>
    <row r="551" ht="15.75" customHeight="1">
      <c r="T551" s="7"/>
      <c r="U551" s="7"/>
      <c r="V551" s="7"/>
    </row>
    <row r="552" ht="15.75" customHeight="1">
      <c r="T552" s="7"/>
      <c r="U552" s="7"/>
      <c r="V552" s="7"/>
    </row>
    <row r="553" ht="15.75" customHeight="1">
      <c r="T553" s="7"/>
      <c r="U553" s="7"/>
      <c r="V553" s="7"/>
    </row>
    <row r="554" ht="15.75" customHeight="1">
      <c r="T554" s="7"/>
      <c r="U554" s="7"/>
      <c r="V554" s="7"/>
    </row>
    <row r="555" ht="15.75" customHeight="1">
      <c r="T555" s="7"/>
      <c r="U555" s="7"/>
      <c r="V555" s="7"/>
    </row>
    <row r="556" ht="15.75" customHeight="1">
      <c r="T556" s="7"/>
      <c r="U556" s="7"/>
      <c r="V556" s="7"/>
    </row>
    <row r="557" ht="15.75" customHeight="1">
      <c r="T557" s="7"/>
      <c r="U557" s="7"/>
      <c r="V557" s="7"/>
    </row>
    <row r="558" ht="15.75" customHeight="1">
      <c r="T558" s="7"/>
      <c r="U558" s="7"/>
      <c r="V558" s="7"/>
    </row>
    <row r="559" ht="15.75" customHeight="1">
      <c r="T559" s="7"/>
      <c r="U559" s="7"/>
      <c r="V559" s="7"/>
    </row>
    <row r="560" ht="15.75" customHeight="1">
      <c r="T560" s="7"/>
      <c r="U560" s="7"/>
      <c r="V560" s="7"/>
    </row>
    <row r="561" ht="15.75" customHeight="1">
      <c r="T561" s="7"/>
      <c r="U561" s="7"/>
      <c r="V561" s="7"/>
    </row>
    <row r="562" ht="15.75" customHeight="1">
      <c r="T562" s="7"/>
      <c r="U562" s="7"/>
      <c r="V562" s="7"/>
    </row>
    <row r="563" ht="15.75" customHeight="1">
      <c r="T563" s="7"/>
      <c r="U563" s="7"/>
      <c r="V563" s="7"/>
    </row>
    <row r="564" ht="15.75" customHeight="1">
      <c r="T564" s="7"/>
      <c r="U564" s="7"/>
      <c r="V564" s="7"/>
    </row>
    <row r="565" ht="15.75" customHeight="1">
      <c r="T565" s="7"/>
      <c r="U565" s="7"/>
      <c r="V565" s="7"/>
    </row>
    <row r="566" ht="15.75" customHeight="1">
      <c r="T566" s="7"/>
      <c r="U566" s="7"/>
      <c r="V566" s="7"/>
    </row>
    <row r="567" ht="15.75" customHeight="1">
      <c r="T567" s="7"/>
      <c r="U567" s="7"/>
      <c r="V567" s="7"/>
    </row>
    <row r="568" ht="15.75" customHeight="1">
      <c r="T568" s="7"/>
      <c r="U568" s="7"/>
      <c r="V568" s="7"/>
    </row>
    <row r="569" ht="15.75" customHeight="1">
      <c r="T569" s="7"/>
      <c r="U569" s="7"/>
      <c r="V569" s="7"/>
    </row>
    <row r="570" ht="15.75" customHeight="1">
      <c r="T570" s="7"/>
      <c r="U570" s="7"/>
      <c r="V570" s="7"/>
    </row>
    <row r="571" ht="15.75" customHeight="1">
      <c r="T571" s="7"/>
      <c r="U571" s="7"/>
      <c r="V571" s="7"/>
    </row>
    <row r="572" ht="15.75" customHeight="1">
      <c r="T572" s="7"/>
      <c r="U572" s="7"/>
      <c r="V572" s="7"/>
    </row>
    <row r="573" ht="15.75" customHeight="1">
      <c r="T573" s="7"/>
      <c r="U573" s="7"/>
      <c r="V573" s="7"/>
    </row>
    <row r="574" ht="15.75" customHeight="1">
      <c r="T574" s="7"/>
      <c r="U574" s="7"/>
      <c r="V574" s="7"/>
    </row>
    <row r="575" ht="15.75" customHeight="1">
      <c r="T575" s="7"/>
      <c r="U575" s="7"/>
      <c r="V575" s="7"/>
    </row>
    <row r="576" ht="15.75" customHeight="1">
      <c r="T576" s="7"/>
      <c r="U576" s="7"/>
      <c r="V576" s="7"/>
    </row>
    <row r="577" ht="15.75" customHeight="1">
      <c r="T577" s="7"/>
      <c r="U577" s="7"/>
      <c r="V577" s="7"/>
    </row>
    <row r="578" ht="15.75" customHeight="1">
      <c r="T578" s="7"/>
      <c r="U578" s="7"/>
      <c r="V578" s="7"/>
    </row>
    <row r="579" ht="15.75" customHeight="1">
      <c r="T579" s="7"/>
      <c r="U579" s="7"/>
      <c r="V579" s="7"/>
    </row>
    <row r="580" ht="15.75" customHeight="1">
      <c r="T580" s="7"/>
      <c r="U580" s="7"/>
      <c r="V580" s="7"/>
    </row>
    <row r="581" ht="15.75" customHeight="1">
      <c r="T581" s="7"/>
      <c r="U581" s="7"/>
      <c r="V581" s="7"/>
    </row>
    <row r="582" ht="15.75" customHeight="1">
      <c r="T582" s="7"/>
      <c r="U582" s="7"/>
      <c r="V582" s="7"/>
    </row>
    <row r="583" ht="15.75" customHeight="1">
      <c r="T583" s="7"/>
      <c r="U583" s="7"/>
      <c r="V583" s="7"/>
    </row>
    <row r="584" ht="15.75" customHeight="1">
      <c r="T584" s="7"/>
      <c r="U584" s="7"/>
      <c r="V584" s="7"/>
    </row>
    <row r="585" ht="15.75" customHeight="1">
      <c r="T585" s="7"/>
      <c r="U585" s="7"/>
      <c r="V585" s="7"/>
    </row>
    <row r="586" ht="15.75" customHeight="1">
      <c r="T586" s="7"/>
      <c r="U586" s="7"/>
      <c r="V586" s="7"/>
    </row>
    <row r="587" ht="15.75" customHeight="1">
      <c r="T587" s="7"/>
      <c r="U587" s="7"/>
      <c r="V587" s="7"/>
    </row>
    <row r="588" ht="15.75" customHeight="1">
      <c r="T588" s="7"/>
      <c r="U588" s="7"/>
      <c r="V588" s="7"/>
    </row>
    <row r="589" ht="15.75" customHeight="1">
      <c r="T589" s="7"/>
      <c r="U589" s="7"/>
      <c r="V589" s="7"/>
    </row>
    <row r="590" ht="15.75" customHeight="1">
      <c r="T590" s="7"/>
      <c r="U590" s="7"/>
      <c r="V590" s="7"/>
    </row>
    <row r="591" ht="15.75" customHeight="1">
      <c r="T591" s="7"/>
      <c r="U591" s="7"/>
      <c r="V591" s="7"/>
    </row>
    <row r="592" ht="15.75" customHeight="1">
      <c r="T592" s="7"/>
      <c r="U592" s="7"/>
      <c r="V592" s="7"/>
    </row>
    <row r="593" ht="15.75" customHeight="1">
      <c r="T593" s="7"/>
      <c r="U593" s="7"/>
      <c r="V593" s="7"/>
    </row>
    <row r="594" ht="15.75" customHeight="1">
      <c r="T594" s="7"/>
      <c r="U594" s="7"/>
      <c r="V594" s="7"/>
    </row>
    <row r="595" ht="15.75" customHeight="1">
      <c r="T595" s="7"/>
      <c r="U595" s="7"/>
      <c r="V595" s="7"/>
    </row>
    <row r="596" ht="15.75" customHeight="1">
      <c r="T596" s="7"/>
      <c r="U596" s="7"/>
      <c r="V596" s="7"/>
    </row>
    <row r="597" ht="15.75" customHeight="1">
      <c r="T597" s="7"/>
      <c r="U597" s="7"/>
      <c r="V597" s="7"/>
    </row>
    <row r="598" ht="15.75" customHeight="1">
      <c r="T598" s="7"/>
      <c r="U598" s="7"/>
      <c r="V598" s="7"/>
    </row>
    <row r="599" ht="15.75" customHeight="1">
      <c r="T599" s="7"/>
      <c r="U599" s="7"/>
      <c r="V599" s="7"/>
    </row>
    <row r="600" ht="15.75" customHeight="1">
      <c r="T600" s="7"/>
      <c r="U600" s="7"/>
      <c r="V600" s="7"/>
    </row>
    <row r="601" ht="15.75" customHeight="1">
      <c r="T601" s="7"/>
      <c r="U601" s="7"/>
      <c r="V601" s="7"/>
    </row>
    <row r="602" ht="15.75" customHeight="1">
      <c r="T602" s="7"/>
      <c r="U602" s="7"/>
      <c r="V602" s="7"/>
    </row>
    <row r="603" ht="15.75" customHeight="1">
      <c r="T603" s="7"/>
      <c r="U603" s="7"/>
      <c r="V603" s="7"/>
    </row>
    <row r="604" ht="15.75" customHeight="1">
      <c r="T604" s="7"/>
      <c r="U604" s="7"/>
      <c r="V604" s="7"/>
    </row>
    <row r="605" ht="15.75" customHeight="1">
      <c r="T605" s="7"/>
      <c r="U605" s="7"/>
      <c r="V605" s="7"/>
    </row>
    <row r="606" ht="15.75" customHeight="1">
      <c r="T606" s="7"/>
      <c r="U606" s="7"/>
      <c r="V606" s="7"/>
    </row>
    <row r="607" ht="15.75" customHeight="1">
      <c r="T607" s="7"/>
      <c r="U607" s="7"/>
      <c r="V607" s="7"/>
    </row>
    <row r="608" ht="15.75" customHeight="1">
      <c r="T608" s="7"/>
      <c r="U608" s="7"/>
      <c r="V608" s="7"/>
    </row>
    <row r="609" ht="15.75" customHeight="1">
      <c r="T609" s="7"/>
      <c r="U609" s="7"/>
      <c r="V609" s="7"/>
    </row>
    <row r="610" ht="15.75" customHeight="1">
      <c r="T610" s="7"/>
      <c r="U610" s="7"/>
      <c r="V610" s="7"/>
    </row>
    <row r="611" ht="15.75" customHeight="1">
      <c r="T611" s="7"/>
      <c r="U611" s="7"/>
      <c r="V611" s="7"/>
    </row>
    <row r="612" ht="15.75" customHeight="1">
      <c r="T612" s="7"/>
      <c r="U612" s="7"/>
      <c r="V612" s="7"/>
    </row>
    <row r="613" ht="15.75" customHeight="1">
      <c r="T613" s="7"/>
      <c r="U613" s="7"/>
      <c r="V613" s="7"/>
    </row>
    <row r="614" ht="15.75" customHeight="1">
      <c r="T614" s="7"/>
      <c r="U614" s="7"/>
      <c r="V614" s="7"/>
    </row>
    <row r="615" ht="15.75" customHeight="1">
      <c r="T615" s="7"/>
      <c r="U615" s="7"/>
      <c r="V615" s="7"/>
    </row>
    <row r="616" ht="15.75" customHeight="1">
      <c r="T616" s="7"/>
      <c r="U616" s="7"/>
      <c r="V616" s="7"/>
    </row>
    <row r="617" ht="15.75" customHeight="1">
      <c r="T617" s="7"/>
      <c r="U617" s="7"/>
      <c r="V617" s="7"/>
    </row>
    <row r="618" ht="15.75" customHeight="1">
      <c r="T618" s="7"/>
      <c r="U618" s="7"/>
      <c r="V618" s="7"/>
    </row>
    <row r="619" ht="15.75" customHeight="1">
      <c r="T619" s="7"/>
      <c r="U619" s="7"/>
      <c r="V619" s="7"/>
    </row>
    <row r="620" ht="15.75" customHeight="1">
      <c r="T620" s="7"/>
      <c r="U620" s="7"/>
      <c r="V620" s="7"/>
    </row>
    <row r="621" ht="15.75" customHeight="1">
      <c r="T621" s="7"/>
      <c r="U621" s="7"/>
      <c r="V621" s="7"/>
    </row>
    <row r="622" ht="15.75" customHeight="1">
      <c r="T622" s="7"/>
      <c r="U622" s="7"/>
      <c r="V622" s="7"/>
    </row>
    <row r="623" ht="15.75" customHeight="1">
      <c r="T623" s="7"/>
      <c r="U623" s="7"/>
      <c r="V623" s="7"/>
    </row>
    <row r="624" ht="15.75" customHeight="1">
      <c r="T624" s="7"/>
      <c r="U624" s="7"/>
      <c r="V624" s="7"/>
    </row>
    <row r="625" ht="15.75" customHeight="1">
      <c r="T625" s="7"/>
      <c r="U625" s="7"/>
      <c r="V625" s="7"/>
    </row>
    <row r="626" ht="15.75" customHeight="1">
      <c r="T626" s="7"/>
      <c r="U626" s="7"/>
      <c r="V626" s="7"/>
    </row>
    <row r="627" ht="15.75" customHeight="1">
      <c r="T627" s="7"/>
      <c r="U627" s="7"/>
      <c r="V627" s="7"/>
    </row>
    <row r="628" ht="15.75" customHeight="1">
      <c r="T628" s="7"/>
      <c r="U628" s="7"/>
      <c r="V628" s="7"/>
    </row>
    <row r="629" ht="15.75" customHeight="1">
      <c r="T629" s="7"/>
      <c r="U629" s="7"/>
      <c r="V629" s="7"/>
    </row>
    <row r="630" ht="15.75" customHeight="1">
      <c r="T630" s="7"/>
      <c r="U630" s="7"/>
      <c r="V630" s="7"/>
    </row>
    <row r="631" ht="15.75" customHeight="1">
      <c r="T631" s="7"/>
      <c r="U631" s="7"/>
      <c r="V631" s="7"/>
    </row>
    <row r="632" ht="15.75" customHeight="1">
      <c r="T632" s="7"/>
      <c r="U632" s="7"/>
      <c r="V632" s="7"/>
    </row>
    <row r="633" ht="15.75" customHeight="1">
      <c r="T633" s="7"/>
      <c r="U633" s="7"/>
      <c r="V633" s="7"/>
    </row>
    <row r="634" ht="15.75" customHeight="1">
      <c r="T634" s="7"/>
      <c r="U634" s="7"/>
      <c r="V634" s="7"/>
    </row>
    <row r="635" ht="15.75" customHeight="1">
      <c r="T635" s="7"/>
      <c r="U635" s="7"/>
      <c r="V635" s="7"/>
    </row>
    <row r="636" ht="15.75" customHeight="1">
      <c r="T636" s="7"/>
      <c r="U636" s="7"/>
      <c r="V636" s="7"/>
    </row>
    <row r="637" ht="15.75" customHeight="1">
      <c r="T637" s="7"/>
      <c r="U637" s="7"/>
      <c r="V637" s="7"/>
    </row>
    <row r="638" ht="15.75" customHeight="1">
      <c r="T638" s="7"/>
      <c r="U638" s="7"/>
      <c r="V638" s="7"/>
    </row>
    <row r="639" ht="15.75" customHeight="1">
      <c r="T639" s="7"/>
      <c r="U639" s="7"/>
      <c r="V639" s="7"/>
    </row>
    <row r="640" ht="15.75" customHeight="1">
      <c r="T640" s="7"/>
      <c r="U640" s="7"/>
      <c r="V640" s="7"/>
    </row>
    <row r="641" ht="15.75" customHeight="1">
      <c r="T641" s="7"/>
      <c r="U641" s="7"/>
      <c r="V641" s="7"/>
    </row>
    <row r="642" ht="15.75" customHeight="1">
      <c r="T642" s="7"/>
      <c r="U642" s="7"/>
      <c r="V642" s="7"/>
    </row>
    <row r="643" ht="15.75" customHeight="1">
      <c r="T643" s="7"/>
      <c r="U643" s="7"/>
      <c r="V643" s="7"/>
    </row>
    <row r="644" ht="15.75" customHeight="1">
      <c r="T644" s="7"/>
      <c r="U644" s="7"/>
      <c r="V644" s="7"/>
    </row>
    <row r="645" ht="15.75" customHeight="1">
      <c r="T645" s="7"/>
      <c r="U645" s="7"/>
      <c r="V645" s="7"/>
    </row>
    <row r="646" ht="15.75" customHeight="1">
      <c r="T646" s="7"/>
      <c r="U646" s="7"/>
      <c r="V646" s="7"/>
    </row>
    <row r="647" ht="15.75" customHeight="1">
      <c r="T647" s="7"/>
      <c r="U647" s="7"/>
      <c r="V647" s="7"/>
    </row>
    <row r="648" ht="15.75" customHeight="1">
      <c r="T648" s="7"/>
      <c r="U648" s="7"/>
      <c r="V648" s="7"/>
    </row>
    <row r="649" ht="15.75" customHeight="1">
      <c r="T649" s="7"/>
      <c r="U649" s="7"/>
      <c r="V649" s="7"/>
    </row>
    <row r="650" ht="15.75" customHeight="1">
      <c r="T650" s="7"/>
      <c r="U650" s="7"/>
      <c r="V650" s="7"/>
    </row>
    <row r="651" ht="15.75" customHeight="1">
      <c r="T651" s="7"/>
      <c r="U651" s="7"/>
      <c r="V651" s="7"/>
    </row>
    <row r="652" ht="15.75" customHeight="1">
      <c r="T652" s="7"/>
      <c r="U652" s="7"/>
      <c r="V652" s="7"/>
    </row>
    <row r="653" ht="15.75" customHeight="1">
      <c r="T653" s="7"/>
      <c r="U653" s="7"/>
      <c r="V653" s="7"/>
    </row>
    <row r="654" ht="15.75" customHeight="1">
      <c r="T654" s="7"/>
      <c r="U654" s="7"/>
      <c r="V654" s="7"/>
    </row>
    <row r="655" ht="15.75" customHeight="1">
      <c r="T655" s="7"/>
      <c r="U655" s="7"/>
      <c r="V655" s="7"/>
    </row>
    <row r="656" ht="15.75" customHeight="1">
      <c r="T656" s="7"/>
      <c r="U656" s="7"/>
      <c r="V656" s="7"/>
    </row>
    <row r="657" ht="15.75" customHeight="1">
      <c r="T657" s="7"/>
      <c r="U657" s="7"/>
      <c r="V657" s="7"/>
    </row>
    <row r="658" ht="15.75" customHeight="1">
      <c r="T658" s="7"/>
      <c r="U658" s="7"/>
      <c r="V658" s="7"/>
    </row>
    <row r="659" ht="15.75" customHeight="1">
      <c r="T659" s="7"/>
      <c r="U659" s="7"/>
      <c r="V659" s="7"/>
    </row>
    <row r="660" ht="15.75" customHeight="1">
      <c r="T660" s="7"/>
      <c r="U660" s="7"/>
      <c r="V660" s="7"/>
    </row>
    <row r="661" ht="15.75" customHeight="1">
      <c r="T661" s="7"/>
      <c r="U661" s="7"/>
      <c r="V661" s="7"/>
    </row>
    <row r="662" ht="15.75" customHeight="1">
      <c r="T662" s="7"/>
      <c r="U662" s="7"/>
      <c r="V662" s="7"/>
    </row>
    <row r="663" ht="15.75" customHeight="1">
      <c r="T663" s="7"/>
      <c r="U663" s="7"/>
      <c r="V663" s="7"/>
    </row>
    <row r="664" ht="15.75" customHeight="1">
      <c r="T664" s="7"/>
      <c r="U664" s="7"/>
      <c r="V664" s="7"/>
    </row>
    <row r="665" ht="15.75" customHeight="1">
      <c r="T665" s="7"/>
      <c r="U665" s="7"/>
      <c r="V665" s="7"/>
    </row>
    <row r="666" ht="15.75" customHeight="1">
      <c r="T666" s="7"/>
      <c r="U666" s="7"/>
      <c r="V666" s="7"/>
    </row>
    <row r="667" ht="15.75" customHeight="1">
      <c r="T667" s="7"/>
      <c r="U667" s="7"/>
      <c r="V667" s="7"/>
    </row>
    <row r="668" ht="15.75" customHeight="1">
      <c r="T668" s="7"/>
      <c r="U668" s="7"/>
      <c r="V668" s="7"/>
    </row>
    <row r="669" ht="15.75" customHeight="1">
      <c r="T669" s="7"/>
      <c r="U669" s="7"/>
      <c r="V669" s="7"/>
    </row>
    <row r="670" ht="15.75" customHeight="1">
      <c r="T670" s="7"/>
      <c r="U670" s="7"/>
      <c r="V670" s="7"/>
    </row>
    <row r="671" ht="15.75" customHeight="1">
      <c r="T671" s="7"/>
      <c r="U671" s="7"/>
      <c r="V671" s="7"/>
    </row>
    <row r="672" ht="15.75" customHeight="1">
      <c r="T672" s="7"/>
      <c r="U672" s="7"/>
      <c r="V672" s="7"/>
    </row>
    <row r="673" ht="15.75" customHeight="1">
      <c r="T673" s="7"/>
      <c r="U673" s="7"/>
      <c r="V673" s="7"/>
    </row>
    <row r="674" ht="15.75" customHeight="1">
      <c r="T674" s="7"/>
      <c r="U674" s="7"/>
      <c r="V674" s="7"/>
    </row>
    <row r="675" ht="15.75" customHeight="1">
      <c r="T675" s="7"/>
      <c r="U675" s="7"/>
      <c r="V675" s="7"/>
    </row>
    <row r="676" ht="15.75" customHeight="1">
      <c r="T676" s="7"/>
      <c r="U676" s="7"/>
      <c r="V676" s="7"/>
    </row>
    <row r="677" ht="15.75" customHeight="1">
      <c r="T677" s="7"/>
      <c r="U677" s="7"/>
      <c r="V677" s="7"/>
    </row>
    <row r="678" ht="15.75" customHeight="1">
      <c r="T678" s="7"/>
      <c r="U678" s="7"/>
      <c r="V678" s="7"/>
    </row>
    <row r="679" ht="15.75" customHeight="1">
      <c r="T679" s="7"/>
      <c r="U679" s="7"/>
      <c r="V679" s="7"/>
    </row>
    <row r="680" ht="15.75" customHeight="1">
      <c r="T680" s="7"/>
      <c r="U680" s="7"/>
      <c r="V680" s="7"/>
    </row>
    <row r="681" ht="15.75" customHeight="1">
      <c r="T681" s="7"/>
      <c r="U681" s="7"/>
      <c r="V681" s="7"/>
    </row>
    <row r="682" ht="15.75" customHeight="1">
      <c r="T682" s="7"/>
      <c r="U682" s="7"/>
      <c r="V682" s="7"/>
    </row>
    <row r="683" ht="15.75" customHeight="1">
      <c r="T683" s="7"/>
      <c r="U683" s="7"/>
      <c r="V683" s="7"/>
    </row>
    <row r="684" ht="15.75" customHeight="1">
      <c r="T684" s="7"/>
      <c r="U684" s="7"/>
      <c r="V684" s="7"/>
    </row>
    <row r="685" ht="15.75" customHeight="1">
      <c r="T685" s="7"/>
      <c r="U685" s="7"/>
      <c r="V685" s="7"/>
    </row>
    <row r="686" ht="15.75" customHeight="1">
      <c r="T686" s="7"/>
      <c r="U686" s="7"/>
      <c r="V686" s="7"/>
    </row>
    <row r="687" ht="15.75" customHeight="1">
      <c r="T687" s="7"/>
      <c r="U687" s="7"/>
      <c r="V687" s="7"/>
    </row>
    <row r="688" ht="15.75" customHeight="1">
      <c r="T688" s="7"/>
      <c r="U688" s="7"/>
      <c r="V688" s="7"/>
    </row>
    <row r="689" ht="15.75" customHeight="1">
      <c r="T689" s="7"/>
      <c r="U689" s="7"/>
      <c r="V689" s="7"/>
    </row>
    <row r="690" ht="15.75" customHeight="1">
      <c r="T690" s="7"/>
      <c r="U690" s="7"/>
      <c r="V690" s="7"/>
    </row>
    <row r="691" ht="15.75" customHeight="1">
      <c r="T691" s="7"/>
      <c r="U691" s="7"/>
      <c r="V691" s="7"/>
    </row>
    <row r="692" ht="15.75" customHeight="1">
      <c r="T692" s="7"/>
      <c r="U692" s="7"/>
      <c r="V692" s="7"/>
    </row>
    <row r="693" ht="15.75" customHeight="1">
      <c r="T693" s="7"/>
      <c r="U693" s="7"/>
      <c r="V693" s="7"/>
    </row>
    <row r="694" ht="15.75" customHeight="1">
      <c r="T694" s="7"/>
      <c r="U694" s="7"/>
      <c r="V694" s="7"/>
    </row>
    <row r="695" ht="15.75" customHeight="1">
      <c r="T695" s="7"/>
      <c r="U695" s="7"/>
      <c r="V695" s="7"/>
    </row>
    <row r="696" ht="15.75" customHeight="1">
      <c r="T696" s="7"/>
      <c r="U696" s="7"/>
      <c r="V696" s="7"/>
    </row>
    <row r="697" ht="15.75" customHeight="1">
      <c r="T697" s="7"/>
      <c r="U697" s="7"/>
      <c r="V697" s="7"/>
    </row>
    <row r="698" ht="15.75" customHeight="1">
      <c r="T698" s="7"/>
      <c r="U698" s="7"/>
      <c r="V698" s="7"/>
    </row>
    <row r="699" ht="15.75" customHeight="1">
      <c r="T699" s="7"/>
      <c r="U699" s="7"/>
      <c r="V699" s="7"/>
    </row>
    <row r="700" ht="15.75" customHeight="1">
      <c r="T700" s="7"/>
      <c r="U700" s="7"/>
      <c r="V700" s="7"/>
    </row>
    <row r="701" ht="15.75" customHeight="1">
      <c r="T701" s="7"/>
      <c r="U701" s="7"/>
      <c r="V701" s="7"/>
    </row>
    <row r="702" ht="15.75" customHeight="1">
      <c r="T702" s="7"/>
      <c r="U702" s="7"/>
      <c r="V702" s="7"/>
    </row>
    <row r="703" ht="15.75" customHeight="1">
      <c r="T703" s="7"/>
      <c r="U703" s="7"/>
      <c r="V703" s="7"/>
    </row>
    <row r="704" ht="15.75" customHeight="1">
      <c r="T704" s="7"/>
      <c r="U704" s="7"/>
      <c r="V704" s="7"/>
    </row>
    <row r="705" ht="15.75" customHeight="1">
      <c r="T705" s="7"/>
      <c r="U705" s="7"/>
      <c r="V705" s="7"/>
    </row>
    <row r="706" ht="15.75" customHeight="1">
      <c r="T706" s="7"/>
      <c r="U706" s="7"/>
      <c r="V706" s="7"/>
    </row>
    <row r="707" ht="15.75" customHeight="1">
      <c r="T707" s="7"/>
      <c r="U707" s="7"/>
      <c r="V707" s="7"/>
    </row>
    <row r="708" ht="15.75" customHeight="1">
      <c r="T708" s="7"/>
      <c r="U708" s="7"/>
      <c r="V708" s="7"/>
    </row>
    <row r="709" ht="15.75" customHeight="1">
      <c r="T709" s="7"/>
      <c r="U709" s="7"/>
      <c r="V709" s="7"/>
    </row>
    <row r="710" ht="15.75" customHeight="1">
      <c r="T710" s="7"/>
      <c r="U710" s="7"/>
      <c r="V710" s="7"/>
    </row>
    <row r="711" ht="15.75" customHeight="1">
      <c r="T711" s="7"/>
      <c r="U711" s="7"/>
      <c r="V711" s="7"/>
    </row>
    <row r="712" ht="15.75" customHeight="1">
      <c r="T712" s="7"/>
      <c r="U712" s="7"/>
      <c r="V712" s="7"/>
    </row>
    <row r="713" ht="15.75" customHeight="1">
      <c r="T713" s="7"/>
      <c r="U713" s="7"/>
      <c r="V713" s="7"/>
    </row>
    <row r="714" ht="15.75" customHeight="1">
      <c r="T714" s="7"/>
      <c r="U714" s="7"/>
      <c r="V714" s="7"/>
    </row>
    <row r="715" ht="15.75" customHeight="1">
      <c r="T715" s="7"/>
      <c r="U715" s="7"/>
      <c r="V715" s="7"/>
    </row>
    <row r="716" ht="15.75" customHeight="1">
      <c r="T716" s="7"/>
      <c r="U716" s="7"/>
      <c r="V716" s="7"/>
    </row>
    <row r="717" ht="15.75" customHeight="1">
      <c r="T717" s="7"/>
      <c r="U717" s="7"/>
      <c r="V717" s="7"/>
    </row>
    <row r="718" ht="15.75" customHeight="1">
      <c r="T718" s="7"/>
      <c r="U718" s="7"/>
      <c r="V718" s="7"/>
    </row>
    <row r="719" ht="15.75" customHeight="1">
      <c r="T719" s="7"/>
      <c r="U719" s="7"/>
      <c r="V719" s="7"/>
    </row>
    <row r="720" ht="15.75" customHeight="1">
      <c r="T720" s="7"/>
      <c r="U720" s="7"/>
      <c r="V720" s="7"/>
    </row>
    <row r="721" ht="15.75" customHeight="1">
      <c r="T721" s="7"/>
      <c r="U721" s="7"/>
      <c r="V721" s="7"/>
    </row>
    <row r="722" ht="15.75" customHeight="1">
      <c r="T722" s="7"/>
      <c r="U722" s="7"/>
      <c r="V722" s="7"/>
    </row>
    <row r="723" ht="15.75" customHeight="1">
      <c r="T723" s="7"/>
      <c r="U723" s="7"/>
      <c r="V723" s="7"/>
    </row>
    <row r="724" ht="15.75" customHeight="1">
      <c r="T724" s="7"/>
      <c r="U724" s="7"/>
      <c r="V724" s="7"/>
    </row>
    <row r="725" ht="15.75" customHeight="1">
      <c r="T725" s="7"/>
      <c r="U725" s="7"/>
      <c r="V725" s="7"/>
    </row>
    <row r="726" ht="15.75" customHeight="1">
      <c r="T726" s="7"/>
      <c r="U726" s="7"/>
      <c r="V726" s="7"/>
    </row>
    <row r="727" ht="15.75" customHeight="1">
      <c r="T727" s="7"/>
      <c r="U727" s="7"/>
      <c r="V727" s="7"/>
    </row>
    <row r="728" ht="15.75" customHeight="1">
      <c r="T728" s="7"/>
      <c r="U728" s="7"/>
      <c r="V728" s="7"/>
    </row>
    <row r="729" ht="15.75" customHeight="1">
      <c r="T729" s="7"/>
      <c r="U729" s="7"/>
      <c r="V729" s="7"/>
    </row>
    <row r="730" ht="15.75" customHeight="1">
      <c r="T730" s="7"/>
      <c r="U730" s="7"/>
      <c r="V730" s="7"/>
    </row>
    <row r="731" ht="15.75" customHeight="1">
      <c r="T731" s="7"/>
      <c r="U731" s="7"/>
      <c r="V731" s="7"/>
    </row>
    <row r="732" ht="15.75" customHeight="1">
      <c r="T732" s="7"/>
      <c r="U732" s="7"/>
      <c r="V732" s="7"/>
    </row>
    <row r="733" ht="15.75" customHeight="1">
      <c r="T733" s="7"/>
      <c r="U733" s="7"/>
      <c r="V733" s="7"/>
    </row>
    <row r="734" ht="15.75" customHeight="1">
      <c r="T734" s="7"/>
      <c r="U734" s="7"/>
      <c r="V734" s="7"/>
    </row>
    <row r="735" ht="15.75" customHeight="1">
      <c r="T735" s="7"/>
      <c r="U735" s="7"/>
      <c r="V735" s="7"/>
    </row>
    <row r="736" ht="15.75" customHeight="1">
      <c r="T736" s="7"/>
      <c r="U736" s="7"/>
      <c r="V736" s="7"/>
    </row>
    <row r="737" ht="15.75" customHeight="1">
      <c r="T737" s="7"/>
      <c r="U737" s="7"/>
      <c r="V737" s="7"/>
    </row>
    <row r="738" ht="15.75" customHeight="1">
      <c r="T738" s="7"/>
      <c r="U738" s="7"/>
      <c r="V738" s="7"/>
    </row>
    <row r="739" ht="15.75" customHeight="1">
      <c r="T739" s="7"/>
      <c r="U739" s="7"/>
      <c r="V739" s="7"/>
    </row>
    <row r="740" ht="15.75" customHeight="1">
      <c r="T740" s="7"/>
      <c r="U740" s="7"/>
      <c r="V740" s="7"/>
    </row>
    <row r="741" ht="15.75" customHeight="1">
      <c r="T741" s="7"/>
      <c r="U741" s="7"/>
      <c r="V741" s="7"/>
    </row>
    <row r="742" ht="15.75" customHeight="1">
      <c r="T742" s="7"/>
      <c r="U742" s="7"/>
      <c r="V742" s="7"/>
    </row>
    <row r="743" ht="15.75" customHeight="1">
      <c r="T743" s="7"/>
      <c r="U743" s="7"/>
      <c r="V743" s="7"/>
    </row>
    <row r="744" ht="15.75" customHeight="1">
      <c r="T744" s="7"/>
      <c r="U744" s="7"/>
      <c r="V744" s="7"/>
    </row>
    <row r="745" ht="15.75" customHeight="1">
      <c r="T745" s="7"/>
      <c r="U745" s="7"/>
      <c r="V745" s="7"/>
    </row>
    <row r="746" ht="15.75" customHeight="1">
      <c r="T746" s="7"/>
      <c r="U746" s="7"/>
      <c r="V746" s="7"/>
    </row>
    <row r="747" ht="15.75" customHeight="1">
      <c r="T747" s="7"/>
      <c r="U747" s="7"/>
      <c r="V747" s="7"/>
    </row>
    <row r="748" ht="15.75" customHeight="1">
      <c r="T748" s="7"/>
      <c r="U748" s="7"/>
      <c r="V748" s="7"/>
    </row>
    <row r="749" ht="15.75" customHeight="1">
      <c r="T749" s="7"/>
      <c r="U749" s="7"/>
      <c r="V749" s="7"/>
    </row>
    <row r="750" ht="15.75" customHeight="1">
      <c r="T750" s="7"/>
      <c r="U750" s="7"/>
      <c r="V750" s="7"/>
    </row>
    <row r="751" ht="15.75" customHeight="1">
      <c r="T751" s="7"/>
      <c r="U751" s="7"/>
      <c r="V751" s="7"/>
    </row>
    <row r="752" ht="15.75" customHeight="1">
      <c r="T752" s="7"/>
      <c r="U752" s="7"/>
      <c r="V752" s="7"/>
    </row>
    <row r="753" ht="15.75" customHeight="1">
      <c r="T753" s="7"/>
      <c r="U753" s="7"/>
      <c r="V753" s="7"/>
    </row>
    <row r="754" ht="15.75" customHeight="1">
      <c r="T754" s="7"/>
      <c r="U754" s="7"/>
      <c r="V754" s="7"/>
    </row>
    <row r="755" ht="15.75" customHeight="1">
      <c r="T755" s="7"/>
      <c r="U755" s="7"/>
      <c r="V755" s="7"/>
    </row>
    <row r="756" ht="15.75" customHeight="1">
      <c r="T756" s="7"/>
      <c r="U756" s="7"/>
      <c r="V756" s="7"/>
    </row>
    <row r="757" ht="15.75" customHeight="1">
      <c r="T757" s="7"/>
      <c r="U757" s="7"/>
      <c r="V757" s="7"/>
    </row>
    <row r="758" ht="15.75" customHeight="1">
      <c r="T758" s="7"/>
      <c r="U758" s="7"/>
      <c r="V758" s="7"/>
    </row>
    <row r="759" ht="15.75" customHeight="1">
      <c r="T759" s="7"/>
      <c r="U759" s="7"/>
      <c r="V759" s="7"/>
    </row>
    <row r="760" ht="15.75" customHeight="1">
      <c r="T760" s="7"/>
      <c r="U760" s="7"/>
      <c r="V760" s="7"/>
    </row>
    <row r="761" ht="15.75" customHeight="1">
      <c r="T761" s="7"/>
      <c r="U761" s="7"/>
      <c r="V761" s="7"/>
    </row>
    <row r="762" ht="15.75" customHeight="1">
      <c r="T762" s="7"/>
      <c r="U762" s="7"/>
      <c r="V762" s="7"/>
    </row>
    <row r="763" ht="15.75" customHeight="1">
      <c r="T763" s="7"/>
      <c r="U763" s="7"/>
      <c r="V763" s="7"/>
    </row>
    <row r="764" ht="15.75" customHeight="1">
      <c r="T764" s="7"/>
      <c r="U764" s="7"/>
      <c r="V764" s="7"/>
    </row>
    <row r="765" ht="15.75" customHeight="1">
      <c r="T765" s="7"/>
      <c r="U765" s="7"/>
      <c r="V765" s="7"/>
    </row>
    <row r="766" ht="15.75" customHeight="1">
      <c r="T766" s="7"/>
      <c r="U766" s="7"/>
      <c r="V766" s="7"/>
    </row>
    <row r="767" ht="15.75" customHeight="1">
      <c r="T767" s="7"/>
      <c r="U767" s="7"/>
      <c r="V767" s="7"/>
    </row>
    <row r="768" ht="15.75" customHeight="1">
      <c r="T768" s="7"/>
      <c r="U768" s="7"/>
      <c r="V768" s="7"/>
    </row>
    <row r="769" ht="15.75" customHeight="1">
      <c r="T769" s="7"/>
      <c r="U769" s="7"/>
      <c r="V769" s="7"/>
    </row>
    <row r="770" ht="15.75" customHeight="1">
      <c r="T770" s="7"/>
      <c r="U770" s="7"/>
      <c r="V770" s="7"/>
    </row>
    <row r="771" ht="15.75" customHeight="1">
      <c r="T771" s="7"/>
      <c r="U771" s="7"/>
      <c r="V771" s="7"/>
    </row>
    <row r="772" ht="15.75" customHeight="1">
      <c r="T772" s="7"/>
      <c r="U772" s="7"/>
      <c r="V772" s="7"/>
    </row>
    <row r="773" ht="15.75" customHeight="1">
      <c r="T773" s="7"/>
      <c r="U773" s="7"/>
      <c r="V773" s="7"/>
    </row>
    <row r="774" ht="15.75" customHeight="1">
      <c r="T774" s="7"/>
      <c r="U774" s="7"/>
      <c r="V774" s="7"/>
    </row>
    <row r="775" ht="15.75" customHeight="1">
      <c r="T775" s="7"/>
      <c r="U775" s="7"/>
      <c r="V775" s="7"/>
    </row>
    <row r="776" ht="15.75" customHeight="1">
      <c r="T776" s="7"/>
      <c r="U776" s="7"/>
      <c r="V776" s="7"/>
    </row>
    <row r="777" ht="15.75" customHeight="1">
      <c r="T777" s="7"/>
      <c r="U777" s="7"/>
      <c r="V777" s="7"/>
    </row>
    <row r="778" ht="15.75" customHeight="1">
      <c r="T778" s="7"/>
      <c r="U778" s="7"/>
      <c r="V778" s="7"/>
    </row>
    <row r="779" ht="15.75" customHeight="1">
      <c r="T779" s="7"/>
      <c r="U779" s="7"/>
      <c r="V779" s="7"/>
    </row>
    <row r="780" ht="15.75" customHeight="1">
      <c r="T780" s="7"/>
      <c r="U780" s="7"/>
      <c r="V780" s="7"/>
    </row>
    <row r="781" ht="15.75" customHeight="1">
      <c r="T781" s="7"/>
      <c r="U781" s="7"/>
      <c r="V781" s="7"/>
    </row>
    <row r="782" ht="15.75" customHeight="1">
      <c r="T782" s="7"/>
      <c r="U782" s="7"/>
      <c r="V782" s="7"/>
    </row>
    <row r="783" ht="15.75" customHeight="1">
      <c r="T783" s="7"/>
      <c r="U783" s="7"/>
      <c r="V783" s="7"/>
    </row>
    <row r="784" ht="15.75" customHeight="1">
      <c r="T784" s="7"/>
      <c r="U784" s="7"/>
      <c r="V784" s="7"/>
    </row>
    <row r="785" ht="15.75" customHeight="1">
      <c r="T785" s="7"/>
      <c r="U785" s="7"/>
      <c r="V785" s="7"/>
    </row>
    <row r="786" ht="15.75" customHeight="1">
      <c r="T786" s="7"/>
      <c r="U786" s="7"/>
      <c r="V786" s="7"/>
    </row>
    <row r="787" ht="15.75" customHeight="1">
      <c r="T787" s="7"/>
      <c r="U787" s="7"/>
      <c r="V787" s="7"/>
    </row>
    <row r="788" ht="15.75" customHeight="1">
      <c r="T788" s="7"/>
      <c r="U788" s="7"/>
      <c r="V788" s="7"/>
    </row>
    <row r="789" ht="15.75" customHeight="1">
      <c r="T789" s="7"/>
      <c r="U789" s="7"/>
      <c r="V789" s="7"/>
    </row>
    <row r="790" ht="15.75" customHeight="1">
      <c r="T790" s="7"/>
      <c r="U790" s="7"/>
      <c r="V790" s="7"/>
    </row>
    <row r="791" ht="15.75" customHeight="1">
      <c r="T791" s="7"/>
      <c r="U791" s="7"/>
      <c r="V791" s="7"/>
    </row>
    <row r="792" ht="15.75" customHeight="1">
      <c r="T792" s="7"/>
      <c r="U792" s="7"/>
      <c r="V792" s="7"/>
    </row>
    <row r="793" ht="15.75" customHeight="1">
      <c r="T793" s="7"/>
      <c r="U793" s="7"/>
      <c r="V793" s="7"/>
    </row>
    <row r="794" ht="15.75" customHeight="1">
      <c r="T794" s="7"/>
      <c r="U794" s="7"/>
      <c r="V794" s="7"/>
    </row>
    <row r="795" ht="15.75" customHeight="1">
      <c r="T795" s="7"/>
      <c r="U795" s="7"/>
      <c r="V795" s="7"/>
    </row>
    <row r="796" ht="15.75" customHeight="1">
      <c r="T796" s="7"/>
      <c r="U796" s="7"/>
      <c r="V796" s="7"/>
    </row>
    <row r="797" ht="15.75" customHeight="1">
      <c r="T797" s="7"/>
      <c r="U797" s="7"/>
      <c r="V797" s="7"/>
    </row>
    <row r="798" ht="15.75" customHeight="1">
      <c r="T798" s="7"/>
      <c r="U798" s="7"/>
      <c r="V798" s="7"/>
    </row>
    <row r="799" ht="15.75" customHeight="1">
      <c r="T799" s="7"/>
      <c r="U799" s="7"/>
      <c r="V799" s="7"/>
    </row>
    <row r="800" ht="15.75" customHeight="1">
      <c r="T800" s="7"/>
      <c r="U800" s="7"/>
      <c r="V800" s="7"/>
    </row>
    <row r="801" ht="15.75" customHeight="1">
      <c r="T801" s="7"/>
      <c r="U801" s="7"/>
      <c r="V801" s="7"/>
    </row>
    <row r="802" ht="15.75" customHeight="1">
      <c r="T802" s="7"/>
      <c r="U802" s="7"/>
      <c r="V802" s="7"/>
    </row>
    <row r="803" ht="15.75" customHeight="1">
      <c r="T803" s="7"/>
      <c r="U803" s="7"/>
      <c r="V803" s="7"/>
    </row>
    <row r="804" ht="15.75" customHeight="1">
      <c r="T804" s="7"/>
      <c r="U804" s="7"/>
      <c r="V804" s="7"/>
    </row>
    <row r="805" ht="15.75" customHeight="1">
      <c r="T805" s="7"/>
      <c r="U805" s="7"/>
      <c r="V805" s="7"/>
    </row>
    <row r="806" ht="15.75" customHeight="1">
      <c r="T806" s="7"/>
      <c r="U806" s="7"/>
      <c r="V806" s="7"/>
    </row>
    <row r="807" ht="15.75" customHeight="1">
      <c r="T807" s="7"/>
      <c r="U807" s="7"/>
      <c r="V807" s="7"/>
    </row>
    <row r="808" ht="15.75" customHeight="1">
      <c r="T808" s="7"/>
      <c r="U808" s="7"/>
      <c r="V808" s="7"/>
    </row>
    <row r="809" ht="15.75" customHeight="1">
      <c r="T809" s="7"/>
      <c r="U809" s="7"/>
      <c r="V809" s="7"/>
    </row>
    <row r="810" ht="15.75" customHeight="1">
      <c r="T810" s="7"/>
      <c r="U810" s="7"/>
      <c r="V810" s="7"/>
    </row>
    <row r="811" ht="15.75" customHeight="1">
      <c r="T811" s="7"/>
      <c r="U811" s="7"/>
      <c r="V811" s="7"/>
    </row>
    <row r="812" ht="15.75" customHeight="1">
      <c r="T812" s="7"/>
      <c r="U812" s="7"/>
      <c r="V812" s="7"/>
    </row>
    <row r="813" ht="15.75" customHeight="1">
      <c r="T813" s="7"/>
      <c r="U813" s="7"/>
      <c r="V813" s="7"/>
    </row>
    <row r="814" ht="15.75" customHeight="1">
      <c r="T814" s="7"/>
      <c r="U814" s="7"/>
      <c r="V814" s="7"/>
    </row>
    <row r="815" ht="15.75" customHeight="1">
      <c r="T815" s="7"/>
      <c r="U815" s="7"/>
      <c r="V815" s="7"/>
    </row>
    <row r="816" ht="15.75" customHeight="1">
      <c r="T816" s="7"/>
      <c r="U816" s="7"/>
      <c r="V816" s="7"/>
    </row>
    <row r="817" ht="15.75" customHeight="1">
      <c r="T817" s="7"/>
      <c r="U817" s="7"/>
      <c r="V817" s="7"/>
    </row>
    <row r="818" ht="15.75" customHeight="1">
      <c r="T818" s="7"/>
      <c r="U818" s="7"/>
      <c r="V818" s="7"/>
    </row>
    <row r="819" ht="15.75" customHeight="1">
      <c r="T819" s="7"/>
      <c r="U819" s="7"/>
      <c r="V819" s="7"/>
    </row>
    <row r="820" ht="15.75" customHeight="1">
      <c r="T820" s="7"/>
      <c r="U820" s="7"/>
      <c r="V820" s="7"/>
    </row>
    <row r="821" ht="15.75" customHeight="1">
      <c r="T821" s="7"/>
      <c r="U821" s="7"/>
      <c r="V821" s="7"/>
    </row>
    <row r="822" ht="15.75" customHeight="1">
      <c r="T822" s="7"/>
      <c r="U822" s="7"/>
      <c r="V822" s="7"/>
    </row>
    <row r="823" ht="15.75" customHeight="1">
      <c r="T823" s="7"/>
      <c r="U823" s="7"/>
      <c r="V823" s="7"/>
    </row>
    <row r="824" ht="15.75" customHeight="1">
      <c r="T824" s="7"/>
      <c r="U824" s="7"/>
      <c r="V824" s="7"/>
    </row>
    <row r="825" ht="15.75" customHeight="1">
      <c r="T825" s="7"/>
      <c r="U825" s="7"/>
      <c r="V825" s="7"/>
    </row>
    <row r="826" ht="15.75" customHeight="1">
      <c r="T826" s="7"/>
      <c r="U826" s="7"/>
      <c r="V826" s="7"/>
    </row>
    <row r="827" ht="15.75" customHeight="1">
      <c r="T827" s="7"/>
      <c r="U827" s="7"/>
      <c r="V827" s="7"/>
    </row>
    <row r="828" ht="15.75" customHeight="1">
      <c r="T828" s="7"/>
      <c r="U828" s="7"/>
      <c r="V828" s="7"/>
    </row>
    <row r="829" ht="15.75" customHeight="1">
      <c r="T829" s="7"/>
      <c r="U829" s="7"/>
      <c r="V829" s="7"/>
    </row>
    <row r="830" ht="15.75" customHeight="1">
      <c r="T830" s="7"/>
      <c r="U830" s="7"/>
      <c r="V830" s="7"/>
    </row>
    <row r="831" ht="15.75" customHeight="1">
      <c r="T831" s="7"/>
      <c r="U831" s="7"/>
      <c r="V831" s="7"/>
    </row>
    <row r="832" ht="15.75" customHeight="1">
      <c r="T832" s="7"/>
      <c r="U832" s="7"/>
      <c r="V832" s="7"/>
    </row>
    <row r="833" ht="15.75" customHeight="1">
      <c r="T833" s="7"/>
      <c r="U833" s="7"/>
      <c r="V833" s="7"/>
    </row>
    <row r="834" ht="15.75" customHeight="1">
      <c r="T834" s="7"/>
      <c r="U834" s="7"/>
      <c r="V834" s="7"/>
    </row>
    <row r="835" ht="15.75" customHeight="1">
      <c r="T835" s="7"/>
      <c r="U835" s="7"/>
      <c r="V835" s="7"/>
    </row>
    <row r="836" ht="15.75" customHeight="1">
      <c r="T836" s="7"/>
      <c r="U836" s="7"/>
      <c r="V836" s="7"/>
    </row>
    <row r="837" ht="15.75" customHeight="1">
      <c r="T837" s="7"/>
      <c r="U837" s="7"/>
      <c r="V837" s="7"/>
    </row>
    <row r="838" ht="15.75" customHeight="1">
      <c r="T838" s="7"/>
      <c r="U838" s="7"/>
      <c r="V838" s="7"/>
    </row>
    <row r="839" ht="15.75" customHeight="1">
      <c r="T839" s="7"/>
      <c r="U839" s="7"/>
      <c r="V839" s="7"/>
    </row>
    <row r="840" ht="15.75" customHeight="1">
      <c r="T840" s="7"/>
      <c r="U840" s="7"/>
      <c r="V840" s="7"/>
    </row>
    <row r="841" ht="15.75" customHeight="1">
      <c r="T841" s="7"/>
      <c r="U841" s="7"/>
      <c r="V841" s="7"/>
    </row>
    <row r="842" ht="15.75" customHeight="1">
      <c r="T842" s="7"/>
      <c r="U842" s="7"/>
      <c r="V842" s="7"/>
    </row>
    <row r="843" ht="15.75" customHeight="1">
      <c r="T843" s="7"/>
      <c r="U843" s="7"/>
      <c r="V843" s="7"/>
    </row>
    <row r="844" ht="15.75" customHeight="1">
      <c r="T844" s="7"/>
      <c r="U844" s="7"/>
      <c r="V844" s="7"/>
    </row>
    <row r="845" ht="15.75" customHeight="1">
      <c r="T845" s="7"/>
      <c r="U845" s="7"/>
      <c r="V845" s="7"/>
    </row>
    <row r="846" ht="15.75" customHeight="1">
      <c r="T846" s="7"/>
      <c r="U846" s="7"/>
      <c r="V846" s="7"/>
    </row>
    <row r="847" ht="15.75" customHeight="1">
      <c r="T847" s="7"/>
      <c r="U847" s="7"/>
      <c r="V847" s="7"/>
    </row>
    <row r="848" ht="15.75" customHeight="1">
      <c r="T848" s="7"/>
      <c r="U848" s="7"/>
      <c r="V848" s="7"/>
    </row>
    <row r="849" ht="15.75" customHeight="1">
      <c r="T849" s="7"/>
      <c r="U849" s="7"/>
      <c r="V849" s="7"/>
    </row>
    <row r="850" ht="15.75" customHeight="1">
      <c r="T850" s="7"/>
      <c r="U850" s="7"/>
      <c r="V850" s="7"/>
    </row>
    <row r="851" ht="15.75" customHeight="1">
      <c r="T851" s="7"/>
      <c r="U851" s="7"/>
      <c r="V851" s="7"/>
    </row>
    <row r="852" ht="15.75" customHeight="1">
      <c r="T852" s="7"/>
      <c r="U852" s="7"/>
      <c r="V852" s="7"/>
    </row>
    <row r="853" ht="15.75" customHeight="1">
      <c r="T853" s="7"/>
      <c r="U853" s="7"/>
      <c r="V853" s="7"/>
    </row>
    <row r="854" ht="15.75" customHeight="1">
      <c r="T854" s="7"/>
      <c r="U854" s="7"/>
      <c r="V854" s="7"/>
    </row>
    <row r="855" ht="15.75" customHeight="1">
      <c r="T855" s="7"/>
      <c r="U855" s="7"/>
      <c r="V855" s="7"/>
    </row>
    <row r="856" ht="15.75" customHeight="1">
      <c r="T856" s="7"/>
      <c r="U856" s="7"/>
      <c r="V856" s="7"/>
    </row>
    <row r="857" ht="15.75" customHeight="1">
      <c r="T857" s="7"/>
      <c r="U857" s="7"/>
      <c r="V857" s="7"/>
    </row>
    <row r="858" ht="15.75" customHeight="1">
      <c r="T858" s="7"/>
      <c r="U858" s="7"/>
      <c r="V858" s="7"/>
    </row>
    <row r="859" ht="15.75" customHeight="1">
      <c r="T859" s="7"/>
      <c r="U859" s="7"/>
      <c r="V859" s="7"/>
    </row>
    <row r="860" ht="15.75" customHeight="1">
      <c r="T860" s="7"/>
      <c r="U860" s="7"/>
      <c r="V860" s="7"/>
    </row>
    <row r="861" ht="15.75" customHeight="1">
      <c r="T861" s="7"/>
      <c r="U861" s="7"/>
      <c r="V861" s="7"/>
    </row>
    <row r="862" ht="15.75" customHeight="1">
      <c r="T862" s="7"/>
      <c r="U862" s="7"/>
      <c r="V862" s="7"/>
    </row>
    <row r="863" ht="15.75" customHeight="1">
      <c r="T863" s="7"/>
      <c r="U863" s="7"/>
      <c r="V863" s="7"/>
    </row>
    <row r="864" ht="15.75" customHeight="1">
      <c r="T864" s="7"/>
      <c r="U864" s="7"/>
      <c r="V864" s="7"/>
    </row>
    <row r="865" ht="15.75" customHeight="1">
      <c r="T865" s="7"/>
      <c r="U865" s="7"/>
      <c r="V865" s="7"/>
    </row>
    <row r="866" ht="15.75" customHeight="1">
      <c r="T866" s="7"/>
      <c r="U866" s="7"/>
      <c r="V866" s="7"/>
    </row>
    <row r="867" ht="15.75" customHeight="1">
      <c r="T867" s="7"/>
      <c r="U867" s="7"/>
      <c r="V867" s="7"/>
    </row>
    <row r="868" ht="15.75" customHeight="1">
      <c r="T868" s="7"/>
      <c r="U868" s="7"/>
      <c r="V868" s="7"/>
    </row>
    <row r="869" ht="15.75" customHeight="1">
      <c r="T869" s="7"/>
      <c r="U869" s="7"/>
      <c r="V869" s="7"/>
    </row>
    <row r="870" ht="15.75" customHeight="1">
      <c r="T870" s="7"/>
      <c r="U870" s="7"/>
      <c r="V870" s="7"/>
    </row>
    <row r="871" ht="15.75" customHeight="1">
      <c r="T871" s="7"/>
      <c r="U871" s="7"/>
      <c r="V871" s="7"/>
    </row>
    <row r="872" ht="15.75" customHeight="1">
      <c r="T872" s="7"/>
      <c r="U872" s="7"/>
      <c r="V872" s="7"/>
    </row>
    <row r="873" ht="15.75" customHeight="1">
      <c r="T873" s="7"/>
      <c r="U873" s="7"/>
      <c r="V873" s="7"/>
    </row>
    <row r="874" ht="15.75" customHeight="1">
      <c r="T874" s="7"/>
      <c r="U874" s="7"/>
      <c r="V874" s="7"/>
    </row>
    <row r="875" ht="15.75" customHeight="1">
      <c r="T875" s="7"/>
      <c r="U875" s="7"/>
      <c r="V875" s="7"/>
    </row>
    <row r="876" ht="15.75" customHeight="1">
      <c r="T876" s="7"/>
      <c r="U876" s="7"/>
      <c r="V876" s="7"/>
    </row>
    <row r="877" ht="15.75" customHeight="1">
      <c r="T877" s="7"/>
      <c r="U877" s="7"/>
      <c r="V877" s="7"/>
    </row>
    <row r="878" ht="15.75" customHeight="1">
      <c r="T878" s="7"/>
      <c r="U878" s="7"/>
      <c r="V878" s="7"/>
    </row>
    <row r="879" ht="15.75" customHeight="1">
      <c r="T879" s="7"/>
      <c r="U879" s="7"/>
      <c r="V879" s="7"/>
    </row>
    <row r="880" ht="15.75" customHeight="1">
      <c r="T880" s="7"/>
      <c r="U880" s="7"/>
      <c r="V880" s="7"/>
    </row>
    <row r="881" ht="15.75" customHeight="1">
      <c r="T881" s="7"/>
      <c r="U881" s="7"/>
      <c r="V881" s="7"/>
    </row>
    <row r="882" ht="15.75" customHeight="1">
      <c r="T882" s="7"/>
      <c r="U882" s="7"/>
      <c r="V882" s="7"/>
    </row>
    <row r="883" ht="15.75" customHeight="1">
      <c r="T883" s="7"/>
      <c r="U883" s="7"/>
      <c r="V883" s="7"/>
    </row>
    <row r="884" ht="15.75" customHeight="1">
      <c r="T884" s="7"/>
      <c r="U884" s="7"/>
      <c r="V884" s="7"/>
    </row>
    <row r="885" ht="15.75" customHeight="1">
      <c r="T885" s="7"/>
      <c r="U885" s="7"/>
      <c r="V885" s="7"/>
    </row>
    <row r="886" ht="15.75" customHeight="1">
      <c r="T886" s="7"/>
      <c r="U886" s="7"/>
      <c r="V886" s="7"/>
    </row>
    <row r="887" ht="15.75" customHeight="1">
      <c r="T887" s="7"/>
      <c r="U887" s="7"/>
      <c r="V887" s="7"/>
    </row>
    <row r="888" ht="15.75" customHeight="1">
      <c r="T888" s="7"/>
      <c r="U888" s="7"/>
      <c r="V888" s="7"/>
    </row>
    <row r="889" ht="15.75" customHeight="1">
      <c r="T889" s="7"/>
      <c r="U889" s="7"/>
      <c r="V889" s="7"/>
    </row>
    <row r="890" ht="15.75" customHeight="1">
      <c r="T890" s="7"/>
      <c r="U890" s="7"/>
      <c r="V890" s="7"/>
    </row>
    <row r="891" ht="15.75" customHeight="1">
      <c r="T891" s="7"/>
      <c r="U891" s="7"/>
      <c r="V891" s="7"/>
    </row>
    <row r="892" ht="15.75" customHeight="1">
      <c r="T892" s="7"/>
      <c r="U892" s="7"/>
      <c r="V892" s="7"/>
    </row>
    <row r="893" ht="15.75" customHeight="1">
      <c r="T893" s="7"/>
      <c r="U893" s="7"/>
      <c r="V893" s="7"/>
    </row>
    <row r="894" ht="15.75" customHeight="1">
      <c r="T894" s="7"/>
      <c r="U894" s="7"/>
      <c r="V894" s="7"/>
    </row>
    <row r="895" ht="15.75" customHeight="1">
      <c r="T895" s="7"/>
      <c r="U895" s="7"/>
      <c r="V895" s="7"/>
    </row>
    <row r="896" ht="15.75" customHeight="1">
      <c r="T896" s="7"/>
      <c r="U896" s="7"/>
      <c r="V896" s="7"/>
    </row>
    <row r="897" ht="15.75" customHeight="1">
      <c r="T897" s="7"/>
      <c r="U897" s="7"/>
      <c r="V897" s="7"/>
    </row>
    <row r="898" ht="15.75" customHeight="1">
      <c r="T898" s="7"/>
      <c r="U898" s="7"/>
      <c r="V898" s="7"/>
    </row>
    <row r="899" ht="15.75" customHeight="1">
      <c r="T899" s="7"/>
      <c r="U899" s="7"/>
      <c r="V899" s="7"/>
    </row>
    <row r="900" ht="15.75" customHeight="1">
      <c r="T900" s="7"/>
      <c r="U900" s="7"/>
      <c r="V900" s="7"/>
    </row>
    <row r="901" ht="15.75" customHeight="1">
      <c r="T901" s="7"/>
      <c r="U901" s="7"/>
      <c r="V901" s="7"/>
    </row>
    <row r="902" ht="15.75" customHeight="1">
      <c r="T902" s="7"/>
      <c r="U902" s="7"/>
      <c r="V902" s="7"/>
    </row>
    <row r="903" ht="15.75" customHeight="1">
      <c r="T903" s="7"/>
      <c r="U903" s="7"/>
      <c r="V903" s="7"/>
    </row>
    <row r="904" ht="15.75" customHeight="1">
      <c r="T904" s="7"/>
      <c r="U904" s="7"/>
      <c r="V904" s="7"/>
    </row>
    <row r="905" ht="15.75" customHeight="1">
      <c r="T905" s="7"/>
      <c r="U905" s="7"/>
      <c r="V905" s="7"/>
    </row>
    <row r="906" ht="15.75" customHeight="1">
      <c r="T906" s="7"/>
      <c r="U906" s="7"/>
      <c r="V906" s="7"/>
    </row>
    <row r="907" ht="15.75" customHeight="1">
      <c r="T907" s="7"/>
      <c r="U907" s="7"/>
      <c r="V907" s="7"/>
    </row>
    <row r="908" ht="15.75" customHeight="1">
      <c r="T908" s="7"/>
      <c r="U908" s="7"/>
      <c r="V908" s="7"/>
    </row>
    <row r="909" ht="15.75" customHeight="1">
      <c r="T909" s="7"/>
      <c r="U909" s="7"/>
      <c r="V909" s="7"/>
    </row>
    <row r="910" ht="15.75" customHeight="1">
      <c r="T910" s="7"/>
      <c r="U910" s="7"/>
      <c r="V910" s="7"/>
    </row>
    <row r="911" ht="15.75" customHeight="1">
      <c r="T911" s="7"/>
      <c r="U911" s="7"/>
      <c r="V911" s="7"/>
    </row>
    <row r="912" ht="15.75" customHeight="1">
      <c r="T912" s="7"/>
      <c r="U912" s="7"/>
      <c r="V912" s="7"/>
    </row>
    <row r="913" ht="15.75" customHeight="1">
      <c r="T913" s="7"/>
      <c r="U913" s="7"/>
      <c r="V913" s="7"/>
    </row>
    <row r="914" ht="15.75" customHeight="1">
      <c r="T914" s="7"/>
      <c r="U914" s="7"/>
      <c r="V914" s="7"/>
    </row>
    <row r="915" ht="15.75" customHeight="1">
      <c r="T915" s="7"/>
      <c r="U915" s="7"/>
      <c r="V915" s="7"/>
    </row>
    <row r="916" ht="15.75" customHeight="1">
      <c r="T916" s="7"/>
      <c r="U916" s="7"/>
      <c r="V916" s="7"/>
    </row>
    <row r="917" ht="15.75" customHeight="1">
      <c r="T917" s="7"/>
      <c r="U917" s="7"/>
      <c r="V917" s="7"/>
    </row>
    <row r="918" ht="15.75" customHeight="1">
      <c r="T918" s="7"/>
      <c r="U918" s="7"/>
      <c r="V918" s="7"/>
    </row>
    <row r="919" ht="15.75" customHeight="1">
      <c r="T919" s="7"/>
      <c r="U919" s="7"/>
      <c r="V919" s="7"/>
    </row>
    <row r="920" ht="15.75" customHeight="1">
      <c r="T920" s="7"/>
      <c r="U920" s="7"/>
      <c r="V920" s="7"/>
    </row>
    <row r="921" ht="15.75" customHeight="1">
      <c r="T921" s="7"/>
      <c r="U921" s="7"/>
      <c r="V921" s="7"/>
    </row>
    <row r="922" ht="15.75" customHeight="1">
      <c r="T922" s="7"/>
      <c r="U922" s="7"/>
      <c r="V922" s="7"/>
    </row>
    <row r="923" ht="15.75" customHeight="1">
      <c r="T923" s="7"/>
      <c r="U923" s="7"/>
      <c r="V923" s="7"/>
    </row>
    <row r="924" ht="15.75" customHeight="1">
      <c r="T924" s="7"/>
      <c r="U924" s="7"/>
      <c r="V924" s="7"/>
    </row>
    <row r="925" ht="15.75" customHeight="1">
      <c r="T925" s="7"/>
      <c r="U925" s="7"/>
      <c r="V925" s="7"/>
    </row>
    <row r="926" ht="15.75" customHeight="1">
      <c r="T926" s="7"/>
      <c r="U926" s="7"/>
      <c r="V926" s="7"/>
    </row>
    <row r="927" ht="15.75" customHeight="1">
      <c r="T927" s="7"/>
      <c r="U927" s="7"/>
      <c r="V927" s="7"/>
    </row>
    <row r="928" ht="15.75" customHeight="1">
      <c r="T928" s="7"/>
      <c r="U928" s="7"/>
      <c r="V928" s="7"/>
    </row>
    <row r="929" ht="15.75" customHeight="1">
      <c r="T929" s="7"/>
      <c r="U929" s="7"/>
      <c r="V929" s="7"/>
    </row>
    <row r="930" ht="15.75" customHeight="1">
      <c r="T930" s="7"/>
      <c r="U930" s="7"/>
      <c r="V930" s="7"/>
    </row>
    <row r="931" ht="15.75" customHeight="1">
      <c r="T931" s="7"/>
      <c r="U931" s="7"/>
      <c r="V931" s="7"/>
    </row>
    <row r="932" ht="15.75" customHeight="1">
      <c r="T932" s="7"/>
      <c r="U932" s="7"/>
      <c r="V932" s="7"/>
    </row>
    <row r="933" ht="15.75" customHeight="1">
      <c r="T933" s="7"/>
      <c r="U933" s="7"/>
      <c r="V933" s="7"/>
    </row>
    <row r="934" ht="15.75" customHeight="1">
      <c r="T934" s="7"/>
      <c r="U934" s="7"/>
      <c r="V934" s="7"/>
    </row>
    <row r="935" ht="15.75" customHeight="1">
      <c r="T935" s="7"/>
      <c r="U935" s="7"/>
      <c r="V935" s="7"/>
    </row>
    <row r="936" ht="15.75" customHeight="1">
      <c r="T936" s="7"/>
      <c r="U936" s="7"/>
      <c r="V936" s="7"/>
    </row>
    <row r="937" ht="15.75" customHeight="1">
      <c r="T937" s="7"/>
      <c r="U937" s="7"/>
      <c r="V937" s="7"/>
    </row>
    <row r="938" ht="15.75" customHeight="1">
      <c r="T938" s="7"/>
      <c r="U938" s="7"/>
      <c r="V938" s="7"/>
    </row>
    <row r="939" ht="15.75" customHeight="1">
      <c r="T939" s="7"/>
      <c r="U939" s="7"/>
      <c r="V939" s="7"/>
    </row>
    <row r="940" ht="15.75" customHeight="1">
      <c r="T940" s="7"/>
      <c r="U940" s="7"/>
      <c r="V940" s="7"/>
    </row>
    <row r="941" ht="15.75" customHeight="1">
      <c r="T941" s="7"/>
      <c r="U941" s="7"/>
      <c r="V941" s="7"/>
    </row>
    <row r="942" ht="15.75" customHeight="1">
      <c r="T942" s="7"/>
      <c r="U942" s="7"/>
      <c r="V942" s="7"/>
    </row>
    <row r="943" ht="15.75" customHeight="1">
      <c r="T943" s="7"/>
      <c r="U943" s="7"/>
      <c r="V943" s="7"/>
    </row>
    <row r="944" ht="15.75" customHeight="1">
      <c r="T944" s="7"/>
      <c r="U944" s="7"/>
      <c r="V944" s="7"/>
    </row>
    <row r="945" ht="15.75" customHeight="1">
      <c r="T945" s="7"/>
      <c r="U945" s="7"/>
      <c r="V945" s="7"/>
    </row>
    <row r="946" ht="15.75" customHeight="1">
      <c r="T946" s="7"/>
      <c r="U946" s="7"/>
      <c r="V946" s="7"/>
    </row>
    <row r="947" ht="15.75" customHeight="1">
      <c r="T947" s="7"/>
      <c r="U947" s="7"/>
      <c r="V947" s="7"/>
    </row>
    <row r="948" ht="15.75" customHeight="1">
      <c r="T948" s="7"/>
      <c r="U948" s="7"/>
      <c r="V948" s="7"/>
    </row>
    <row r="949" ht="15.75" customHeight="1">
      <c r="T949" s="7"/>
      <c r="U949" s="7"/>
      <c r="V949" s="7"/>
    </row>
    <row r="950" ht="15.75" customHeight="1">
      <c r="T950" s="7"/>
      <c r="U950" s="7"/>
      <c r="V950" s="7"/>
    </row>
    <row r="951" ht="15.75" customHeight="1">
      <c r="T951" s="7"/>
      <c r="U951" s="7"/>
      <c r="V951" s="7"/>
    </row>
    <row r="952" ht="15.75" customHeight="1">
      <c r="T952" s="7"/>
      <c r="U952" s="7"/>
      <c r="V952" s="7"/>
    </row>
    <row r="953" ht="15.75" customHeight="1">
      <c r="T953" s="7"/>
      <c r="U953" s="7"/>
      <c r="V953" s="7"/>
    </row>
    <row r="954" ht="15.75" customHeight="1">
      <c r="T954" s="7"/>
      <c r="U954" s="7"/>
      <c r="V954" s="7"/>
    </row>
    <row r="955" ht="15.75" customHeight="1">
      <c r="T955" s="7"/>
      <c r="U955" s="7"/>
      <c r="V955" s="7"/>
    </row>
    <row r="956" ht="15.75" customHeight="1">
      <c r="T956" s="7"/>
      <c r="U956" s="7"/>
      <c r="V956" s="7"/>
    </row>
    <row r="957" ht="15.75" customHeight="1">
      <c r="T957" s="7"/>
      <c r="U957" s="7"/>
      <c r="V957" s="7"/>
    </row>
    <row r="958" ht="15.75" customHeight="1">
      <c r="T958" s="7"/>
      <c r="U958" s="7"/>
      <c r="V958" s="7"/>
    </row>
    <row r="959" ht="15.75" customHeight="1">
      <c r="T959" s="7"/>
      <c r="U959" s="7"/>
      <c r="V959" s="7"/>
    </row>
    <row r="960" ht="15.75" customHeight="1">
      <c r="T960" s="7"/>
      <c r="U960" s="7"/>
      <c r="V960" s="7"/>
    </row>
    <row r="961" ht="15.75" customHeight="1">
      <c r="T961" s="7"/>
      <c r="U961" s="7"/>
      <c r="V961" s="7"/>
    </row>
    <row r="962" ht="15.75" customHeight="1">
      <c r="T962" s="7"/>
      <c r="U962" s="7"/>
      <c r="V962" s="7"/>
    </row>
    <row r="963" ht="15.75" customHeight="1">
      <c r="T963" s="7"/>
      <c r="U963" s="7"/>
      <c r="V963" s="7"/>
    </row>
    <row r="964" ht="15.75" customHeight="1">
      <c r="T964" s="7"/>
      <c r="U964" s="7"/>
      <c r="V964" s="7"/>
    </row>
    <row r="965" ht="15.75" customHeight="1">
      <c r="T965" s="7"/>
      <c r="U965" s="7"/>
      <c r="V965" s="7"/>
    </row>
    <row r="966" ht="15.75" customHeight="1">
      <c r="T966" s="7"/>
      <c r="U966" s="7"/>
      <c r="V966" s="7"/>
    </row>
    <row r="967" ht="15.75" customHeight="1">
      <c r="T967" s="7"/>
      <c r="U967" s="7"/>
      <c r="V967" s="7"/>
    </row>
    <row r="968" ht="15.75" customHeight="1">
      <c r="T968" s="7"/>
      <c r="U968" s="7"/>
      <c r="V968" s="7"/>
    </row>
    <row r="969" ht="15.75" customHeight="1">
      <c r="T969" s="7"/>
      <c r="U969" s="7"/>
      <c r="V969" s="7"/>
    </row>
    <row r="970" ht="15.75" customHeight="1">
      <c r="T970" s="7"/>
      <c r="U970" s="7"/>
      <c r="V970" s="7"/>
    </row>
    <row r="971" ht="15.75" customHeight="1">
      <c r="T971" s="7"/>
      <c r="U971" s="7"/>
      <c r="V971" s="7"/>
    </row>
    <row r="972" ht="15.75" customHeight="1">
      <c r="T972" s="7"/>
      <c r="U972" s="7"/>
      <c r="V972" s="7"/>
    </row>
    <row r="973" ht="15.75" customHeight="1">
      <c r="T973" s="7"/>
      <c r="U973" s="7"/>
      <c r="V973" s="7"/>
    </row>
    <row r="974" ht="15.75" customHeight="1">
      <c r="T974" s="7"/>
      <c r="U974" s="7"/>
      <c r="V974" s="7"/>
    </row>
    <row r="975" ht="15.75" customHeight="1">
      <c r="T975" s="7"/>
      <c r="U975" s="7"/>
      <c r="V975" s="7"/>
    </row>
    <row r="976" ht="15.75" customHeight="1">
      <c r="T976" s="7"/>
      <c r="U976" s="7"/>
      <c r="V976" s="7"/>
    </row>
    <row r="977" ht="15.75" customHeight="1">
      <c r="T977" s="7"/>
      <c r="U977" s="7"/>
      <c r="V977" s="7"/>
    </row>
    <row r="978" ht="15.75" customHeight="1">
      <c r="T978" s="7"/>
      <c r="U978" s="7"/>
      <c r="V978" s="7"/>
    </row>
    <row r="979" ht="15.75" customHeight="1">
      <c r="T979" s="7"/>
      <c r="U979" s="7"/>
      <c r="V979" s="7"/>
    </row>
    <row r="980" ht="15.75" customHeight="1">
      <c r="T980" s="7"/>
      <c r="U980" s="7"/>
      <c r="V980" s="7"/>
    </row>
    <row r="981" ht="15.75" customHeight="1">
      <c r="T981" s="7"/>
      <c r="U981" s="7"/>
      <c r="V981" s="7"/>
    </row>
    <row r="982" ht="15.75" customHeight="1">
      <c r="T982" s="7"/>
      <c r="U982" s="7"/>
      <c r="V982" s="7"/>
    </row>
    <row r="983" ht="15.75" customHeight="1">
      <c r="T983" s="7"/>
      <c r="U983" s="7"/>
      <c r="V983" s="7"/>
    </row>
    <row r="984" ht="15.75" customHeight="1">
      <c r="T984" s="7"/>
      <c r="U984" s="7"/>
      <c r="V984" s="7"/>
    </row>
    <row r="985" ht="15.75" customHeight="1">
      <c r="T985" s="7"/>
      <c r="U985" s="7"/>
      <c r="V985" s="7"/>
    </row>
    <row r="986" ht="15.75" customHeight="1">
      <c r="T986" s="7"/>
      <c r="U986" s="7"/>
      <c r="V986" s="7"/>
    </row>
    <row r="987" ht="15.75" customHeight="1">
      <c r="T987" s="7"/>
      <c r="U987" s="7"/>
      <c r="V987" s="7"/>
    </row>
    <row r="988" ht="15.75" customHeight="1">
      <c r="T988" s="7"/>
      <c r="U988" s="7"/>
      <c r="V988" s="7"/>
    </row>
    <row r="989" ht="15.75" customHeight="1">
      <c r="T989" s="7"/>
      <c r="U989" s="7"/>
      <c r="V989" s="7"/>
    </row>
    <row r="990" ht="15.75" customHeight="1">
      <c r="T990" s="7"/>
      <c r="U990" s="7"/>
      <c r="V990" s="7"/>
    </row>
    <row r="991" ht="15.75" customHeight="1">
      <c r="T991" s="7"/>
      <c r="U991" s="7"/>
      <c r="V991" s="7"/>
    </row>
    <row r="992" ht="15.75" customHeight="1">
      <c r="T992" s="7"/>
      <c r="U992" s="7"/>
      <c r="V992" s="7"/>
    </row>
    <row r="993" ht="15.75" customHeight="1">
      <c r="T993" s="7"/>
      <c r="U993" s="7"/>
      <c r="V993" s="7"/>
    </row>
    <row r="994" ht="15.75" customHeight="1">
      <c r="T994" s="7"/>
      <c r="U994" s="7"/>
      <c r="V994" s="7"/>
    </row>
    <row r="995" ht="15.75" customHeight="1">
      <c r="T995" s="7"/>
      <c r="U995" s="7"/>
      <c r="V995" s="7"/>
    </row>
    <row r="996" ht="15.75" customHeight="1">
      <c r="T996" s="7"/>
      <c r="U996" s="7"/>
      <c r="V996" s="7"/>
    </row>
    <row r="997" ht="15.75" customHeight="1">
      <c r="T997" s="7"/>
      <c r="U997" s="7"/>
      <c r="V997" s="7"/>
    </row>
    <row r="998" ht="15.75" customHeight="1">
      <c r="T998" s="7"/>
      <c r="U998" s="7"/>
      <c r="V998" s="7"/>
    </row>
    <row r="999" ht="15.75" customHeight="1">
      <c r="T999" s="7"/>
      <c r="U999" s="7"/>
      <c r="V999" s="7"/>
    </row>
    <row r="1000" ht="15.75" customHeight="1">
      <c r="T1000" s="7"/>
      <c r="U1000" s="7"/>
      <c r="V1000" s="7"/>
    </row>
  </sheetData>
  <dataValidations>
    <dataValidation type="list" allowBlank="1" showErrorMessage="1" sqref="C30:C79">
      <formula1>"Full-Time,Part-Time,Contractor"</formula1>
    </dataValidation>
  </dataValidations>
  <printOptions/>
  <pageMargins bottom="0.75" footer="0.0" header="0.0" left="0.7" right="0.7" top="0.75"/>
  <pageSetup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
    <col customWidth="1" min="2" max="2" width="18.5"/>
    <col customWidth="1" min="3" max="3" width="9.75"/>
    <col customWidth="1" min="4" max="4" width="3.0"/>
    <col customWidth="1" min="5" max="12" width="7.75"/>
    <col customWidth="1" min="13" max="13" width="9.38"/>
    <col customWidth="1" min="14" max="14" width="7.38"/>
    <col customWidth="1" min="15" max="16" width="9.13"/>
    <col customWidth="1" min="17" max="26" width="7.75"/>
  </cols>
  <sheetData>
    <row r="1">
      <c r="B1" s="25" t="str">
        <f>"Sales Projections for "&amp;Company_Name</f>
        <v>Sales Projections for OTW Paints</v>
      </c>
      <c r="C1" s="7"/>
      <c r="E1" s="564" t="s">
        <v>1066</v>
      </c>
      <c r="F1" s="165"/>
      <c r="G1" s="165"/>
      <c r="H1" s="165"/>
      <c r="I1" s="165"/>
      <c r="J1" s="165"/>
      <c r="K1" s="165"/>
      <c r="L1" s="165"/>
      <c r="M1" s="165"/>
      <c r="N1" s="165"/>
      <c r="O1" s="165"/>
      <c r="P1" s="165"/>
      <c r="Q1" s="165"/>
    </row>
    <row r="2">
      <c r="B2" s="12"/>
      <c r="C2" s="7"/>
      <c r="E2" s="165"/>
      <c r="F2" s="165"/>
      <c r="G2" s="165" t="s">
        <v>1067</v>
      </c>
      <c r="H2" s="165"/>
      <c r="I2" s="165"/>
      <c r="J2" s="165"/>
      <c r="K2" s="165"/>
      <c r="L2" s="165"/>
      <c r="M2" s="165"/>
      <c r="N2" s="165"/>
      <c r="O2" s="165"/>
      <c r="P2" s="165"/>
      <c r="Q2" s="165"/>
    </row>
    <row r="3">
      <c r="B3" s="133" t="s">
        <v>1068</v>
      </c>
      <c r="C3" s="171">
        <f>'A. Background'!$D$8</f>
        <v>42370</v>
      </c>
      <c r="E3" s="165"/>
      <c r="F3" s="165"/>
      <c r="G3" s="165" t="s">
        <v>1069</v>
      </c>
      <c r="H3" s="165"/>
      <c r="I3" s="165"/>
      <c r="J3" s="165"/>
      <c r="K3" s="165"/>
      <c r="L3" s="165"/>
      <c r="M3" s="165"/>
      <c r="N3" s="165"/>
      <c r="O3" s="165"/>
      <c r="P3" s="165"/>
      <c r="Q3" s="165"/>
      <c r="R3" s="83"/>
    </row>
    <row r="4">
      <c r="B4" s="133"/>
      <c r="C4" s="171"/>
      <c r="E4" s="165"/>
      <c r="F4" s="165"/>
      <c r="G4" s="165"/>
      <c r="H4" s="165"/>
      <c r="I4" s="165"/>
      <c r="J4" s="165"/>
      <c r="K4" s="165"/>
      <c r="L4" s="165"/>
      <c r="M4" s="165"/>
      <c r="N4" s="165"/>
      <c r="O4" s="165"/>
      <c r="P4" s="165"/>
      <c r="Q4" s="165"/>
      <c r="R4" s="83"/>
    </row>
    <row r="5">
      <c r="A5" s="172"/>
      <c r="B5" s="565" t="s">
        <v>1070</v>
      </c>
      <c r="C5" s="275"/>
      <c r="D5" s="502"/>
      <c r="E5" s="566"/>
      <c r="F5" s="566"/>
      <c r="G5" s="566"/>
      <c r="H5" s="566"/>
      <c r="I5" s="566"/>
      <c r="J5" s="566"/>
      <c r="K5" s="566"/>
      <c r="L5" s="566"/>
      <c r="M5" s="566"/>
      <c r="N5" s="566"/>
      <c r="O5" s="566"/>
      <c r="P5" s="566"/>
      <c r="Q5" s="566"/>
      <c r="R5" s="567"/>
    </row>
    <row r="6">
      <c r="A6" s="177"/>
      <c r="B6" s="25" t="s">
        <v>37</v>
      </c>
      <c r="C6" s="55" t="s">
        <v>244</v>
      </c>
      <c r="D6" s="12"/>
      <c r="E6" s="477" t="s">
        <v>1071</v>
      </c>
      <c r="F6" s="180" t="s">
        <v>1072</v>
      </c>
      <c r="G6" s="180" t="s">
        <v>1073</v>
      </c>
      <c r="H6" s="180" t="s">
        <v>1074</v>
      </c>
      <c r="I6" s="180" t="s">
        <v>1075</v>
      </c>
      <c r="J6" s="180" t="s">
        <v>1076</v>
      </c>
      <c r="K6" s="180" t="s">
        <v>1077</v>
      </c>
      <c r="L6" s="180" t="s">
        <v>1078</v>
      </c>
      <c r="M6" s="180" t="s">
        <v>1079</v>
      </c>
      <c r="N6" s="180" t="s">
        <v>1080</v>
      </c>
      <c r="O6" s="180" t="s">
        <v>1081</v>
      </c>
      <c r="P6" s="180" t="s">
        <v>1082</v>
      </c>
      <c r="Q6" s="180" t="s">
        <v>263</v>
      </c>
      <c r="R6" s="568" t="s">
        <v>264</v>
      </c>
    </row>
    <row r="7">
      <c r="A7" s="181">
        <v>1.0</v>
      </c>
      <c r="B7" s="12" t="str">
        <f>IF('A. Background'!B15="Product/Service","",'A. Background'!B15)</f>
        <v>Paint</v>
      </c>
      <c r="C7" s="7">
        <f>IF(B7="","",'A. Background'!H15)</f>
        <v>100</v>
      </c>
      <c r="D7" s="12"/>
      <c r="E7" s="569">
        <f t="shared" ref="E7:E14" si="2">C7</f>
        <v>100</v>
      </c>
      <c r="F7" s="569">
        <f t="shared" ref="F7:P7" si="1">E7</f>
        <v>100</v>
      </c>
      <c r="G7" s="569">
        <f t="shared" si="1"/>
        <v>100</v>
      </c>
      <c r="H7" s="569">
        <f t="shared" si="1"/>
        <v>100</v>
      </c>
      <c r="I7" s="569">
        <f t="shared" si="1"/>
        <v>100</v>
      </c>
      <c r="J7" s="569">
        <f t="shared" si="1"/>
        <v>100</v>
      </c>
      <c r="K7" s="569">
        <f t="shared" si="1"/>
        <v>100</v>
      </c>
      <c r="L7" s="569">
        <f t="shared" si="1"/>
        <v>100</v>
      </c>
      <c r="M7" s="569">
        <f t="shared" si="1"/>
        <v>100</v>
      </c>
      <c r="N7" s="569">
        <f t="shared" si="1"/>
        <v>100</v>
      </c>
      <c r="O7" s="569">
        <f t="shared" si="1"/>
        <v>100</v>
      </c>
      <c r="P7" s="569">
        <f t="shared" si="1"/>
        <v>100</v>
      </c>
      <c r="Q7" s="477">
        <f t="shared" ref="Q7:Q14" si="4">IF(SUM(E7:P7)=0,"",SUM(E7:P7))</f>
        <v>1200</v>
      </c>
      <c r="R7" s="570" t="str">
        <f t="shared" ref="R7:R14" si="5">IFERROR(Q7/SUM($Q$7:$Q$15),"")</f>
        <v/>
      </c>
    </row>
    <row r="8">
      <c r="A8" s="181">
        <v>2.0</v>
      </c>
      <c r="B8" s="12" t="str">
        <f>IF('A. Background'!B16="Product/Service","",'A. Background'!B16)</f>
        <v>REMOVER</v>
      </c>
      <c r="C8" s="7">
        <f>IF(B8="","",'A. Background'!H16)</f>
        <v>100</v>
      </c>
      <c r="D8" s="12"/>
      <c r="E8" s="569">
        <f t="shared" si="2"/>
        <v>100</v>
      </c>
      <c r="F8" s="569">
        <f t="shared" ref="F8:P8" si="3">E8</f>
        <v>100</v>
      </c>
      <c r="G8" s="569">
        <f t="shared" si="3"/>
        <v>100</v>
      </c>
      <c r="H8" s="569">
        <f t="shared" si="3"/>
        <v>100</v>
      </c>
      <c r="I8" s="569">
        <f t="shared" si="3"/>
        <v>100</v>
      </c>
      <c r="J8" s="569">
        <f t="shared" si="3"/>
        <v>100</v>
      </c>
      <c r="K8" s="569">
        <f t="shared" si="3"/>
        <v>100</v>
      </c>
      <c r="L8" s="569">
        <f t="shared" si="3"/>
        <v>100</v>
      </c>
      <c r="M8" s="569">
        <f t="shared" si="3"/>
        <v>100</v>
      </c>
      <c r="N8" s="569">
        <f t="shared" si="3"/>
        <v>100</v>
      </c>
      <c r="O8" s="569">
        <f t="shared" si="3"/>
        <v>100</v>
      </c>
      <c r="P8" s="569">
        <f t="shared" si="3"/>
        <v>100</v>
      </c>
      <c r="Q8" s="477">
        <f t="shared" si="4"/>
        <v>1200</v>
      </c>
      <c r="R8" s="570" t="str">
        <f t="shared" si="5"/>
        <v/>
      </c>
    </row>
    <row r="9">
      <c r="A9" s="181">
        <v>3.0</v>
      </c>
      <c r="B9" s="12" t="str">
        <f>IF('A. Background'!B17="Product/Service","",'A. Background'!B17)</f>
        <v/>
      </c>
      <c r="C9" s="7" t="str">
        <f>IF(B9="","",'A. Background'!H17)</f>
        <v/>
      </c>
      <c r="D9" s="12"/>
      <c r="E9" s="569" t="str">
        <f t="shared" si="2"/>
        <v/>
      </c>
      <c r="F9" s="569" t="str">
        <f t="shared" ref="F9:P9" si="6">E9</f>
        <v/>
      </c>
      <c r="G9" s="569" t="str">
        <f t="shared" si="6"/>
        <v/>
      </c>
      <c r="H9" s="569" t="str">
        <f t="shared" si="6"/>
        <v/>
      </c>
      <c r="I9" s="569" t="str">
        <f t="shared" si="6"/>
        <v/>
      </c>
      <c r="J9" s="569" t="str">
        <f t="shared" si="6"/>
        <v/>
      </c>
      <c r="K9" s="569" t="str">
        <f t="shared" si="6"/>
        <v/>
      </c>
      <c r="L9" s="569" t="str">
        <f t="shared" si="6"/>
        <v/>
      </c>
      <c r="M9" s="569" t="str">
        <f t="shared" si="6"/>
        <v/>
      </c>
      <c r="N9" s="569" t="str">
        <f t="shared" si="6"/>
        <v/>
      </c>
      <c r="O9" s="569" t="str">
        <f t="shared" si="6"/>
        <v/>
      </c>
      <c r="P9" s="569" t="str">
        <f t="shared" si="6"/>
        <v/>
      </c>
      <c r="Q9" s="477" t="str">
        <f t="shared" si="4"/>
        <v/>
      </c>
      <c r="R9" s="570" t="str">
        <f t="shared" si="5"/>
        <v/>
      </c>
      <c r="T9" s="42">
        <f>60*1.05</f>
        <v>63</v>
      </c>
    </row>
    <row r="10">
      <c r="A10" s="181">
        <v>4.0</v>
      </c>
      <c r="B10" s="12" t="str">
        <f>IF('A. Background'!B18="Product/Service","",'A. Background'!B18)</f>
        <v/>
      </c>
      <c r="C10" s="7" t="str">
        <f>IF(B10="","",'A. Background'!H18)</f>
        <v/>
      </c>
      <c r="D10" s="12"/>
      <c r="E10" s="569" t="str">
        <f t="shared" si="2"/>
        <v/>
      </c>
      <c r="F10" s="569" t="str">
        <f t="shared" ref="F10:P10" si="7">E10</f>
        <v/>
      </c>
      <c r="G10" s="569" t="str">
        <f t="shared" si="7"/>
        <v/>
      </c>
      <c r="H10" s="569" t="str">
        <f t="shared" si="7"/>
        <v/>
      </c>
      <c r="I10" s="569" t="str">
        <f t="shared" si="7"/>
        <v/>
      </c>
      <c r="J10" s="569" t="str">
        <f t="shared" si="7"/>
        <v/>
      </c>
      <c r="K10" s="569" t="str">
        <f t="shared" si="7"/>
        <v/>
      </c>
      <c r="L10" s="569" t="str">
        <f t="shared" si="7"/>
        <v/>
      </c>
      <c r="M10" s="569" t="str">
        <f t="shared" si="7"/>
        <v/>
      </c>
      <c r="N10" s="569" t="str">
        <f t="shared" si="7"/>
        <v/>
      </c>
      <c r="O10" s="569" t="str">
        <f t="shared" si="7"/>
        <v/>
      </c>
      <c r="P10" s="569" t="str">
        <f t="shared" si="7"/>
        <v/>
      </c>
      <c r="Q10" s="477" t="str">
        <f t="shared" si="4"/>
        <v/>
      </c>
      <c r="R10" s="570" t="str">
        <f t="shared" si="5"/>
        <v/>
      </c>
      <c r="T10" s="42">
        <f>T9*1.1</f>
        <v>69.3</v>
      </c>
    </row>
    <row r="11">
      <c r="A11" s="181">
        <v>5.0</v>
      </c>
      <c r="B11" s="12" t="str">
        <f>IF('A. Background'!B19="Product/Service","",'A. Background'!B19)</f>
        <v/>
      </c>
      <c r="C11" s="7" t="str">
        <f>IF(B11="","",'A. Background'!#REF!)</f>
        <v>#ERROR!</v>
      </c>
      <c r="D11" s="12"/>
      <c r="E11" s="569" t="str">
        <f t="shared" si="2"/>
        <v>#ERROR!</v>
      </c>
      <c r="F11" s="569" t="str">
        <f t="shared" ref="F11:P11" si="8">E11</f>
        <v>#ERROR!</v>
      </c>
      <c r="G11" s="569" t="str">
        <f t="shared" si="8"/>
        <v>#ERROR!</v>
      </c>
      <c r="H11" s="569" t="str">
        <f t="shared" si="8"/>
        <v>#ERROR!</v>
      </c>
      <c r="I11" s="569" t="str">
        <f t="shared" si="8"/>
        <v>#ERROR!</v>
      </c>
      <c r="J11" s="569" t="str">
        <f t="shared" si="8"/>
        <v>#ERROR!</v>
      </c>
      <c r="K11" s="569" t="str">
        <f t="shared" si="8"/>
        <v>#ERROR!</v>
      </c>
      <c r="L11" s="569" t="str">
        <f t="shared" si="8"/>
        <v>#ERROR!</v>
      </c>
      <c r="M11" s="569" t="str">
        <f t="shared" si="8"/>
        <v>#ERROR!</v>
      </c>
      <c r="N11" s="569" t="str">
        <f t="shared" si="8"/>
        <v>#ERROR!</v>
      </c>
      <c r="O11" s="569" t="str">
        <f t="shared" si="8"/>
        <v>#ERROR!</v>
      </c>
      <c r="P11" s="569" t="str">
        <f t="shared" si="8"/>
        <v>#ERROR!</v>
      </c>
      <c r="Q11" s="477" t="str">
        <f t="shared" si="4"/>
        <v>#ERROR!</v>
      </c>
      <c r="R11" s="570" t="str">
        <f t="shared" si="5"/>
        <v/>
      </c>
    </row>
    <row r="12">
      <c r="A12" s="181">
        <v>6.0</v>
      </c>
      <c r="B12" s="12" t="str">
        <f>IF('A. Background'!B20="Product/Service","",'A. Background'!B20)</f>
        <v/>
      </c>
      <c r="C12" s="7" t="str">
        <f>IF(B12="","",'A. Background'!#REF!)</f>
        <v>#ERROR!</v>
      </c>
      <c r="D12" s="12"/>
      <c r="E12" s="569" t="str">
        <f t="shared" si="2"/>
        <v>#ERROR!</v>
      </c>
      <c r="F12" s="569" t="str">
        <f t="shared" ref="F12:P12" si="9">E12</f>
        <v>#ERROR!</v>
      </c>
      <c r="G12" s="569" t="str">
        <f t="shared" si="9"/>
        <v>#ERROR!</v>
      </c>
      <c r="H12" s="569" t="str">
        <f t="shared" si="9"/>
        <v>#ERROR!</v>
      </c>
      <c r="I12" s="569" t="str">
        <f t="shared" si="9"/>
        <v>#ERROR!</v>
      </c>
      <c r="J12" s="569" t="str">
        <f t="shared" si="9"/>
        <v>#ERROR!</v>
      </c>
      <c r="K12" s="569" t="str">
        <f t="shared" si="9"/>
        <v>#ERROR!</v>
      </c>
      <c r="L12" s="569" t="str">
        <f t="shared" si="9"/>
        <v>#ERROR!</v>
      </c>
      <c r="M12" s="569" t="str">
        <f t="shared" si="9"/>
        <v>#ERROR!</v>
      </c>
      <c r="N12" s="569" t="str">
        <f t="shared" si="9"/>
        <v>#ERROR!</v>
      </c>
      <c r="O12" s="569" t="str">
        <f t="shared" si="9"/>
        <v>#ERROR!</v>
      </c>
      <c r="P12" s="569" t="str">
        <f t="shared" si="9"/>
        <v>#ERROR!</v>
      </c>
      <c r="Q12" s="477" t="str">
        <f t="shared" si="4"/>
        <v>#ERROR!</v>
      </c>
      <c r="R12" s="570" t="str">
        <f t="shared" si="5"/>
        <v/>
      </c>
    </row>
    <row r="13">
      <c r="A13" s="181">
        <v>7.0</v>
      </c>
      <c r="B13" s="12" t="str">
        <f>IF('A. Background'!B21="Product/Service","",'A. Background'!B21)</f>
        <v/>
      </c>
      <c r="C13" s="7" t="str">
        <f>IF(B13="","",'A. Background'!#REF!)</f>
        <v>#ERROR!</v>
      </c>
      <c r="D13" s="12"/>
      <c r="E13" s="569" t="str">
        <f t="shared" si="2"/>
        <v>#ERROR!</v>
      </c>
      <c r="F13" s="569" t="str">
        <f t="shared" ref="F13:P13" si="10">E13</f>
        <v>#ERROR!</v>
      </c>
      <c r="G13" s="569" t="str">
        <f t="shared" si="10"/>
        <v>#ERROR!</v>
      </c>
      <c r="H13" s="569" t="str">
        <f t="shared" si="10"/>
        <v>#ERROR!</v>
      </c>
      <c r="I13" s="569" t="str">
        <f t="shared" si="10"/>
        <v>#ERROR!</v>
      </c>
      <c r="J13" s="569" t="str">
        <f t="shared" si="10"/>
        <v>#ERROR!</v>
      </c>
      <c r="K13" s="569" t="str">
        <f t="shared" si="10"/>
        <v>#ERROR!</v>
      </c>
      <c r="L13" s="569" t="str">
        <f t="shared" si="10"/>
        <v>#ERROR!</v>
      </c>
      <c r="M13" s="569" t="str">
        <f t="shared" si="10"/>
        <v>#ERROR!</v>
      </c>
      <c r="N13" s="569" t="str">
        <f t="shared" si="10"/>
        <v>#ERROR!</v>
      </c>
      <c r="O13" s="569" t="str">
        <f t="shared" si="10"/>
        <v>#ERROR!</v>
      </c>
      <c r="P13" s="569" t="str">
        <f t="shared" si="10"/>
        <v>#ERROR!</v>
      </c>
      <c r="Q13" s="477" t="str">
        <f t="shared" si="4"/>
        <v>#ERROR!</v>
      </c>
      <c r="R13" s="570" t="str">
        <f t="shared" si="5"/>
        <v/>
      </c>
    </row>
    <row r="14">
      <c r="A14" s="571">
        <v>8.0</v>
      </c>
      <c r="B14" s="418" t="str">
        <f>IF('A. Background'!B22="Product/Service","",'A. Background'!B22)</f>
        <v/>
      </c>
      <c r="C14" s="335" t="str">
        <f>IF(B14="","",'A. Background'!#REF!)</f>
        <v>#ERROR!</v>
      </c>
      <c r="D14" s="418"/>
      <c r="E14" s="572" t="str">
        <f t="shared" si="2"/>
        <v>#ERROR!</v>
      </c>
      <c r="F14" s="572" t="str">
        <f t="shared" ref="F14:P14" si="11">E14</f>
        <v>#ERROR!</v>
      </c>
      <c r="G14" s="572" t="str">
        <f t="shared" si="11"/>
        <v>#ERROR!</v>
      </c>
      <c r="H14" s="572" t="str">
        <f t="shared" si="11"/>
        <v>#ERROR!</v>
      </c>
      <c r="I14" s="572" t="str">
        <f t="shared" si="11"/>
        <v>#ERROR!</v>
      </c>
      <c r="J14" s="572" t="str">
        <f t="shared" si="11"/>
        <v>#ERROR!</v>
      </c>
      <c r="K14" s="572" t="str">
        <f t="shared" si="11"/>
        <v>#ERROR!</v>
      </c>
      <c r="L14" s="572" t="str">
        <f t="shared" si="11"/>
        <v>#ERROR!</v>
      </c>
      <c r="M14" s="572" t="str">
        <f t="shared" si="11"/>
        <v>#ERROR!</v>
      </c>
      <c r="N14" s="572" t="str">
        <f t="shared" si="11"/>
        <v>#ERROR!</v>
      </c>
      <c r="O14" s="572" t="str">
        <f t="shared" si="11"/>
        <v>#ERROR!</v>
      </c>
      <c r="P14" s="572" t="str">
        <f t="shared" si="11"/>
        <v>#ERROR!</v>
      </c>
      <c r="Q14" s="575" t="str">
        <f t="shared" si="4"/>
        <v>#ERROR!</v>
      </c>
      <c r="R14" s="576" t="str">
        <f t="shared" si="5"/>
        <v/>
      </c>
    </row>
    <row r="15">
      <c r="B15" s="577"/>
      <c r="C15" s="578"/>
      <c r="D15" s="577"/>
      <c r="E15" s="579"/>
      <c r="F15" s="579"/>
      <c r="G15" s="579"/>
      <c r="H15" s="579"/>
      <c r="I15" s="579"/>
      <c r="J15" s="579"/>
      <c r="K15" s="579"/>
      <c r="L15" s="579"/>
      <c r="M15" s="579"/>
      <c r="N15" s="579"/>
      <c r="O15" s="579"/>
      <c r="P15" s="579"/>
      <c r="Q15" s="579"/>
      <c r="R15" s="577"/>
    </row>
    <row r="16">
      <c r="A16" s="172"/>
      <c r="B16" s="565" t="s">
        <v>1083</v>
      </c>
      <c r="C16" s="275"/>
      <c r="D16" s="502"/>
      <c r="E16" s="566"/>
      <c r="F16" s="566"/>
      <c r="G16" s="566"/>
      <c r="H16" s="566"/>
      <c r="I16" s="566"/>
      <c r="J16" s="566"/>
      <c r="K16" s="566"/>
      <c r="L16" s="566"/>
      <c r="M16" s="566"/>
      <c r="N16" s="566"/>
      <c r="O16" s="566"/>
      <c r="P16" s="566"/>
      <c r="Q16" s="580"/>
      <c r="R16" s="567"/>
    </row>
    <row r="17">
      <c r="A17" s="177"/>
      <c r="B17" s="25" t="s">
        <v>37</v>
      </c>
      <c r="C17" s="55" t="s">
        <v>244</v>
      </c>
      <c r="D17" s="12"/>
      <c r="E17" s="477" t="s">
        <v>1071</v>
      </c>
      <c r="F17" s="477" t="s">
        <v>1072</v>
      </c>
      <c r="G17" s="477" t="s">
        <v>1073</v>
      </c>
      <c r="H17" s="477" t="s">
        <v>1074</v>
      </c>
      <c r="I17" s="477" t="s">
        <v>1075</v>
      </c>
      <c r="J17" s="477" t="s">
        <v>1076</v>
      </c>
      <c r="K17" s="477" t="s">
        <v>1077</v>
      </c>
      <c r="L17" s="477" t="s">
        <v>1078</v>
      </c>
      <c r="M17" s="477" t="s">
        <v>1079</v>
      </c>
      <c r="N17" s="477" t="s">
        <v>1080</v>
      </c>
      <c r="O17" s="477" t="s">
        <v>1081</v>
      </c>
      <c r="P17" s="477" t="s">
        <v>1082</v>
      </c>
      <c r="Q17" s="180" t="s">
        <v>263</v>
      </c>
      <c r="R17" s="581" t="s">
        <v>264</v>
      </c>
    </row>
    <row r="18">
      <c r="A18" s="181">
        <v>1.0</v>
      </c>
      <c r="B18" s="12" t="str">
        <f t="shared" ref="B18:B25" si="13">B7</f>
        <v>Paint</v>
      </c>
      <c r="C18" s="7" t="str">
        <f t="shared" ref="C18:C25" si="14">IF(B18="","",(P7*(1+YR2_Increase)))</f>
        <v>#NAME?</v>
      </c>
      <c r="D18" s="12"/>
      <c r="E18" s="569" t="str">
        <f t="shared" ref="E18:E25" si="15">C18</f>
        <v>#NAME?</v>
      </c>
      <c r="F18" s="569" t="str">
        <f t="shared" ref="F18:P18" si="12">E18</f>
        <v>#NAME?</v>
      </c>
      <c r="G18" s="569" t="str">
        <f t="shared" si="12"/>
        <v>#NAME?</v>
      </c>
      <c r="H18" s="569" t="str">
        <f t="shared" si="12"/>
        <v>#NAME?</v>
      </c>
      <c r="I18" s="569" t="str">
        <f t="shared" si="12"/>
        <v>#NAME?</v>
      </c>
      <c r="J18" s="569" t="str">
        <f t="shared" si="12"/>
        <v>#NAME?</v>
      </c>
      <c r="K18" s="569" t="str">
        <f t="shared" si="12"/>
        <v>#NAME?</v>
      </c>
      <c r="L18" s="569" t="str">
        <f t="shared" si="12"/>
        <v>#NAME?</v>
      </c>
      <c r="M18" s="569" t="str">
        <f t="shared" si="12"/>
        <v>#NAME?</v>
      </c>
      <c r="N18" s="569" t="str">
        <f t="shared" si="12"/>
        <v>#NAME?</v>
      </c>
      <c r="O18" s="569" t="str">
        <f t="shared" si="12"/>
        <v>#NAME?</v>
      </c>
      <c r="P18" s="569" t="str">
        <f t="shared" si="12"/>
        <v>#NAME?</v>
      </c>
      <c r="Q18" s="477" t="str">
        <f t="shared" ref="Q18:Q25" si="17">IF(SUM(E18:P18)=0,"",SUM(E18:P18))</f>
        <v>#NAME?</v>
      </c>
      <c r="R18" s="570" t="str">
        <f t="shared" ref="R18:R25" si="18">IFERROR(Q18/SUM($Q$18:$Q$25),"")</f>
        <v/>
      </c>
    </row>
    <row r="19">
      <c r="A19" s="181">
        <v>2.0</v>
      </c>
      <c r="B19" s="12" t="str">
        <f t="shared" si="13"/>
        <v>REMOVER</v>
      </c>
      <c r="C19" s="7" t="str">
        <f t="shared" si="14"/>
        <v>#NAME?</v>
      </c>
      <c r="D19" s="12"/>
      <c r="E19" s="569" t="str">
        <f t="shared" si="15"/>
        <v>#NAME?</v>
      </c>
      <c r="F19" s="569" t="str">
        <f t="shared" ref="F19:P19" si="16">E19</f>
        <v>#NAME?</v>
      </c>
      <c r="G19" s="569" t="str">
        <f t="shared" si="16"/>
        <v>#NAME?</v>
      </c>
      <c r="H19" s="569" t="str">
        <f t="shared" si="16"/>
        <v>#NAME?</v>
      </c>
      <c r="I19" s="569" t="str">
        <f t="shared" si="16"/>
        <v>#NAME?</v>
      </c>
      <c r="J19" s="569" t="str">
        <f t="shared" si="16"/>
        <v>#NAME?</v>
      </c>
      <c r="K19" s="569" t="str">
        <f t="shared" si="16"/>
        <v>#NAME?</v>
      </c>
      <c r="L19" s="569" t="str">
        <f t="shared" si="16"/>
        <v>#NAME?</v>
      </c>
      <c r="M19" s="569" t="str">
        <f t="shared" si="16"/>
        <v>#NAME?</v>
      </c>
      <c r="N19" s="569" t="str">
        <f t="shared" si="16"/>
        <v>#NAME?</v>
      </c>
      <c r="O19" s="569" t="str">
        <f t="shared" si="16"/>
        <v>#NAME?</v>
      </c>
      <c r="P19" s="569" t="str">
        <f t="shared" si="16"/>
        <v>#NAME?</v>
      </c>
      <c r="Q19" s="477" t="str">
        <f t="shared" si="17"/>
        <v>#NAME?</v>
      </c>
      <c r="R19" s="570" t="str">
        <f t="shared" si="18"/>
        <v/>
      </c>
    </row>
    <row r="20">
      <c r="A20" s="181">
        <v>3.0</v>
      </c>
      <c r="B20" s="12" t="str">
        <f t="shared" si="13"/>
        <v/>
      </c>
      <c r="C20" s="7" t="str">
        <f t="shared" si="14"/>
        <v/>
      </c>
      <c r="D20" s="12"/>
      <c r="E20" s="569" t="str">
        <f t="shared" si="15"/>
        <v/>
      </c>
      <c r="F20" s="569" t="str">
        <f t="shared" ref="F20:P20" si="19">E20</f>
        <v/>
      </c>
      <c r="G20" s="569" t="str">
        <f t="shared" si="19"/>
        <v/>
      </c>
      <c r="H20" s="569" t="str">
        <f t="shared" si="19"/>
        <v/>
      </c>
      <c r="I20" s="569" t="str">
        <f t="shared" si="19"/>
        <v/>
      </c>
      <c r="J20" s="569" t="str">
        <f t="shared" si="19"/>
        <v/>
      </c>
      <c r="K20" s="569" t="str">
        <f t="shared" si="19"/>
        <v/>
      </c>
      <c r="L20" s="569" t="str">
        <f t="shared" si="19"/>
        <v/>
      </c>
      <c r="M20" s="569" t="str">
        <f t="shared" si="19"/>
        <v/>
      </c>
      <c r="N20" s="569" t="str">
        <f t="shared" si="19"/>
        <v/>
      </c>
      <c r="O20" s="569" t="str">
        <f t="shared" si="19"/>
        <v/>
      </c>
      <c r="P20" s="569" t="str">
        <f t="shared" si="19"/>
        <v/>
      </c>
      <c r="Q20" s="477" t="str">
        <f t="shared" si="17"/>
        <v/>
      </c>
      <c r="R20" s="570" t="str">
        <f t="shared" si="18"/>
        <v/>
      </c>
    </row>
    <row r="21" ht="15.75" customHeight="1">
      <c r="A21" s="181">
        <v>4.0</v>
      </c>
      <c r="B21" s="12" t="str">
        <f t="shared" si="13"/>
        <v/>
      </c>
      <c r="C21" s="7" t="str">
        <f t="shared" si="14"/>
        <v/>
      </c>
      <c r="D21" s="12"/>
      <c r="E21" s="569" t="str">
        <f t="shared" si="15"/>
        <v/>
      </c>
      <c r="F21" s="569" t="str">
        <f t="shared" ref="F21:P21" si="20">E21</f>
        <v/>
      </c>
      <c r="G21" s="569" t="str">
        <f t="shared" si="20"/>
        <v/>
      </c>
      <c r="H21" s="569" t="str">
        <f t="shared" si="20"/>
        <v/>
      </c>
      <c r="I21" s="569" t="str">
        <f t="shared" si="20"/>
        <v/>
      </c>
      <c r="J21" s="569" t="str">
        <f t="shared" si="20"/>
        <v/>
      </c>
      <c r="K21" s="569" t="str">
        <f t="shared" si="20"/>
        <v/>
      </c>
      <c r="L21" s="569" t="str">
        <f t="shared" si="20"/>
        <v/>
      </c>
      <c r="M21" s="569" t="str">
        <f t="shared" si="20"/>
        <v/>
      </c>
      <c r="N21" s="569" t="str">
        <f t="shared" si="20"/>
        <v/>
      </c>
      <c r="O21" s="569" t="str">
        <f t="shared" si="20"/>
        <v/>
      </c>
      <c r="P21" s="569" t="str">
        <f t="shared" si="20"/>
        <v/>
      </c>
      <c r="Q21" s="477" t="str">
        <f t="shared" si="17"/>
        <v/>
      </c>
      <c r="R21" s="570" t="str">
        <f t="shared" si="18"/>
        <v/>
      </c>
    </row>
    <row r="22" ht="15.75" customHeight="1">
      <c r="A22" s="181">
        <v>5.0</v>
      </c>
      <c r="B22" s="12" t="str">
        <f t="shared" si="13"/>
        <v/>
      </c>
      <c r="C22" s="7" t="str">
        <f t="shared" si="14"/>
        <v/>
      </c>
      <c r="D22" s="12"/>
      <c r="E22" s="569" t="str">
        <f t="shared" si="15"/>
        <v/>
      </c>
      <c r="F22" s="569" t="str">
        <f t="shared" ref="F22:P22" si="21">E22</f>
        <v/>
      </c>
      <c r="G22" s="569" t="str">
        <f t="shared" si="21"/>
        <v/>
      </c>
      <c r="H22" s="569" t="str">
        <f t="shared" si="21"/>
        <v/>
      </c>
      <c r="I22" s="569" t="str">
        <f t="shared" si="21"/>
        <v/>
      </c>
      <c r="J22" s="569" t="str">
        <f t="shared" si="21"/>
        <v/>
      </c>
      <c r="K22" s="569" t="str">
        <f t="shared" si="21"/>
        <v/>
      </c>
      <c r="L22" s="569" t="str">
        <f t="shared" si="21"/>
        <v/>
      </c>
      <c r="M22" s="569" t="str">
        <f t="shared" si="21"/>
        <v/>
      </c>
      <c r="N22" s="569" t="str">
        <f t="shared" si="21"/>
        <v/>
      </c>
      <c r="O22" s="569" t="str">
        <f t="shared" si="21"/>
        <v/>
      </c>
      <c r="P22" s="569" t="str">
        <f t="shared" si="21"/>
        <v/>
      </c>
      <c r="Q22" s="477" t="str">
        <f t="shared" si="17"/>
        <v/>
      </c>
      <c r="R22" s="570" t="str">
        <f t="shared" si="18"/>
        <v/>
      </c>
    </row>
    <row r="23" ht="15.75" customHeight="1">
      <c r="A23" s="181">
        <v>6.0</v>
      </c>
      <c r="B23" s="12" t="str">
        <f t="shared" si="13"/>
        <v/>
      </c>
      <c r="C23" s="7" t="str">
        <f t="shared" si="14"/>
        <v/>
      </c>
      <c r="D23" s="12"/>
      <c r="E23" s="569" t="str">
        <f t="shared" si="15"/>
        <v/>
      </c>
      <c r="F23" s="569" t="str">
        <f t="shared" ref="F23:P23" si="22">E23</f>
        <v/>
      </c>
      <c r="G23" s="569" t="str">
        <f t="shared" si="22"/>
        <v/>
      </c>
      <c r="H23" s="569" t="str">
        <f t="shared" si="22"/>
        <v/>
      </c>
      <c r="I23" s="569" t="str">
        <f t="shared" si="22"/>
        <v/>
      </c>
      <c r="J23" s="569" t="str">
        <f t="shared" si="22"/>
        <v/>
      </c>
      <c r="K23" s="569" t="str">
        <f t="shared" si="22"/>
        <v/>
      </c>
      <c r="L23" s="569" t="str">
        <f t="shared" si="22"/>
        <v/>
      </c>
      <c r="M23" s="569" t="str">
        <f t="shared" si="22"/>
        <v/>
      </c>
      <c r="N23" s="569" t="str">
        <f t="shared" si="22"/>
        <v/>
      </c>
      <c r="O23" s="569" t="str">
        <f t="shared" si="22"/>
        <v/>
      </c>
      <c r="P23" s="569" t="str">
        <f t="shared" si="22"/>
        <v/>
      </c>
      <c r="Q23" s="477" t="str">
        <f t="shared" si="17"/>
        <v/>
      </c>
      <c r="R23" s="570" t="str">
        <f t="shared" si="18"/>
        <v/>
      </c>
    </row>
    <row r="24" ht="15.75" customHeight="1">
      <c r="A24" s="181">
        <v>7.0</v>
      </c>
      <c r="B24" s="12" t="str">
        <f t="shared" si="13"/>
        <v/>
      </c>
      <c r="C24" s="7" t="str">
        <f t="shared" si="14"/>
        <v/>
      </c>
      <c r="D24" s="12"/>
      <c r="E24" s="569" t="str">
        <f t="shared" si="15"/>
        <v/>
      </c>
      <c r="F24" s="569" t="str">
        <f t="shared" ref="F24:P24" si="23">E24</f>
        <v/>
      </c>
      <c r="G24" s="569" t="str">
        <f t="shared" si="23"/>
        <v/>
      </c>
      <c r="H24" s="569" t="str">
        <f t="shared" si="23"/>
        <v/>
      </c>
      <c r="I24" s="569" t="str">
        <f t="shared" si="23"/>
        <v/>
      </c>
      <c r="J24" s="569" t="str">
        <f t="shared" si="23"/>
        <v/>
      </c>
      <c r="K24" s="569" t="str">
        <f t="shared" si="23"/>
        <v/>
      </c>
      <c r="L24" s="569" t="str">
        <f t="shared" si="23"/>
        <v/>
      </c>
      <c r="M24" s="569" t="str">
        <f t="shared" si="23"/>
        <v/>
      </c>
      <c r="N24" s="569" t="str">
        <f t="shared" si="23"/>
        <v/>
      </c>
      <c r="O24" s="569" t="str">
        <f t="shared" si="23"/>
        <v/>
      </c>
      <c r="P24" s="569" t="str">
        <f t="shared" si="23"/>
        <v/>
      </c>
      <c r="Q24" s="477" t="str">
        <f t="shared" si="17"/>
        <v/>
      </c>
      <c r="R24" s="570" t="str">
        <f t="shared" si="18"/>
        <v/>
      </c>
    </row>
    <row r="25" ht="15.75" customHeight="1">
      <c r="A25" s="571">
        <v>8.0</v>
      </c>
      <c r="B25" s="418" t="str">
        <f t="shared" si="13"/>
        <v/>
      </c>
      <c r="C25" s="335" t="str">
        <f t="shared" si="14"/>
        <v/>
      </c>
      <c r="D25" s="418"/>
      <c r="E25" s="572" t="str">
        <f t="shared" si="15"/>
        <v/>
      </c>
      <c r="F25" s="572" t="str">
        <f t="shared" ref="F25:P25" si="24">E25</f>
        <v/>
      </c>
      <c r="G25" s="572" t="str">
        <f t="shared" si="24"/>
        <v/>
      </c>
      <c r="H25" s="572" t="str">
        <f t="shared" si="24"/>
        <v/>
      </c>
      <c r="I25" s="572" t="str">
        <f t="shared" si="24"/>
        <v/>
      </c>
      <c r="J25" s="572" t="str">
        <f t="shared" si="24"/>
        <v/>
      </c>
      <c r="K25" s="572" t="str">
        <f t="shared" si="24"/>
        <v/>
      </c>
      <c r="L25" s="572" t="str">
        <f t="shared" si="24"/>
        <v/>
      </c>
      <c r="M25" s="572" t="str">
        <f t="shared" si="24"/>
        <v/>
      </c>
      <c r="N25" s="572" t="str">
        <f t="shared" si="24"/>
        <v/>
      </c>
      <c r="O25" s="572" t="str">
        <f t="shared" si="24"/>
        <v/>
      </c>
      <c r="P25" s="572" t="str">
        <f t="shared" si="24"/>
        <v/>
      </c>
      <c r="Q25" s="575" t="str">
        <f t="shared" si="17"/>
        <v/>
      </c>
      <c r="R25" s="576" t="str">
        <f t="shared" si="18"/>
        <v/>
      </c>
    </row>
    <row r="26" ht="15.75" customHeight="1">
      <c r="B26" s="577"/>
      <c r="C26" s="578"/>
      <c r="D26" s="577"/>
      <c r="E26" s="579"/>
      <c r="F26" s="579"/>
      <c r="G26" s="579"/>
      <c r="H26" s="579"/>
      <c r="I26" s="579"/>
      <c r="J26" s="579"/>
      <c r="K26" s="579"/>
      <c r="L26" s="579"/>
      <c r="M26" s="579"/>
      <c r="N26" s="579"/>
      <c r="O26" s="579"/>
      <c r="P26" s="579"/>
      <c r="Q26" s="579"/>
      <c r="R26" s="577"/>
    </row>
    <row r="27" ht="15.75" customHeight="1">
      <c r="A27" s="172"/>
      <c r="B27" s="565" t="s">
        <v>1084</v>
      </c>
      <c r="C27" s="275"/>
      <c r="D27" s="502"/>
      <c r="E27" s="566"/>
      <c r="F27" s="566"/>
      <c r="G27" s="566"/>
      <c r="H27" s="566"/>
      <c r="I27" s="566"/>
      <c r="J27" s="566"/>
      <c r="K27" s="566"/>
      <c r="L27" s="566"/>
      <c r="M27" s="566"/>
      <c r="N27" s="566"/>
      <c r="O27" s="566"/>
      <c r="P27" s="566"/>
      <c r="Q27" s="580"/>
      <c r="R27" s="567"/>
    </row>
    <row r="28" ht="15.75" customHeight="1">
      <c r="A28" s="177"/>
      <c r="B28" s="25" t="s">
        <v>37</v>
      </c>
      <c r="C28" s="55" t="s">
        <v>244</v>
      </c>
      <c r="D28" s="12"/>
      <c r="E28" s="180" t="s">
        <v>1071</v>
      </c>
      <c r="F28" s="180" t="s">
        <v>1072</v>
      </c>
      <c r="G28" s="180" t="s">
        <v>1073</v>
      </c>
      <c r="H28" s="180" t="s">
        <v>1074</v>
      </c>
      <c r="I28" s="180" t="s">
        <v>1075</v>
      </c>
      <c r="J28" s="180" t="s">
        <v>1076</v>
      </c>
      <c r="K28" s="180" t="s">
        <v>1077</v>
      </c>
      <c r="L28" s="180" t="s">
        <v>1078</v>
      </c>
      <c r="M28" s="180" t="s">
        <v>1079</v>
      </c>
      <c r="N28" s="180" t="s">
        <v>1080</v>
      </c>
      <c r="O28" s="180" t="s">
        <v>1081</v>
      </c>
      <c r="P28" s="180" t="s">
        <v>1082</v>
      </c>
      <c r="Q28" s="180" t="s">
        <v>263</v>
      </c>
      <c r="R28" s="568" t="s">
        <v>264</v>
      </c>
    </row>
    <row r="29" ht="15.75" customHeight="1">
      <c r="A29" s="181">
        <v>1.0</v>
      </c>
      <c r="B29" s="12" t="str">
        <f t="shared" ref="B29:B36" si="26">B18</f>
        <v>Paint</v>
      </c>
      <c r="C29" s="7" t="str">
        <f t="shared" ref="C29:C36" si="27">IF(B29="","",(P18*(1+YR3_Increase)))</f>
        <v>#NAME?</v>
      </c>
      <c r="D29" s="12"/>
      <c r="E29" s="569" t="str">
        <f t="shared" ref="E29:E36" si="28">C29</f>
        <v>#NAME?</v>
      </c>
      <c r="F29" s="569" t="str">
        <f t="shared" ref="F29:P29" si="25">E29</f>
        <v>#NAME?</v>
      </c>
      <c r="G29" s="569" t="str">
        <f t="shared" si="25"/>
        <v>#NAME?</v>
      </c>
      <c r="H29" s="569" t="str">
        <f t="shared" si="25"/>
        <v>#NAME?</v>
      </c>
      <c r="I29" s="569" t="str">
        <f t="shared" si="25"/>
        <v>#NAME?</v>
      </c>
      <c r="J29" s="569" t="str">
        <f t="shared" si="25"/>
        <v>#NAME?</v>
      </c>
      <c r="K29" s="569" t="str">
        <f t="shared" si="25"/>
        <v>#NAME?</v>
      </c>
      <c r="L29" s="569" t="str">
        <f t="shared" si="25"/>
        <v>#NAME?</v>
      </c>
      <c r="M29" s="569" t="str">
        <f t="shared" si="25"/>
        <v>#NAME?</v>
      </c>
      <c r="N29" s="569" t="str">
        <f t="shared" si="25"/>
        <v>#NAME?</v>
      </c>
      <c r="O29" s="569" t="str">
        <f t="shared" si="25"/>
        <v>#NAME?</v>
      </c>
      <c r="P29" s="569" t="str">
        <f t="shared" si="25"/>
        <v>#NAME?</v>
      </c>
      <c r="Q29" s="477" t="str">
        <f t="shared" ref="Q29:Q36" si="30">IF(SUM(E29:P29)=0,"",SUM(E29:P29))</f>
        <v>#NAME?</v>
      </c>
      <c r="R29" s="570" t="str">
        <f t="shared" ref="R29:R36" si="31">IFERROR(Q29/SUM($Q$29:$Q$36),"")</f>
        <v/>
      </c>
    </row>
    <row r="30" ht="15.75" customHeight="1">
      <c r="A30" s="181">
        <v>2.0</v>
      </c>
      <c r="B30" s="12" t="str">
        <f t="shared" si="26"/>
        <v>REMOVER</v>
      </c>
      <c r="C30" s="7" t="str">
        <f t="shared" si="27"/>
        <v>#NAME?</v>
      </c>
      <c r="D30" s="12"/>
      <c r="E30" s="569" t="str">
        <f t="shared" si="28"/>
        <v>#NAME?</v>
      </c>
      <c r="F30" s="569" t="str">
        <f t="shared" ref="F30:P30" si="29">E30</f>
        <v>#NAME?</v>
      </c>
      <c r="G30" s="569" t="str">
        <f t="shared" si="29"/>
        <v>#NAME?</v>
      </c>
      <c r="H30" s="569" t="str">
        <f t="shared" si="29"/>
        <v>#NAME?</v>
      </c>
      <c r="I30" s="569" t="str">
        <f t="shared" si="29"/>
        <v>#NAME?</v>
      </c>
      <c r="J30" s="569" t="str">
        <f t="shared" si="29"/>
        <v>#NAME?</v>
      </c>
      <c r="K30" s="569" t="str">
        <f t="shared" si="29"/>
        <v>#NAME?</v>
      </c>
      <c r="L30" s="569" t="str">
        <f t="shared" si="29"/>
        <v>#NAME?</v>
      </c>
      <c r="M30" s="569" t="str">
        <f t="shared" si="29"/>
        <v>#NAME?</v>
      </c>
      <c r="N30" s="569" t="str">
        <f t="shared" si="29"/>
        <v>#NAME?</v>
      </c>
      <c r="O30" s="569" t="str">
        <f t="shared" si="29"/>
        <v>#NAME?</v>
      </c>
      <c r="P30" s="569" t="str">
        <f t="shared" si="29"/>
        <v>#NAME?</v>
      </c>
      <c r="Q30" s="477" t="str">
        <f t="shared" si="30"/>
        <v>#NAME?</v>
      </c>
      <c r="R30" s="570" t="str">
        <f t="shared" si="31"/>
        <v/>
      </c>
    </row>
    <row r="31" ht="15.75" customHeight="1">
      <c r="A31" s="181">
        <v>3.0</v>
      </c>
      <c r="B31" s="12" t="str">
        <f t="shared" si="26"/>
        <v/>
      </c>
      <c r="C31" s="7" t="str">
        <f t="shared" si="27"/>
        <v/>
      </c>
      <c r="D31" s="12"/>
      <c r="E31" s="569" t="str">
        <f t="shared" si="28"/>
        <v/>
      </c>
      <c r="F31" s="569" t="str">
        <f t="shared" ref="F31:P31" si="32">E31</f>
        <v/>
      </c>
      <c r="G31" s="569" t="str">
        <f t="shared" si="32"/>
        <v/>
      </c>
      <c r="H31" s="569" t="str">
        <f t="shared" si="32"/>
        <v/>
      </c>
      <c r="I31" s="569" t="str">
        <f t="shared" si="32"/>
        <v/>
      </c>
      <c r="J31" s="569" t="str">
        <f t="shared" si="32"/>
        <v/>
      </c>
      <c r="K31" s="569" t="str">
        <f t="shared" si="32"/>
        <v/>
      </c>
      <c r="L31" s="569" t="str">
        <f t="shared" si="32"/>
        <v/>
      </c>
      <c r="M31" s="569" t="str">
        <f t="shared" si="32"/>
        <v/>
      </c>
      <c r="N31" s="569" t="str">
        <f t="shared" si="32"/>
        <v/>
      </c>
      <c r="O31" s="569" t="str">
        <f t="shared" si="32"/>
        <v/>
      </c>
      <c r="P31" s="569" t="str">
        <f t="shared" si="32"/>
        <v/>
      </c>
      <c r="Q31" s="477" t="str">
        <f t="shared" si="30"/>
        <v/>
      </c>
      <c r="R31" s="570" t="str">
        <f t="shared" si="31"/>
        <v/>
      </c>
    </row>
    <row r="32" ht="15.75" customHeight="1">
      <c r="A32" s="181">
        <v>4.0</v>
      </c>
      <c r="B32" s="12" t="str">
        <f t="shared" si="26"/>
        <v/>
      </c>
      <c r="C32" s="7" t="str">
        <f t="shared" si="27"/>
        <v/>
      </c>
      <c r="D32" s="12"/>
      <c r="E32" s="569" t="str">
        <f t="shared" si="28"/>
        <v/>
      </c>
      <c r="F32" s="569" t="str">
        <f t="shared" ref="F32:P32" si="33">E32</f>
        <v/>
      </c>
      <c r="G32" s="569" t="str">
        <f t="shared" si="33"/>
        <v/>
      </c>
      <c r="H32" s="569" t="str">
        <f t="shared" si="33"/>
        <v/>
      </c>
      <c r="I32" s="569" t="str">
        <f t="shared" si="33"/>
        <v/>
      </c>
      <c r="J32" s="569" t="str">
        <f t="shared" si="33"/>
        <v/>
      </c>
      <c r="K32" s="569" t="str">
        <f t="shared" si="33"/>
        <v/>
      </c>
      <c r="L32" s="569" t="str">
        <f t="shared" si="33"/>
        <v/>
      </c>
      <c r="M32" s="569" t="str">
        <f t="shared" si="33"/>
        <v/>
      </c>
      <c r="N32" s="569" t="str">
        <f t="shared" si="33"/>
        <v/>
      </c>
      <c r="O32" s="569" t="str">
        <f t="shared" si="33"/>
        <v/>
      </c>
      <c r="P32" s="569" t="str">
        <f t="shared" si="33"/>
        <v/>
      </c>
      <c r="Q32" s="477" t="str">
        <f t="shared" si="30"/>
        <v/>
      </c>
      <c r="R32" s="570" t="str">
        <f t="shared" si="31"/>
        <v/>
      </c>
    </row>
    <row r="33" ht="15.75" customHeight="1">
      <c r="A33" s="181">
        <v>5.0</v>
      </c>
      <c r="B33" s="12" t="str">
        <f t="shared" si="26"/>
        <v/>
      </c>
      <c r="C33" s="7" t="str">
        <f t="shared" si="27"/>
        <v/>
      </c>
      <c r="D33" s="12"/>
      <c r="E33" s="569" t="str">
        <f t="shared" si="28"/>
        <v/>
      </c>
      <c r="F33" s="569" t="str">
        <f t="shared" ref="F33:P33" si="34">E33</f>
        <v/>
      </c>
      <c r="G33" s="569" t="str">
        <f t="shared" si="34"/>
        <v/>
      </c>
      <c r="H33" s="569" t="str">
        <f t="shared" si="34"/>
        <v/>
      </c>
      <c r="I33" s="569" t="str">
        <f t="shared" si="34"/>
        <v/>
      </c>
      <c r="J33" s="569" t="str">
        <f t="shared" si="34"/>
        <v/>
      </c>
      <c r="K33" s="569" t="str">
        <f t="shared" si="34"/>
        <v/>
      </c>
      <c r="L33" s="569" t="str">
        <f t="shared" si="34"/>
        <v/>
      </c>
      <c r="M33" s="569" t="str">
        <f t="shared" si="34"/>
        <v/>
      </c>
      <c r="N33" s="569" t="str">
        <f t="shared" si="34"/>
        <v/>
      </c>
      <c r="O33" s="569" t="str">
        <f t="shared" si="34"/>
        <v/>
      </c>
      <c r="P33" s="569" t="str">
        <f t="shared" si="34"/>
        <v/>
      </c>
      <c r="Q33" s="477" t="str">
        <f t="shared" si="30"/>
        <v/>
      </c>
      <c r="R33" s="570" t="str">
        <f t="shared" si="31"/>
        <v/>
      </c>
    </row>
    <row r="34" ht="15.75" customHeight="1">
      <c r="A34" s="181">
        <v>6.0</v>
      </c>
      <c r="B34" s="12" t="str">
        <f t="shared" si="26"/>
        <v/>
      </c>
      <c r="C34" s="7" t="str">
        <f t="shared" si="27"/>
        <v/>
      </c>
      <c r="D34" s="12"/>
      <c r="E34" s="569" t="str">
        <f t="shared" si="28"/>
        <v/>
      </c>
      <c r="F34" s="569" t="str">
        <f t="shared" ref="F34:P34" si="35">E34</f>
        <v/>
      </c>
      <c r="G34" s="569" t="str">
        <f t="shared" si="35"/>
        <v/>
      </c>
      <c r="H34" s="569" t="str">
        <f t="shared" si="35"/>
        <v/>
      </c>
      <c r="I34" s="569" t="str">
        <f t="shared" si="35"/>
        <v/>
      </c>
      <c r="J34" s="569" t="str">
        <f t="shared" si="35"/>
        <v/>
      </c>
      <c r="K34" s="569" t="str">
        <f t="shared" si="35"/>
        <v/>
      </c>
      <c r="L34" s="569" t="str">
        <f t="shared" si="35"/>
        <v/>
      </c>
      <c r="M34" s="569" t="str">
        <f t="shared" si="35"/>
        <v/>
      </c>
      <c r="N34" s="569" t="str">
        <f t="shared" si="35"/>
        <v/>
      </c>
      <c r="O34" s="569" t="str">
        <f t="shared" si="35"/>
        <v/>
      </c>
      <c r="P34" s="569" t="str">
        <f t="shared" si="35"/>
        <v/>
      </c>
      <c r="Q34" s="477" t="str">
        <f t="shared" si="30"/>
        <v/>
      </c>
      <c r="R34" s="570" t="str">
        <f t="shared" si="31"/>
        <v/>
      </c>
    </row>
    <row r="35" ht="15.75" customHeight="1">
      <c r="A35" s="181">
        <v>7.0</v>
      </c>
      <c r="B35" s="12" t="str">
        <f t="shared" si="26"/>
        <v/>
      </c>
      <c r="C35" s="7" t="str">
        <f t="shared" si="27"/>
        <v/>
      </c>
      <c r="D35" s="12"/>
      <c r="E35" s="569" t="str">
        <f t="shared" si="28"/>
        <v/>
      </c>
      <c r="F35" s="569" t="str">
        <f t="shared" ref="F35:P35" si="36">E35</f>
        <v/>
      </c>
      <c r="G35" s="569" t="str">
        <f t="shared" si="36"/>
        <v/>
      </c>
      <c r="H35" s="569" t="str">
        <f t="shared" si="36"/>
        <v/>
      </c>
      <c r="I35" s="569" t="str">
        <f t="shared" si="36"/>
        <v/>
      </c>
      <c r="J35" s="569" t="str">
        <f t="shared" si="36"/>
        <v/>
      </c>
      <c r="K35" s="569" t="str">
        <f t="shared" si="36"/>
        <v/>
      </c>
      <c r="L35" s="569" t="str">
        <f t="shared" si="36"/>
        <v/>
      </c>
      <c r="M35" s="569" t="str">
        <f t="shared" si="36"/>
        <v/>
      </c>
      <c r="N35" s="569" t="str">
        <f t="shared" si="36"/>
        <v/>
      </c>
      <c r="O35" s="569" t="str">
        <f t="shared" si="36"/>
        <v/>
      </c>
      <c r="P35" s="569" t="str">
        <f t="shared" si="36"/>
        <v/>
      </c>
      <c r="Q35" s="477" t="str">
        <f t="shared" si="30"/>
        <v/>
      </c>
      <c r="R35" s="570" t="str">
        <f t="shared" si="31"/>
        <v/>
      </c>
    </row>
    <row r="36" ht="15.75" customHeight="1">
      <c r="A36" s="571">
        <v>8.0</v>
      </c>
      <c r="B36" s="418" t="str">
        <f t="shared" si="26"/>
        <v/>
      </c>
      <c r="C36" s="335" t="str">
        <f t="shared" si="27"/>
        <v/>
      </c>
      <c r="D36" s="418"/>
      <c r="E36" s="572" t="str">
        <f t="shared" si="28"/>
        <v/>
      </c>
      <c r="F36" s="572" t="str">
        <f t="shared" ref="F36:P36" si="37">E36</f>
        <v/>
      </c>
      <c r="G36" s="572" t="str">
        <f t="shared" si="37"/>
        <v/>
      </c>
      <c r="H36" s="572" t="str">
        <f t="shared" si="37"/>
        <v/>
      </c>
      <c r="I36" s="572" t="str">
        <f t="shared" si="37"/>
        <v/>
      </c>
      <c r="J36" s="572" t="str">
        <f t="shared" si="37"/>
        <v/>
      </c>
      <c r="K36" s="572" t="str">
        <f t="shared" si="37"/>
        <v/>
      </c>
      <c r="L36" s="572" t="str">
        <f t="shared" si="37"/>
        <v/>
      </c>
      <c r="M36" s="572" t="str">
        <f t="shared" si="37"/>
        <v/>
      </c>
      <c r="N36" s="572" t="str">
        <f t="shared" si="37"/>
        <v/>
      </c>
      <c r="O36" s="572" t="str">
        <f t="shared" si="37"/>
        <v/>
      </c>
      <c r="P36" s="572" t="str">
        <f t="shared" si="37"/>
        <v/>
      </c>
      <c r="Q36" s="575" t="str">
        <f t="shared" si="30"/>
        <v/>
      </c>
      <c r="R36" s="576" t="str">
        <f t="shared" si="31"/>
        <v/>
      </c>
    </row>
    <row r="37" ht="15.75" customHeight="1">
      <c r="B37" s="577"/>
      <c r="C37" s="578"/>
      <c r="D37" s="577"/>
      <c r="E37" s="579"/>
      <c r="F37" s="579"/>
      <c r="G37" s="579"/>
      <c r="H37" s="579"/>
      <c r="I37" s="579"/>
      <c r="J37" s="579"/>
      <c r="K37" s="579"/>
      <c r="L37" s="579"/>
      <c r="M37" s="579"/>
      <c r="N37" s="579"/>
      <c r="O37" s="579"/>
      <c r="P37" s="579"/>
      <c r="Q37" s="579"/>
      <c r="R37" s="577"/>
    </row>
    <row r="38" ht="15.75" customHeight="1">
      <c r="B38" s="12"/>
      <c r="C38" s="7"/>
      <c r="E38" s="165"/>
      <c r="F38" s="165"/>
      <c r="G38" s="165"/>
      <c r="H38" s="165"/>
      <c r="I38" s="165"/>
      <c r="J38" s="165"/>
      <c r="K38" s="165"/>
      <c r="L38" s="165"/>
      <c r="M38" s="165"/>
      <c r="N38" s="165"/>
      <c r="O38" s="165"/>
      <c r="P38" s="165"/>
      <c r="Q38" s="165"/>
    </row>
    <row r="39" ht="15.75" customHeight="1">
      <c r="B39" s="12"/>
      <c r="C39" s="7"/>
      <c r="E39" s="165"/>
      <c r="F39" s="165"/>
      <c r="G39" s="165"/>
      <c r="H39" s="165"/>
      <c r="I39" s="165"/>
      <c r="J39" s="165"/>
      <c r="K39" s="165"/>
      <c r="L39" s="165"/>
      <c r="M39" s="165"/>
      <c r="N39" s="165"/>
      <c r="O39" s="165"/>
      <c r="P39" s="165"/>
      <c r="Q39" s="165"/>
    </row>
    <row r="40" ht="15.75" customHeight="1">
      <c r="B40" s="12"/>
      <c r="C40" s="7"/>
      <c r="E40" s="165"/>
      <c r="F40" s="165" t="s">
        <v>316</v>
      </c>
      <c r="G40" s="165"/>
      <c r="H40" s="165"/>
      <c r="I40" s="165"/>
      <c r="J40" s="165" t="s">
        <v>176</v>
      </c>
      <c r="K40" s="165"/>
      <c r="L40" s="165"/>
      <c r="M40" s="165"/>
      <c r="N40" s="165" t="s">
        <v>30</v>
      </c>
      <c r="O40" s="165"/>
      <c r="P40" s="165"/>
      <c r="Q40" s="165"/>
    </row>
    <row r="41" ht="15.75" customHeight="1">
      <c r="B41" s="577" t="s">
        <v>1086</v>
      </c>
      <c r="C41" s="7"/>
      <c r="E41" s="165" t="s">
        <v>40</v>
      </c>
      <c r="F41" s="165" t="s">
        <v>41</v>
      </c>
      <c r="G41" s="165" t="s">
        <v>327</v>
      </c>
      <c r="H41" s="165"/>
      <c r="I41" s="165" t="s">
        <v>1087</v>
      </c>
      <c r="J41" s="165" t="s">
        <v>328</v>
      </c>
      <c r="K41" s="165" t="s">
        <v>329</v>
      </c>
      <c r="L41" s="165" t="s">
        <v>1088</v>
      </c>
      <c r="M41" s="165"/>
      <c r="N41" s="165" t="s">
        <v>315</v>
      </c>
      <c r="O41" s="165" t="s">
        <v>107</v>
      </c>
      <c r="P41" s="165" t="s">
        <v>109</v>
      </c>
      <c r="Q41" s="165"/>
    </row>
    <row r="42" ht="15.75" customHeight="1">
      <c r="A42" s="577"/>
      <c r="B42" s="12" t="str">
        <f t="shared" ref="B42:B49" si="38">B7</f>
        <v>Paint</v>
      </c>
      <c r="C42" s="7"/>
      <c r="E42" s="165">
        <f>IF('A. Background'!B15="Product/Service","",'A. Background'!D15)</f>
        <v>70</v>
      </c>
      <c r="F42" s="165">
        <f>IF('A. Background'!B15="Product/Service","",'A. Background'!E15)</f>
        <v>22.5</v>
      </c>
      <c r="G42" s="165">
        <f t="shared" ref="G42:G49" si="39">IFERROR(E42-F42,"")</f>
        <v>47.5</v>
      </c>
      <c r="H42" s="165"/>
      <c r="I42" s="165">
        <f t="shared" ref="I42:I49" si="40">IFERROR(F42/E42,"")</f>
        <v>0.3214285714</v>
      </c>
      <c r="J42" s="165"/>
      <c r="K42" s="165"/>
      <c r="L42" s="165"/>
      <c r="M42" s="165"/>
      <c r="N42" s="165">
        <f t="shared" ref="N42:N49" si="41">Q7</f>
        <v>1200</v>
      </c>
      <c r="O42" s="165" t="str">
        <f t="shared" ref="O42:O49" si="42">Q18</f>
        <v>#NAME?</v>
      </c>
      <c r="P42" s="165" t="str">
        <f t="shared" ref="P42:P49" si="43">Q29</f>
        <v>#NAME?</v>
      </c>
      <c r="Q42" s="165"/>
    </row>
    <row r="43" ht="15.75" customHeight="1">
      <c r="A43" s="577"/>
      <c r="B43" s="12" t="str">
        <f t="shared" si="38"/>
        <v>REMOVER</v>
      </c>
      <c r="C43" s="7"/>
      <c r="E43" s="165">
        <f>IF('A. Background'!B16="Product/Service","",'A. Background'!D16)</f>
        <v>15</v>
      </c>
      <c r="F43" s="165">
        <f>IF('A. Background'!B16="Product/Service","",'A. Background'!E16)</f>
        <v>3</v>
      </c>
      <c r="G43" s="165">
        <f t="shared" si="39"/>
        <v>12</v>
      </c>
      <c r="H43" s="165"/>
      <c r="I43" s="165">
        <f t="shared" si="40"/>
        <v>0.2</v>
      </c>
      <c r="J43" s="165"/>
      <c r="K43" s="165"/>
      <c r="L43" s="165"/>
      <c r="M43" s="165"/>
      <c r="N43" s="165">
        <f t="shared" si="41"/>
        <v>1200</v>
      </c>
      <c r="O43" s="165" t="str">
        <f t="shared" si="42"/>
        <v>#NAME?</v>
      </c>
      <c r="P43" s="165" t="str">
        <f t="shared" si="43"/>
        <v>#NAME?</v>
      </c>
      <c r="Q43" s="165"/>
    </row>
    <row r="44" ht="15.75" customHeight="1">
      <c r="A44" s="577"/>
      <c r="B44" s="12" t="str">
        <f t="shared" si="38"/>
        <v/>
      </c>
      <c r="C44" s="7"/>
      <c r="E44" s="165">
        <f>IF('A. Background'!B17="Product/Service","",'A. Background'!D17)</f>
        <v>0</v>
      </c>
      <c r="F44" s="165">
        <f>IF('A. Background'!B17="Product/Service","",'A. Background'!E17)</f>
        <v>0</v>
      </c>
      <c r="G44" s="165">
        <f t="shared" si="39"/>
        <v>0</v>
      </c>
      <c r="H44" s="165"/>
      <c r="I44" s="165" t="str">
        <f t="shared" si="40"/>
        <v/>
      </c>
      <c r="J44" s="165"/>
      <c r="K44" s="165"/>
      <c r="L44" s="165"/>
      <c r="M44" s="165"/>
      <c r="N44" s="165" t="str">
        <f t="shared" si="41"/>
        <v/>
      </c>
      <c r="O44" s="165" t="str">
        <f t="shared" si="42"/>
        <v/>
      </c>
      <c r="P44" s="165" t="str">
        <f t="shared" si="43"/>
        <v/>
      </c>
      <c r="Q44" s="165"/>
    </row>
    <row r="45" ht="15.75" customHeight="1">
      <c r="A45" s="577"/>
      <c r="B45" s="12" t="str">
        <f t="shared" si="38"/>
        <v/>
      </c>
      <c r="C45" s="7"/>
      <c r="E45" s="165">
        <f>IF('A. Background'!B18="Product/Service","",'A. Background'!D18)</f>
        <v>0</v>
      </c>
      <c r="F45" s="165">
        <f>IF('A. Background'!B18="Product/Service","",'A. Background'!E18)</f>
        <v>0</v>
      </c>
      <c r="G45" s="165">
        <f t="shared" si="39"/>
        <v>0</v>
      </c>
      <c r="H45" s="165"/>
      <c r="I45" s="165" t="str">
        <f t="shared" si="40"/>
        <v/>
      </c>
      <c r="J45" s="165"/>
      <c r="K45" s="165"/>
      <c r="L45" s="165"/>
      <c r="M45" s="165"/>
      <c r="N45" s="165" t="str">
        <f t="shared" si="41"/>
        <v/>
      </c>
      <c r="O45" s="165" t="str">
        <f t="shared" si="42"/>
        <v/>
      </c>
      <c r="P45" s="165" t="str">
        <f t="shared" si="43"/>
        <v/>
      </c>
      <c r="Q45" s="165"/>
    </row>
    <row r="46" ht="15.75" customHeight="1">
      <c r="A46" s="577"/>
      <c r="B46" s="12" t="str">
        <f t="shared" si="38"/>
        <v/>
      </c>
      <c r="C46" s="7"/>
      <c r="E46" s="165">
        <f>IF('A. Background'!B19="Product/Service","",'A. Background'!D19)</f>
        <v>0</v>
      </c>
      <c r="F46" s="165">
        <f>IF('A. Background'!B19="Product/Service","",'A. Background'!E19)</f>
        <v>0</v>
      </c>
      <c r="G46" s="165">
        <f t="shared" si="39"/>
        <v>0</v>
      </c>
      <c r="H46" s="165"/>
      <c r="I46" s="165" t="str">
        <f t="shared" si="40"/>
        <v/>
      </c>
      <c r="J46" s="165"/>
      <c r="K46" s="165"/>
      <c r="L46" s="165"/>
      <c r="M46" s="165"/>
      <c r="N46" s="165" t="str">
        <f t="shared" si="41"/>
        <v>#ERROR!</v>
      </c>
      <c r="O46" s="165" t="str">
        <f t="shared" si="42"/>
        <v/>
      </c>
      <c r="P46" s="165" t="str">
        <f t="shared" si="43"/>
        <v/>
      </c>
      <c r="Q46" s="165"/>
    </row>
    <row r="47" ht="15.75" customHeight="1">
      <c r="A47" s="577"/>
      <c r="B47" s="12" t="str">
        <f t="shared" si="38"/>
        <v/>
      </c>
      <c r="C47" s="7"/>
      <c r="E47" s="165">
        <f>IF('A. Background'!B20="Product/Service","",'A. Background'!D20)</f>
        <v>0</v>
      </c>
      <c r="F47" s="165">
        <f>IF('A. Background'!B20="Product/Service","",'A. Background'!E20)</f>
        <v>0</v>
      </c>
      <c r="G47" s="165">
        <f t="shared" si="39"/>
        <v>0</v>
      </c>
      <c r="H47" s="165"/>
      <c r="I47" s="165" t="str">
        <f t="shared" si="40"/>
        <v/>
      </c>
      <c r="J47" s="165"/>
      <c r="K47" s="165"/>
      <c r="L47" s="165"/>
      <c r="M47" s="165"/>
      <c r="N47" s="165" t="str">
        <f t="shared" si="41"/>
        <v>#ERROR!</v>
      </c>
      <c r="O47" s="165" t="str">
        <f t="shared" si="42"/>
        <v/>
      </c>
      <c r="P47" s="165" t="str">
        <f t="shared" si="43"/>
        <v/>
      </c>
      <c r="Q47" s="165"/>
    </row>
    <row r="48" ht="15.75" customHeight="1">
      <c r="A48" s="577"/>
      <c r="B48" s="12" t="str">
        <f t="shared" si="38"/>
        <v/>
      </c>
      <c r="C48" s="7"/>
      <c r="E48" s="165">
        <f>IF('A. Background'!B21="Product/Service","",'A. Background'!D21)</f>
        <v>0</v>
      </c>
      <c r="F48" s="165">
        <f>IF('A. Background'!B21="Product/Service","",'A. Background'!E21)</f>
        <v>0</v>
      </c>
      <c r="G48" s="165">
        <f t="shared" si="39"/>
        <v>0</v>
      </c>
      <c r="H48" s="165"/>
      <c r="I48" s="165" t="str">
        <f t="shared" si="40"/>
        <v/>
      </c>
      <c r="J48" s="165"/>
      <c r="K48" s="165"/>
      <c r="L48" s="165"/>
      <c r="M48" s="165"/>
      <c r="N48" s="165" t="str">
        <f t="shared" si="41"/>
        <v>#ERROR!</v>
      </c>
      <c r="O48" s="165" t="str">
        <f t="shared" si="42"/>
        <v/>
      </c>
      <c r="P48" s="165" t="str">
        <f t="shared" si="43"/>
        <v/>
      </c>
      <c r="Q48" s="165"/>
    </row>
    <row r="49" ht="15.75" customHeight="1">
      <c r="A49" s="577"/>
      <c r="B49" s="12" t="str">
        <f t="shared" si="38"/>
        <v/>
      </c>
      <c r="C49" s="7"/>
      <c r="E49" s="165">
        <f>IF('A. Background'!B22="Product/Service","",'A. Background'!D22)</f>
        <v>0</v>
      </c>
      <c r="F49" s="165">
        <f>IF('A. Background'!B22="Product/Service","",'A. Background'!E22)</f>
        <v>0</v>
      </c>
      <c r="G49" s="165">
        <f t="shared" si="39"/>
        <v>0</v>
      </c>
      <c r="H49" s="165"/>
      <c r="I49" s="165" t="str">
        <f t="shared" si="40"/>
        <v/>
      </c>
      <c r="J49" s="165"/>
      <c r="K49" s="165"/>
      <c r="L49" s="165"/>
      <c r="M49" s="165"/>
      <c r="N49" s="165" t="str">
        <f t="shared" si="41"/>
        <v>#ERROR!</v>
      </c>
      <c r="O49" s="165" t="str">
        <f t="shared" si="42"/>
        <v/>
      </c>
      <c r="P49" s="165" t="str">
        <f t="shared" si="43"/>
        <v/>
      </c>
      <c r="Q49" s="165"/>
    </row>
    <row r="50" ht="15.75" customHeight="1">
      <c r="B50" s="12"/>
      <c r="C50" s="7"/>
      <c r="E50" s="165"/>
      <c r="F50" s="165"/>
      <c r="G50" s="165"/>
      <c r="H50" s="165"/>
      <c r="I50" s="165"/>
      <c r="J50" s="165"/>
      <c r="K50" s="165"/>
      <c r="L50" s="165"/>
      <c r="M50" s="165"/>
      <c r="N50" s="165"/>
      <c r="O50" s="165"/>
      <c r="P50" s="165"/>
      <c r="Q50" s="165"/>
    </row>
    <row r="51" ht="15.75" customHeight="1">
      <c r="B51" s="12"/>
      <c r="C51" s="7"/>
      <c r="E51" s="165"/>
      <c r="F51" s="165"/>
      <c r="G51" s="165"/>
      <c r="H51" s="165"/>
      <c r="I51" s="165"/>
      <c r="J51" s="165"/>
      <c r="K51" s="165"/>
      <c r="L51" s="165"/>
      <c r="M51" s="165"/>
      <c r="N51" s="165"/>
      <c r="O51" s="165"/>
      <c r="P51" s="165"/>
      <c r="Q51" s="165"/>
    </row>
    <row r="52" ht="15.75" customHeight="1">
      <c r="B52" s="12"/>
      <c r="C52" s="7"/>
      <c r="E52" s="165"/>
      <c r="F52" s="165"/>
      <c r="G52" s="165"/>
      <c r="H52" s="165"/>
      <c r="I52" s="165"/>
      <c r="J52" s="165"/>
      <c r="K52" s="165"/>
      <c r="L52" s="165"/>
      <c r="M52" s="165"/>
      <c r="N52" s="165"/>
      <c r="O52" s="165"/>
      <c r="P52" s="165"/>
      <c r="Q52" s="165"/>
    </row>
    <row r="53" ht="15.75" customHeight="1">
      <c r="B53" s="12"/>
      <c r="C53" s="7"/>
      <c r="E53" s="165"/>
      <c r="F53" s="165"/>
      <c r="G53" s="165"/>
      <c r="H53" s="165"/>
      <c r="I53" s="165"/>
      <c r="J53" s="165"/>
      <c r="K53" s="165"/>
      <c r="L53" s="165"/>
      <c r="M53" s="165"/>
      <c r="N53" s="165"/>
      <c r="O53" s="165"/>
      <c r="P53" s="165"/>
      <c r="Q53" s="165"/>
    </row>
    <row r="54" ht="15.75" customHeight="1">
      <c r="B54" s="12"/>
      <c r="C54" s="7"/>
      <c r="E54" s="165"/>
      <c r="F54" s="165"/>
      <c r="G54" s="165"/>
      <c r="H54" s="165"/>
      <c r="I54" s="165"/>
      <c r="J54" s="165"/>
      <c r="K54" s="165"/>
      <c r="L54" s="165"/>
      <c r="M54" s="165"/>
      <c r="N54" s="165"/>
      <c r="O54" s="165"/>
      <c r="P54" s="165"/>
      <c r="Q54" s="165"/>
    </row>
    <row r="55" ht="15.75" customHeight="1">
      <c r="B55" s="12"/>
      <c r="C55" s="7"/>
      <c r="E55" s="165"/>
      <c r="F55" s="165"/>
      <c r="G55" s="165"/>
      <c r="H55" s="165"/>
      <c r="I55" s="165"/>
      <c r="J55" s="165"/>
      <c r="K55" s="165"/>
      <c r="L55" s="165"/>
      <c r="M55" s="165"/>
      <c r="N55" s="165"/>
      <c r="O55" s="165"/>
      <c r="P55" s="165"/>
      <c r="Q55" s="165"/>
    </row>
    <row r="56" ht="15.75" customHeight="1">
      <c r="B56" s="12"/>
      <c r="C56" s="7"/>
      <c r="E56" s="165"/>
      <c r="F56" s="165"/>
      <c r="G56" s="165"/>
      <c r="H56" s="165"/>
      <c r="I56" s="165"/>
      <c r="J56" s="165"/>
      <c r="K56" s="165"/>
      <c r="L56" s="165"/>
      <c r="M56" s="165"/>
      <c r="N56" s="165"/>
      <c r="O56" s="165"/>
      <c r="P56" s="165"/>
      <c r="Q56" s="165"/>
    </row>
    <row r="57" ht="15.75" customHeight="1">
      <c r="B57" s="12"/>
      <c r="C57" s="7"/>
      <c r="E57" s="165"/>
      <c r="F57" s="165"/>
      <c r="G57" s="165"/>
      <c r="H57" s="165"/>
      <c r="I57" s="165"/>
      <c r="J57" s="165"/>
      <c r="K57" s="165"/>
      <c r="L57" s="165"/>
      <c r="M57" s="165"/>
      <c r="N57" s="165"/>
      <c r="O57" s="165"/>
      <c r="P57" s="165"/>
      <c r="Q57" s="165"/>
    </row>
    <row r="58" ht="15.75" customHeight="1">
      <c r="B58" s="12"/>
      <c r="C58" s="7"/>
      <c r="E58" s="165"/>
      <c r="F58" s="165"/>
      <c r="G58" s="165"/>
      <c r="H58" s="165"/>
      <c r="I58" s="165"/>
      <c r="J58" s="165"/>
      <c r="K58" s="165"/>
      <c r="L58" s="165"/>
      <c r="M58" s="165"/>
      <c r="N58" s="165"/>
      <c r="O58" s="165"/>
      <c r="P58" s="165"/>
      <c r="Q58" s="165"/>
    </row>
    <row r="59" ht="15.75" customHeight="1">
      <c r="B59" s="12"/>
      <c r="C59" s="7"/>
      <c r="E59" s="165"/>
      <c r="F59" s="165"/>
      <c r="G59" s="165"/>
      <c r="H59" s="165"/>
      <c r="I59" s="165"/>
      <c r="J59" s="165"/>
      <c r="K59" s="165"/>
      <c r="L59" s="165"/>
      <c r="M59" s="165"/>
      <c r="N59" s="165"/>
      <c r="O59" s="165"/>
      <c r="P59" s="165"/>
      <c r="Q59" s="165"/>
    </row>
    <row r="60" ht="15.75" customHeight="1">
      <c r="B60" s="12"/>
      <c r="C60" s="7"/>
      <c r="E60" s="165"/>
      <c r="F60" s="165"/>
      <c r="G60" s="165"/>
      <c r="H60" s="165"/>
      <c r="I60" s="165"/>
      <c r="J60" s="165"/>
      <c r="K60" s="165"/>
      <c r="L60" s="165"/>
      <c r="M60" s="165"/>
      <c r="N60" s="165"/>
      <c r="O60" s="165"/>
      <c r="P60" s="165"/>
      <c r="Q60" s="165"/>
    </row>
    <row r="61" ht="15.75" customHeight="1">
      <c r="B61" s="12"/>
      <c r="C61" s="7"/>
      <c r="E61" s="165"/>
      <c r="F61" s="165"/>
      <c r="G61" s="165"/>
      <c r="H61" s="165"/>
      <c r="I61" s="165"/>
      <c r="J61" s="165"/>
      <c r="K61" s="165"/>
      <c r="L61" s="165"/>
      <c r="M61" s="165"/>
      <c r="N61" s="165"/>
      <c r="O61" s="165"/>
      <c r="P61" s="165"/>
      <c r="Q61" s="165"/>
    </row>
    <row r="62" ht="15.75" customHeight="1">
      <c r="B62" s="12"/>
      <c r="C62" s="7"/>
      <c r="E62" s="165"/>
      <c r="F62" s="165"/>
      <c r="G62" s="165"/>
      <c r="H62" s="165"/>
      <c r="I62" s="165"/>
      <c r="J62" s="165"/>
      <c r="K62" s="165"/>
      <c r="L62" s="165"/>
      <c r="M62" s="165"/>
      <c r="N62" s="165"/>
      <c r="O62" s="165"/>
      <c r="P62" s="165"/>
      <c r="Q62" s="165"/>
    </row>
    <row r="63" ht="15.75" customHeight="1">
      <c r="B63" s="12"/>
      <c r="C63" s="7"/>
      <c r="E63" s="165"/>
      <c r="F63" s="165"/>
      <c r="G63" s="165"/>
      <c r="H63" s="165"/>
      <c r="I63" s="165"/>
      <c r="J63" s="165"/>
      <c r="K63" s="165"/>
      <c r="L63" s="165"/>
      <c r="M63" s="165"/>
      <c r="N63" s="165"/>
      <c r="O63" s="165"/>
      <c r="P63" s="165"/>
      <c r="Q63" s="165"/>
    </row>
    <row r="64" ht="15.75" customHeight="1">
      <c r="B64" s="12"/>
      <c r="C64" s="7"/>
      <c r="E64" s="165"/>
      <c r="F64" s="165"/>
      <c r="G64" s="165"/>
      <c r="H64" s="165"/>
      <c r="I64" s="165"/>
      <c r="J64" s="165"/>
      <c r="K64" s="165"/>
      <c r="L64" s="165"/>
      <c r="M64" s="165"/>
      <c r="N64" s="165"/>
      <c r="O64" s="165"/>
      <c r="P64" s="165"/>
      <c r="Q64" s="165"/>
    </row>
    <row r="65" ht="15.75" customHeight="1">
      <c r="B65" s="12"/>
      <c r="C65" s="7"/>
      <c r="E65" s="165"/>
      <c r="F65" s="165"/>
      <c r="G65" s="165"/>
      <c r="H65" s="165"/>
      <c r="I65" s="165"/>
      <c r="J65" s="165"/>
      <c r="K65" s="165"/>
      <c r="L65" s="165"/>
      <c r="M65" s="165"/>
      <c r="N65" s="165"/>
      <c r="O65" s="165"/>
      <c r="P65" s="165"/>
      <c r="Q65" s="165"/>
    </row>
    <row r="66" ht="15.75" customHeight="1">
      <c r="B66" s="12"/>
      <c r="C66" s="7"/>
      <c r="E66" s="165"/>
      <c r="F66" s="165"/>
      <c r="G66" s="165"/>
      <c r="H66" s="165"/>
      <c r="I66" s="165"/>
      <c r="J66" s="165"/>
      <c r="K66" s="165"/>
      <c r="L66" s="165"/>
      <c r="M66" s="165"/>
      <c r="N66" s="165"/>
      <c r="O66" s="165"/>
      <c r="P66" s="165"/>
      <c r="Q66" s="165"/>
    </row>
    <row r="67" ht="15.75" customHeight="1">
      <c r="B67" s="12"/>
      <c r="C67" s="7"/>
      <c r="E67" s="165"/>
      <c r="F67" s="165"/>
      <c r="G67" s="165"/>
      <c r="H67" s="165"/>
      <c r="I67" s="165"/>
      <c r="J67" s="165"/>
      <c r="K67" s="165"/>
      <c r="L67" s="165"/>
      <c r="M67" s="165"/>
      <c r="N67" s="165"/>
      <c r="O67" s="165"/>
      <c r="P67" s="165"/>
      <c r="Q67" s="165"/>
    </row>
    <row r="68" ht="15.75" customHeight="1">
      <c r="B68" s="12"/>
      <c r="C68" s="7"/>
      <c r="E68" s="165"/>
      <c r="F68" s="165"/>
      <c r="G68" s="165"/>
      <c r="H68" s="165"/>
      <c r="I68" s="165"/>
      <c r="J68" s="165"/>
      <c r="K68" s="165"/>
      <c r="L68" s="165"/>
      <c r="M68" s="165"/>
      <c r="N68" s="165"/>
      <c r="O68" s="165"/>
      <c r="P68" s="165"/>
      <c r="Q68" s="165"/>
    </row>
    <row r="69" ht="15.75" customHeight="1">
      <c r="B69" s="12"/>
      <c r="C69" s="7"/>
      <c r="E69" s="165"/>
      <c r="F69" s="165"/>
      <c r="G69" s="165"/>
      <c r="H69" s="165"/>
      <c r="I69" s="165"/>
      <c r="J69" s="165"/>
      <c r="K69" s="165"/>
      <c r="L69" s="165"/>
      <c r="M69" s="165"/>
      <c r="N69" s="165"/>
      <c r="O69" s="165"/>
      <c r="P69" s="165"/>
      <c r="Q69" s="165"/>
    </row>
    <row r="70" ht="15.75" customHeight="1">
      <c r="B70" s="12"/>
      <c r="C70" s="7"/>
      <c r="E70" s="165"/>
      <c r="F70" s="165"/>
      <c r="G70" s="165"/>
      <c r="H70" s="165"/>
      <c r="I70" s="165"/>
      <c r="J70" s="165"/>
      <c r="K70" s="165"/>
      <c r="L70" s="165"/>
      <c r="M70" s="165"/>
      <c r="N70" s="165"/>
      <c r="O70" s="165"/>
      <c r="P70" s="165"/>
      <c r="Q70" s="165"/>
    </row>
    <row r="71" ht="15.75" customHeight="1">
      <c r="B71" s="12"/>
      <c r="C71" s="7"/>
      <c r="E71" s="165"/>
      <c r="F71" s="165"/>
      <c r="G71" s="165"/>
      <c r="H71" s="165"/>
      <c r="I71" s="165"/>
      <c r="J71" s="165"/>
      <c r="K71" s="165"/>
      <c r="L71" s="165"/>
      <c r="M71" s="165"/>
      <c r="N71" s="165"/>
      <c r="O71" s="165"/>
      <c r="P71" s="165"/>
      <c r="Q71" s="165"/>
    </row>
    <row r="72" ht="15.75" customHeight="1">
      <c r="B72" s="12"/>
      <c r="C72" s="7"/>
      <c r="E72" s="165"/>
      <c r="F72" s="165"/>
      <c r="G72" s="165"/>
      <c r="H72" s="165"/>
      <c r="I72" s="165"/>
      <c r="J72" s="165"/>
      <c r="K72" s="165"/>
      <c r="L72" s="165"/>
      <c r="M72" s="165"/>
      <c r="N72" s="165"/>
      <c r="O72" s="165"/>
      <c r="P72" s="165"/>
      <c r="Q72" s="165"/>
    </row>
    <row r="73" ht="15.75" customHeight="1">
      <c r="B73" s="12"/>
      <c r="C73" s="7"/>
      <c r="E73" s="165"/>
      <c r="F73" s="165"/>
      <c r="G73" s="165"/>
      <c r="H73" s="165"/>
      <c r="I73" s="165"/>
      <c r="J73" s="165"/>
      <c r="K73" s="165"/>
      <c r="L73" s="165"/>
      <c r="M73" s="165"/>
      <c r="N73" s="165"/>
      <c r="O73" s="165"/>
      <c r="P73" s="165"/>
      <c r="Q73" s="165"/>
    </row>
    <row r="74" ht="15.75" customHeight="1">
      <c r="B74" s="12"/>
      <c r="C74" s="7"/>
      <c r="E74" s="165"/>
      <c r="F74" s="165"/>
      <c r="G74" s="165"/>
      <c r="H74" s="165"/>
      <c r="I74" s="165"/>
      <c r="J74" s="165"/>
      <c r="K74" s="165"/>
      <c r="L74" s="165"/>
      <c r="M74" s="165"/>
      <c r="N74" s="165"/>
      <c r="O74" s="165"/>
      <c r="P74" s="165"/>
      <c r="Q74" s="165"/>
    </row>
    <row r="75" ht="15.75" customHeight="1">
      <c r="B75" s="12"/>
      <c r="C75" s="7"/>
      <c r="E75" s="165"/>
      <c r="F75" s="165"/>
      <c r="G75" s="165"/>
      <c r="H75" s="165"/>
      <c r="I75" s="165"/>
      <c r="J75" s="165"/>
      <c r="K75" s="165"/>
      <c r="L75" s="165"/>
      <c r="M75" s="165"/>
      <c r="N75" s="165"/>
      <c r="O75" s="165"/>
      <c r="P75" s="165"/>
      <c r="Q75" s="165"/>
    </row>
    <row r="76" ht="15.75" customHeight="1">
      <c r="B76" s="12"/>
      <c r="C76" s="7"/>
      <c r="E76" s="165"/>
      <c r="F76" s="165"/>
      <c r="G76" s="165"/>
      <c r="H76" s="165"/>
      <c r="I76" s="165"/>
      <c r="J76" s="165"/>
      <c r="K76" s="165"/>
      <c r="L76" s="165"/>
      <c r="M76" s="165"/>
      <c r="N76" s="165"/>
      <c r="O76" s="165"/>
      <c r="P76" s="165"/>
      <c r="Q76" s="165"/>
    </row>
    <row r="77" ht="15.75" customHeight="1">
      <c r="B77" s="12"/>
      <c r="C77" s="7"/>
      <c r="E77" s="165"/>
      <c r="F77" s="165"/>
      <c r="G77" s="165"/>
      <c r="H77" s="165"/>
      <c r="I77" s="165"/>
      <c r="J77" s="165"/>
      <c r="K77" s="165"/>
      <c r="L77" s="165"/>
      <c r="M77" s="165"/>
      <c r="N77" s="165"/>
      <c r="O77" s="165"/>
      <c r="P77" s="165"/>
      <c r="Q77" s="165"/>
    </row>
    <row r="78" ht="15.75" customHeight="1">
      <c r="B78" s="12"/>
      <c r="C78" s="7"/>
      <c r="E78" s="165"/>
      <c r="F78" s="165"/>
      <c r="G78" s="165"/>
      <c r="H78" s="165"/>
      <c r="I78" s="165"/>
      <c r="J78" s="165"/>
      <c r="K78" s="165"/>
      <c r="L78" s="165"/>
      <c r="M78" s="165"/>
      <c r="N78" s="165"/>
      <c r="O78" s="165"/>
      <c r="P78" s="165"/>
      <c r="Q78" s="165"/>
    </row>
    <row r="79" ht="15.75" customHeight="1">
      <c r="B79" s="12"/>
      <c r="C79" s="7"/>
      <c r="E79" s="165"/>
      <c r="F79" s="165"/>
      <c r="G79" s="165"/>
      <c r="H79" s="165"/>
      <c r="I79" s="165"/>
      <c r="J79" s="165"/>
      <c r="K79" s="165"/>
      <c r="L79" s="165"/>
      <c r="M79" s="165"/>
      <c r="N79" s="165"/>
      <c r="O79" s="165"/>
      <c r="P79" s="165"/>
      <c r="Q79" s="165"/>
    </row>
    <row r="80" ht="15.75" customHeight="1">
      <c r="B80" s="12"/>
      <c r="C80" s="7"/>
      <c r="E80" s="165"/>
      <c r="F80" s="165"/>
      <c r="G80" s="165"/>
      <c r="H80" s="165"/>
      <c r="I80" s="165"/>
      <c r="J80" s="165"/>
      <c r="K80" s="165"/>
      <c r="L80" s="165"/>
      <c r="M80" s="165"/>
      <c r="N80" s="165"/>
      <c r="O80" s="165"/>
      <c r="P80" s="165"/>
      <c r="Q80" s="165"/>
    </row>
    <row r="81" ht="15.75" customHeight="1">
      <c r="B81" s="12"/>
      <c r="C81" s="7"/>
      <c r="E81" s="165"/>
      <c r="F81" s="165"/>
      <c r="G81" s="165"/>
      <c r="H81" s="165"/>
      <c r="I81" s="165"/>
      <c r="J81" s="165"/>
      <c r="K81" s="165"/>
      <c r="L81" s="165"/>
      <c r="M81" s="165"/>
      <c r="N81" s="165"/>
      <c r="O81" s="165"/>
      <c r="P81" s="165"/>
      <c r="Q81" s="165"/>
    </row>
    <row r="82" ht="15.75" customHeight="1">
      <c r="B82" s="12"/>
      <c r="C82" s="7"/>
      <c r="E82" s="165"/>
      <c r="F82" s="165"/>
      <c r="G82" s="165"/>
      <c r="H82" s="165"/>
      <c r="I82" s="165"/>
      <c r="J82" s="165"/>
      <c r="K82" s="165"/>
      <c r="L82" s="165"/>
      <c r="M82" s="165"/>
      <c r="N82" s="165"/>
      <c r="O82" s="165"/>
      <c r="P82" s="165"/>
      <c r="Q82" s="165"/>
    </row>
    <row r="83" ht="15.75" customHeight="1">
      <c r="B83" s="12"/>
      <c r="C83" s="7"/>
      <c r="E83" s="165"/>
      <c r="F83" s="165"/>
      <c r="G83" s="165"/>
      <c r="H83" s="165"/>
      <c r="I83" s="165"/>
      <c r="J83" s="165"/>
      <c r="K83" s="165"/>
      <c r="L83" s="165"/>
      <c r="M83" s="165"/>
      <c r="N83" s="165"/>
      <c r="O83" s="165"/>
      <c r="P83" s="165"/>
      <c r="Q83" s="165"/>
    </row>
    <row r="84" ht="15.75" customHeight="1">
      <c r="B84" s="12"/>
      <c r="C84" s="7"/>
      <c r="E84" s="165"/>
      <c r="F84" s="165"/>
      <c r="G84" s="165"/>
      <c r="H84" s="165"/>
      <c r="I84" s="165"/>
      <c r="J84" s="165"/>
      <c r="K84" s="165"/>
      <c r="L84" s="165"/>
      <c r="M84" s="165"/>
      <c r="N84" s="165"/>
      <c r="O84" s="165"/>
      <c r="P84" s="165"/>
      <c r="Q84" s="165"/>
    </row>
    <row r="85" ht="15.75" customHeight="1">
      <c r="B85" s="12"/>
      <c r="C85" s="7"/>
      <c r="E85" s="165"/>
      <c r="F85" s="165"/>
      <c r="G85" s="165"/>
      <c r="H85" s="165"/>
      <c r="I85" s="165"/>
      <c r="J85" s="165"/>
      <c r="K85" s="165"/>
      <c r="L85" s="165"/>
      <c r="M85" s="165"/>
      <c r="N85" s="165"/>
      <c r="O85" s="165"/>
      <c r="P85" s="165"/>
      <c r="Q85" s="165"/>
    </row>
    <row r="86" ht="15.75" customHeight="1">
      <c r="B86" s="12"/>
      <c r="C86" s="7"/>
      <c r="E86" s="165"/>
      <c r="F86" s="165"/>
      <c r="G86" s="165"/>
      <c r="H86" s="165"/>
      <c r="I86" s="165"/>
      <c r="J86" s="165"/>
      <c r="K86" s="165"/>
      <c r="L86" s="165"/>
      <c r="M86" s="165"/>
      <c r="N86" s="165"/>
      <c r="O86" s="165"/>
      <c r="P86" s="165"/>
      <c r="Q86" s="165"/>
    </row>
    <row r="87" ht="15.75" customHeight="1">
      <c r="B87" s="12"/>
      <c r="C87" s="7"/>
      <c r="E87" s="165"/>
      <c r="F87" s="165"/>
      <c r="G87" s="165"/>
      <c r="H87" s="165"/>
      <c r="I87" s="165"/>
      <c r="J87" s="165"/>
      <c r="K87" s="165"/>
      <c r="L87" s="165"/>
      <c r="M87" s="165"/>
      <c r="N87" s="165"/>
      <c r="O87" s="165"/>
      <c r="P87" s="165"/>
      <c r="Q87" s="165"/>
    </row>
    <row r="88" ht="15.75" customHeight="1">
      <c r="B88" s="12"/>
      <c r="C88" s="7"/>
      <c r="E88" s="165"/>
      <c r="F88" s="165"/>
      <c r="G88" s="165"/>
      <c r="H88" s="165"/>
      <c r="I88" s="165"/>
      <c r="J88" s="165"/>
      <c r="K88" s="165"/>
      <c r="L88" s="165"/>
      <c r="M88" s="165"/>
      <c r="N88" s="165"/>
      <c r="O88" s="165"/>
      <c r="P88" s="165"/>
      <c r="Q88" s="165"/>
    </row>
    <row r="89" ht="15.75" customHeight="1">
      <c r="B89" s="12"/>
      <c r="C89" s="7"/>
      <c r="E89" s="165"/>
      <c r="F89" s="165"/>
      <c r="G89" s="165"/>
      <c r="H89" s="165"/>
      <c r="I89" s="165"/>
      <c r="J89" s="165"/>
      <c r="K89" s="165"/>
      <c r="L89" s="165"/>
      <c r="M89" s="165"/>
      <c r="N89" s="165"/>
      <c r="O89" s="165"/>
      <c r="P89" s="165"/>
      <c r="Q89" s="165"/>
    </row>
    <row r="90" ht="15.75" customHeight="1">
      <c r="B90" s="12"/>
      <c r="C90" s="7"/>
      <c r="E90" s="165"/>
      <c r="F90" s="165"/>
      <c r="G90" s="165"/>
      <c r="H90" s="165"/>
      <c r="I90" s="165"/>
      <c r="J90" s="165"/>
      <c r="K90" s="165"/>
      <c r="L90" s="165"/>
      <c r="M90" s="165"/>
      <c r="N90" s="165"/>
      <c r="O90" s="165"/>
      <c r="P90" s="165"/>
      <c r="Q90" s="165"/>
    </row>
    <row r="91" ht="15.75" customHeight="1">
      <c r="B91" s="12"/>
      <c r="C91" s="7"/>
      <c r="E91" s="165"/>
      <c r="F91" s="165"/>
      <c r="G91" s="165"/>
      <c r="H91" s="165"/>
      <c r="I91" s="165"/>
      <c r="J91" s="165"/>
      <c r="K91" s="165"/>
      <c r="L91" s="165"/>
      <c r="M91" s="165"/>
      <c r="N91" s="165"/>
      <c r="O91" s="165"/>
      <c r="P91" s="165"/>
      <c r="Q91" s="165"/>
    </row>
    <row r="92" ht="15.75" customHeight="1">
      <c r="B92" s="12"/>
      <c r="C92" s="7"/>
      <c r="E92" s="165"/>
      <c r="F92" s="165"/>
      <c r="G92" s="165"/>
      <c r="H92" s="165"/>
      <c r="I92" s="165"/>
      <c r="J92" s="165"/>
      <c r="K92" s="165"/>
      <c r="L92" s="165"/>
      <c r="M92" s="165"/>
      <c r="N92" s="165"/>
      <c r="O92" s="165"/>
      <c r="P92" s="165"/>
      <c r="Q92" s="165"/>
    </row>
    <row r="93" ht="15.75" customHeight="1">
      <c r="B93" s="12"/>
      <c r="C93" s="7"/>
      <c r="E93" s="165"/>
      <c r="F93" s="165"/>
      <c r="G93" s="165"/>
      <c r="H93" s="165"/>
      <c r="I93" s="165"/>
      <c r="J93" s="165"/>
      <c r="K93" s="165"/>
      <c r="L93" s="165"/>
      <c r="M93" s="165"/>
      <c r="N93" s="165"/>
      <c r="O93" s="165"/>
      <c r="P93" s="165"/>
      <c r="Q93" s="165"/>
    </row>
    <row r="94" ht="15.75" customHeight="1">
      <c r="B94" s="12"/>
      <c r="C94" s="7"/>
      <c r="E94" s="165"/>
      <c r="F94" s="165"/>
      <c r="G94" s="165"/>
      <c r="H94" s="165"/>
      <c r="I94" s="165"/>
      <c r="J94" s="165"/>
      <c r="K94" s="165"/>
      <c r="L94" s="165"/>
      <c r="M94" s="165"/>
      <c r="N94" s="165"/>
      <c r="O94" s="165"/>
      <c r="P94" s="165"/>
      <c r="Q94" s="165"/>
    </row>
    <row r="95" ht="15.75" customHeight="1">
      <c r="B95" s="12"/>
      <c r="C95" s="7"/>
      <c r="E95" s="165"/>
      <c r="F95" s="165"/>
      <c r="G95" s="165"/>
      <c r="H95" s="165"/>
      <c r="I95" s="165"/>
      <c r="J95" s="165"/>
      <c r="K95" s="165"/>
      <c r="L95" s="165"/>
      <c r="M95" s="165"/>
      <c r="N95" s="165"/>
      <c r="O95" s="165"/>
      <c r="P95" s="165"/>
      <c r="Q95" s="165"/>
    </row>
    <row r="96" ht="15.75" customHeight="1">
      <c r="B96" s="12"/>
      <c r="C96" s="7"/>
      <c r="E96" s="165"/>
      <c r="F96" s="165"/>
      <c r="G96" s="165"/>
      <c r="H96" s="165"/>
      <c r="I96" s="165"/>
      <c r="J96" s="165"/>
      <c r="K96" s="165"/>
      <c r="L96" s="165"/>
      <c r="M96" s="165"/>
      <c r="N96" s="165"/>
      <c r="O96" s="165"/>
      <c r="P96" s="165"/>
      <c r="Q96" s="165"/>
    </row>
    <row r="97" ht="15.75" customHeight="1">
      <c r="B97" s="12"/>
      <c r="C97" s="7"/>
      <c r="E97" s="165"/>
      <c r="F97" s="165"/>
      <c r="G97" s="165"/>
      <c r="H97" s="165"/>
      <c r="I97" s="165"/>
      <c r="J97" s="165"/>
      <c r="K97" s="165"/>
      <c r="L97" s="165"/>
      <c r="M97" s="165"/>
      <c r="N97" s="165"/>
      <c r="O97" s="165"/>
      <c r="P97" s="165"/>
      <c r="Q97" s="165"/>
    </row>
    <row r="98" ht="15.75" customHeight="1">
      <c r="B98" s="12"/>
      <c r="C98" s="7"/>
      <c r="E98" s="165"/>
      <c r="F98" s="165"/>
      <c r="G98" s="165"/>
      <c r="H98" s="165"/>
      <c r="I98" s="165"/>
      <c r="J98" s="165"/>
      <c r="K98" s="165"/>
      <c r="L98" s="165"/>
      <c r="M98" s="165"/>
      <c r="N98" s="165"/>
      <c r="O98" s="165"/>
      <c r="P98" s="165"/>
      <c r="Q98" s="165"/>
    </row>
    <row r="99" ht="15.75" customHeight="1">
      <c r="B99" s="12"/>
      <c r="C99" s="7"/>
      <c r="E99" s="165"/>
      <c r="F99" s="165"/>
      <c r="G99" s="165"/>
      <c r="H99" s="165"/>
      <c r="I99" s="165"/>
      <c r="J99" s="165"/>
      <c r="K99" s="165"/>
      <c r="L99" s="165"/>
      <c r="M99" s="165"/>
      <c r="N99" s="165"/>
      <c r="O99" s="165"/>
      <c r="P99" s="165"/>
      <c r="Q99" s="165"/>
    </row>
    <row r="100" ht="15.75" customHeight="1">
      <c r="B100" s="12"/>
      <c r="C100" s="7"/>
      <c r="E100" s="165"/>
      <c r="F100" s="165"/>
      <c r="G100" s="165"/>
      <c r="H100" s="165"/>
      <c r="I100" s="165"/>
      <c r="J100" s="165"/>
      <c r="K100" s="165"/>
      <c r="L100" s="165"/>
      <c r="M100" s="165"/>
      <c r="N100" s="165"/>
      <c r="O100" s="165"/>
      <c r="P100" s="165"/>
      <c r="Q100" s="165"/>
    </row>
    <row r="101" ht="15.75" customHeight="1">
      <c r="B101" s="12"/>
      <c r="C101" s="7"/>
      <c r="E101" s="165"/>
      <c r="F101" s="165"/>
      <c r="G101" s="165"/>
      <c r="H101" s="165"/>
      <c r="I101" s="165"/>
      <c r="J101" s="165"/>
      <c r="K101" s="165"/>
      <c r="L101" s="165"/>
      <c r="M101" s="165"/>
      <c r="N101" s="165"/>
      <c r="O101" s="165"/>
      <c r="P101" s="165"/>
      <c r="Q101" s="165"/>
    </row>
    <row r="102" ht="15.75" customHeight="1">
      <c r="B102" s="12"/>
      <c r="C102" s="7"/>
      <c r="E102" s="165"/>
      <c r="F102" s="165"/>
      <c r="G102" s="165"/>
      <c r="H102" s="165"/>
      <c r="I102" s="165"/>
      <c r="J102" s="165"/>
      <c r="K102" s="165"/>
      <c r="L102" s="165"/>
      <c r="M102" s="165"/>
      <c r="N102" s="165"/>
      <c r="O102" s="165"/>
      <c r="P102" s="165"/>
      <c r="Q102" s="165"/>
    </row>
    <row r="103" ht="15.75" customHeight="1">
      <c r="B103" s="12"/>
      <c r="C103" s="7"/>
      <c r="E103" s="165"/>
      <c r="F103" s="165"/>
      <c r="G103" s="165"/>
      <c r="H103" s="165"/>
      <c r="I103" s="165"/>
      <c r="J103" s="165"/>
      <c r="K103" s="165"/>
      <c r="L103" s="165"/>
      <c r="M103" s="165"/>
      <c r="N103" s="165"/>
      <c r="O103" s="165"/>
      <c r="P103" s="165"/>
      <c r="Q103" s="165"/>
    </row>
    <row r="104" ht="15.75" customHeight="1">
      <c r="B104" s="12"/>
      <c r="C104" s="7"/>
      <c r="E104" s="165"/>
      <c r="F104" s="165"/>
      <c r="G104" s="165"/>
      <c r="H104" s="165"/>
      <c r="I104" s="165"/>
      <c r="J104" s="165"/>
      <c r="K104" s="165"/>
      <c r="L104" s="165"/>
      <c r="M104" s="165"/>
      <c r="N104" s="165"/>
      <c r="O104" s="165"/>
      <c r="P104" s="165"/>
      <c r="Q104" s="165"/>
    </row>
    <row r="105" ht="15.75" customHeight="1">
      <c r="B105" s="12"/>
      <c r="C105" s="7"/>
      <c r="E105" s="165"/>
      <c r="F105" s="165"/>
      <c r="G105" s="165"/>
      <c r="H105" s="165"/>
      <c r="I105" s="165"/>
      <c r="J105" s="165"/>
      <c r="K105" s="165"/>
      <c r="L105" s="165"/>
      <c r="M105" s="165"/>
      <c r="N105" s="165"/>
      <c r="O105" s="165"/>
      <c r="P105" s="165"/>
      <c r="Q105" s="165"/>
    </row>
    <row r="106" ht="15.75" customHeight="1">
      <c r="B106" s="12"/>
      <c r="C106" s="7"/>
      <c r="E106" s="165"/>
      <c r="F106" s="165"/>
      <c r="G106" s="165"/>
      <c r="H106" s="165"/>
      <c r="I106" s="165"/>
      <c r="J106" s="165"/>
      <c r="K106" s="165"/>
      <c r="L106" s="165"/>
      <c r="M106" s="165"/>
      <c r="N106" s="165"/>
      <c r="O106" s="165"/>
      <c r="P106" s="165"/>
      <c r="Q106" s="165"/>
    </row>
    <row r="107" ht="15.75" customHeight="1">
      <c r="B107" s="12"/>
      <c r="C107" s="7"/>
      <c r="E107" s="165"/>
      <c r="F107" s="165"/>
      <c r="G107" s="165"/>
      <c r="H107" s="165"/>
      <c r="I107" s="165"/>
      <c r="J107" s="165"/>
      <c r="K107" s="165"/>
      <c r="L107" s="165"/>
      <c r="M107" s="165"/>
      <c r="N107" s="165"/>
      <c r="O107" s="165"/>
      <c r="P107" s="165"/>
      <c r="Q107" s="165"/>
    </row>
    <row r="108" ht="15.75" customHeight="1">
      <c r="B108" s="12"/>
      <c r="C108" s="7"/>
      <c r="E108" s="165"/>
      <c r="F108" s="165"/>
      <c r="G108" s="165"/>
      <c r="H108" s="165"/>
      <c r="I108" s="165"/>
      <c r="J108" s="165"/>
      <c r="K108" s="165"/>
      <c r="L108" s="165"/>
      <c r="M108" s="165"/>
      <c r="N108" s="165"/>
      <c r="O108" s="165"/>
      <c r="P108" s="165"/>
      <c r="Q108" s="165"/>
    </row>
    <row r="109" ht="15.75" customHeight="1">
      <c r="B109" s="12"/>
      <c r="C109" s="7"/>
      <c r="E109" s="165"/>
      <c r="F109" s="165"/>
      <c r="G109" s="165"/>
      <c r="H109" s="165"/>
      <c r="I109" s="165"/>
      <c r="J109" s="165"/>
      <c r="K109" s="165"/>
      <c r="L109" s="165"/>
      <c r="M109" s="165"/>
      <c r="N109" s="165"/>
      <c r="O109" s="165"/>
      <c r="P109" s="165"/>
      <c r="Q109" s="165"/>
    </row>
    <row r="110" ht="15.75" customHeight="1">
      <c r="B110" s="12"/>
      <c r="C110" s="7"/>
      <c r="E110" s="165"/>
      <c r="F110" s="165"/>
      <c r="G110" s="165"/>
      <c r="H110" s="165"/>
      <c r="I110" s="165"/>
      <c r="J110" s="165"/>
      <c r="K110" s="165"/>
      <c r="L110" s="165"/>
      <c r="M110" s="165"/>
      <c r="N110" s="165"/>
      <c r="O110" s="165"/>
      <c r="P110" s="165"/>
      <c r="Q110" s="165"/>
    </row>
    <row r="111" ht="15.75" customHeight="1">
      <c r="B111" s="12"/>
      <c r="C111" s="7"/>
      <c r="E111" s="165"/>
      <c r="F111" s="165"/>
      <c r="G111" s="165"/>
      <c r="H111" s="165"/>
      <c r="I111" s="165"/>
      <c r="J111" s="165"/>
      <c r="K111" s="165"/>
      <c r="L111" s="165"/>
      <c r="M111" s="165"/>
      <c r="N111" s="165"/>
      <c r="O111" s="165"/>
      <c r="P111" s="165"/>
      <c r="Q111" s="165"/>
    </row>
    <row r="112" ht="15.75" customHeight="1">
      <c r="B112" s="12"/>
      <c r="C112" s="7"/>
      <c r="E112" s="165"/>
      <c r="F112" s="165"/>
      <c r="G112" s="165"/>
      <c r="H112" s="165"/>
      <c r="I112" s="165"/>
      <c r="J112" s="165"/>
      <c r="K112" s="165"/>
      <c r="L112" s="165"/>
      <c r="M112" s="165"/>
      <c r="N112" s="165"/>
      <c r="O112" s="165"/>
      <c r="P112" s="165"/>
      <c r="Q112" s="165"/>
    </row>
    <row r="113" ht="15.75" customHeight="1">
      <c r="B113" s="12"/>
      <c r="C113" s="7"/>
      <c r="E113" s="165"/>
      <c r="F113" s="165"/>
      <c r="G113" s="165"/>
      <c r="H113" s="165"/>
      <c r="I113" s="165"/>
      <c r="J113" s="165"/>
      <c r="K113" s="165"/>
      <c r="L113" s="165"/>
      <c r="M113" s="165"/>
      <c r="N113" s="165"/>
      <c r="O113" s="165"/>
      <c r="P113" s="165"/>
      <c r="Q113" s="165"/>
    </row>
    <row r="114" ht="15.75" customHeight="1">
      <c r="B114" s="12"/>
      <c r="C114" s="7"/>
      <c r="E114" s="165"/>
      <c r="F114" s="165"/>
      <c r="G114" s="165"/>
      <c r="H114" s="165"/>
      <c r="I114" s="165"/>
      <c r="J114" s="165"/>
      <c r="K114" s="165"/>
      <c r="L114" s="165"/>
      <c r="M114" s="165"/>
      <c r="N114" s="165"/>
      <c r="O114" s="165"/>
      <c r="P114" s="165"/>
      <c r="Q114" s="165"/>
    </row>
    <row r="115" ht="15.75" customHeight="1">
      <c r="B115" s="12"/>
      <c r="C115" s="7"/>
      <c r="E115" s="165"/>
      <c r="F115" s="165"/>
      <c r="G115" s="165"/>
      <c r="H115" s="165"/>
      <c r="I115" s="165"/>
      <c r="J115" s="165"/>
      <c r="K115" s="165"/>
      <c r="L115" s="165"/>
      <c r="M115" s="165"/>
      <c r="N115" s="165"/>
      <c r="O115" s="165"/>
      <c r="P115" s="165"/>
      <c r="Q115" s="165"/>
    </row>
    <row r="116" ht="15.75" customHeight="1">
      <c r="B116" s="12"/>
      <c r="C116" s="7"/>
      <c r="E116" s="165"/>
      <c r="F116" s="165"/>
      <c r="G116" s="165"/>
      <c r="H116" s="165"/>
      <c r="I116" s="165"/>
      <c r="J116" s="165"/>
      <c r="K116" s="165"/>
      <c r="L116" s="165"/>
      <c r="M116" s="165"/>
      <c r="N116" s="165"/>
      <c r="O116" s="165"/>
      <c r="P116" s="165"/>
      <c r="Q116" s="165"/>
    </row>
    <row r="117" ht="15.75" customHeight="1">
      <c r="B117" s="12"/>
      <c r="C117" s="7"/>
      <c r="E117" s="165"/>
      <c r="F117" s="165"/>
      <c r="G117" s="165"/>
      <c r="H117" s="165"/>
      <c r="I117" s="165"/>
      <c r="J117" s="165"/>
      <c r="K117" s="165"/>
      <c r="L117" s="165"/>
      <c r="M117" s="165"/>
      <c r="N117" s="165"/>
      <c r="O117" s="165"/>
      <c r="P117" s="165"/>
      <c r="Q117" s="165"/>
    </row>
    <row r="118" ht="15.75" customHeight="1">
      <c r="B118" s="12"/>
      <c r="C118" s="7"/>
      <c r="E118" s="165"/>
      <c r="F118" s="165"/>
      <c r="G118" s="165"/>
      <c r="H118" s="165"/>
      <c r="I118" s="165"/>
      <c r="J118" s="165"/>
      <c r="K118" s="165"/>
      <c r="L118" s="165"/>
      <c r="M118" s="165"/>
      <c r="N118" s="165"/>
      <c r="O118" s="165"/>
      <c r="P118" s="165"/>
      <c r="Q118" s="165"/>
    </row>
    <row r="119" ht="15.75" customHeight="1">
      <c r="B119" s="12"/>
      <c r="C119" s="7"/>
      <c r="E119" s="165"/>
      <c r="F119" s="165"/>
      <c r="G119" s="165"/>
      <c r="H119" s="165"/>
      <c r="I119" s="165"/>
      <c r="J119" s="165"/>
      <c r="K119" s="165"/>
      <c r="L119" s="165"/>
      <c r="M119" s="165"/>
      <c r="N119" s="165"/>
      <c r="O119" s="165"/>
      <c r="P119" s="165"/>
      <c r="Q119" s="165"/>
    </row>
    <row r="120" ht="15.75" customHeight="1">
      <c r="B120" s="12"/>
      <c r="C120" s="7"/>
      <c r="E120" s="165"/>
      <c r="F120" s="165"/>
      <c r="G120" s="165"/>
      <c r="H120" s="165"/>
      <c r="I120" s="165"/>
      <c r="J120" s="165"/>
      <c r="K120" s="165"/>
      <c r="L120" s="165"/>
      <c r="M120" s="165"/>
      <c r="N120" s="165"/>
      <c r="O120" s="165"/>
      <c r="P120" s="165"/>
      <c r="Q120" s="165"/>
    </row>
    <row r="121" ht="15.75" customHeight="1">
      <c r="B121" s="12"/>
      <c r="C121" s="7"/>
      <c r="E121" s="165"/>
      <c r="F121" s="165"/>
      <c r="G121" s="165"/>
      <c r="H121" s="165"/>
      <c r="I121" s="165"/>
      <c r="J121" s="165"/>
      <c r="K121" s="165"/>
      <c r="L121" s="165"/>
      <c r="M121" s="165"/>
      <c r="N121" s="165"/>
      <c r="O121" s="165"/>
      <c r="P121" s="165"/>
      <c r="Q121" s="165"/>
    </row>
    <row r="122" ht="15.75" customHeight="1">
      <c r="B122" s="12"/>
      <c r="C122" s="7"/>
      <c r="E122" s="165"/>
      <c r="F122" s="165"/>
      <c r="G122" s="165"/>
      <c r="H122" s="165"/>
      <c r="I122" s="165"/>
      <c r="J122" s="165"/>
      <c r="K122" s="165"/>
      <c r="L122" s="165"/>
      <c r="M122" s="165"/>
      <c r="N122" s="165"/>
      <c r="O122" s="165"/>
      <c r="P122" s="165"/>
      <c r="Q122" s="165"/>
    </row>
    <row r="123" ht="15.75" customHeight="1">
      <c r="B123" s="12"/>
      <c r="C123" s="7"/>
      <c r="E123" s="165"/>
      <c r="F123" s="165"/>
      <c r="G123" s="165"/>
      <c r="H123" s="165"/>
      <c r="I123" s="165"/>
      <c r="J123" s="165"/>
      <c r="K123" s="165"/>
      <c r="L123" s="165"/>
      <c r="M123" s="165"/>
      <c r="N123" s="165"/>
      <c r="O123" s="165"/>
      <c r="P123" s="165"/>
      <c r="Q123" s="165"/>
    </row>
    <row r="124" ht="15.75" customHeight="1">
      <c r="B124" s="12"/>
      <c r="C124" s="7"/>
      <c r="E124" s="165"/>
      <c r="F124" s="165"/>
      <c r="G124" s="165"/>
      <c r="H124" s="165"/>
      <c r="I124" s="165"/>
      <c r="J124" s="165"/>
      <c r="K124" s="165"/>
      <c r="L124" s="165"/>
      <c r="M124" s="165"/>
      <c r="N124" s="165"/>
      <c r="O124" s="165"/>
      <c r="P124" s="165"/>
      <c r="Q124" s="165"/>
    </row>
    <row r="125" ht="15.75" customHeight="1">
      <c r="B125" s="12"/>
      <c r="C125" s="7"/>
      <c r="E125" s="165"/>
      <c r="F125" s="165"/>
      <c r="G125" s="165"/>
      <c r="H125" s="165"/>
      <c r="I125" s="165"/>
      <c r="J125" s="165"/>
      <c r="K125" s="165"/>
      <c r="L125" s="165"/>
      <c r="M125" s="165"/>
      <c r="N125" s="165"/>
      <c r="O125" s="165"/>
      <c r="P125" s="165"/>
      <c r="Q125" s="165"/>
    </row>
    <row r="126" ht="15.75" customHeight="1">
      <c r="B126" s="12"/>
      <c r="C126" s="7"/>
      <c r="E126" s="165"/>
      <c r="F126" s="165"/>
      <c r="G126" s="165"/>
      <c r="H126" s="165"/>
      <c r="I126" s="165"/>
      <c r="J126" s="165"/>
      <c r="K126" s="165"/>
      <c r="L126" s="165"/>
      <c r="M126" s="165"/>
      <c r="N126" s="165"/>
      <c r="O126" s="165"/>
      <c r="P126" s="165"/>
      <c r="Q126" s="165"/>
    </row>
    <row r="127" ht="15.75" customHeight="1">
      <c r="B127" s="12"/>
      <c r="C127" s="7"/>
      <c r="E127" s="165"/>
      <c r="F127" s="165"/>
      <c r="G127" s="165"/>
      <c r="H127" s="165"/>
      <c r="I127" s="165"/>
      <c r="J127" s="165"/>
      <c r="K127" s="165"/>
      <c r="L127" s="165"/>
      <c r="M127" s="165"/>
      <c r="N127" s="165"/>
      <c r="O127" s="165"/>
      <c r="P127" s="165"/>
      <c r="Q127" s="165"/>
    </row>
    <row r="128" ht="15.75" customHeight="1">
      <c r="B128" s="12"/>
      <c r="C128" s="7"/>
      <c r="E128" s="165"/>
      <c r="F128" s="165"/>
      <c r="G128" s="165"/>
      <c r="H128" s="165"/>
      <c r="I128" s="165"/>
      <c r="J128" s="165"/>
      <c r="K128" s="165"/>
      <c r="L128" s="165"/>
      <c r="M128" s="165"/>
      <c r="N128" s="165"/>
      <c r="O128" s="165"/>
      <c r="P128" s="165"/>
      <c r="Q128" s="165"/>
    </row>
    <row r="129" ht="15.75" customHeight="1">
      <c r="B129" s="12"/>
      <c r="C129" s="7"/>
      <c r="E129" s="165"/>
      <c r="F129" s="165"/>
      <c r="G129" s="165"/>
      <c r="H129" s="165"/>
      <c r="I129" s="165"/>
      <c r="J129" s="165"/>
      <c r="K129" s="165"/>
      <c r="L129" s="165"/>
      <c r="M129" s="165"/>
      <c r="N129" s="165"/>
      <c r="O129" s="165"/>
      <c r="P129" s="165"/>
      <c r="Q129" s="165"/>
    </row>
    <row r="130" ht="15.75" customHeight="1">
      <c r="B130" s="12"/>
      <c r="C130" s="7"/>
      <c r="E130" s="165"/>
      <c r="F130" s="165"/>
      <c r="G130" s="165"/>
      <c r="H130" s="165"/>
      <c r="I130" s="165"/>
      <c r="J130" s="165"/>
      <c r="K130" s="165"/>
      <c r="L130" s="165"/>
      <c r="M130" s="165"/>
      <c r="N130" s="165"/>
      <c r="O130" s="165"/>
      <c r="P130" s="165"/>
      <c r="Q130" s="165"/>
    </row>
    <row r="131" ht="15.75" customHeight="1">
      <c r="B131" s="12"/>
      <c r="C131" s="7"/>
      <c r="E131" s="165"/>
      <c r="F131" s="165"/>
      <c r="G131" s="165"/>
      <c r="H131" s="165"/>
      <c r="I131" s="165"/>
      <c r="J131" s="165"/>
      <c r="K131" s="165"/>
      <c r="L131" s="165"/>
      <c r="M131" s="165"/>
      <c r="N131" s="165"/>
      <c r="O131" s="165"/>
      <c r="P131" s="165"/>
      <c r="Q131" s="165"/>
    </row>
    <row r="132" ht="15.75" customHeight="1">
      <c r="B132" s="12"/>
      <c r="C132" s="7"/>
      <c r="E132" s="165"/>
      <c r="F132" s="165"/>
      <c r="G132" s="165"/>
      <c r="H132" s="165"/>
      <c r="I132" s="165"/>
      <c r="J132" s="165"/>
      <c r="K132" s="165"/>
      <c r="L132" s="165"/>
      <c r="M132" s="165"/>
      <c r="N132" s="165"/>
      <c r="O132" s="165"/>
      <c r="P132" s="165"/>
      <c r="Q132" s="165"/>
    </row>
    <row r="133" ht="15.75" customHeight="1">
      <c r="B133" s="12"/>
      <c r="C133" s="7"/>
      <c r="E133" s="165"/>
      <c r="F133" s="165"/>
      <c r="G133" s="165"/>
      <c r="H133" s="165"/>
      <c r="I133" s="165"/>
      <c r="J133" s="165"/>
      <c r="K133" s="165"/>
      <c r="L133" s="165"/>
      <c r="M133" s="165"/>
      <c r="N133" s="165"/>
      <c r="O133" s="165"/>
      <c r="P133" s="165"/>
      <c r="Q133" s="165"/>
    </row>
    <row r="134" ht="15.75" customHeight="1">
      <c r="B134" s="12"/>
      <c r="C134" s="7"/>
      <c r="E134" s="165"/>
      <c r="F134" s="165"/>
      <c r="G134" s="165"/>
      <c r="H134" s="165"/>
      <c r="I134" s="165"/>
      <c r="J134" s="165"/>
      <c r="K134" s="165"/>
      <c r="L134" s="165"/>
      <c r="M134" s="165"/>
      <c r="N134" s="165"/>
      <c r="O134" s="165"/>
      <c r="P134" s="165"/>
      <c r="Q134" s="165"/>
    </row>
    <row r="135" ht="15.75" customHeight="1">
      <c r="B135" s="12"/>
      <c r="C135" s="7"/>
      <c r="E135" s="165"/>
      <c r="F135" s="165"/>
      <c r="G135" s="165"/>
      <c r="H135" s="165"/>
      <c r="I135" s="165"/>
      <c r="J135" s="165"/>
      <c r="K135" s="165"/>
      <c r="L135" s="165"/>
      <c r="M135" s="165"/>
      <c r="N135" s="165"/>
      <c r="O135" s="165"/>
      <c r="P135" s="165"/>
      <c r="Q135" s="165"/>
    </row>
    <row r="136" ht="15.75" customHeight="1">
      <c r="B136" s="12"/>
      <c r="C136" s="7"/>
      <c r="E136" s="165"/>
      <c r="F136" s="165"/>
      <c r="G136" s="165"/>
      <c r="H136" s="165"/>
      <c r="I136" s="165"/>
      <c r="J136" s="165"/>
      <c r="K136" s="165"/>
      <c r="L136" s="165"/>
      <c r="M136" s="165"/>
      <c r="N136" s="165"/>
      <c r="O136" s="165"/>
      <c r="P136" s="165"/>
      <c r="Q136" s="165"/>
    </row>
    <row r="137" ht="15.75" customHeight="1">
      <c r="B137" s="12"/>
      <c r="C137" s="7"/>
      <c r="E137" s="165"/>
      <c r="F137" s="165"/>
      <c r="G137" s="165"/>
      <c r="H137" s="165"/>
      <c r="I137" s="165"/>
      <c r="J137" s="165"/>
      <c r="K137" s="165"/>
      <c r="L137" s="165"/>
      <c r="M137" s="165"/>
      <c r="N137" s="165"/>
      <c r="O137" s="165"/>
      <c r="P137" s="165"/>
      <c r="Q137" s="165"/>
    </row>
    <row r="138" ht="15.75" customHeight="1">
      <c r="B138" s="12"/>
      <c r="C138" s="7"/>
      <c r="E138" s="165"/>
      <c r="F138" s="165"/>
      <c r="G138" s="165"/>
      <c r="H138" s="165"/>
      <c r="I138" s="165"/>
      <c r="J138" s="165"/>
      <c r="K138" s="165"/>
      <c r="L138" s="165"/>
      <c r="M138" s="165"/>
      <c r="N138" s="165"/>
      <c r="O138" s="165"/>
      <c r="P138" s="165"/>
      <c r="Q138" s="165"/>
    </row>
    <row r="139" ht="15.75" customHeight="1">
      <c r="B139" s="12"/>
      <c r="C139" s="7"/>
      <c r="E139" s="165"/>
      <c r="F139" s="165"/>
      <c r="G139" s="165"/>
      <c r="H139" s="165"/>
      <c r="I139" s="165"/>
      <c r="J139" s="165"/>
      <c r="K139" s="165"/>
      <c r="L139" s="165"/>
      <c r="M139" s="165"/>
      <c r="N139" s="165"/>
      <c r="O139" s="165"/>
      <c r="P139" s="165"/>
      <c r="Q139" s="165"/>
    </row>
    <row r="140" ht="15.75" customHeight="1">
      <c r="B140" s="12"/>
      <c r="C140" s="7"/>
      <c r="E140" s="165"/>
      <c r="F140" s="165"/>
      <c r="G140" s="165"/>
      <c r="H140" s="165"/>
      <c r="I140" s="165"/>
      <c r="J140" s="165"/>
      <c r="K140" s="165"/>
      <c r="L140" s="165"/>
      <c r="M140" s="165"/>
      <c r="N140" s="165"/>
      <c r="O140" s="165"/>
      <c r="P140" s="165"/>
      <c r="Q140" s="165"/>
    </row>
    <row r="141" ht="15.75" customHeight="1">
      <c r="B141" s="12"/>
      <c r="C141" s="7"/>
      <c r="E141" s="165"/>
      <c r="F141" s="165"/>
      <c r="G141" s="165"/>
      <c r="H141" s="165"/>
      <c r="I141" s="165"/>
      <c r="J141" s="165"/>
      <c r="K141" s="165"/>
      <c r="L141" s="165"/>
      <c r="M141" s="165"/>
      <c r="N141" s="165"/>
      <c r="O141" s="165"/>
      <c r="P141" s="165"/>
      <c r="Q141" s="165"/>
    </row>
    <row r="142" ht="15.75" customHeight="1">
      <c r="B142" s="12"/>
      <c r="C142" s="7"/>
      <c r="E142" s="165"/>
      <c r="F142" s="165"/>
      <c r="G142" s="165"/>
      <c r="H142" s="165"/>
      <c r="I142" s="165"/>
      <c r="J142" s="165"/>
      <c r="K142" s="165"/>
      <c r="L142" s="165"/>
      <c r="M142" s="165"/>
      <c r="N142" s="165"/>
      <c r="O142" s="165"/>
      <c r="P142" s="165"/>
      <c r="Q142" s="165"/>
    </row>
    <row r="143" ht="15.75" customHeight="1">
      <c r="B143" s="12"/>
      <c r="C143" s="7"/>
      <c r="E143" s="165"/>
      <c r="F143" s="165"/>
      <c r="G143" s="165"/>
      <c r="H143" s="165"/>
      <c r="I143" s="165"/>
      <c r="J143" s="165"/>
      <c r="K143" s="165"/>
      <c r="L143" s="165"/>
      <c r="M143" s="165"/>
      <c r="N143" s="165"/>
      <c r="O143" s="165"/>
      <c r="P143" s="165"/>
      <c r="Q143" s="165"/>
    </row>
    <row r="144" ht="15.75" customHeight="1">
      <c r="B144" s="12"/>
      <c r="C144" s="7"/>
      <c r="E144" s="165"/>
      <c r="F144" s="165"/>
      <c r="G144" s="165"/>
      <c r="H144" s="165"/>
      <c r="I144" s="165"/>
      <c r="J144" s="165"/>
      <c r="K144" s="165"/>
      <c r="L144" s="165"/>
      <c r="M144" s="165"/>
      <c r="N144" s="165"/>
      <c r="O144" s="165"/>
      <c r="P144" s="165"/>
      <c r="Q144" s="165"/>
    </row>
    <row r="145" ht="15.75" customHeight="1">
      <c r="B145" s="12"/>
      <c r="C145" s="7"/>
      <c r="E145" s="165"/>
      <c r="F145" s="165"/>
      <c r="G145" s="165"/>
      <c r="H145" s="165"/>
      <c r="I145" s="165"/>
      <c r="J145" s="165"/>
      <c r="K145" s="165"/>
      <c r="L145" s="165"/>
      <c r="M145" s="165"/>
      <c r="N145" s="165"/>
      <c r="O145" s="165"/>
      <c r="P145" s="165"/>
      <c r="Q145" s="165"/>
    </row>
    <row r="146" ht="15.75" customHeight="1">
      <c r="B146" s="12"/>
      <c r="C146" s="7"/>
      <c r="E146" s="165"/>
      <c r="F146" s="165"/>
      <c r="G146" s="165"/>
      <c r="H146" s="165"/>
      <c r="I146" s="165"/>
      <c r="J146" s="165"/>
      <c r="K146" s="165"/>
      <c r="L146" s="165"/>
      <c r="M146" s="165"/>
      <c r="N146" s="165"/>
      <c r="O146" s="165"/>
      <c r="P146" s="165"/>
      <c r="Q146" s="165"/>
    </row>
    <row r="147" ht="15.75" customHeight="1">
      <c r="B147" s="12"/>
      <c r="C147" s="7"/>
      <c r="E147" s="165"/>
      <c r="F147" s="165"/>
      <c r="G147" s="165"/>
      <c r="H147" s="165"/>
      <c r="I147" s="165"/>
      <c r="J147" s="165"/>
      <c r="K147" s="165"/>
      <c r="L147" s="165"/>
      <c r="M147" s="165"/>
      <c r="N147" s="165"/>
      <c r="O147" s="165"/>
      <c r="P147" s="165"/>
      <c r="Q147" s="165"/>
    </row>
    <row r="148" ht="15.75" customHeight="1">
      <c r="B148" s="12"/>
      <c r="C148" s="7"/>
      <c r="E148" s="165"/>
      <c r="F148" s="165"/>
      <c r="G148" s="165"/>
      <c r="H148" s="165"/>
      <c r="I148" s="165"/>
      <c r="J148" s="165"/>
      <c r="K148" s="165"/>
      <c r="L148" s="165"/>
      <c r="M148" s="165"/>
      <c r="N148" s="165"/>
      <c r="O148" s="165"/>
      <c r="P148" s="165"/>
      <c r="Q148" s="165"/>
    </row>
    <row r="149" ht="15.75" customHeight="1">
      <c r="B149" s="12"/>
      <c r="C149" s="7"/>
      <c r="E149" s="165"/>
      <c r="F149" s="165"/>
      <c r="G149" s="165"/>
      <c r="H149" s="165"/>
      <c r="I149" s="165"/>
      <c r="J149" s="165"/>
      <c r="K149" s="165"/>
      <c r="L149" s="165"/>
      <c r="M149" s="165"/>
      <c r="N149" s="165"/>
      <c r="O149" s="165"/>
      <c r="P149" s="165"/>
      <c r="Q149" s="165"/>
    </row>
    <row r="150" ht="15.75" customHeight="1">
      <c r="B150" s="12"/>
      <c r="C150" s="7"/>
      <c r="E150" s="165"/>
      <c r="F150" s="165"/>
      <c r="G150" s="165"/>
      <c r="H150" s="165"/>
      <c r="I150" s="165"/>
      <c r="J150" s="165"/>
      <c r="K150" s="165"/>
      <c r="L150" s="165"/>
      <c r="M150" s="165"/>
      <c r="N150" s="165"/>
      <c r="O150" s="165"/>
      <c r="P150" s="165"/>
      <c r="Q150" s="165"/>
    </row>
    <row r="151" ht="15.75" customHeight="1">
      <c r="B151" s="12"/>
      <c r="C151" s="7"/>
      <c r="E151" s="165"/>
      <c r="F151" s="165"/>
      <c r="G151" s="165"/>
      <c r="H151" s="165"/>
      <c r="I151" s="165"/>
      <c r="J151" s="165"/>
      <c r="K151" s="165"/>
      <c r="L151" s="165"/>
      <c r="M151" s="165"/>
      <c r="N151" s="165"/>
      <c r="O151" s="165"/>
      <c r="P151" s="165"/>
      <c r="Q151" s="165"/>
    </row>
    <row r="152" ht="15.75" customHeight="1">
      <c r="B152" s="12"/>
      <c r="C152" s="7"/>
      <c r="E152" s="165"/>
      <c r="F152" s="165"/>
      <c r="G152" s="165"/>
      <c r="H152" s="165"/>
      <c r="I152" s="165"/>
      <c r="J152" s="165"/>
      <c r="K152" s="165"/>
      <c r="L152" s="165"/>
      <c r="M152" s="165"/>
      <c r="N152" s="165"/>
      <c r="O152" s="165"/>
      <c r="P152" s="165"/>
      <c r="Q152" s="165"/>
    </row>
    <row r="153" ht="15.75" customHeight="1">
      <c r="B153" s="12"/>
      <c r="C153" s="7"/>
      <c r="E153" s="165"/>
      <c r="F153" s="165"/>
      <c r="G153" s="165"/>
      <c r="H153" s="165"/>
      <c r="I153" s="165"/>
      <c r="J153" s="165"/>
      <c r="K153" s="165"/>
      <c r="L153" s="165"/>
      <c r="M153" s="165"/>
      <c r="N153" s="165"/>
      <c r="O153" s="165"/>
      <c r="P153" s="165"/>
      <c r="Q153" s="165"/>
    </row>
    <row r="154" ht="15.75" customHeight="1">
      <c r="B154" s="12"/>
      <c r="C154" s="7"/>
      <c r="E154" s="165"/>
      <c r="F154" s="165"/>
      <c r="G154" s="165"/>
      <c r="H154" s="165"/>
      <c r="I154" s="165"/>
      <c r="J154" s="165"/>
      <c r="K154" s="165"/>
      <c r="L154" s="165"/>
      <c r="M154" s="165"/>
      <c r="N154" s="165"/>
      <c r="O154" s="165"/>
      <c r="P154" s="165"/>
      <c r="Q154" s="165"/>
    </row>
    <row r="155" ht="15.75" customHeight="1">
      <c r="B155" s="12"/>
      <c r="C155" s="7"/>
      <c r="E155" s="165"/>
      <c r="F155" s="165"/>
      <c r="G155" s="165"/>
      <c r="H155" s="165"/>
      <c r="I155" s="165"/>
      <c r="J155" s="165"/>
      <c r="K155" s="165"/>
      <c r="L155" s="165"/>
      <c r="M155" s="165"/>
      <c r="N155" s="165"/>
      <c r="O155" s="165"/>
      <c r="P155" s="165"/>
      <c r="Q155" s="165"/>
    </row>
    <row r="156" ht="15.75" customHeight="1">
      <c r="B156" s="12"/>
      <c r="C156" s="7"/>
      <c r="E156" s="165"/>
      <c r="F156" s="165"/>
      <c r="G156" s="165"/>
      <c r="H156" s="165"/>
      <c r="I156" s="165"/>
      <c r="J156" s="165"/>
      <c r="K156" s="165"/>
      <c r="L156" s="165"/>
      <c r="M156" s="165"/>
      <c r="N156" s="165"/>
      <c r="O156" s="165"/>
      <c r="P156" s="165"/>
      <c r="Q156" s="165"/>
    </row>
    <row r="157" ht="15.75" customHeight="1">
      <c r="B157" s="12"/>
      <c r="C157" s="7"/>
      <c r="E157" s="165"/>
      <c r="F157" s="165"/>
      <c r="G157" s="165"/>
      <c r="H157" s="165"/>
      <c r="I157" s="165"/>
      <c r="J157" s="165"/>
      <c r="K157" s="165"/>
      <c r="L157" s="165"/>
      <c r="M157" s="165"/>
      <c r="N157" s="165"/>
      <c r="O157" s="165"/>
      <c r="P157" s="165"/>
      <c r="Q157" s="165"/>
    </row>
    <row r="158" ht="15.75" customHeight="1">
      <c r="B158" s="12"/>
      <c r="C158" s="7"/>
      <c r="E158" s="165"/>
      <c r="F158" s="165"/>
      <c r="G158" s="165"/>
      <c r="H158" s="165"/>
      <c r="I158" s="165"/>
      <c r="J158" s="165"/>
      <c r="K158" s="165"/>
      <c r="L158" s="165"/>
      <c r="M158" s="165"/>
      <c r="N158" s="165"/>
      <c r="O158" s="165"/>
      <c r="P158" s="165"/>
      <c r="Q158" s="165"/>
    </row>
    <row r="159" ht="15.75" customHeight="1">
      <c r="B159" s="12"/>
      <c r="C159" s="7"/>
      <c r="E159" s="165"/>
      <c r="F159" s="165"/>
      <c r="G159" s="165"/>
      <c r="H159" s="165"/>
      <c r="I159" s="165"/>
      <c r="J159" s="165"/>
      <c r="K159" s="165"/>
      <c r="L159" s="165"/>
      <c r="M159" s="165"/>
      <c r="N159" s="165"/>
      <c r="O159" s="165"/>
      <c r="P159" s="165"/>
      <c r="Q159" s="165"/>
    </row>
    <row r="160" ht="15.75" customHeight="1">
      <c r="B160" s="12"/>
      <c r="C160" s="7"/>
      <c r="E160" s="165"/>
      <c r="F160" s="165"/>
      <c r="G160" s="165"/>
      <c r="H160" s="165"/>
      <c r="I160" s="165"/>
      <c r="J160" s="165"/>
      <c r="K160" s="165"/>
      <c r="L160" s="165"/>
      <c r="M160" s="165"/>
      <c r="N160" s="165"/>
      <c r="O160" s="165"/>
      <c r="P160" s="165"/>
      <c r="Q160" s="165"/>
    </row>
    <row r="161" ht="15.75" customHeight="1">
      <c r="B161" s="12"/>
      <c r="C161" s="7"/>
      <c r="E161" s="165"/>
      <c r="F161" s="165"/>
      <c r="G161" s="165"/>
      <c r="H161" s="165"/>
      <c r="I161" s="165"/>
      <c r="J161" s="165"/>
      <c r="K161" s="165"/>
      <c r="L161" s="165"/>
      <c r="M161" s="165"/>
      <c r="N161" s="165"/>
      <c r="O161" s="165"/>
      <c r="P161" s="165"/>
      <c r="Q161" s="165"/>
    </row>
    <row r="162" ht="15.75" customHeight="1">
      <c r="B162" s="12"/>
      <c r="C162" s="7"/>
      <c r="E162" s="165"/>
      <c r="F162" s="165"/>
      <c r="G162" s="165"/>
      <c r="H162" s="165"/>
      <c r="I162" s="165"/>
      <c r="J162" s="165"/>
      <c r="K162" s="165"/>
      <c r="L162" s="165"/>
      <c r="M162" s="165"/>
      <c r="N162" s="165"/>
      <c r="O162" s="165"/>
      <c r="P162" s="165"/>
      <c r="Q162" s="165"/>
    </row>
    <row r="163" ht="15.75" customHeight="1">
      <c r="B163" s="12"/>
      <c r="C163" s="7"/>
      <c r="E163" s="165"/>
      <c r="F163" s="165"/>
      <c r="G163" s="165"/>
      <c r="H163" s="165"/>
      <c r="I163" s="165"/>
      <c r="J163" s="165"/>
      <c r="K163" s="165"/>
      <c r="L163" s="165"/>
      <c r="M163" s="165"/>
      <c r="N163" s="165"/>
      <c r="O163" s="165"/>
      <c r="P163" s="165"/>
      <c r="Q163" s="165"/>
    </row>
    <row r="164" ht="15.75" customHeight="1">
      <c r="B164" s="12"/>
      <c r="C164" s="7"/>
      <c r="E164" s="165"/>
      <c r="F164" s="165"/>
      <c r="G164" s="165"/>
      <c r="H164" s="165"/>
      <c r="I164" s="165"/>
      <c r="J164" s="165"/>
      <c r="K164" s="165"/>
      <c r="L164" s="165"/>
      <c r="M164" s="165"/>
      <c r="N164" s="165"/>
      <c r="O164" s="165"/>
      <c r="P164" s="165"/>
      <c r="Q164" s="165"/>
    </row>
    <row r="165" ht="15.75" customHeight="1">
      <c r="B165" s="12"/>
      <c r="C165" s="7"/>
      <c r="E165" s="165"/>
      <c r="F165" s="165"/>
      <c r="G165" s="165"/>
      <c r="H165" s="165"/>
      <c r="I165" s="165"/>
      <c r="J165" s="165"/>
      <c r="K165" s="165"/>
      <c r="L165" s="165"/>
      <c r="M165" s="165"/>
      <c r="N165" s="165"/>
      <c r="O165" s="165"/>
      <c r="P165" s="165"/>
      <c r="Q165" s="165"/>
    </row>
    <row r="166" ht="15.75" customHeight="1">
      <c r="B166" s="12"/>
      <c r="C166" s="7"/>
      <c r="E166" s="165"/>
      <c r="F166" s="165"/>
      <c r="G166" s="165"/>
      <c r="H166" s="165"/>
      <c r="I166" s="165"/>
      <c r="J166" s="165"/>
      <c r="K166" s="165"/>
      <c r="L166" s="165"/>
      <c r="M166" s="165"/>
      <c r="N166" s="165"/>
      <c r="O166" s="165"/>
      <c r="P166" s="165"/>
      <c r="Q166" s="165"/>
    </row>
    <row r="167" ht="15.75" customHeight="1">
      <c r="B167" s="12"/>
      <c r="C167" s="7"/>
      <c r="E167" s="165"/>
      <c r="F167" s="165"/>
      <c r="G167" s="165"/>
      <c r="H167" s="165"/>
      <c r="I167" s="165"/>
      <c r="J167" s="165"/>
      <c r="K167" s="165"/>
      <c r="L167" s="165"/>
      <c r="M167" s="165"/>
      <c r="N167" s="165"/>
      <c r="O167" s="165"/>
      <c r="P167" s="165"/>
      <c r="Q167" s="165"/>
    </row>
    <row r="168" ht="15.75" customHeight="1">
      <c r="B168" s="12"/>
      <c r="C168" s="7"/>
      <c r="E168" s="165"/>
      <c r="F168" s="165"/>
      <c r="G168" s="165"/>
      <c r="H168" s="165"/>
      <c r="I168" s="165"/>
      <c r="J168" s="165"/>
      <c r="K168" s="165"/>
      <c r="L168" s="165"/>
      <c r="M168" s="165"/>
      <c r="N168" s="165"/>
      <c r="O168" s="165"/>
      <c r="P168" s="165"/>
      <c r="Q168" s="165"/>
    </row>
    <row r="169" ht="15.75" customHeight="1">
      <c r="B169" s="12"/>
      <c r="C169" s="7"/>
      <c r="E169" s="165"/>
      <c r="F169" s="165"/>
      <c r="G169" s="165"/>
      <c r="H169" s="165"/>
      <c r="I169" s="165"/>
      <c r="J169" s="165"/>
      <c r="K169" s="165"/>
      <c r="L169" s="165"/>
      <c r="M169" s="165"/>
      <c r="N169" s="165"/>
      <c r="O169" s="165"/>
      <c r="P169" s="165"/>
      <c r="Q169" s="165"/>
    </row>
    <row r="170" ht="15.75" customHeight="1">
      <c r="B170" s="12"/>
      <c r="C170" s="7"/>
      <c r="E170" s="165"/>
      <c r="F170" s="165"/>
      <c r="G170" s="165"/>
      <c r="H170" s="165"/>
      <c r="I170" s="165"/>
      <c r="J170" s="165"/>
      <c r="K170" s="165"/>
      <c r="L170" s="165"/>
      <c r="M170" s="165"/>
      <c r="N170" s="165"/>
      <c r="O170" s="165"/>
      <c r="P170" s="165"/>
      <c r="Q170" s="165"/>
    </row>
    <row r="171" ht="15.75" customHeight="1">
      <c r="B171" s="12"/>
      <c r="C171" s="7"/>
      <c r="E171" s="165"/>
      <c r="F171" s="165"/>
      <c r="G171" s="165"/>
      <c r="H171" s="165"/>
      <c r="I171" s="165"/>
      <c r="J171" s="165"/>
      <c r="K171" s="165"/>
      <c r="L171" s="165"/>
      <c r="M171" s="165"/>
      <c r="N171" s="165"/>
      <c r="O171" s="165"/>
      <c r="P171" s="165"/>
      <c r="Q171" s="165"/>
    </row>
    <row r="172" ht="15.75" customHeight="1">
      <c r="B172" s="12"/>
      <c r="C172" s="7"/>
      <c r="E172" s="165"/>
      <c r="F172" s="165"/>
      <c r="G172" s="165"/>
      <c r="H172" s="165"/>
      <c r="I172" s="165"/>
      <c r="J172" s="165"/>
      <c r="K172" s="165"/>
      <c r="L172" s="165"/>
      <c r="M172" s="165"/>
      <c r="N172" s="165"/>
      <c r="O172" s="165"/>
      <c r="P172" s="165"/>
      <c r="Q172" s="165"/>
    </row>
    <row r="173" ht="15.75" customHeight="1">
      <c r="B173" s="12"/>
      <c r="C173" s="7"/>
      <c r="E173" s="165"/>
      <c r="F173" s="165"/>
      <c r="G173" s="165"/>
      <c r="H173" s="165"/>
      <c r="I173" s="165"/>
      <c r="J173" s="165"/>
      <c r="K173" s="165"/>
      <c r="L173" s="165"/>
      <c r="M173" s="165"/>
      <c r="N173" s="165"/>
      <c r="O173" s="165"/>
      <c r="P173" s="165"/>
      <c r="Q173" s="165"/>
    </row>
    <row r="174" ht="15.75" customHeight="1">
      <c r="B174" s="12"/>
      <c r="C174" s="7"/>
      <c r="E174" s="165"/>
      <c r="F174" s="165"/>
      <c r="G174" s="165"/>
      <c r="H174" s="165"/>
      <c r="I174" s="165"/>
      <c r="J174" s="165"/>
      <c r="K174" s="165"/>
      <c r="L174" s="165"/>
      <c r="M174" s="165"/>
      <c r="N174" s="165"/>
      <c r="O174" s="165"/>
      <c r="P174" s="165"/>
      <c r="Q174" s="165"/>
    </row>
    <row r="175" ht="15.75" customHeight="1">
      <c r="B175" s="12"/>
      <c r="C175" s="7"/>
      <c r="E175" s="165"/>
      <c r="F175" s="165"/>
      <c r="G175" s="165"/>
      <c r="H175" s="165"/>
      <c r="I175" s="165"/>
      <c r="J175" s="165"/>
      <c r="K175" s="165"/>
      <c r="L175" s="165"/>
      <c r="M175" s="165"/>
      <c r="N175" s="165"/>
      <c r="O175" s="165"/>
      <c r="P175" s="165"/>
      <c r="Q175" s="165"/>
    </row>
    <row r="176" ht="15.75" customHeight="1">
      <c r="B176" s="12"/>
      <c r="C176" s="7"/>
      <c r="E176" s="165"/>
      <c r="F176" s="165"/>
      <c r="G176" s="165"/>
      <c r="H176" s="165"/>
      <c r="I176" s="165"/>
      <c r="J176" s="165"/>
      <c r="K176" s="165"/>
      <c r="L176" s="165"/>
      <c r="M176" s="165"/>
      <c r="N176" s="165"/>
      <c r="O176" s="165"/>
      <c r="P176" s="165"/>
      <c r="Q176" s="165"/>
    </row>
    <row r="177" ht="15.75" customHeight="1">
      <c r="B177" s="12"/>
      <c r="C177" s="7"/>
      <c r="E177" s="165"/>
      <c r="F177" s="165"/>
      <c r="G177" s="165"/>
      <c r="H177" s="165"/>
      <c r="I177" s="165"/>
      <c r="J177" s="165"/>
      <c r="K177" s="165"/>
      <c r="L177" s="165"/>
      <c r="M177" s="165"/>
      <c r="N177" s="165"/>
      <c r="O177" s="165"/>
      <c r="P177" s="165"/>
      <c r="Q177" s="165"/>
    </row>
    <row r="178" ht="15.75" customHeight="1">
      <c r="B178" s="12"/>
      <c r="C178" s="7"/>
      <c r="E178" s="165"/>
      <c r="F178" s="165"/>
      <c r="G178" s="165"/>
      <c r="H178" s="165"/>
      <c r="I178" s="165"/>
      <c r="J178" s="165"/>
      <c r="K178" s="165"/>
      <c r="L178" s="165"/>
      <c r="M178" s="165"/>
      <c r="N178" s="165"/>
      <c r="O178" s="165"/>
      <c r="P178" s="165"/>
      <c r="Q178" s="165"/>
    </row>
    <row r="179" ht="15.75" customHeight="1">
      <c r="B179" s="12"/>
      <c r="C179" s="7"/>
      <c r="E179" s="165"/>
      <c r="F179" s="165"/>
      <c r="G179" s="165"/>
      <c r="H179" s="165"/>
      <c r="I179" s="165"/>
      <c r="J179" s="165"/>
      <c r="K179" s="165"/>
      <c r="L179" s="165"/>
      <c r="M179" s="165"/>
      <c r="N179" s="165"/>
      <c r="O179" s="165"/>
      <c r="P179" s="165"/>
      <c r="Q179" s="165"/>
    </row>
    <row r="180" ht="15.75" customHeight="1">
      <c r="B180" s="12"/>
      <c r="C180" s="7"/>
      <c r="E180" s="165"/>
      <c r="F180" s="165"/>
      <c r="G180" s="165"/>
      <c r="H180" s="165"/>
      <c r="I180" s="165"/>
      <c r="J180" s="165"/>
      <c r="K180" s="165"/>
      <c r="L180" s="165"/>
      <c r="M180" s="165"/>
      <c r="N180" s="165"/>
      <c r="O180" s="165"/>
      <c r="P180" s="165"/>
      <c r="Q180" s="165"/>
    </row>
    <row r="181" ht="15.75" customHeight="1">
      <c r="B181" s="12"/>
      <c r="C181" s="7"/>
      <c r="E181" s="165"/>
      <c r="F181" s="165"/>
      <c r="G181" s="165"/>
      <c r="H181" s="165"/>
      <c r="I181" s="165"/>
      <c r="J181" s="165"/>
      <c r="K181" s="165"/>
      <c r="L181" s="165"/>
      <c r="M181" s="165"/>
      <c r="N181" s="165"/>
      <c r="O181" s="165"/>
      <c r="P181" s="165"/>
      <c r="Q181" s="165"/>
    </row>
    <row r="182" ht="15.75" customHeight="1">
      <c r="B182" s="12"/>
      <c r="C182" s="7"/>
      <c r="E182" s="165"/>
      <c r="F182" s="165"/>
      <c r="G182" s="165"/>
      <c r="H182" s="165"/>
      <c r="I182" s="165"/>
      <c r="J182" s="165"/>
      <c r="K182" s="165"/>
      <c r="L182" s="165"/>
      <c r="M182" s="165"/>
      <c r="N182" s="165"/>
      <c r="O182" s="165"/>
      <c r="P182" s="165"/>
      <c r="Q182" s="165"/>
    </row>
    <row r="183" ht="15.75" customHeight="1">
      <c r="B183" s="12"/>
      <c r="C183" s="7"/>
      <c r="E183" s="165"/>
      <c r="F183" s="165"/>
      <c r="G183" s="165"/>
      <c r="H183" s="165"/>
      <c r="I183" s="165"/>
      <c r="J183" s="165"/>
      <c r="K183" s="165"/>
      <c r="L183" s="165"/>
      <c r="M183" s="165"/>
      <c r="N183" s="165"/>
      <c r="O183" s="165"/>
      <c r="P183" s="165"/>
      <c r="Q183" s="165"/>
    </row>
    <row r="184" ht="15.75" customHeight="1">
      <c r="B184" s="12"/>
      <c r="C184" s="7"/>
      <c r="E184" s="165"/>
      <c r="F184" s="165"/>
      <c r="G184" s="165"/>
      <c r="H184" s="165"/>
      <c r="I184" s="165"/>
      <c r="J184" s="165"/>
      <c r="K184" s="165"/>
      <c r="L184" s="165"/>
      <c r="M184" s="165"/>
      <c r="N184" s="165"/>
      <c r="O184" s="165"/>
      <c r="P184" s="165"/>
      <c r="Q184" s="165"/>
    </row>
    <row r="185" ht="15.75" customHeight="1">
      <c r="B185" s="12"/>
      <c r="C185" s="7"/>
      <c r="E185" s="165"/>
      <c r="F185" s="165"/>
      <c r="G185" s="165"/>
      <c r="H185" s="165"/>
      <c r="I185" s="165"/>
      <c r="J185" s="165"/>
      <c r="K185" s="165"/>
      <c r="L185" s="165"/>
      <c r="M185" s="165"/>
      <c r="N185" s="165"/>
      <c r="O185" s="165"/>
      <c r="P185" s="165"/>
      <c r="Q185" s="165"/>
    </row>
    <row r="186" ht="15.75" customHeight="1">
      <c r="B186" s="12"/>
      <c r="C186" s="7"/>
      <c r="E186" s="165"/>
      <c r="F186" s="165"/>
      <c r="G186" s="165"/>
      <c r="H186" s="165"/>
      <c r="I186" s="165"/>
      <c r="J186" s="165"/>
      <c r="K186" s="165"/>
      <c r="L186" s="165"/>
      <c r="M186" s="165"/>
      <c r="N186" s="165"/>
      <c r="O186" s="165"/>
      <c r="P186" s="165"/>
      <c r="Q186" s="165"/>
    </row>
    <row r="187" ht="15.75" customHeight="1">
      <c r="B187" s="12"/>
      <c r="C187" s="7"/>
      <c r="E187" s="165"/>
      <c r="F187" s="165"/>
      <c r="G187" s="165"/>
      <c r="H187" s="165"/>
      <c r="I187" s="165"/>
      <c r="J187" s="165"/>
      <c r="K187" s="165"/>
      <c r="L187" s="165"/>
      <c r="M187" s="165"/>
      <c r="N187" s="165"/>
      <c r="O187" s="165"/>
      <c r="P187" s="165"/>
      <c r="Q187" s="165"/>
    </row>
    <row r="188" ht="15.75" customHeight="1">
      <c r="B188" s="12"/>
      <c r="C188" s="7"/>
      <c r="E188" s="165"/>
      <c r="F188" s="165"/>
      <c r="G188" s="165"/>
      <c r="H188" s="165"/>
      <c r="I188" s="165"/>
      <c r="J188" s="165"/>
      <c r="K188" s="165"/>
      <c r="L188" s="165"/>
      <c r="M188" s="165"/>
      <c r="N188" s="165"/>
      <c r="O188" s="165"/>
      <c r="P188" s="165"/>
      <c r="Q188" s="165"/>
    </row>
    <row r="189" ht="15.75" customHeight="1">
      <c r="B189" s="12"/>
      <c r="C189" s="7"/>
      <c r="E189" s="165"/>
      <c r="F189" s="165"/>
      <c r="G189" s="165"/>
      <c r="H189" s="165"/>
      <c r="I189" s="165"/>
      <c r="J189" s="165"/>
      <c r="K189" s="165"/>
      <c r="L189" s="165"/>
      <c r="M189" s="165"/>
      <c r="N189" s="165"/>
      <c r="O189" s="165"/>
      <c r="P189" s="165"/>
      <c r="Q189" s="165"/>
    </row>
    <row r="190" ht="15.75" customHeight="1">
      <c r="B190" s="12"/>
      <c r="C190" s="7"/>
      <c r="E190" s="165"/>
      <c r="F190" s="165"/>
      <c r="G190" s="165"/>
      <c r="H190" s="165"/>
      <c r="I190" s="165"/>
      <c r="J190" s="165"/>
      <c r="K190" s="165"/>
      <c r="L190" s="165"/>
      <c r="M190" s="165"/>
      <c r="N190" s="165"/>
      <c r="O190" s="165"/>
      <c r="P190" s="165"/>
      <c r="Q190" s="165"/>
    </row>
    <row r="191" ht="15.75" customHeight="1">
      <c r="B191" s="12"/>
      <c r="C191" s="7"/>
      <c r="E191" s="165"/>
      <c r="F191" s="165"/>
      <c r="G191" s="165"/>
      <c r="H191" s="165"/>
      <c r="I191" s="165"/>
      <c r="J191" s="165"/>
      <c r="K191" s="165"/>
      <c r="L191" s="165"/>
      <c r="M191" s="165"/>
      <c r="N191" s="165"/>
      <c r="O191" s="165"/>
      <c r="P191" s="165"/>
      <c r="Q191" s="165"/>
    </row>
    <row r="192" ht="15.75" customHeight="1">
      <c r="B192" s="12"/>
      <c r="C192" s="7"/>
      <c r="E192" s="165"/>
      <c r="F192" s="165"/>
      <c r="G192" s="165"/>
      <c r="H192" s="165"/>
      <c r="I192" s="165"/>
      <c r="J192" s="165"/>
      <c r="K192" s="165"/>
      <c r="L192" s="165"/>
      <c r="M192" s="165"/>
      <c r="N192" s="165"/>
      <c r="O192" s="165"/>
      <c r="P192" s="165"/>
      <c r="Q192" s="165"/>
    </row>
    <row r="193" ht="15.75" customHeight="1">
      <c r="B193" s="12"/>
      <c r="C193" s="7"/>
      <c r="E193" s="165"/>
      <c r="F193" s="165"/>
      <c r="G193" s="165"/>
      <c r="H193" s="165"/>
      <c r="I193" s="165"/>
      <c r="J193" s="165"/>
      <c r="K193" s="165"/>
      <c r="L193" s="165"/>
      <c r="M193" s="165"/>
      <c r="N193" s="165"/>
      <c r="O193" s="165"/>
      <c r="P193" s="165"/>
      <c r="Q193" s="165"/>
    </row>
    <row r="194" ht="15.75" customHeight="1">
      <c r="B194" s="12"/>
      <c r="C194" s="7"/>
      <c r="E194" s="165"/>
      <c r="F194" s="165"/>
      <c r="G194" s="165"/>
      <c r="H194" s="165"/>
      <c r="I194" s="165"/>
      <c r="J194" s="165"/>
      <c r="K194" s="165"/>
      <c r="L194" s="165"/>
      <c r="M194" s="165"/>
      <c r="N194" s="165"/>
      <c r="O194" s="165"/>
      <c r="P194" s="165"/>
      <c r="Q194" s="165"/>
    </row>
    <row r="195" ht="15.75" customHeight="1">
      <c r="B195" s="12"/>
      <c r="C195" s="7"/>
      <c r="E195" s="165"/>
      <c r="F195" s="165"/>
      <c r="G195" s="165"/>
      <c r="H195" s="165"/>
      <c r="I195" s="165"/>
      <c r="J195" s="165"/>
      <c r="K195" s="165"/>
      <c r="L195" s="165"/>
      <c r="M195" s="165"/>
      <c r="N195" s="165"/>
      <c r="O195" s="165"/>
      <c r="P195" s="165"/>
      <c r="Q195" s="165"/>
    </row>
    <row r="196" ht="15.75" customHeight="1">
      <c r="B196" s="12"/>
      <c r="C196" s="7"/>
      <c r="E196" s="165"/>
      <c r="F196" s="165"/>
      <c r="G196" s="165"/>
      <c r="H196" s="165"/>
      <c r="I196" s="165"/>
      <c r="J196" s="165"/>
      <c r="K196" s="165"/>
      <c r="L196" s="165"/>
      <c r="M196" s="165"/>
      <c r="N196" s="165"/>
      <c r="O196" s="165"/>
      <c r="P196" s="165"/>
      <c r="Q196" s="165"/>
    </row>
    <row r="197" ht="15.75" customHeight="1">
      <c r="B197" s="12"/>
      <c r="C197" s="7"/>
      <c r="E197" s="165"/>
      <c r="F197" s="165"/>
      <c r="G197" s="165"/>
      <c r="H197" s="165"/>
      <c r="I197" s="165"/>
      <c r="J197" s="165"/>
      <c r="K197" s="165"/>
      <c r="L197" s="165"/>
      <c r="M197" s="165"/>
      <c r="N197" s="165"/>
      <c r="O197" s="165"/>
      <c r="P197" s="165"/>
      <c r="Q197" s="165"/>
    </row>
    <row r="198" ht="15.75" customHeight="1">
      <c r="B198" s="12"/>
      <c r="C198" s="7"/>
      <c r="E198" s="165"/>
      <c r="F198" s="165"/>
      <c r="G198" s="165"/>
      <c r="H198" s="165"/>
      <c r="I198" s="165"/>
      <c r="J198" s="165"/>
      <c r="K198" s="165"/>
      <c r="L198" s="165"/>
      <c r="M198" s="165"/>
      <c r="N198" s="165"/>
      <c r="O198" s="165"/>
      <c r="P198" s="165"/>
      <c r="Q198" s="165"/>
    </row>
    <row r="199" ht="15.75" customHeight="1">
      <c r="B199" s="12"/>
      <c r="C199" s="7"/>
      <c r="E199" s="165"/>
      <c r="F199" s="165"/>
      <c r="G199" s="165"/>
      <c r="H199" s="165"/>
      <c r="I199" s="165"/>
      <c r="J199" s="165"/>
      <c r="K199" s="165"/>
      <c r="L199" s="165"/>
      <c r="M199" s="165"/>
      <c r="N199" s="165"/>
      <c r="O199" s="165"/>
      <c r="P199" s="165"/>
      <c r="Q199" s="165"/>
    </row>
    <row r="200" ht="15.75" customHeight="1">
      <c r="B200" s="12"/>
      <c r="C200" s="7"/>
      <c r="E200" s="165"/>
      <c r="F200" s="165"/>
      <c r="G200" s="165"/>
      <c r="H200" s="165"/>
      <c r="I200" s="165"/>
      <c r="J200" s="165"/>
      <c r="K200" s="165"/>
      <c r="L200" s="165"/>
      <c r="M200" s="165"/>
      <c r="N200" s="165"/>
      <c r="O200" s="165"/>
      <c r="P200" s="165"/>
      <c r="Q200" s="165"/>
    </row>
    <row r="201" ht="15.75" customHeight="1">
      <c r="B201" s="12"/>
      <c r="C201" s="7"/>
      <c r="E201" s="165"/>
      <c r="F201" s="165"/>
      <c r="G201" s="165"/>
      <c r="H201" s="165"/>
      <c r="I201" s="165"/>
      <c r="J201" s="165"/>
      <c r="K201" s="165"/>
      <c r="L201" s="165"/>
      <c r="M201" s="165"/>
      <c r="N201" s="165"/>
      <c r="O201" s="165"/>
      <c r="P201" s="165"/>
      <c r="Q201" s="165"/>
    </row>
    <row r="202" ht="15.75" customHeight="1">
      <c r="B202" s="12"/>
      <c r="C202" s="7"/>
      <c r="E202" s="165"/>
      <c r="F202" s="165"/>
      <c r="G202" s="165"/>
      <c r="H202" s="165"/>
      <c r="I202" s="165"/>
      <c r="J202" s="165"/>
      <c r="K202" s="165"/>
      <c r="L202" s="165"/>
      <c r="M202" s="165"/>
      <c r="N202" s="165"/>
      <c r="O202" s="165"/>
      <c r="P202" s="165"/>
      <c r="Q202" s="165"/>
    </row>
    <row r="203" ht="15.75" customHeight="1">
      <c r="B203" s="12"/>
      <c r="C203" s="7"/>
      <c r="E203" s="165"/>
      <c r="F203" s="165"/>
      <c r="G203" s="165"/>
      <c r="H203" s="165"/>
      <c r="I203" s="165"/>
      <c r="J203" s="165"/>
      <c r="K203" s="165"/>
      <c r="L203" s="165"/>
      <c r="M203" s="165"/>
      <c r="N203" s="165"/>
      <c r="O203" s="165"/>
      <c r="P203" s="165"/>
      <c r="Q203" s="165"/>
    </row>
    <row r="204" ht="15.75" customHeight="1">
      <c r="B204" s="12"/>
      <c r="C204" s="7"/>
      <c r="E204" s="165"/>
      <c r="F204" s="165"/>
      <c r="G204" s="165"/>
      <c r="H204" s="165"/>
      <c r="I204" s="165"/>
      <c r="J204" s="165"/>
      <c r="K204" s="165"/>
      <c r="L204" s="165"/>
      <c r="M204" s="165"/>
      <c r="N204" s="165"/>
      <c r="O204" s="165"/>
      <c r="P204" s="165"/>
      <c r="Q204" s="165"/>
    </row>
    <row r="205" ht="15.75" customHeight="1">
      <c r="B205" s="12"/>
      <c r="C205" s="7"/>
      <c r="E205" s="165"/>
      <c r="F205" s="165"/>
      <c r="G205" s="165"/>
      <c r="H205" s="165"/>
      <c r="I205" s="165"/>
      <c r="J205" s="165"/>
      <c r="K205" s="165"/>
      <c r="L205" s="165"/>
      <c r="M205" s="165"/>
      <c r="N205" s="165"/>
      <c r="O205" s="165"/>
      <c r="P205" s="165"/>
      <c r="Q205" s="165"/>
    </row>
    <row r="206" ht="15.75" customHeight="1">
      <c r="B206" s="12"/>
      <c r="C206" s="7"/>
      <c r="E206" s="165"/>
      <c r="F206" s="165"/>
      <c r="G206" s="165"/>
      <c r="H206" s="165"/>
      <c r="I206" s="165"/>
      <c r="J206" s="165"/>
      <c r="K206" s="165"/>
      <c r="L206" s="165"/>
      <c r="M206" s="165"/>
      <c r="N206" s="165"/>
      <c r="O206" s="165"/>
      <c r="P206" s="165"/>
      <c r="Q206" s="165"/>
    </row>
    <row r="207" ht="15.75" customHeight="1">
      <c r="B207" s="12"/>
      <c r="C207" s="7"/>
      <c r="E207" s="165"/>
      <c r="F207" s="165"/>
      <c r="G207" s="165"/>
      <c r="H207" s="165"/>
      <c r="I207" s="165"/>
      <c r="J207" s="165"/>
      <c r="K207" s="165"/>
      <c r="L207" s="165"/>
      <c r="M207" s="165"/>
      <c r="N207" s="165"/>
      <c r="O207" s="165"/>
      <c r="P207" s="165"/>
      <c r="Q207" s="165"/>
    </row>
    <row r="208" ht="15.75" customHeight="1">
      <c r="B208" s="12"/>
      <c r="C208" s="7"/>
      <c r="E208" s="165"/>
      <c r="F208" s="165"/>
      <c r="G208" s="165"/>
      <c r="H208" s="165"/>
      <c r="I208" s="165"/>
      <c r="J208" s="165"/>
      <c r="K208" s="165"/>
      <c r="L208" s="165"/>
      <c r="M208" s="165"/>
      <c r="N208" s="165"/>
      <c r="O208" s="165"/>
      <c r="P208" s="165"/>
      <c r="Q208" s="165"/>
    </row>
    <row r="209" ht="15.75" customHeight="1">
      <c r="B209" s="12"/>
      <c r="C209" s="7"/>
      <c r="E209" s="165"/>
      <c r="F209" s="165"/>
      <c r="G209" s="165"/>
      <c r="H209" s="165"/>
      <c r="I209" s="165"/>
      <c r="J209" s="165"/>
      <c r="K209" s="165"/>
      <c r="L209" s="165"/>
      <c r="M209" s="165"/>
      <c r="N209" s="165"/>
      <c r="O209" s="165"/>
      <c r="P209" s="165"/>
      <c r="Q209" s="165"/>
    </row>
    <row r="210" ht="15.75" customHeight="1">
      <c r="B210" s="12"/>
      <c r="C210" s="7"/>
      <c r="E210" s="165"/>
      <c r="F210" s="165"/>
      <c r="G210" s="165"/>
      <c r="H210" s="165"/>
      <c r="I210" s="165"/>
      <c r="J210" s="165"/>
      <c r="K210" s="165"/>
      <c r="L210" s="165"/>
      <c r="M210" s="165"/>
      <c r="N210" s="165"/>
      <c r="O210" s="165"/>
      <c r="P210" s="165"/>
      <c r="Q210" s="165"/>
    </row>
    <row r="211" ht="15.75" customHeight="1">
      <c r="B211" s="12"/>
      <c r="C211" s="7"/>
      <c r="E211" s="165"/>
      <c r="F211" s="165"/>
      <c r="G211" s="165"/>
      <c r="H211" s="165"/>
      <c r="I211" s="165"/>
      <c r="J211" s="165"/>
      <c r="K211" s="165"/>
      <c r="L211" s="165"/>
      <c r="M211" s="165"/>
      <c r="N211" s="165"/>
      <c r="O211" s="165"/>
      <c r="P211" s="165"/>
      <c r="Q211" s="165"/>
    </row>
    <row r="212" ht="15.75" customHeight="1">
      <c r="B212" s="12"/>
      <c r="C212" s="7"/>
      <c r="E212" s="165"/>
      <c r="F212" s="165"/>
      <c r="G212" s="165"/>
      <c r="H212" s="165"/>
      <c r="I212" s="165"/>
      <c r="J212" s="165"/>
      <c r="K212" s="165"/>
      <c r="L212" s="165"/>
      <c r="M212" s="165"/>
      <c r="N212" s="165"/>
      <c r="O212" s="165"/>
      <c r="P212" s="165"/>
      <c r="Q212" s="165"/>
    </row>
    <row r="213" ht="15.75" customHeight="1">
      <c r="B213" s="12"/>
      <c r="C213" s="7"/>
      <c r="E213" s="165"/>
      <c r="F213" s="165"/>
      <c r="G213" s="165"/>
      <c r="H213" s="165"/>
      <c r="I213" s="165"/>
      <c r="J213" s="165"/>
      <c r="K213" s="165"/>
      <c r="L213" s="165"/>
      <c r="M213" s="165"/>
      <c r="N213" s="165"/>
      <c r="O213" s="165"/>
      <c r="P213" s="165"/>
      <c r="Q213" s="165"/>
    </row>
    <row r="214" ht="15.75" customHeight="1">
      <c r="B214" s="12"/>
      <c r="C214" s="7"/>
      <c r="E214" s="165"/>
      <c r="F214" s="165"/>
      <c r="G214" s="165"/>
      <c r="H214" s="165"/>
      <c r="I214" s="165"/>
      <c r="J214" s="165"/>
      <c r="K214" s="165"/>
      <c r="L214" s="165"/>
      <c r="M214" s="165"/>
      <c r="N214" s="165"/>
      <c r="O214" s="165"/>
      <c r="P214" s="165"/>
      <c r="Q214" s="165"/>
    </row>
    <row r="215" ht="15.75" customHeight="1">
      <c r="B215" s="12"/>
      <c r="C215" s="7"/>
      <c r="E215" s="165"/>
      <c r="F215" s="165"/>
      <c r="G215" s="165"/>
      <c r="H215" s="165"/>
      <c r="I215" s="165"/>
      <c r="J215" s="165"/>
      <c r="K215" s="165"/>
      <c r="L215" s="165"/>
      <c r="M215" s="165"/>
      <c r="N215" s="165"/>
      <c r="O215" s="165"/>
      <c r="P215" s="165"/>
      <c r="Q215" s="165"/>
    </row>
    <row r="216" ht="15.75" customHeight="1">
      <c r="B216" s="12"/>
      <c r="C216" s="7"/>
      <c r="E216" s="165"/>
      <c r="F216" s="165"/>
      <c r="G216" s="165"/>
      <c r="H216" s="165"/>
      <c r="I216" s="165"/>
      <c r="J216" s="165"/>
      <c r="K216" s="165"/>
      <c r="L216" s="165"/>
      <c r="M216" s="165"/>
      <c r="N216" s="165"/>
      <c r="O216" s="165"/>
      <c r="P216" s="165"/>
      <c r="Q216" s="165"/>
    </row>
    <row r="217" ht="15.75" customHeight="1">
      <c r="B217" s="12"/>
      <c r="C217" s="7"/>
      <c r="E217" s="165"/>
      <c r="F217" s="165"/>
      <c r="G217" s="165"/>
      <c r="H217" s="165"/>
      <c r="I217" s="165"/>
      <c r="J217" s="165"/>
      <c r="K217" s="165"/>
      <c r="L217" s="165"/>
      <c r="M217" s="165"/>
      <c r="N217" s="165"/>
      <c r="O217" s="165"/>
      <c r="P217" s="165"/>
      <c r="Q217" s="165"/>
    </row>
    <row r="218" ht="15.75" customHeight="1">
      <c r="B218" s="12"/>
      <c r="C218" s="7"/>
      <c r="E218" s="165"/>
      <c r="F218" s="165"/>
      <c r="G218" s="165"/>
      <c r="H218" s="165"/>
      <c r="I218" s="165"/>
      <c r="J218" s="165"/>
      <c r="K218" s="165"/>
      <c r="L218" s="165"/>
      <c r="M218" s="165"/>
      <c r="N218" s="165"/>
      <c r="O218" s="165"/>
      <c r="P218" s="165"/>
      <c r="Q218" s="165"/>
    </row>
    <row r="219" ht="15.75" customHeight="1">
      <c r="B219" s="12"/>
      <c r="C219" s="7"/>
      <c r="E219" s="165"/>
      <c r="F219" s="165"/>
      <c r="G219" s="165"/>
      <c r="H219" s="165"/>
      <c r="I219" s="165"/>
      <c r="J219" s="165"/>
      <c r="K219" s="165"/>
      <c r="L219" s="165"/>
      <c r="M219" s="165"/>
      <c r="N219" s="165"/>
      <c r="O219" s="165"/>
      <c r="P219" s="165"/>
      <c r="Q219" s="165"/>
    </row>
    <row r="220" ht="15.75" customHeight="1">
      <c r="B220" s="12"/>
      <c r="C220" s="7"/>
      <c r="E220" s="165"/>
      <c r="F220" s="165"/>
      <c r="G220" s="165"/>
      <c r="H220" s="165"/>
      <c r="I220" s="165"/>
      <c r="J220" s="165"/>
      <c r="K220" s="165"/>
      <c r="L220" s="165"/>
      <c r="M220" s="165"/>
      <c r="N220" s="165"/>
      <c r="O220" s="165"/>
      <c r="P220" s="165"/>
      <c r="Q220" s="165"/>
    </row>
    <row r="221" ht="15.75" customHeight="1">
      <c r="B221" s="12"/>
      <c r="C221" s="7"/>
      <c r="E221" s="165"/>
      <c r="F221" s="165"/>
      <c r="G221" s="165"/>
      <c r="H221" s="165"/>
      <c r="I221" s="165"/>
      <c r="J221" s="165"/>
      <c r="K221" s="165"/>
      <c r="L221" s="165"/>
      <c r="M221" s="165"/>
      <c r="N221" s="165"/>
      <c r="O221" s="165"/>
      <c r="P221" s="165"/>
      <c r="Q221" s="165"/>
    </row>
    <row r="222" ht="15.75" customHeight="1">
      <c r="B222" s="12"/>
      <c r="C222" s="7"/>
      <c r="E222" s="165"/>
      <c r="F222" s="165"/>
      <c r="G222" s="165"/>
      <c r="H222" s="165"/>
      <c r="I222" s="165"/>
      <c r="J222" s="165"/>
      <c r="K222" s="165"/>
      <c r="L222" s="165"/>
      <c r="M222" s="165"/>
      <c r="N222" s="165"/>
      <c r="O222" s="165"/>
      <c r="P222" s="165"/>
      <c r="Q222" s="165"/>
    </row>
    <row r="223" ht="15.75" customHeight="1">
      <c r="B223" s="12"/>
      <c r="C223" s="7"/>
      <c r="E223" s="165"/>
      <c r="F223" s="165"/>
      <c r="G223" s="165"/>
      <c r="H223" s="165"/>
      <c r="I223" s="165"/>
      <c r="J223" s="165"/>
      <c r="K223" s="165"/>
      <c r="L223" s="165"/>
      <c r="M223" s="165"/>
      <c r="N223" s="165"/>
      <c r="O223" s="165"/>
      <c r="P223" s="165"/>
      <c r="Q223" s="165"/>
    </row>
    <row r="224" ht="15.75" customHeight="1">
      <c r="B224" s="12"/>
      <c r="C224" s="7"/>
      <c r="E224" s="165"/>
      <c r="F224" s="165"/>
      <c r="G224" s="165"/>
      <c r="H224" s="165"/>
      <c r="I224" s="165"/>
      <c r="J224" s="165"/>
      <c r="K224" s="165"/>
      <c r="L224" s="165"/>
      <c r="M224" s="165"/>
      <c r="N224" s="165"/>
      <c r="O224" s="165"/>
      <c r="P224" s="165"/>
      <c r="Q224" s="165"/>
    </row>
    <row r="225" ht="15.75" customHeight="1">
      <c r="B225" s="12"/>
      <c r="C225" s="7"/>
      <c r="E225" s="165"/>
      <c r="F225" s="165"/>
      <c r="G225" s="165"/>
      <c r="H225" s="165"/>
      <c r="I225" s="165"/>
      <c r="J225" s="165"/>
      <c r="K225" s="165"/>
      <c r="L225" s="165"/>
      <c r="M225" s="165"/>
      <c r="N225" s="165"/>
      <c r="O225" s="165"/>
      <c r="P225" s="165"/>
      <c r="Q225" s="165"/>
    </row>
    <row r="226" ht="15.75" customHeight="1">
      <c r="B226" s="12"/>
      <c r="C226" s="7"/>
      <c r="E226" s="165"/>
      <c r="F226" s="165"/>
      <c r="G226" s="165"/>
      <c r="H226" s="165"/>
      <c r="I226" s="165"/>
      <c r="J226" s="165"/>
      <c r="K226" s="165"/>
      <c r="L226" s="165"/>
      <c r="M226" s="165"/>
      <c r="N226" s="165"/>
      <c r="O226" s="165"/>
      <c r="P226" s="165"/>
      <c r="Q226" s="165"/>
    </row>
    <row r="227" ht="15.75" customHeight="1">
      <c r="B227" s="12"/>
      <c r="C227" s="7"/>
      <c r="E227" s="165"/>
      <c r="F227" s="165"/>
      <c r="G227" s="165"/>
      <c r="H227" s="165"/>
      <c r="I227" s="165"/>
      <c r="J227" s="165"/>
      <c r="K227" s="165"/>
      <c r="L227" s="165"/>
      <c r="M227" s="165"/>
      <c r="N227" s="165"/>
      <c r="O227" s="165"/>
      <c r="P227" s="165"/>
      <c r="Q227" s="165"/>
    </row>
    <row r="228" ht="15.75" customHeight="1">
      <c r="B228" s="12"/>
      <c r="C228" s="7"/>
      <c r="E228" s="165"/>
      <c r="F228" s="165"/>
      <c r="G228" s="165"/>
      <c r="H228" s="165"/>
      <c r="I228" s="165"/>
      <c r="J228" s="165"/>
      <c r="K228" s="165"/>
      <c r="L228" s="165"/>
      <c r="M228" s="165"/>
      <c r="N228" s="165"/>
      <c r="O228" s="165"/>
      <c r="P228" s="165"/>
      <c r="Q228" s="165"/>
    </row>
    <row r="229" ht="15.75" customHeight="1">
      <c r="B229" s="12"/>
      <c r="C229" s="7"/>
      <c r="E229" s="165"/>
      <c r="F229" s="165"/>
      <c r="G229" s="165"/>
      <c r="H229" s="165"/>
      <c r="I229" s="165"/>
      <c r="J229" s="165"/>
      <c r="K229" s="165"/>
      <c r="L229" s="165"/>
      <c r="M229" s="165"/>
      <c r="N229" s="165"/>
      <c r="O229" s="165"/>
      <c r="P229" s="165"/>
      <c r="Q229" s="165"/>
    </row>
    <row r="230" ht="15.75" customHeight="1">
      <c r="B230" s="12"/>
      <c r="C230" s="7"/>
      <c r="E230" s="165"/>
      <c r="F230" s="165"/>
      <c r="G230" s="165"/>
      <c r="H230" s="165"/>
      <c r="I230" s="165"/>
      <c r="J230" s="165"/>
      <c r="K230" s="165"/>
      <c r="L230" s="165"/>
      <c r="M230" s="165"/>
      <c r="N230" s="165"/>
      <c r="O230" s="165"/>
      <c r="P230" s="165"/>
      <c r="Q230" s="165"/>
    </row>
    <row r="231" ht="15.75" customHeight="1">
      <c r="B231" s="12"/>
      <c r="C231" s="7"/>
      <c r="E231" s="165"/>
      <c r="F231" s="165"/>
      <c r="G231" s="165"/>
      <c r="H231" s="165"/>
      <c r="I231" s="165"/>
      <c r="J231" s="165"/>
      <c r="K231" s="165"/>
      <c r="L231" s="165"/>
      <c r="M231" s="165"/>
      <c r="N231" s="165"/>
      <c r="O231" s="165"/>
      <c r="P231" s="165"/>
      <c r="Q231" s="165"/>
    </row>
    <row r="232" ht="15.75" customHeight="1">
      <c r="B232" s="12"/>
      <c r="C232" s="7"/>
      <c r="E232" s="165"/>
      <c r="F232" s="165"/>
      <c r="G232" s="165"/>
      <c r="H232" s="165"/>
      <c r="I232" s="165"/>
      <c r="J232" s="165"/>
      <c r="K232" s="165"/>
      <c r="L232" s="165"/>
      <c r="M232" s="165"/>
      <c r="N232" s="165"/>
      <c r="O232" s="165"/>
      <c r="P232" s="165"/>
      <c r="Q232" s="165"/>
    </row>
    <row r="233" ht="15.75" customHeight="1">
      <c r="B233" s="12"/>
      <c r="C233" s="7"/>
      <c r="E233" s="165"/>
      <c r="F233" s="165"/>
      <c r="G233" s="165"/>
      <c r="H233" s="165"/>
      <c r="I233" s="165"/>
      <c r="J233" s="165"/>
      <c r="K233" s="165"/>
      <c r="L233" s="165"/>
      <c r="M233" s="165"/>
      <c r="N233" s="165"/>
      <c r="O233" s="165"/>
      <c r="P233" s="165"/>
      <c r="Q233" s="165"/>
    </row>
    <row r="234" ht="15.75" customHeight="1">
      <c r="B234" s="12"/>
      <c r="C234" s="7"/>
      <c r="E234" s="165"/>
      <c r="F234" s="165"/>
      <c r="G234" s="165"/>
      <c r="H234" s="165"/>
      <c r="I234" s="165"/>
      <c r="J234" s="165"/>
      <c r="K234" s="165"/>
      <c r="L234" s="165"/>
      <c r="M234" s="165"/>
      <c r="N234" s="165"/>
      <c r="O234" s="165"/>
      <c r="P234" s="165"/>
      <c r="Q234" s="165"/>
    </row>
    <row r="235" ht="15.75" customHeight="1">
      <c r="B235" s="12"/>
      <c r="C235" s="7"/>
      <c r="E235" s="165"/>
      <c r="F235" s="165"/>
      <c r="G235" s="165"/>
      <c r="H235" s="165"/>
      <c r="I235" s="165"/>
      <c r="J235" s="165"/>
      <c r="K235" s="165"/>
      <c r="L235" s="165"/>
      <c r="M235" s="165"/>
      <c r="N235" s="165"/>
      <c r="O235" s="165"/>
      <c r="P235" s="165"/>
      <c r="Q235" s="165"/>
    </row>
    <row r="236" ht="15.75" customHeight="1">
      <c r="B236" s="12"/>
      <c r="C236" s="7"/>
      <c r="E236" s="165"/>
      <c r="F236" s="165"/>
      <c r="G236" s="165"/>
      <c r="H236" s="165"/>
      <c r="I236" s="165"/>
      <c r="J236" s="165"/>
      <c r="K236" s="165"/>
      <c r="L236" s="165"/>
      <c r="M236" s="165"/>
      <c r="N236" s="165"/>
      <c r="O236" s="165"/>
      <c r="P236" s="165"/>
      <c r="Q236" s="165"/>
    </row>
    <row r="237" ht="15.75" customHeight="1">
      <c r="B237" s="12"/>
      <c r="C237" s="7"/>
      <c r="E237" s="165"/>
      <c r="F237" s="165"/>
      <c r="G237" s="165"/>
      <c r="H237" s="165"/>
      <c r="I237" s="165"/>
      <c r="J237" s="165"/>
      <c r="K237" s="165"/>
      <c r="L237" s="165"/>
      <c r="M237" s="165"/>
      <c r="N237" s="165"/>
      <c r="O237" s="165"/>
      <c r="P237" s="165"/>
      <c r="Q237" s="165"/>
    </row>
    <row r="238" ht="15.75" customHeight="1">
      <c r="B238" s="12"/>
      <c r="C238" s="7"/>
      <c r="E238" s="165"/>
      <c r="F238" s="165"/>
      <c r="G238" s="165"/>
      <c r="H238" s="165"/>
      <c r="I238" s="165"/>
      <c r="J238" s="165"/>
      <c r="K238" s="165"/>
      <c r="L238" s="165"/>
      <c r="M238" s="165"/>
      <c r="N238" s="165"/>
      <c r="O238" s="165"/>
      <c r="P238" s="165"/>
      <c r="Q238" s="165"/>
    </row>
    <row r="239" ht="15.75" customHeight="1">
      <c r="B239" s="12"/>
      <c r="C239" s="7"/>
      <c r="E239" s="165"/>
      <c r="F239" s="165"/>
      <c r="G239" s="165"/>
      <c r="H239" s="165"/>
      <c r="I239" s="165"/>
      <c r="J239" s="165"/>
      <c r="K239" s="165"/>
      <c r="L239" s="165"/>
      <c r="M239" s="165"/>
      <c r="N239" s="165"/>
      <c r="O239" s="165"/>
      <c r="P239" s="165"/>
      <c r="Q239" s="165"/>
    </row>
    <row r="240" ht="15.75" customHeight="1">
      <c r="B240" s="12"/>
      <c r="C240" s="7"/>
      <c r="E240" s="165"/>
      <c r="F240" s="165"/>
      <c r="G240" s="165"/>
      <c r="H240" s="165"/>
      <c r="I240" s="165"/>
      <c r="J240" s="165"/>
      <c r="K240" s="165"/>
      <c r="L240" s="165"/>
      <c r="M240" s="165"/>
      <c r="N240" s="165"/>
      <c r="O240" s="165"/>
      <c r="P240" s="165"/>
      <c r="Q240" s="165"/>
    </row>
    <row r="241" ht="15.75" customHeight="1">
      <c r="B241" s="12"/>
      <c r="C241" s="7"/>
      <c r="E241" s="165"/>
      <c r="F241" s="165"/>
      <c r="G241" s="165"/>
      <c r="H241" s="165"/>
      <c r="I241" s="165"/>
      <c r="J241" s="165"/>
      <c r="K241" s="165"/>
      <c r="L241" s="165"/>
      <c r="M241" s="165"/>
      <c r="N241" s="165"/>
      <c r="O241" s="165"/>
      <c r="P241" s="165"/>
      <c r="Q241" s="165"/>
    </row>
    <row r="242" ht="15.75" customHeight="1">
      <c r="B242" s="12"/>
      <c r="C242" s="7"/>
      <c r="E242" s="165"/>
      <c r="F242" s="165"/>
      <c r="G242" s="165"/>
      <c r="H242" s="165"/>
      <c r="I242" s="165"/>
      <c r="J242" s="165"/>
      <c r="K242" s="165"/>
      <c r="L242" s="165"/>
      <c r="M242" s="165"/>
      <c r="N242" s="165"/>
      <c r="O242" s="165"/>
      <c r="P242" s="165"/>
      <c r="Q242" s="165"/>
    </row>
    <row r="243" ht="15.75" customHeight="1">
      <c r="B243" s="12"/>
      <c r="C243" s="7"/>
      <c r="E243" s="165"/>
      <c r="F243" s="165"/>
      <c r="G243" s="165"/>
      <c r="H243" s="165"/>
      <c r="I243" s="165"/>
      <c r="J243" s="165"/>
      <c r="K243" s="165"/>
      <c r="L243" s="165"/>
      <c r="M243" s="165"/>
      <c r="N243" s="165"/>
      <c r="O243" s="165"/>
      <c r="P243" s="165"/>
      <c r="Q243" s="165"/>
    </row>
    <row r="244" ht="15.75" customHeight="1">
      <c r="B244" s="12"/>
      <c r="C244" s="7"/>
      <c r="E244" s="165"/>
      <c r="F244" s="165"/>
      <c r="G244" s="165"/>
      <c r="H244" s="165"/>
      <c r="I244" s="165"/>
      <c r="J244" s="165"/>
      <c r="K244" s="165"/>
      <c r="L244" s="165"/>
      <c r="M244" s="165"/>
      <c r="N244" s="165"/>
      <c r="O244" s="165"/>
      <c r="P244" s="165"/>
      <c r="Q244" s="165"/>
    </row>
    <row r="245" ht="15.75" customHeight="1">
      <c r="B245" s="12"/>
      <c r="C245" s="7"/>
      <c r="E245" s="165"/>
      <c r="F245" s="165"/>
      <c r="G245" s="165"/>
      <c r="H245" s="165"/>
      <c r="I245" s="165"/>
      <c r="J245" s="165"/>
      <c r="K245" s="165"/>
      <c r="L245" s="165"/>
      <c r="M245" s="165"/>
      <c r="N245" s="165"/>
      <c r="O245" s="165"/>
      <c r="P245" s="165"/>
      <c r="Q245" s="165"/>
    </row>
    <row r="246" ht="15.75" customHeight="1">
      <c r="B246" s="12"/>
      <c r="C246" s="7"/>
      <c r="E246" s="165"/>
      <c r="F246" s="165"/>
      <c r="G246" s="165"/>
      <c r="H246" s="165"/>
      <c r="I246" s="165"/>
      <c r="J246" s="165"/>
      <c r="K246" s="165"/>
      <c r="L246" s="165"/>
      <c r="M246" s="165"/>
      <c r="N246" s="165"/>
      <c r="O246" s="165"/>
      <c r="P246" s="165"/>
      <c r="Q246" s="165"/>
    </row>
    <row r="247" ht="15.75" customHeight="1">
      <c r="B247" s="12"/>
      <c r="C247" s="7"/>
      <c r="E247" s="165"/>
      <c r="F247" s="165"/>
      <c r="G247" s="165"/>
      <c r="H247" s="165"/>
      <c r="I247" s="165"/>
      <c r="J247" s="165"/>
      <c r="K247" s="165"/>
      <c r="L247" s="165"/>
      <c r="M247" s="165"/>
      <c r="N247" s="165"/>
      <c r="O247" s="165"/>
      <c r="P247" s="165"/>
      <c r="Q247" s="165"/>
    </row>
    <row r="248" ht="15.75" customHeight="1">
      <c r="B248" s="12"/>
      <c r="C248" s="7"/>
      <c r="E248" s="165"/>
      <c r="F248" s="165"/>
      <c r="G248" s="165"/>
      <c r="H248" s="165"/>
      <c r="I248" s="165"/>
      <c r="J248" s="165"/>
      <c r="K248" s="165"/>
      <c r="L248" s="165"/>
      <c r="M248" s="165"/>
      <c r="N248" s="165"/>
      <c r="O248" s="165"/>
      <c r="P248" s="165"/>
      <c r="Q248" s="165"/>
    </row>
    <row r="249" ht="15.75" customHeight="1">
      <c r="B249" s="12"/>
      <c r="C249" s="7"/>
      <c r="E249" s="165"/>
      <c r="F249" s="165"/>
      <c r="G249" s="165"/>
      <c r="H249" s="165"/>
      <c r="I249" s="165"/>
      <c r="J249" s="165"/>
      <c r="K249" s="165"/>
      <c r="L249" s="165"/>
      <c r="M249" s="165"/>
      <c r="N249" s="165"/>
      <c r="O249" s="165"/>
      <c r="P249" s="165"/>
      <c r="Q249" s="165"/>
    </row>
    <row r="250" ht="15.75" customHeight="1">
      <c r="B250" s="12"/>
      <c r="C250" s="7"/>
      <c r="E250" s="165"/>
      <c r="F250" s="165"/>
      <c r="G250" s="165"/>
      <c r="H250" s="165"/>
      <c r="I250" s="165"/>
      <c r="J250" s="165"/>
      <c r="K250" s="165"/>
      <c r="L250" s="165"/>
      <c r="M250" s="165"/>
      <c r="N250" s="165"/>
      <c r="O250" s="165"/>
      <c r="P250" s="165"/>
      <c r="Q250" s="165"/>
    </row>
    <row r="251" ht="15.75" customHeight="1">
      <c r="B251" s="12"/>
      <c r="C251" s="7"/>
      <c r="E251" s="165"/>
      <c r="F251" s="165"/>
      <c r="G251" s="165"/>
      <c r="H251" s="165"/>
      <c r="I251" s="165"/>
      <c r="J251" s="165"/>
      <c r="K251" s="165"/>
      <c r="L251" s="165"/>
      <c r="M251" s="165"/>
      <c r="N251" s="165"/>
      <c r="O251" s="165"/>
      <c r="P251" s="165"/>
      <c r="Q251" s="165"/>
    </row>
    <row r="252" ht="15.75" customHeight="1">
      <c r="B252" s="12"/>
      <c r="C252" s="7"/>
      <c r="E252" s="165"/>
      <c r="F252" s="165"/>
      <c r="G252" s="165"/>
      <c r="H252" s="165"/>
      <c r="I252" s="165"/>
      <c r="J252" s="165"/>
      <c r="K252" s="165"/>
      <c r="L252" s="165"/>
      <c r="M252" s="165"/>
      <c r="N252" s="165"/>
      <c r="O252" s="165"/>
      <c r="P252" s="165"/>
      <c r="Q252" s="165"/>
    </row>
    <row r="253" ht="15.75" customHeight="1">
      <c r="B253" s="12"/>
      <c r="C253" s="7"/>
      <c r="E253" s="165"/>
      <c r="F253" s="165"/>
      <c r="G253" s="165"/>
      <c r="H253" s="165"/>
      <c r="I253" s="165"/>
      <c r="J253" s="165"/>
      <c r="K253" s="165"/>
      <c r="L253" s="165"/>
      <c r="M253" s="165"/>
      <c r="N253" s="165"/>
      <c r="O253" s="165"/>
      <c r="P253" s="165"/>
      <c r="Q253" s="165"/>
    </row>
    <row r="254" ht="15.75" customHeight="1">
      <c r="B254" s="12"/>
      <c r="C254" s="7"/>
      <c r="E254" s="165"/>
      <c r="F254" s="165"/>
      <c r="G254" s="165"/>
      <c r="H254" s="165"/>
      <c r="I254" s="165"/>
      <c r="J254" s="165"/>
      <c r="K254" s="165"/>
      <c r="L254" s="165"/>
      <c r="M254" s="165"/>
      <c r="N254" s="165"/>
      <c r="O254" s="165"/>
      <c r="P254" s="165"/>
      <c r="Q254" s="165"/>
    </row>
    <row r="255" ht="15.75" customHeight="1">
      <c r="B255" s="12"/>
      <c r="C255" s="7"/>
      <c r="E255" s="165"/>
      <c r="F255" s="165"/>
      <c r="G255" s="165"/>
      <c r="H255" s="165"/>
      <c r="I255" s="165"/>
      <c r="J255" s="165"/>
      <c r="K255" s="165"/>
      <c r="L255" s="165"/>
      <c r="M255" s="165"/>
      <c r="N255" s="165"/>
      <c r="O255" s="165"/>
      <c r="P255" s="165"/>
      <c r="Q255" s="165"/>
    </row>
    <row r="256" ht="15.75" customHeight="1">
      <c r="B256" s="12"/>
      <c r="C256" s="7"/>
      <c r="E256" s="165"/>
      <c r="F256" s="165"/>
      <c r="G256" s="165"/>
      <c r="H256" s="165"/>
      <c r="I256" s="165"/>
      <c r="J256" s="165"/>
      <c r="K256" s="165"/>
      <c r="L256" s="165"/>
      <c r="M256" s="165"/>
      <c r="N256" s="165"/>
      <c r="O256" s="165"/>
      <c r="P256" s="165"/>
      <c r="Q256" s="165"/>
    </row>
    <row r="257" ht="15.75" customHeight="1">
      <c r="B257" s="12"/>
      <c r="C257" s="7"/>
      <c r="E257" s="165"/>
      <c r="F257" s="165"/>
      <c r="G257" s="165"/>
      <c r="H257" s="165"/>
      <c r="I257" s="165"/>
      <c r="J257" s="165"/>
      <c r="K257" s="165"/>
      <c r="L257" s="165"/>
      <c r="M257" s="165"/>
      <c r="N257" s="165"/>
      <c r="O257" s="165"/>
      <c r="P257" s="165"/>
      <c r="Q257" s="165"/>
    </row>
    <row r="258" ht="15.75" customHeight="1">
      <c r="B258" s="12"/>
      <c r="C258" s="7"/>
      <c r="E258" s="165"/>
      <c r="F258" s="165"/>
      <c r="G258" s="165"/>
      <c r="H258" s="165"/>
      <c r="I258" s="165"/>
      <c r="J258" s="165"/>
      <c r="K258" s="165"/>
      <c r="L258" s="165"/>
      <c r="M258" s="165"/>
      <c r="N258" s="165"/>
      <c r="O258" s="165"/>
      <c r="P258" s="165"/>
      <c r="Q258" s="165"/>
    </row>
    <row r="259" ht="15.75" customHeight="1">
      <c r="B259" s="12"/>
      <c r="C259" s="7"/>
      <c r="E259" s="165"/>
      <c r="F259" s="165"/>
      <c r="G259" s="165"/>
      <c r="H259" s="165"/>
      <c r="I259" s="165"/>
      <c r="J259" s="165"/>
      <c r="K259" s="165"/>
      <c r="L259" s="165"/>
      <c r="M259" s="165"/>
      <c r="N259" s="165"/>
      <c r="O259" s="165"/>
      <c r="P259" s="165"/>
      <c r="Q259" s="165"/>
    </row>
    <row r="260" ht="15.75" customHeight="1">
      <c r="B260" s="12"/>
      <c r="C260" s="7"/>
      <c r="E260" s="165"/>
      <c r="F260" s="165"/>
      <c r="G260" s="165"/>
      <c r="H260" s="165"/>
      <c r="I260" s="165"/>
      <c r="J260" s="165"/>
      <c r="K260" s="165"/>
      <c r="L260" s="165"/>
      <c r="M260" s="165"/>
      <c r="N260" s="165"/>
      <c r="O260" s="165"/>
      <c r="P260" s="165"/>
      <c r="Q260" s="165"/>
    </row>
    <row r="261" ht="15.75" customHeight="1">
      <c r="B261" s="12"/>
      <c r="C261" s="7"/>
      <c r="E261" s="165"/>
      <c r="F261" s="165"/>
      <c r="G261" s="165"/>
      <c r="H261" s="165"/>
      <c r="I261" s="165"/>
      <c r="J261" s="165"/>
      <c r="K261" s="165"/>
      <c r="L261" s="165"/>
      <c r="M261" s="165"/>
      <c r="N261" s="165"/>
      <c r="O261" s="165"/>
      <c r="P261" s="165"/>
      <c r="Q261" s="165"/>
    </row>
    <row r="262" ht="15.75" customHeight="1">
      <c r="B262" s="12"/>
      <c r="C262" s="7"/>
      <c r="E262" s="165"/>
      <c r="F262" s="165"/>
      <c r="G262" s="165"/>
      <c r="H262" s="165"/>
      <c r="I262" s="165"/>
      <c r="J262" s="165"/>
      <c r="K262" s="165"/>
      <c r="L262" s="165"/>
      <c r="M262" s="165"/>
      <c r="N262" s="165"/>
      <c r="O262" s="165"/>
      <c r="P262" s="165"/>
      <c r="Q262" s="165"/>
    </row>
    <row r="263" ht="15.75" customHeight="1">
      <c r="B263" s="12"/>
      <c r="C263" s="7"/>
      <c r="E263" s="165"/>
      <c r="F263" s="165"/>
      <c r="G263" s="165"/>
      <c r="H263" s="165"/>
      <c r="I263" s="165"/>
      <c r="J263" s="165"/>
      <c r="K263" s="165"/>
      <c r="L263" s="165"/>
      <c r="M263" s="165"/>
      <c r="N263" s="165"/>
      <c r="O263" s="165"/>
      <c r="P263" s="165"/>
      <c r="Q263" s="165"/>
    </row>
    <row r="264" ht="15.75" customHeight="1">
      <c r="B264" s="12"/>
      <c r="C264" s="7"/>
      <c r="E264" s="165"/>
      <c r="F264" s="165"/>
      <c r="G264" s="165"/>
      <c r="H264" s="165"/>
      <c r="I264" s="165"/>
      <c r="J264" s="165"/>
      <c r="K264" s="165"/>
      <c r="L264" s="165"/>
      <c r="M264" s="165"/>
      <c r="N264" s="165"/>
      <c r="O264" s="165"/>
      <c r="P264" s="165"/>
      <c r="Q264" s="165"/>
    </row>
    <row r="265" ht="15.75" customHeight="1">
      <c r="B265" s="12"/>
      <c r="C265" s="7"/>
      <c r="E265" s="165"/>
      <c r="F265" s="165"/>
      <c r="G265" s="165"/>
      <c r="H265" s="165"/>
      <c r="I265" s="165"/>
      <c r="J265" s="165"/>
      <c r="K265" s="165"/>
      <c r="L265" s="165"/>
      <c r="M265" s="165"/>
      <c r="N265" s="165"/>
      <c r="O265" s="165"/>
      <c r="P265" s="165"/>
      <c r="Q265" s="165"/>
    </row>
    <row r="266" ht="15.75" customHeight="1">
      <c r="B266" s="12"/>
      <c r="C266" s="7"/>
      <c r="E266" s="165"/>
      <c r="F266" s="165"/>
      <c r="G266" s="165"/>
      <c r="H266" s="165"/>
      <c r="I266" s="165"/>
      <c r="J266" s="165"/>
      <c r="K266" s="165"/>
      <c r="L266" s="165"/>
      <c r="M266" s="165"/>
      <c r="N266" s="165"/>
      <c r="O266" s="165"/>
      <c r="P266" s="165"/>
      <c r="Q266" s="165"/>
    </row>
    <row r="267" ht="15.75" customHeight="1">
      <c r="B267" s="12"/>
      <c r="C267" s="7"/>
      <c r="E267" s="165"/>
      <c r="F267" s="165"/>
      <c r="G267" s="165"/>
      <c r="H267" s="165"/>
      <c r="I267" s="165"/>
      <c r="J267" s="165"/>
      <c r="K267" s="165"/>
      <c r="L267" s="165"/>
      <c r="M267" s="165"/>
      <c r="N267" s="165"/>
      <c r="O267" s="165"/>
      <c r="P267" s="165"/>
      <c r="Q267" s="165"/>
    </row>
    <row r="268" ht="15.75" customHeight="1">
      <c r="B268" s="12"/>
      <c r="C268" s="7"/>
      <c r="E268" s="165"/>
      <c r="F268" s="165"/>
      <c r="G268" s="165"/>
      <c r="H268" s="165"/>
      <c r="I268" s="165"/>
      <c r="J268" s="165"/>
      <c r="K268" s="165"/>
      <c r="L268" s="165"/>
      <c r="M268" s="165"/>
      <c r="N268" s="165"/>
      <c r="O268" s="165"/>
      <c r="P268" s="165"/>
      <c r="Q268" s="165"/>
    </row>
    <row r="269" ht="15.75" customHeight="1">
      <c r="B269" s="12"/>
      <c r="C269" s="7"/>
      <c r="E269" s="165"/>
      <c r="F269" s="165"/>
      <c r="G269" s="165"/>
      <c r="H269" s="165"/>
      <c r="I269" s="165"/>
      <c r="J269" s="165"/>
      <c r="K269" s="165"/>
      <c r="L269" s="165"/>
      <c r="M269" s="165"/>
      <c r="N269" s="165"/>
      <c r="O269" s="165"/>
      <c r="P269" s="165"/>
      <c r="Q269" s="165"/>
    </row>
    <row r="270" ht="15.75" customHeight="1">
      <c r="B270" s="12"/>
      <c r="C270" s="7"/>
      <c r="E270" s="165"/>
      <c r="F270" s="165"/>
      <c r="G270" s="165"/>
      <c r="H270" s="165"/>
      <c r="I270" s="165"/>
      <c r="J270" s="165"/>
      <c r="K270" s="165"/>
      <c r="L270" s="165"/>
      <c r="M270" s="165"/>
      <c r="N270" s="165"/>
      <c r="O270" s="165"/>
      <c r="P270" s="165"/>
      <c r="Q270" s="165"/>
    </row>
    <row r="271" ht="15.75" customHeight="1">
      <c r="B271" s="12"/>
      <c r="C271" s="7"/>
      <c r="E271" s="165"/>
      <c r="F271" s="165"/>
      <c r="G271" s="165"/>
      <c r="H271" s="165"/>
      <c r="I271" s="165"/>
      <c r="J271" s="165"/>
      <c r="K271" s="165"/>
      <c r="L271" s="165"/>
      <c r="M271" s="165"/>
      <c r="N271" s="165"/>
      <c r="O271" s="165"/>
      <c r="P271" s="165"/>
      <c r="Q271" s="165"/>
    </row>
    <row r="272" ht="15.75" customHeight="1">
      <c r="B272" s="12"/>
      <c r="C272" s="7"/>
      <c r="E272" s="165"/>
      <c r="F272" s="165"/>
      <c r="G272" s="165"/>
      <c r="H272" s="165"/>
      <c r="I272" s="165"/>
      <c r="J272" s="165"/>
      <c r="K272" s="165"/>
      <c r="L272" s="165"/>
      <c r="M272" s="165"/>
      <c r="N272" s="165"/>
      <c r="O272" s="165"/>
      <c r="P272" s="165"/>
      <c r="Q272" s="165"/>
    </row>
    <row r="273" ht="15.75" customHeight="1">
      <c r="B273" s="12"/>
      <c r="C273" s="7"/>
      <c r="E273" s="165"/>
      <c r="F273" s="165"/>
      <c r="G273" s="165"/>
      <c r="H273" s="165"/>
      <c r="I273" s="165"/>
      <c r="J273" s="165"/>
      <c r="K273" s="165"/>
      <c r="L273" s="165"/>
      <c r="M273" s="165"/>
      <c r="N273" s="165"/>
      <c r="O273" s="165"/>
      <c r="P273" s="165"/>
      <c r="Q273" s="165"/>
    </row>
    <row r="274" ht="15.75" customHeight="1">
      <c r="B274" s="12"/>
      <c r="C274" s="7"/>
      <c r="E274" s="165"/>
      <c r="F274" s="165"/>
      <c r="G274" s="165"/>
      <c r="H274" s="165"/>
      <c r="I274" s="165"/>
      <c r="J274" s="165"/>
      <c r="K274" s="165"/>
      <c r="L274" s="165"/>
      <c r="M274" s="165"/>
      <c r="N274" s="165"/>
      <c r="O274" s="165"/>
      <c r="P274" s="165"/>
      <c r="Q274" s="165"/>
    </row>
    <row r="275" ht="15.75" customHeight="1">
      <c r="B275" s="12"/>
      <c r="C275" s="7"/>
      <c r="E275" s="165"/>
      <c r="F275" s="165"/>
      <c r="G275" s="165"/>
      <c r="H275" s="165"/>
      <c r="I275" s="165"/>
      <c r="J275" s="165"/>
      <c r="K275" s="165"/>
      <c r="L275" s="165"/>
      <c r="M275" s="165"/>
      <c r="N275" s="165"/>
      <c r="O275" s="165"/>
      <c r="P275" s="165"/>
      <c r="Q275" s="165"/>
    </row>
    <row r="276" ht="15.75" customHeight="1">
      <c r="B276" s="12"/>
      <c r="C276" s="7"/>
      <c r="E276" s="165"/>
      <c r="F276" s="165"/>
      <c r="G276" s="165"/>
      <c r="H276" s="165"/>
      <c r="I276" s="165"/>
      <c r="J276" s="165"/>
      <c r="K276" s="165"/>
      <c r="L276" s="165"/>
      <c r="M276" s="165"/>
      <c r="N276" s="165"/>
      <c r="O276" s="165"/>
      <c r="P276" s="165"/>
      <c r="Q276" s="165"/>
    </row>
    <row r="277" ht="15.75" customHeight="1">
      <c r="B277" s="12"/>
      <c r="C277" s="7"/>
      <c r="E277" s="165"/>
      <c r="F277" s="165"/>
      <c r="G277" s="165"/>
      <c r="H277" s="165"/>
      <c r="I277" s="165"/>
      <c r="J277" s="165"/>
      <c r="K277" s="165"/>
      <c r="L277" s="165"/>
      <c r="M277" s="165"/>
      <c r="N277" s="165"/>
      <c r="O277" s="165"/>
      <c r="P277" s="165"/>
      <c r="Q277" s="165"/>
    </row>
    <row r="278" ht="15.75" customHeight="1">
      <c r="B278" s="12"/>
      <c r="C278" s="7"/>
      <c r="E278" s="165"/>
      <c r="F278" s="165"/>
      <c r="G278" s="165"/>
      <c r="H278" s="165"/>
      <c r="I278" s="165"/>
      <c r="J278" s="165"/>
      <c r="K278" s="165"/>
      <c r="L278" s="165"/>
      <c r="M278" s="165"/>
      <c r="N278" s="165"/>
      <c r="O278" s="165"/>
      <c r="P278" s="165"/>
      <c r="Q278" s="165"/>
    </row>
    <row r="279" ht="15.75" customHeight="1">
      <c r="B279" s="12"/>
      <c r="C279" s="7"/>
      <c r="E279" s="165"/>
      <c r="F279" s="165"/>
      <c r="G279" s="165"/>
      <c r="H279" s="165"/>
      <c r="I279" s="165"/>
      <c r="J279" s="165"/>
      <c r="K279" s="165"/>
      <c r="L279" s="165"/>
      <c r="M279" s="165"/>
      <c r="N279" s="165"/>
      <c r="O279" s="165"/>
      <c r="P279" s="165"/>
      <c r="Q279" s="165"/>
    </row>
    <row r="280" ht="15.75" customHeight="1">
      <c r="B280" s="12"/>
      <c r="C280" s="7"/>
      <c r="E280" s="165"/>
      <c r="F280" s="165"/>
      <c r="G280" s="165"/>
      <c r="H280" s="165"/>
      <c r="I280" s="165"/>
      <c r="J280" s="165"/>
      <c r="K280" s="165"/>
      <c r="L280" s="165"/>
      <c r="M280" s="165"/>
      <c r="N280" s="165"/>
      <c r="O280" s="165"/>
      <c r="P280" s="165"/>
      <c r="Q280" s="165"/>
    </row>
    <row r="281" ht="15.75" customHeight="1">
      <c r="B281" s="12"/>
      <c r="C281" s="7"/>
      <c r="E281" s="165"/>
      <c r="F281" s="165"/>
      <c r="G281" s="165"/>
      <c r="H281" s="165"/>
      <c r="I281" s="165"/>
      <c r="J281" s="165"/>
      <c r="K281" s="165"/>
      <c r="L281" s="165"/>
      <c r="M281" s="165"/>
      <c r="N281" s="165"/>
      <c r="O281" s="165"/>
      <c r="P281" s="165"/>
      <c r="Q281" s="165"/>
    </row>
    <row r="282" ht="15.75" customHeight="1">
      <c r="B282" s="12"/>
      <c r="C282" s="7"/>
      <c r="E282" s="165"/>
      <c r="F282" s="165"/>
      <c r="G282" s="165"/>
      <c r="H282" s="165"/>
      <c r="I282" s="165"/>
      <c r="J282" s="165"/>
      <c r="K282" s="165"/>
      <c r="L282" s="165"/>
      <c r="M282" s="165"/>
      <c r="N282" s="165"/>
      <c r="O282" s="165"/>
      <c r="P282" s="165"/>
      <c r="Q282" s="165"/>
    </row>
    <row r="283" ht="15.75" customHeight="1">
      <c r="B283" s="12"/>
      <c r="C283" s="7"/>
      <c r="E283" s="165"/>
      <c r="F283" s="165"/>
      <c r="G283" s="165"/>
      <c r="H283" s="165"/>
      <c r="I283" s="165"/>
      <c r="J283" s="165"/>
      <c r="K283" s="165"/>
      <c r="L283" s="165"/>
      <c r="M283" s="165"/>
      <c r="N283" s="165"/>
      <c r="O283" s="165"/>
      <c r="P283" s="165"/>
      <c r="Q283" s="165"/>
    </row>
    <row r="284" ht="15.75" customHeight="1">
      <c r="B284" s="12"/>
      <c r="C284" s="7"/>
      <c r="E284" s="165"/>
      <c r="F284" s="165"/>
      <c r="G284" s="165"/>
      <c r="H284" s="165"/>
      <c r="I284" s="165"/>
      <c r="J284" s="165"/>
      <c r="K284" s="165"/>
      <c r="L284" s="165"/>
      <c r="M284" s="165"/>
      <c r="N284" s="165"/>
      <c r="O284" s="165"/>
      <c r="P284" s="165"/>
      <c r="Q284" s="165"/>
    </row>
    <row r="285" ht="15.75" customHeight="1">
      <c r="B285" s="12"/>
      <c r="C285" s="7"/>
      <c r="E285" s="165"/>
      <c r="F285" s="165"/>
      <c r="G285" s="165"/>
      <c r="H285" s="165"/>
      <c r="I285" s="165"/>
      <c r="J285" s="165"/>
      <c r="K285" s="165"/>
      <c r="L285" s="165"/>
      <c r="M285" s="165"/>
      <c r="N285" s="165"/>
      <c r="O285" s="165"/>
      <c r="P285" s="165"/>
      <c r="Q285" s="165"/>
    </row>
    <row r="286" ht="15.75" customHeight="1">
      <c r="B286" s="12"/>
      <c r="C286" s="7"/>
      <c r="E286" s="165"/>
      <c r="F286" s="165"/>
      <c r="G286" s="165"/>
      <c r="H286" s="165"/>
      <c r="I286" s="165"/>
      <c r="J286" s="165"/>
      <c r="K286" s="165"/>
      <c r="L286" s="165"/>
      <c r="M286" s="165"/>
      <c r="N286" s="165"/>
      <c r="O286" s="165"/>
      <c r="P286" s="165"/>
      <c r="Q286" s="165"/>
    </row>
    <row r="287" ht="15.75" customHeight="1">
      <c r="B287" s="12"/>
      <c r="C287" s="7"/>
      <c r="E287" s="165"/>
      <c r="F287" s="165"/>
      <c r="G287" s="165"/>
      <c r="H287" s="165"/>
      <c r="I287" s="165"/>
      <c r="J287" s="165"/>
      <c r="K287" s="165"/>
      <c r="L287" s="165"/>
      <c r="M287" s="165"/>
      <c r="N287" s="165"/>
      <c r="O287" s="165"/>
      <c r="P287" s="165"/>
      <c r="Q287" s="165"/>
    </row>
    <row r="288" ht="15.75" customHeight="1">
      <c r="B288" s="12"/>
      <c r="C288" s="7"/>
      <c r="E288" s="165"/>
      <c r="F288" s="165"/>
      <c r="G288" s="165"/>
      <c r="H288" s="165"/>
      <c r="I288" s="165"/>
      <c r="J288" s="165"/>
      <c r="K288" s="165"/>
      <c r="L288" s="165"/>
      <c r="M288" s="165"/>
      <c r="N288" s="165"/>
      <c r="O288" s="165"/>
      <c r="P288" s="165"/>
      <c r="Q288" s="165"/>
    </row>
    <row r="289" ht="15.75" customHeight="1">
      <c r="B289" s="12"/>
      <c r="C289" s="7"/>
      <c r="E289" s="165"/>
      <c r="F289" s="165"/>
      <c r="G289" s="165"/>
      <c r="H289" s="165"/>
      <c r="I289" s="165"/>
      <c r="J289" s="165"/>
      <c r="K289" s="165"/>
      <c r="L289" s="165"/>
      <c r="M289" s="165"/>
      <c r="N289" s="165"/>
      <c r="O289" s="165"/>
      <c r="P289" s="165"/>
      <c r="Q289" s="165"/>
    </row>
    <row r="290" ht="15.75" customHeight="1">
      <c r="B290" s="12"/>
      <c r="C290" s="7"/>
      <c r="E290" s="165"/>
      <c r="F290" s="165"/>
      <c r="G290" s="165"/>
      <c r="H290" s="165"/>
      <c r="I290" s="165"/>
      <c r="J290" s="165"/>
      <c r="K290" s="165"/>
      <c r="L290" s="165"/>
      <c r="M290" s="165"/>
      <c r="N290" s="165"/>
      <c r="O290" s="165"/>
      <c r="P290" s="165"/>
      <c r="Q290" s="165"/>
    </row>
    <row r="291" ht="15.75" customHeight="1">
      <c r="B291" s="12"/>
      <c r="C291" s="7"/>
      <c r="E291" s="165"/>
      <c r="F291" s="165"/>
      <c r="G291" s="165"/>
      <c r="H291" s="165"/>
      <c r="I291" s="165"/>
      <c r="J291" s="165"/>
      <c r="K291" s="165"/>
      <c r="L291" s="165"/>
      <c r="M291" s="165"/>
      <c r="N291" s="165"/>
      <c r="O291" s="165"/>
      <c r="P291" s="165"/>
      <c r="Q291" s="165"/>
    </row>
    <row r="292" ht="15.75" customHeight="1">
      <c r="B292" s="12"/>
      <c r="C292" s="7"/>
      <c r="E292" s="165"/>
      <c r="F292" s="165"/>
      <c r="G292" s="165"/>
      <c r="H292" s="165"/>
      <c r="I292" s="165"/>
      <c r="J292" s="165"/>
      <c r="K292" s="165"/>
      <c r="L292" s="165"/>
      <c r="M292" s="165"/>
      <c r="N292" s="165"/>
      <c r="O292" s="165"/>
      <c r="P292" s="165"/>
      <c r="Q292" s="165"/>
    </row>
    <row r="293" ht="15.75" customHeight="1">
      <c r="B293" s="12"/>
      <c r="C293" s="7"/>
      <c r="E293" s="165"/>
      <c r="F293" s="165"/>
      <c r="G293" s="165"/>
      <c r="H293" s="165"/>
      <c r="I293" s="165"/>
      <c r="J293" s="165"/>
      <c r="K293" s="165"/>
      <c r="L293" s="165"/>
      <c r="M293" s="165"/>
      <c r="N293" s="165"/>
      <c r="O293" s="165"/>
      <c r="P293" s="165"/>
      <c r="Q293" s="165"/>
    </row>
    <row r="294" ht="15.75" customHeight="1">
      <c r="B294" s="12"/>
      <c r="C294" s="7"/>
      <c r="E294" s="165"/>
      <c r="F294" s="165"/>
      <c r="G294" s="165"/>
      <c r="H294" s="165"/>
      <c r="I294" s="165"/>
      <c r="J294" s="165"/>
      <c r="K294" s="165"/>
      <c r="L294" s="165"/>
      <c r="M294" s="165"/>
      <c r="N294" s="165"/>
      <c r="O294" s="165"/>
      <c r="P294" s="165"/>
      <c r="Q294" s="165"/>
    </row>
    <row r="295" ht="15.75" customHeight="1">
      <c r="B295" s="12"/>
      <c r="C295" s="7"/>
      <c r="E295" s="165"/>
      <c r="F295" s="165"/>
      <c r="G295" s="165"/>
      <c r="H295" s="165"/>
      <c r="I295" s="165"/>
      <c r="J295" s="165"/>
      <c r="K295" s="165"/>
      <c r="L295" s="165"/>
      <c r="M295" s="165"/>
      <c r="N295" s="165"/>
      <c r="O295" s="165"/>
      <c r="P295" s="165"/>
      <c r="Q295" s="165"/>
    </row>
    <row r="296" ht="15.75" customHeight="1">
      <c r="B296" s="12"/>
      <c r="C296" s="7"/>
      <c r="E296" s="165"/>
      <c r="F296" s="165"/>
      <c r="G296" s="165"/>
      <c r="H296" s="165"/>
      <c r="I296" s="165"/>
      <c r="J296" s="165"/>
      <c r="K296" s="165"/>
      <c r="L296" s="165"/>
      <c r="M296" s="165"/>
      <c r="N296" s="165"/>
      <c r="O296" s="165"/>
      <c r="P296" s="165"/>
      <c r="Q296" s="165"/>
    </row>
    <row r="297" ht="15.75" customHeight="1">
      <c r="B297" s="12"/>
      <c r="C297" s="7"/>
      <c r="E297" s="165"/>
      <c r="F297" s="165"/>
      <c r="G297" s="165"/>
      <c r="H297" s="165"/>
      <c r="I297" s="165"/>
      <c r="J297" s="165"/>
      <c r="K297" s="165"/>
      <c r="L297" s="165"/>
      <c r="M297" s="165"/>
      <c r="N297" s="165"/>
      <c r="O297" s="165"/>
      <c r="P297" s="165"/>
      <c r="Q297" s="165"/>
    </row>
    <row r="298" ht="15.75" customHeight="1">
      <c r="B298" s="12"/>
      <c r="C298" s="7"/>
      <c r="E298" s="165"/>
      <c r="F298" s="165"/>
      <c r="G298" s="165"/>
      <c r="H298" s="165"/>
      <c r="I298" s="165"/>
      <c r="J298" s="165"/>
      <c r="K298" s="165"/>
      <c r="L298" s="165"/>
      <c r="M298" s="165"/>
      <c r="N298" s="165"/>
      <c r="O298" s="165"/>
      <c r="P298" s="165"/>
      <c r="Q298" s="165"/>
    </row>
    <row r="299" ht="15.75" customHeight="1">
      <c r="B299" s="12"/>
      <c r="C299" s="7"/>
      <c r="E299" s="165"/>
      <c r="F299" s="165"/>
      <c r="G299" s="165"/>
      <c r="H299" s="165"/>
      <c r="I299" s="165"/>
      <c r="J299" s="165"/>
      <c r="K299" s="165"/>
      <c r="L299" s="165"/>
      <c r="M299" s="165"/>
      <c r="N299" s="165"/>
      <c r="O299" s="165"/>
      <c r="P299" s="165"/>
      <c r="Q299" s="165"/>
    </row>
    <row r="300" ht="15.75" customHeight="1">
      <c r="B300" s="12"/>
      <c r="C300" s="7"/>
      <c r="E300" s="165"/>
      <c r="F300" s="165"/>
      <c r="G300" s="165"/>
      <c r="H300" s="165"/>
      <c r="I300" s="165"/>
      <c r="J300" s="165"/>
      <c r="K300" s="165"/>
      <c r="L300" s="165"/>
      <c r="M300" s="165"/>
      <c r="N300" s="165"/>
      <c r="O300" s="165"/>
      <c r="P300" s="165"/>
      <c r="Q300" s="165"/>
    </row>
    <row r="301" ht="15.75" customHeight="1">
      <c r="B301" s="12"/>
      <c r="C301" s="7"/>
      <c r="E301" s="165"/>
      <c r="F301" s="165"/>
      <c r="G301" s="165"/>
      <c r="H301" s="165"/>
      <c r="I301" s="165"/>
      <c r="J301" s="165"/>
      <c r="K301" s="165"/>
      <c r="L301" s="165"/>
      <c r="M301" s="165"/>
      <c r="N301" s="165"/>
      <c r="O301" s="165"/>
      <c r="P301" s="165"/>
      <c r="Q301" s="165"/>
    </row>
    <row r="302" ht="15.75" customHeight="1">
      <c r="B302" s="12"/>
      <c r="C302" s="7"/>
      <c r="E302" s="165"/>
      <c r="F302" s="165"/>
      <c r="G302" s="165"/>
      <c r="H302" s="165"/>
      <c r="I302" s="165"/>
      <c r="J302" s="165"/>
      <c r="K302" s="165"/>
      <c r="L302" s="165"/>
      <c r="M302" s="165"/>
      <c r="N302" s="165"/>
      <c r="O302" s="165"/>
      <c r="P302" s="165"/>
      <c r="Q302" s="165"/>
    </row>
    <row r="303" ht="15.75" customHeight="1">
      <c r="B303" s="12"/>
      <c r="C303" s="7"/>
      <c r="E303" s="165"/>
      <c r="F303" s="165"/>
      <c r="G303" s="165"/>
      <c r="H303" s="165"/>
      <c r="I303" s="165"/>
      <c r="J303" s="165"/>
      <c r="K303" s="165"/>
      <c r="L303" s="165"/>
      <c r="M303" s="165"/>
      <c r="N303" s="165"/>
      <c r="O303" s="165"/>
      <c r="P303" s="165"/>
      <c r="Q303" s="165"/>
    </row>
    <row r="304" ht="15.75" customHeight="1">
      <c r="B304" s="12"/>
      <c r="C304" s="7"/>
      <c r="E304" s="165"/>
      <c r="F304" s="165"/>
      <c r="G304" s="165"/>
      <c r="H304" s="165"/>
      <c r="I304" s="165"/>
      <c r="J304" s="165"/>
      <c r="K304" s="165"/>
      <c r="L304" s="165"/>
      <c r="M304" s="165"/>
      <c r="N304" s="165"/>
      <c r="O304" s="165"/>
      <c r="P304" s="165"/>
      <c r="Q304" s="165"/>
    </row>
    <row r="305" ht="15.75" customHeight="1">
      <c r="B305" s="12"/>
      <c r="C305" s="7"/>
      <c r="E305" s="165"/>
      <c r="F305" s="165"/>
      <c r="G305" s="165"/>
      <c r="H305" s="165"/>
      <c r="I305" s="165"/>
      <c r="J305" s="165"/>
      <c r="K305" s="165"/>
      <c r="L305" s="165"/>
      <c r="M305" s="165"/>
      <c r="N305" s="165"/>
      <c r="O305" s="165"/>
      <c r="P305" s="165"/>
      <c r="Q305" s="165"/>
    </row>
    <row r="306" ht="15.75" customHeight="1">
      <c r="B306" s="12"/>
      <c r="C306" s="7"/>
      <c r="E306" s="165"/>
      <c r="F306" s="165"/>
      <c r="G306" s="165"/>
      <c r="H306" s="165"/>
      <c r="I306" s="165"/>
      <c r="J306" s="165"/>
      <c r="K306" s="165"/>
      <c r="L306" s="165"/>
      <c r="M306" s="165"/>
      <c r="N306" s="165"/>
      <c r="O306" s="165"/>
      <c r="P306" s="165"/>
      <c r="Q306" s="165"/>
    </row>
    <row r="307" ht="15.75" customHeight="1">
      <c r="B307" s="12"/>
      <c r="C307" s="7"/>
      <c r="E307" s="165"/>
      <c r="F307" s="165"/>
      <c r="G307" s="165"/>
      <c r="H307" s="165"/>
      <c r="I307" s="165"/>
      <c r="J307" s="165"/>
      <c r="K307" s="165"/>
      <c r="L307" s="165"/>
      <c r="M307" s="165"/>
      <c r="N307" s="165"/>
      <c r="O307" s="165"/>
      <c r="P307" s="165"/>
      <c r="Q307" s="165"/>
    </row>
    <row r="308" ht="15.75" customHeight="1">
      <c r="B308" s="12"/>
      <c r="C308" s="7"/>
      <c r="E308" s="165"/>
      <c r="F308" s="165"/>
      <c r="G308" s="165"/>
      <c r="H308" s="165"/>
      <c r="I308" s="165"/>
      <c r="J308" s="165"/>
      <c r="K308" s="165"/>
      <c r="L308" s="165"/>
      <c r="M308" s="165"/>
      <c r="N308" s="165"/>
      <c r="O308" s="165"/>
      <c r="P308" s="165"/>
      <c r="Q308" s="165"/>
    </row>
    <row r="309" ht="15.75" customHeight="1">
      <c r="B309" s="12"/>
      <c r="C309" s="7"/>
      <c r="E309" s="165"/>
      <c r="F309" s="165"/>
      <c r="G309" s="165"/>
      <c r="H309" s="165"/>
      <c r="I309" s="165"/>
      <c r="J309" s="165"/>
      <c r="K309" s="165"/>
      <c r="L309" s="165"/>
      <c r="M309" s="165"/>
      <c r="N309" s="165"/>
      <c r="O309" s="165"/>
      <c r="P309" s="165"/>
      <c r="Q309" s="165"/>
    </row>
    <row r="310" ht="15.75" customHeight="1">
      <c r="B310" s="12"/>
      <c r="C310" s="7"/>
      <c r="E310" s="165"/>
      <c r="F310" s="165"/>
      <c r="G310" s="165"/>
      <c r="H310" s="165"/>
      <c r="I310" s="165"/>
      <c r="J310" s="165"/>
      <c r="K310" s="165"/>
      <c r="L310" s="165"/>
      <c r="M310" s="165"/>
      <c r="N310" s="165"/>
      <c r="O310" s="165"/>
      <c r="P310" s="165"/>
      <c r="Q310" s="165"/>
    </row>
    <row r="311" ht="15.75" customHeight="1">
      <c r="B311" s="12"/>
      <c r="C311" s="7"/>
      <c r="E311" s="165"/>
      <c r="F311" s="165"/>
      <c r="G311" s="165"/>
      <c r="H311" s="165"/>
      <c r="I311" s="165"/>
      <c r="J311" s="165"/>
      <c r="K311" s="165"/>
      <c r="L311" s="165"/>
      <c r="M311" s="165"/>
      <c r="N311" s="165"/>
      <c r="O311" s="165"/>
      <c r="P311" s="165"/>
      <c r="Q311" s="165"/>
    </row>
    <row r="312" ht="15.75" customHeight="1">
      <c r="B312" s="12"/>
      <c r="C312" s="7"/>
      <c r="E312" s="165"/>
      <c r="F312" s="165"/>
      <c r="G312" s="165"/>
      <c r="H312" s="165"/>
      <c r="I312" s="165"/>
      <c r="J312" s="165"/>
      <c r="K312" s="165"/>
      <c r="L312" s="165"/>
      <c r="M312" s="165"/>
      <c r="N312" s="165"/>
      <c r="O312" s="165"/>
      <c r="P312" s="165"/>
      <c r="Q312" s="165"/>
    </row>
    <row r="313" ht="15.75" customHeight="1">
      <c r="B313" s="12"/>
      <c r="C313" s="7"/>
      <c r="E313" s="165"/>
      <c r="F313" s="165"/>
      <c r="G313" s="165"/>
      <c r="H313" s="165"/>
      <c r="I313" s="165"/>
      <c r="J313" s="165"/>
      <c r="K313" s="165"/>
      <c r="L313" s="165"/>
      <c r="M313" s="165"/>
      <c r="N313" s="165"/>
      <c r="O313" s="165"/>
      <c r="P313" s="165"/>
      <c r="Q313" s="165"/>
    </row>
    <row r="314" ht="15.75" customHeight="1">
      <c r="B314" s="12"/>
      <c r="C314" s="7"/>
      <c r="E314" s="165"/>
      <c r="F314" s="165"/>
      <c r="G314" s="165"/>
      <c r="H314" s="165"/>
      <c r="I314" s="165"/>
      <c r="J314" s="165"/>
      <c r="K314" s="165"/>
      <c r="L314" s="165"/>
      <c r="M314" s="165"/>
      <c r="N314" s="165"/>
      <c r="O314" s="165"/>
      <c r="P314" s="165"/>
      <c r="Q314" s="165"/>
    </row>
    <row r="315" ht="15.75" customHeight="1">
      <c r="B315" s="12"/>
      <c r="C315" s="7"/>
      <c r="E315" s="165"/>
      <c r="F315" s="165"/>
      <c r="G315" s="165"/>
      <c r="H315" s="165"/>
      <c r="I315" s="165"/>
      <c r="J315" s="165"/>
      <c r="K315" s="165"/>
      <c r="L315" s="165"/>
      <c r="M315" s="165"/>
      <c r="N315" s="165"/>
      <c r="O315" s="165"/>
      <c r="P315" s="165"/>
      <c r="Q315" s="165"/>
    </row>
    <row r="316" ht="15.75" customHeight="1">
      <c r="B316" s="12"/>
      <c r="C316" s="7"/>
      <c r="E316" s="165"/>
      <c r="F316" s="165"/>
      <c r="G316" s="165"/>
      <c r="H316" s="165"/>
      <c r="I316" s="165"/>
      <c r="J316" s="165"/>
      <c r="K316" s="165"/>
      <c r="L316" s="165"/>
      <c r="M316" s="165"/>
      <c r="N316" s="165"/>
      <c r="O316" s="165"/>
      <c r="P316" s="165"/>
      <c r="Q316" s="165"/>
    </row>
    <row r="317" ht="15.75" customHeight="1">
      <c r="B317" s="12"/>
      <c r="C317" s="7"/>
      <c r="E317" s="165"/>
      <c r="F317" s="165"/>
      <c r="G317" s="165"/>
      <c r="H317" s="165"/>
      <c r="I317" s="165"/>
      <c r="J317" s="165"/>
      <c r="K317" s="165"/>
      <c r="L317" s="165"/>
      <c r="M317" s="165"/>
      <c r="N317" s="165"/>
      <c r="O317" s="165"/>
      <c r="P317" s="165"/>
      <c r="Q317" s="165"/>
    </row>
    <row r="318" ht="15.75" customHeight="1">
      <c r="B318" s="12"/>
      <c r="C318" s="7"/>
      <c r="E318" s="165"/>
      <c r="F318" s="165"/>
      <c r="G318" s="165"/>
      <c r="H318" s="165"/>
      <c r="I318" s="165"/>
      <c r="J318" s="165"/>
      <c r="K318" s="165"/>
      <c r="L318" s="165"/>
      <c r="M318" s="165"/>
      <c r="N318" s="165"/>
      <c r="O318" s="165"/>
      <c r="P318" s="165"/>
      <c r="Q318" s="165"/>
    </row>
    <row r="319" ht="15.75" customHeight="1">
      <c r="B319" s="12"/>
      <c r="C319" s="7"/>
      <c r="E319" s="165"/>
      <c r="F319" s="165"/>
      <c r="G319" s="165"/>
      <c r="H319" s="165"/>
      <c r="I319" s="165"/>
      <c r="J319" s="165"/>
      <c r="K319" s="165"/>
      <c r="L319" s="165"/>
      <c r="M319" s="165"/>
      <c r="N319" s="165"/>
      <c r="O319" s="165"/>
      <c r="P319" s="165"/>
      <c r="Q319" s="165"/>
    </row>
    <row r="320" ht="15.75" customHeight="1">
      <c r="B320" s="12"/>
      <c r="C320" s="7"/>
      <c r="E320" s="165"/>
      <c r="F320" s="165"/>
      <c r="G320" s="165"/>
      <c r="H320" s="165"/>
      <c r="I320" s="165"/>
      <c r="J320" s="165"/>
      <c r="K320" s="165"/>
      <c r="L320" s="165"/>
      <c r="M320" s="165"/>
      <c r="N320" s="165"/>
      <c r="O320" s="165"/>
      <c r="P320" s="165"/>
      <c r="Q320" s="165"/>
    </row>
    <row r="321" ht="15.75" customHeight="1">
      <c r="B321" s="12"/>
      <c r="C321" s="7"/>
      <c r="E321" s="165"/>
      <c r="F321" s="165"/>
      <c r="G321" s="165"/>
      <c r="H321" s="165"/>
      <c r="I321" s="165"/>
      <c r="J321" s="165"/>
      <c r="K321" s="165"/>
      <c r="L321" s="165"/>
      <c r="M321" s="165"/>
      <c r="N321" s="165"/>
      <c r="O321" s="165"/>
      <c r="P321" s="165"/>
      <c r="Q321" s="165"/>
    </row>
    <row r="322" ht="15.75" customHeight="1">
      <c r="B322" s="12"/>
      <c r="C322" s="7"/>
      <c r="E322" s="165"/>
      <c r="F322" s="165"/>
      <c r="G322" s="165"/>
      <c r="H322" s="165"/>
      <c r="I322" s="165"/>
      <c r="J322" s="165"/>
      <c r="K322" s="165"/>
      <c r="L322" s="165"/>
      <c r="M322" s="165"/>
      <c r="N322" s="165"/>
      <c r="O322" s="165"/>
      <c r="P322" s="165"/>
      <c r="Q322" s="165"/>
    </row>
    <row r="323" ht="15.75" customHeight="1">
      <c r="B323" s="12"/>
      <c r="C323" s="7"/>
      <c r="E323" s="165"/>
      <c r="F323" s="165"/>
      <c r="G323" s="165"/>
      <c r="H323" s="165"/>
      <c r="I323" s="165"/>
      <c r="J323" s="165"/>
      <c r="K323" s="165"/>
      <c r="L323" s="165"/>
      <c r="M323" s="165"/>
      <c r="N323" s="165"/>
      <c r="O323" s="165"/>
      <c r="P323" s="165"/>
      <c r="Q323" s="165"/>
    </row>
    <row r="324" ht="15.75" customHeight="1">
      <c r="B324" s="12"/>
      <c r="C324" s="7"/>
      <c r="E324" s="165"/>
      <c r="F324" s="165"/>
      <c r="G324" s="165"/>
      <c r="H324" s="165"/>
      <c r="I324" s="165"/>
      <c r="J324" s="165"/>
      <c r="K324" s="165"/>
      <c r="L324" s="165"/>
      <c r="M324" s="165"/>
      <c r="N324" s="165"/>
      <c r="O324" s="165"/>
      <c r="P324" s="165"/>
      <c r="Q324" s="165"/>
    </row>
    <row r="325" ht="15.75" customHeight="1">
      <c r="B325" s="12"/>
      <c r="C325" s="7"/>
      <c r="E325" s="165"/>
      <c r="F325" s="165"/>
      <c r="G325" s="165"/>
      <c r="H325" s="165"/>
      <c r="I325" s="165"/>
      <c r="J325" s="165"/>
      <c r="K325" s="165"/>
      <c r="L325" s="165"/>
      <c r="M325" s="165"/>
      <c r="N325" s="165"/>
      <c r="O325" s="165"/>
      <c r="P325" s="165"/>
      <c r="Q325" s="165"/>
    </row>
    <row r="326" ht="15.75" customHeight="1">
      <c r="B326" s="12"/>
      <c r="C326" s="7"/>
      <c r="E326" s="165"/>
      <c r="F326" s="165"/>
      <c r="G326" s="165"/>
      <c r="H326" s="165"/>
      <c r="I326" s="165"/>
      <c r="J326" s="165"/>
      <c r="K326" s="165"/>
      <c r="L326" s="165"/>
      <c r="M326" s="165"/>
      <c r="N326" s="165"/>
      <c r="O326" s="165"/>
      <c r="P326" s="165"/>
      <c r="Q326" s="165"/>
    </row>
    <row r="327" ht="15.75" customHeight="1">
      <c r="B327" s="12"/>
      <c r="C327" s="7"/>
      <c r="E327" s="165"/>
      <c r="F327" s="165"/>
      <c r="G327" s="165"/>
      <c r="H327" s="165"/>
      <c r="I327" s="165"/>
      <c r="J327" s="165"/>
      <c r="K327" s="165"/>
      <c r="L327" s="165"/>
      <c r="M327" s="165"/>
      <c r="N327" s="165"/>
      <c r="O327" s="165"/>
      <c r="P327" s="165"/>
      <c r="Q327" s="165"/>
    </row>
    <row r="328" ht="15.75" customHeight="1">
      <c r="B328" s="12"/>
      <c r="C328" s="7"/>
      <c r="E328" s="165"/>
      <c r="F328" s="165"/>
      <c r="G328" s="165"/>
      <c r="H328" s="165"/>
      <c r="I328" s="165"/>
      <c r="J328" s="165"/>
      <c r="K328" s="165"/>
      <c r="L328" s="165"/>
      <c r="M328" s="165"/>
      <c r="N328" s="165"/>
      <c r="O328" s="165"/>
      <c r="P328" s="165"/>
      <c r="Q328" s="165"/>
    </row>
    <row r="329" ht="15.75" customHeight="1">
      <c r="B329" s="12"/>
      <c r="C329" s="7"/>
      <c r="E329" s="165"/>
      <c r="F329" s="165"/>
      <c r="G329" s="165"/>
      <c r="H329" s="165"/>
      <c r="I329" s="165"/>
      <c r="J329" s="165"/>
      <c r="K329" s="165"/>
      <c r="L329" s="165"/>
      <c r="M329" s="165"/>
      <c r="N329" s="165"/>
      <c r="O329" s="165"/>
      <c r="P329" s="165"/>
      <c r="Q329" s="165"/>
    </row>
    <row r="330" ht="15.75" customHeight="1">
      <c r="B330" s="12"/>
      <c r="C330" s="7"/>
      <c r="E330" s="165"/>
      <c r="F330" s="165"/>
      <c r="G330" s="165"/>
      <c r="H330" s="165"/>
      <c r="I330" s="165"/>
      <c r="J330" s="165"/>
      <c r="K330" s="165"/>
      <c r="L330" s="165"/>
      <c r="M330" s="165"/>
      <c r="N330" s="165"/>
      <c r="O330" s="165"/>
      <c r="P330" s="165"/>
      <c r="Q330" s="165"/>
    </row>
    <row r="331" ht="15.75" customHeight="1">
      <c r="B331" s="12"/>
      <c r="C331" s="7"/>
      <c r="E331" s="165"/>
      <c r="F331" s="165"/>
      <c r="G331" s="165"/>
      <c r="H331" s="165"/>
      <c r="I331" s="165"/>
      <c r="J331" s="165"/>
      <c r="K331" s="165"/>
      <c r="L331" s="165"/>
      <c r="M331" s="165"/>
      <c r="N331" s="165"/>
      <c r="O331" s="165"/>
      <c r="P331" s="165"/>
      <c r="Q331" s="165"/>
    </row>
    <row r="332" ht="15.75" customHeight="1">
      <c r="B332" s="12"/>
      <c r="C332" s="7"/>
      <c r="E332" s="165"/>
      <c r="F332" s="165"/>
      <c r="G332" s="165"/>
      <c r="H332" s="165"/>
      <c r="I332" s="165"/>
      <c r="J332" s="165"/>
      <c r="K332" s="165"/>
      <c r="L332" s="165"/>
      <c r="M332" s="165"/>
      <c r="N332" s="165"/>
      <c r="O332" s="165"/>
      <c r="P332" s="165"/>
      <c r="Q332" s="165"/>
    </row>
    <row r="333" ht="15.75" customHeight="1">
      <c r="B333" s="12"/>
      <c r="C333" s="7"/>
      <c r="E333" s="165"/>
      <c r="F333" s="165"/>
      <c r="G333" s="165"/>
      <c r="H333" s="165"/>
      <c r="I333" s="165"/>
      <c r="J333" s="165"/>
      <c r="K333" s="165"/>
      <c r="L333" s="165"/>
      <c r="M333" s="165"/>
      <c r="N333" s="165"/>
      <c r="O333" s="165"/>
      <c r="P333" s="165"/>
      <c r="Q333" s="165"/>
    </row>
    <row r="334" ht="15.75" customHeight="1">
      <c r="B334" s="12"/>
      <c r="C334" s="7"/>
      <c r="E334" s="165"/>
      <c r="F334" s="165"/>
      <c r="G334" s="165"/>
      <c r="H334" s="165"/>
      <c r="I334" s="165"/>
      <c r="J334" s="165"/>
      <c r="K334" s="165"/>
      <c r="L334" s="165"/>
      <c r="M334" s="165"/>
      <c r="N334" s="165"/>
      <c r="O334" s="165"/>
      <c r="P334" s="165"/>
      <c r="Q334" s="165"/>
    </row>
    <row r="335" ht="15.75" customHeight="1">
      <c r="B335" s="12"/>
      <c r="C335" s="7"/>
      <c r="E335" s="165"/>
      <c r="F335" s="165"/>
      <c r="G335" s="165"/>
      <c r="H335" s="165"/>
      <c r="I335" s="165"/>
      <c r="J335" s="165"/>
      <c r="K335" s="165"/>
      <c r="L335" s="165"/>
      <c r="M335" s="165"/>
      <c r="N335" s="165"/>
      <c r="O335" s="165"/>
      <c r="P335" s="165"/>
      <c r="Q335" s="165"/>
    </row>
    <row r="336" ht="15.75" customHeight="1">
      <c r="B336" s="12"/>
      <c r="C336" s="7"/>
      <c r="E336" s="165"/>
      <c r="F336" s="165"/>
      <c r="G336" s="165"/>
      <c r="H336" s="165"/>
      <c r="I336" s="165"/>
      <c r="J336" s="165"/>
      <c r="K336" s="165"/>
      <c r="L336" s="165"/>
      <c r="M336" s="165"/>
      <c r="N336" s="165"/>
      <c r="O336" s="165"/>
      <c r="P336" s="165"/>
      <c r="Q336" s="165"/>
    </row>
    <row r="337" ht="15.75" customHeight="1">
      <c r="B337" s="12"/>
      <c r="C337" s="7"/>
      <c r="E337" s="165"/>
      <c r="F337" s="165"/>
      <c r="G337" s="165"/>
      <c r="H337" s="165"/>
      <c r="I337" s="165"/>
      <c r="J337" s="165"/>
      <c r="K337" s="165"/>
      <c r="L337" s="165"/>
      <c r="M337" s="165"/>
      <c r="N337" s="165"/>
      <c r="O337" s="165"/>
      <c r="P337" s="165"/>
      <c r="Q337" s="165"/>
    </row>
    <row r="338" ht="15.75" customHeight="1">
      <c r="B338" s="12"/>
      <c r="C338" s="7"/>
      <c r="E338" s="165"/>
      <c r="F338" s="165"/>
      <c r="G338" s="165"/>
      <c r="H338" s="165"/>
      <c r="I338" s="165"/>
      <c r="J338" s="165"/>
      <c r="K338" s="165"/>
      <c r="L338" s="165"/>
      <c r="M338" s="165"/>
      <c r="N338" s="165"/>
      <c r="O338" s="165"/>
      <c r="P338" s="165"/>
      <c r="Q338" s="165"/>
    </row>
    <row r="339" ht="15.75" customHeight="1">
      <c r="B339" s="12"/>
      <c r="C339" s="7"/>
      <c r="E339" s="165"/>
      <c r="F339" s="165"/>
      <c r="G339" s="165"/>
      <c r="H339" s="165"/>
      <c r="I339" s="165"/>
      <c r="J339" s="165"/>
      <c r="K339" s="165"/>
      <c r="L339" s="165"/>
      <c r="M339" s="165"/>
      <c r="N339" s="165"/>
      <c r="O339" s="165"/>
      <c r="P339" s="165"/>
      <c r="Q339" s="165"/>
    </row>
    <row r="340" ht="15.75" customHeight="1">
      <c r="B340" s="12"/>
      <c r="C340" s="7"/>
      <c r="E340" s="165"/>
      <c r="F340" s="165"/>
      <c r="G340" s="165"/>
      <c r="H340" s="165"/>
      <c r="I340" s="165"/>
      <c r="J340" s="165"/>
      <c r="K340" s="165"/>
      <c r="L340" s="165"/>
      <c r="M340" s="165"/>
      <c r="N340" s="165"/>
      <c r="O340" s="165"/>
      <c r="P340" s="165"/>
      <c r="Q340" s="165"/>
    </row>
    <row r="341" ht="15.75" customHeight="1">
      <c r="B341" s="12"/>
      <c r="C341" s="7"/>
      <c r="E341" s="165"/>
      <c r="F341" s="165"/>
      <c r="G341" s="165"/>
      <c r="H341" s="165"/>
      <c r="I341" s="165"/>
      <c r="J341" s="165"/>
      <c r="K341" s="165"/>
      <c r="L341" s="165"/>
      <c r="M341" s="165"/>
      <c r="N341" s="165"/>
      <c r="O341" s="165"/>
      <c r="P341" s="165"/>
      <c r="Q341" s="165"/>
    </row>
    <row r="342" ht="15.75" customHeight="1">
      <c r="B342" s="12"/>
      <c r="C342" s="7"/>
      <c r="E342" s="165"/>
      <c r="F342" s="165"/>
      <c r="G342" s="165"/>
      <c r="H342" s="165"/>
      <c r="I342" s="165"/>
      <c r="J342" s="165"/>
      <c r="K342" s="165"/>
      <c r="L342" s="165"/>
      <c r="M342" s="165"/>
      <c r="N342" s="165"/>
      <c r="O342" s="165"/>
      <c r="P342" s="165"/>
      <c r="Q342" s="165"/>
    </row>
    <row r="343" ht="15.75" customHeight="1">
      <c r="B343" s="12"/>
      <c r="C343" s="7"/>
      <c r="E343" s="165"/>
      <c r="F343" s="165"/>
      <c r="G343" s="165"/>
      <c r="H343" s="165"/>
      <c r="I343" s="165"/>
      <c r="J343" s="165"/>
      <c r="K343" s="165"/>
      <c r="L343" s="165"/>
      <c r="M343" s="165"/>
      <c r="N343" s="165"/>
      <c r="O343" s="165"/>
      <c r="P343" s="165"/>
      <c r="Q343" s="165"/>
    </row>
    <row r="344" ht="15.75" customHeight="1">
      <c r="B344" s="12"/>
      <c r="C344" s="7"/>
      <c r="E344" s="165"/>
      <c r="F344" s="165"/>
      <c r="G344" s="165"/>
      <c r="H344" s="165"/>
      <c r="I344" s="165"/>
      <c r="J344" s="165"/>
      <c r="K344" s="165"/>
      <c r="L344" s="165"/>
      <c r="M344" s="165"/>
      <c r="N344" s="165"/>
      <c r="O344" s="165"/>
      <c r="P344" s="165"/>
      <c r="Q344" s="165"/>
    </row>
    <row r="345" ht="15.75" customHeight="1">
      <c r="B345" s="12"/>
      <c r="C345" s="7"/>
      <c r="E345" s="165"/>
      <c r="F345" s="165"/>
      <c r="G345" s="165"/>
      <c r="H345" s="165"/>
      <c r="I345" s="165"/>
      <c r="J345" s="165"/>
      <c r="K345" s="165"/>
      <c r="L345" s="165"/>
      <c r="M345" s="165"/>
      <c r="N345" s="165"/>
      <c r="O345" s="165"/>
      <c r="P345" s="165"/>
      <c r="Q345" s="165"/>
    </row>
    <row r="346" ht="15.75" customHeight="1">
      <c r="B346" s="12"/>
      <c r="C346" s="7"/>
      <c r="E346" s="165"/>
      <c r="F346" s="165"/>
      <c r="G346" s="165"/>
      <c r="H346" s="165"/>
      <c r="I346" s="165"/>
      <c r="J346" s="165"/>
      <c r="K346" s="165"/>
      <c r="L346" s="165"/>
      <c r="M346" s="165"/>
      <c r="N346" s="165"/>
      <c r="O346" s="165"/>
      <c r="P346" s="165"/>
      <c r="Q346" s="165"/>
    </row>
    <row r="347" ht="15.75" customHeight="1">
      <c r="B347" s="12"/>
      <c r="C347" s="7"/>
      <c r="E347" s="165"/>
      <c r="F347" s="165"/>
      <c r="G347" s="165"/>
      <c r="H347" s="165"/>
      <c r="I347" s="165"/>
      <c r="J347" s="165"/>
      <c r="K347" s="165"/>
      <c r="L347" s="165"/>
      <c r="M347" s="165"/>
      <c r="N347" s="165"/>
      <c r="O347" s="165"/>
      <c r="P347" s="165"/>
      <c r="Q347" s="165"/>
    </row>
    <row r="348" ht="15.75" customHeight="1">
      <c r="B348" s="12"/>
      <c r="C348" s="7"/>
      <c r="E348" s="165"/>
      <c r="F348" s="165"/>
      <c r="G348" s="165"/>
      <c r="H348" s="165"/>
      <c r="I348" s="165"/>
      <c r="J348" s="165"/>
      <c r="K348" s="165"/>
      <c r="L348" s="165"/>
      <c r="M348" s="165"/>
      <c r="N348" s="165"/>
      <c r="O348" s="165"/>
      <c r="P348" s="165"/>
      <c r="Q348" s="165"/>
    </row>
    <row r="349" ht="15.75" customHeight="1">
      <c r="B349" s="12"/>
      <c r="C349" s="7"/>
      <c r="E349" s="165"/>
      <c r="F349" s="165"/>
      <c r="G349" s="165"/>
      <c r="H349" s="165"/>
      <c r="I349" s="165"/>
      <c r="J349" s="165"/>
      <c r="K349" s="165"/>
      <c r="L349" s="165"/>
      <c r="M349" s="165"/>
      <c r="N349" s="165"/>
      <c r="O349" s="165"/>
      <c r="P349" s="165"/>
      <c r="Q349" s="165"/>
    </row>
    <row r="350" ht="15.75" customHeight="1">
      <c r="B350" s="12"/>
      <c r="C350" s="7"/>
      <c r="E350" s="165"/>
      <c r="F350" s="165"/>
      <c r="G350" s="165"/>
      <c r="H350" s="165"/>
      <c r="I350" s="165"/>
      <c r="J350" s="165"/>
      <c r="K350" s="165"/>
      <c r="L350" s="165"/>
      <c r="M350" s="165"/>
      <c r="N350" s="165"/>
      <c r="O350" s="165"/>
      <c r="P350" s="165"/>
      <c r="Q350" s="165"/>
    </row>
    <row r="351" ht="15.75" customHeight="1">
      <c r="B351" s="12"/>
      <c r="C351" s="7"/>
      <c r="E351" s="165"/>
      <c r="F351" s="165"/>
      <c r="G351" s="165"/>
      <c r="H351" s="165"/>
      <c r="I351" s="165"/>
      <c r="J351" s="165"/>
      <c r="K351" s="165"/>
      <c r="L351" s="165"/>
      <c r="M351" s="165"/>
      <c r="N351" s="165"/>
      <c r="O351" s="165"/>
      <c r="P351" s="165"/>
      <c r="Q351" s="165"/>
    </row>
    <row r="352" ht="15.75" customHeight="1">
      <c r="B352" s="12"/>
      <c r="C352" s="7"/>
      <c r="E352" s="165"/>
      <c r="F352" s="165"/>
      <c r="G352" s="165"/>
      <c r="H352" s="165"/>
      <c r="I352" s="165"/>
      <c r="J352" s="165"/>
      <c r="K352" s="165"/>
      <c r="L352" s="165"/>
      <c r="M352" s="165"/>
      <c r="N352" s="165"/>
      <c r="O352" s="165"/>
      <c r="P352" s="165"/>
      <c r="Q352" s="165"/>
    </row>
    <row r="353" ht="15.75" customHeight="1">
      <c r="B353" s="12"/>
      <c r="C353" s="7"/>
      <c r="E353" s="165"/>
      <c r="F353" s="165"/>
      <c r="G353" s="165"/>
      <c r="H353" s="165"/>
      <c r="I353" s="165"/>
      <c r="J353" s="165"/>
      <c r="K353" s="165"/>
      <c r="L353" s="165"/>
      <c r="M353" s="165"/>
      <c r="N353" s="165"/>
      <c r="O353" s="165"/>
      <c r="P353" s="165"/>
      <c r="Q353" s="165"/>
    </row>
    <row r="354" ht="15.75" customHeight="1">
      <c r="B354" s="12"/>
      <c r="C354" s="7"/>
      <c r="E354" s="165"/>
      <c r="F354" s="165"/>
      <c r="G354" s="165"/>
      <c r="H354" s="165"/>
      <c r="I354" s="165"/>
      <c r="J354" s="165"/>
      <c r="K354" s="165"/>
      <c r="L354" s="165"/>
      <c r="M354" s="165"/>
      <c r="N354" s="165"/>
      <c r="O354" s="165"/>
      <c r="P354" s="165"/>
      <c r="Q354" s="165"/>
    </row>
    <row r="355" ht="15.75" customHeight="1">
      <c r="B355" s="12"/>
      <c r="C355" s="7"/>
      <c r="E355" s="165"/>
      <c r="F355" s="165"/>
      <c r="G355" s="165"/>
      <c r="H355" s="165"/>
      <c r="I355" s="165"/>
      <c r="J355" s="165"/>
      <c r="K355" s="165"/>
      <c r="L355" s="165"/>
      <c r="M355" s="165"/>
      <c r="N355" s="165"/>
      <c r="O355" s="165"/>
      <c r="P355" s="165"/>
      <c r="Q355" s="165"/>
    </row>
    <row r="356" ht="15.75" customHeight="1">
      <c r="B356" s="12"/>
      <c r="C356" s="7"/>
      <c r="E356" s="165"/>
      <c r="F356" s="165"/>
      <c r="G356" s="165"/>
      <c r="H356" s="165"/>
      <c r="I356" s="165"/>
      <c r="J356" s="165"/>
      <c r="K356" s="165"/>
      <c r="L356" s="165"/>
      <c r="M356" s="165"/>
      <c r="N356" s="165"/>
      <c r="O356" s="165"/>
      <c r="P356" s="165"/>
      <c r="Q356" s="165"/>
    </row>
    <row r="357" ht="15.75" customHeight="1">
      <c r="B357" s="12"/>
      <c r="C357" s="7"/>
      <c r="E357" s="165"/>
      <c r="F357" s="165"/>
      <c r="G357" s="165"/>
      <c r="H357" s="165"/>
      <c r="I357" s="165"/>
      <c r="J357" s="165"/>
      <c r="K357" s="165"/>
      <c r="L357" s="165"/>
      <c r="M357" s="165"/>
      <c r="N357" s="165"/>
      <c r="O357" s="165"/>
      <c r="P357" s="165"/>
      <c r="Q357" s="165"/>
    </row>
    <row r="358" ht="15.75" customHeight="1">
      <c r="B358" s="12"/>
      <c r="C358" s="7"/>
      <c r="E358" s="165"/>
      <c r="F358" s="165"/>
      <c r="G358" s="165"/>
      <c r="H358" s="165"/>
      <c r="I358" s="165"/>
      <c r="J358" s="165"/>
      <c r="K358" s="165"/>
      <c r="L358" s="165"/>
      <c r="M358" s="165"/>
      <c r="N358" s="165"/>
      <c r="O358" s="165"/>
      <c r="P358" s="165"/>
      <c r="Q358" s="165"/>
    </row>
    <row r="359" ht="15.75" customHeight="1">
      <c r="B359" s="12"/>
      <c r="C359" s="7"/>
      <c r="E359" s="165"/>
      <c r="F359" s="165"/>
      <c r="G359" s="165"/>
      <c r="H359" s="165"/>
      <c r="I359" s="165"/>
      <c r="J359" s="165"/>
      <c r="K359" s="165"/>
      <c r="L359" s="165"/>
      <c r="M359" s="165"/>
      <c r="N359" s="165"/>
      <c r="O359" s="165"/>
      <c r="P359" s="165"/>
      <c r="Q359" s="165"/>
    </row>
    <row r="360" ht="15.75" customHeight="1">
      <c r="B360" s="12"/>
      <c r="C360" s="7"/>
      <c r="E360" s="165"/>
      <c r="F360" s="165"/>
      <c r="G360" s="165"/>
      <c r="H360" s="165"/>
      <c r="I360" s="165"/>
      <c r="J360" s="165"/>
      <c r="K360" s="165"/>
      <c r="L360" s="165"/>
      <c r="M360" s="165"/>
      <c r="N360" s="165"/>
      <c r="O360" s="165"/>
      <c r="P360" s="165"/>
      <c r="Q360" s="165"/>
    </row>
    <row r="361" ht="15.75" customHeight="1">
      <c r="B361" s="12"/>
      <c r="C361" s="7"/>
      <c r="E361" s="165"/>
      <c r="F361" s="165"/>
      <c r="G361" s="165"/>
      <c r="H361" s="165"/>
      <c r="I361" s="165"/>
      <c r="J361" s="165"/>
      <c r="K361" s="165"/>
      <c r="L361" s="165"/>
      <c r="M361" s="165"/>
      <c r="N361" s="165"/>
      <c r="O361" s="165"/>
      <c r="P361" s="165"/>
      <c r="Q361" s="165"/>
    </row>
    <row r="362" ht="15.75" customHeight="1">
      <c r="B362" s="12"/>
      <c r="C362" s="7"/>
      <c r="E362" s="165"/>
      <c r="F362" s="165"/>
      <c r="G362" s="165"/>
      <c r="H362" s="165"/>
      <c r="I362" s="165"/>
      <c r="J362" s="165"/>
      <c r="K362" s="165"/>
      <c r="L362" s="165"/>
      <c r="M362" s="165"/>
      <c r="N362" s="165"/>
      <c r="O362" s="165"/>
      <c r="P362" s="165"/>
      <c r="Q362" s="165"/>
    </row>
    <row r="363" ht="15.75" customHeight="1">
      <c r="B363" s="12"/>
      <c r="C363" s="7"/>
      <c r="E363" s="165"/>
      <c r="F363" s="165"/>
      <c r="G363" s="165"/>
      <c r="H363" s="165"/>
      <c r="I363" s="165"/>
      <c r="J363" s="165"/>
      <c r="K363" s="165"/>
      <c r="L363" s="165"/>
      <c r="M363" s="165"/>
      <c r="N363" s="165"/>
      <c r="O363" s="165"/>
      <c r="P363" s="165"/>
      <c r="Q363" s="165"/>
    </row>
    <row r="364" ht="15.75" customHeight="1">
      <c r="B364" s="12"/>
      <c r="C364" s="7"/>
      <c r="E364" s="165"/>
      <c r="F364" s="165"/>
      <c r="G364" s="165"/>
      <c r="H364" s="165"/>
      <c r="I364" s="165"/>
      <c r="J364" s="165"/>
      <c r="K364" s="165"/>
      <c r="L364" s="165"/>
      <c r="M364" s="165"/>
      <c r="N364" s="165"/>
      <c r="O364" s="165"/>
      <c r="P364" s="165"/>
      <c r="Q364" s="165"/>
    </row>
    <row r="365" ht="15.75" customHeight="1">
      <c r="B365" s="12"/>
      <c r="C365" s="7"/>
      <c r="E365" s="165"/>
      <c r="F365" s="165"/>
      <c r="G365" s="165"/>
      <c r="H365" s="165"/>
      <c r="I365" s="165"/>
      <c r="J365" s="165"/>
      <c r="K365" s="165"/>
      <c r="L365" s="165"/>
      <c r="M365" s="165"/>
      <c r="N365" s="165"/>
      <c r="O365" s="165"/>
      <c r="P365" s="165"/>
      <c r="Q365" s="165"/>
    </row>
    <row r="366" ht="15.75" customHeight="1">
      <c r="B366" s="12"/>
      <c r="C366" s="7"/>
      <c r="E366" s="165"/>
      <c r="F366" s="165"/>
      <c r="G366" s="165"/>
      <c r="H366" s="165"/>
      <c r="I366" s="165"/>
      <c r="J366" s="165"/>
      <c r="K366" s="165"/>
      <c r="L366" s="165"/>
      <c r="M366" s="165"/>
      <c r="N366" s="165"/>
      <c r="O366" s="165"/>
      <c r="P366" s="165"/>
      <c r="Q366" s="165"/>
    </row>
    <row r="367" ht="15.75" customHeight="1">
      <c r="B367" s="12"/>
      <c r="C367" s="7"/>
      <c r="E367" s="165"/>
      <c r="F367" s="165"/>
      <c r="G367" s="165"/>
      <c r="H367" s="165"/>
      <c r="I367" s="165"/>
      <c r="J367" s="165"/>
      <c r="K367" s="165"/>
      <c r="L367" s="165"/>
      <c r="M367" s="165"/>
      <c r="N367" s="165"/>
      <c r="O367" s="165"/>
      <c r="P367" s="165"/>
      <c r="Q367" s="165"/>
    </row>
    <row r="368" ht="15.75" customHeight="1">
      <c r="B368" s="12"/>
      <c r="C368" s="7"/>
      <c r="E368" s="165"/>
      <c r="F368" s="165"/>
      <c r="G368" s="165"/>
      <c r="H368" s="165"/>
      <c r="I368" s="165"/>
      <c r="J368" s="165"/>
      <c r="K368" s="165"/>
      <c r="L368" s="165"/>
      <c r="M368" s="165"/>
      <c r="N368" s="165"/>
      <c r="O368" s="165"/>
      <c r="P368" s="165"/>
      <c r="Q368" s="165"/>
    </row>
    <row r="369" ht="15.75" customHeight="1">
      <c r="B369" s="12"/>
      <c r="C369" s="7"/>
      <c r="E369" s="165"/>
      <c r="F369" s="165"/>
      <c r="G369" s="165"/>
      <c r="H369" s="165"/>
      <c r="I369" s="165"/>
      <c r="J369" s="165"/>
      <c r="K369" s="165"/>
      <c r="L369" s="165"/>
      <c r="M369" s="165"/>
      <c r="N369" s="165"/>
      <c r="O369" s="165"/>
      <c r="P369" s="165"/>
      <c r="Q369" s="165"/>
    </row>
    <row r="370" ht="15.75" customHeight="1">
      <c r="B370" s="12"/>
      <c r="C370" s="7"/>
      <c r="E370" s="165"/>
      <c r="F370" s="165"/>
      <c r="G370" s="165"/>
      <c r="H370" s="165"/>
      <c r="I370" s="165"/>
      <c r="J370" s="165"/>
      <c r="K370" s="165"/>
      <c r="L370" s="165"/>
      <c r="M370" s="165"/>
      <c r="N370" s="165"/>
      <c r="O370" s="165"/>
      <c r="P370" s="165"/>
      <c r="Q370" s="165"/>
    </row>
    <row r="371" ht="15.75" customHeight="1">
      <c r="B371" s="12"/>
      <c r="C371" s="7"/>
      <c r="E371" s="165"/>
      <c r="F371" s="165"/>
      <c r="G371" s="165"/>
      <c r="H371" s="165"/>
      <c r="I371" s="165"/>
      <c r="J371" s="165"/>
      <c r="K371" s="165"/>
      <c r="L371" s="165"/>
      <c r="M371" s="165"/>
      <c r="N371" s="165"/>
      <c r="O371" s="165"/>
      <c r="P371" s="165"/>
      <c r="Q371" s="165"/>
    </row>
    <row r="372" ht="15.75" customHeight="1">
      <c r="B372" s="12"/>
      <c r="C372" s="7"/>
      <c r="E372" s="165"/>
      <c r="F372" s="165"/>
      <c r="G372" s="165"/>
      <c r="H372" s="165"/>
      <c r="I372" s="165"/>
      <c r="J372" s="165"/>
      <c r="K372" s="165"/>
      <c r="L372" s="165"/>
      <c r="M372" s="165"/>
      <c r="N372" s="165"/>
      <c r="O372" s="165"/>
      <c r="P372" s="165"/>
      <c r="Q372" s="165"/>
    </row>
    <row r="373" ht="15.75" customHeight="1">
      <c r="B373" s="12"/>
      <c r="C373" s="7"/>
      <c r="E373" s="165"/>
      <c r="F373" s="165"/>
      <c r="G373" s="165"/>
      <c r="H373" s="165"/>
      <c r="I373" s="165"/>
      <c r="J373" s="165"/>
      <c r="K373" s="165"/>
      <c r="L373" s="165"/>
      <c r="M373" s="165"/>
      <c r="N373" s="165"/>
      <c r="O373" s="165"/>
      <c r="P373" s="165"/>
      <c r="Q373" s="165"/>
    </row>
    <row r="374" ht="15.75" customHeight="1">
      <c r="B374" s="12"/>
      <c r="C374" s="7"/>
      <c r="E374" s="165"/>
      <c r="F374" s="165"/>
      <c r="G374" s="165"/>
      <c r="H374" s="165"/>
      <c r="I374" s="165"/>
      <c r="J374" s="165"/>
      <c r="K374" s="165"/>
      <c r="L374" s="165"/>
      <c r="M374" s="165"/>
      <c r="N374" s="165"/>
      <c r="O374" s="165"/>
      <c r="P374" s="165"/>
      <c r="Q374" s="165"/>
    </row>
    <row r="375" ht="15.75" customHeight="1">
      <c r="B375" s="12"/>
      <c r="C375" s="7"/>
      <c r="E375" s="165"/>
      <c r="F375" s="165"/>
      <c r="G375" s="165"/>
      <c r="H375" s="165"/>
      <c r="I375" s="165"/>
      <c r="J375" s="165"/>
      <c r="K375" s="165"/>
      <c r="L375" s="165"/>
      <c r="M375" s="165"/>
      <c r="N375" s="165"/>
      <c r="O375" s="165"/>
      <c r="P375" s="165"/>
      <c r="Q375" s="165"/>
    </row>
    <row r="376" ht="15.75" customHeight="1">
      <c r="B376" s="12"/>
      <c r="C376" s="7"/>
      <c r="E376" s="165"/>
      <c r="F376" s="165"/>
      <c r="G376" s="165"/>
      <c r="H376" s="165"/>
      <c r="I376" s="165"/>
      <c r="J376" s="165"/>
      <c r="K376" s="165"/>
      <c r="L376" s="165"/>
      <c r="M376" s="165"/>
      <c r="N376" s="165"/>
      <c r="O376" s="165"/>
      <c r="P376" s="165"/>
      <c r="Q376" s="165"/>
    </row>
    <row r="377" ht="15.75" customHeight="1">
      <c r="B377" s="12"/>
      <c r="C377" s="7"/>
      <c r="E377" s="165"/>
      <c r="F377" s="165"/>
      <c r="G377" s="165"/>
      <c r="H377" s="165"/>
      <c r="I377" s="165"/>
      <c r="J377" s="165"/>
      <c r="K377" s="165"/>
      <c r="L377" s="165"/>
      <c r="M377" s="165"/>
      <c r="N377" s="165"/>
      <c r="O377" s="165"/>
      <c r="P377" s="165"/>
      <c r="Q377" s="165"/>
    </row>
    <row r="378" ht="15.75" customHeight="1">
      <c r="B378" s="12"/>
      <c r="C378" s="7"/>
      <c r="E378" s="165"/>
      <c r="F378" s="165"/>
      <c r="G378" s="165"/>
      <c r="H378" s="165"/>
      <c r="I378" s="165"/>
      <c r="J378" s="165"/>
      <c r="K378" s="165"/>
      <c r="L378" s="165"/>
      <c r="M378" s="165"/>
      <c r="N378" s="165"/>
      <c r="O378" s="165"/>
      <c r="P378" s="165"/>
      <c r="Q378" s="165"/>
    </row>
    <row r="379" ht="15.75" customHeight="1">
      <c r="B379" s="12"/>
      <c r="C379" s="7"/>
      <c r="E379" s="165"/>
      <c r="F379" s="165"/>
      <c r="G379" s="165"/>
      <c r="H379" s="165"/>
      <c r="I379" s="165"/>
      <c r="J379" s="165"/>
      <c r="K379" s="165"/>
      <c r="L379" s="165"/>
      <c r="M379" s="165"/>
      <c r="N379" s="165"/>
      <c r="O379" s="165"/>
      <c r="P379" s="165"/>
      <c r="Q379" s="165"/>
    </row>
    <row r="380" ht="15.75" customHeight="1">
      <c r="B380" s="12"/>
      <c r="C380" s="7"/>
      <c r="E380" s="165"/>
      <c r="F380" s="165"/>
      <c r="G380" s="165"/>
      <c r="H380" s="165"/>
      <c r="I380" s="165"/>
      <c r="J380" s="165"/>
      <c r="K380" s="165"/>
      <c r="L380" s="165"/>
      <c r="M380" s="165"/>
      <c r="N380" s="165"/>
      <c r="O380" s="165"/>
      <c r="P380" s="165"/>
      <c r="Q380" s="165"/>
    </row>
    <row r="381" ht="15.75" customHeight="1">
      <c r="B381" s="12"/>
      <c r="C381" s="7"/>
      <c r="E381" s="165"/>
      <c r="F381" s="165"/>
      <c r="G381" s="165"/>
      <c r="H381" s="165"/>
      <c r="I381" s="165"/>
      <c r="J381" s="165"/>
      <c r="K381" s="165"/>
      <c r="L381" s="165"/>
      <c r="M381" s="165"/>
      <c r="N381" s="165"/>
      <c r="O381" s="165"/>
      <c r="P381" s="165"/>
      <c r="Q381" s="165"/>
    </row>
    <row r="382" ht="15.75" customHeight="1">
      <c r="B382" s="12"/>
      <c r="C382" s="7"/>
      <c r="E382" s="165"/>
      <c r="F382" s="165"/>
      <c r="G382" s="165"/>
      <c r="H382" s="165"/>
      <c r="I382" s="165"/>
      <c r="J382" s="165"/>
      <c r="K382" s="165"/>
      <c r="L382" s="165"/>
      <c r="M382" s="165"/>
      <c r="N382" s="165"/>
      <c r="O382" s="165"/>
      <c r="P382" s="165"/>
      <c r="Q382" s="165"/>
    </row>
    <row r="383" ht="15.75" customHeight="1">
      <c r="B383" s="12"/>
      <c r="C383" s="7"/>
      <c r="E383" s="165"/>
      <c r="F383" s="165"/>
      <c r="G383" s="165"/>
      <c r="H383" s="165"/>
      <c r="I383" s="165"/>
      <c r="J383" s="165"/>
      <c r="K383" s="165"/>
      <c r="L383" s="165"/>
      <c r="M383" s="165"/>
      <c r="N383" s="165"/>
      <c r="O383" s="165"/>
      <c r="P383" s="165"/>
      <c r="Q383" s="165"/>
    </row>
    <row r="384" ht="15.75" customHeight="1">
      <c r="B384" s="12"/>
      <c r="C384" s="7"/>
      <c r="E384" s="165"/>
      <c r="F384" s="165"/>
      <c r="G384" s="165"/>
      <c r="H384" s="165"/>
      <c r="I384" s="165"/>
      <c r="J384" s="165"/>
      <c r="K384" s="165"/>
      <c r="L384" s="165"/>
      <c r="M384" s="165"/>
      <c r="N384" s="165"/>
      <c r="O384" s="165"/>
      <c r="P384" s="165"/>
      <c r="Q384" s="165"/>
    </row>
    <row r="385" ht="15.75" customHeight="1">
      <c r="B385" s="12"/>
      <c r="C385" s="7"/>
      <c r="E385" s="165"/>
      <c r="F385" s="165"/>
      <c r="G385" s="165"/>
      <c r="H385" s="165"/>
      <c r="I385" s="165"/>
      <c r="J385" s="165"/>
      <c r="K385" s="165"/>
      <c r="L385" s="165"/>
      <c r="M385" s="165"/>
      <c r="N385" s="165"/>
      <c r="O385" s="165"/>
      <c r="P385" s="165"/>
      <c r="Q385" s="165"/>
    </row>
    <row r="386" ht="15.75" customHeight="1">
      <c r="B386" s="12"/>
      <c r="C386" s="7"/>
      <c r="E386" s="165"/>
      <c r="F386" s="165"/>
      <c r="G386" s="165"/>
      <c r="H386" s="165"/>
      <c r="I386" s="165"/>
      <c r="J386" s="165"/>
      <c r="K386" s="165"/>
      <c r="L386" s="165"/>
      <c r="M386" s="165"/>
      <c r="N386" s="165"/>
      <c r="O386" s="165"/>
      <c r="P386" s="165"/>
      <c r="Q386" s="165"/>
    </row>
    <row r="387" ht="15.75" customHeight="1">
      <c r="B387" s="12"/>
      <c r="C387" s="7"/>
      <c r="E387" s="165"/>
      <c r="F387" s="165"/>
      <c r="G387" s="165"/>
      <c r="H387" s="165"/>
      <c r="I387" s="165"/>
      <c r="J387" s="165"/>
      <c r="K387" s="165"/>
      <c r="L387" s="165"/>
      <c r="M387" s="165"/>
      <c r="N387" s="165"/>
      <c r="O387" s="165"/>
      <c r="P387" s="165"/>
      <c r="Q387" s="165"/>
    </row>
    <row r="388" ht="15.75" customHeight="1">
      <c r="B388" s="12"/>
      <c r="C388" s="7"/>
      <c r="E388" s="165"/>
      <c r="F388" s="165"/>
      <c r="G388" s="165"/>
      <c r="H388" s="165"/>
      <c r="I388" s="165"/>
      <c r="J388" s="165"/>
      <c r="K388" s="165"/>
      <c r="L388" s="165"/>
      <c r="M388" s="165"/>
      <c r="N388" s="165"/>
      <c r="O388" s="165"/>
      <c r="P388" s="165"/>
      <c r="Q388" s="165"/>
    </row>
    <row r="389" ht="15.75" customHeight="1">
      <c r="B389" s="12"/>
      <c r="C389" s="7"/>
      <c r="E389" s="165"/>
      <c r="F389" s="165"/>
      <c r="G389" s="165"/>
      <c r="H389" s="165"/>
      <c r="I389" s="165"/>
      <c r="J389" s="165"/>
      <c r="K389" s="165"/>
      <c r="L389" s="165"/>
      <c r="M389" s="165"/>
      <c r="N389" s="165"/>
      <c r="O389" s="165"/>
      <c r="P389" s="165"/>
      <c r="Q389" s="165"/>
    </row>
    <row r="390" ht="15.75" customHeight="1">
      <c r="B390" s="12"/>
      <c r="C390" s="7"/>
      <c r="E390" s="165"/>
      <c r="F390" s="165"/>
      <c r="G390" s="165"/>
      <c r="H390" s="165"/>
      <c r="I390" s="165"/>
      <c r="J390" s="165"/>
      <c r="K390" s="165"/>
      <c r="L390" s="165"/>
      <c r="M390" s="165"/>
      <c r="N390" s="165"/>
      <c r="O390" s="165"/>
      <c r="P390" s="165"/>
      <c r="Q390" s="165"/>
    </row>
    <row r="391" ht="15.75" customHeight="1">
      <c r="B391" s="12"/>
      <c r="C391" s="7"/>
      <c r="E391" s="165"/>
      <c r="F391" s="165"/>
      <c r="G391" s="165"/>
      <c r="H391" s="165"/>
      <c r="I391" s="165"/>
      <c r="J391" s="165"/>
      <c r="K391" s="165"/>
      <c r="L391" s="165"/>
      <c r="M391" s="165"/>
      <c r="N391" s="165"/>
      <c r="O391" s="165"/>
      <c r="P391" s="165"/>
      <c r="Q391" s="165"/>
    </row>
    <row r="392" ht="15.75" customHeight="1">
      <c r="B392" s="12"/>
      <c r="C392" s="7"/>
      <c r="E392" s="165"/>
      <c r="F392" s="165"/>
      <c r="G392" s="165"/>
      <c r="H392" s="165"/>
      <c r="I392" s="165"/>
      <c r="J392" s="165"/>
      <c r="K392" s="165"/>
      <c r="L392" s="165"/>
      <c r="M392" s="165"/>
      <c r="N392" s="165"/>
      <c r="O392" s="165"/>
      <c r="P392" s="165"/>
      <c r="Q392" s="165"/>
    </row>
    <row r="393" ht="15.75" customHeight="1">
      <c r="B393" s="12"/>
      <c r="C393" s="7"/>
      <c r="E393" s="165"/>
      <c r="F393" s="165"/>
      <c r="G393" s="165"/>
      <c r="H393" s="165"/>
      <c r="I393" s="165"/>
      <c r="J393" s="165"/>
      <c r="K393" s="165"/>
      <c r="L393" s="165"/>
      <c r="M393" s="165"/>
      <c r="N393" s="165"/>
      <c r="O393" s="165"/>
      <c r="P393" s="165"/>
      <c r="Q393" s="165"/>
    </row>
    <row r="394" ht="15.75" customHeight="1">
      <c r="B394" s="12"/>
      <c r="C394" s="7"/>
      <c r="E394" s="165"/>
      <c r="F394" s="165"/>
      <c r="G394" s="165"/>
      <c r="H394" s="165"/>
      <c r="I394" s="165"/>
      <c r="J394" s="165"/>
      <c r="K394" s="165"/>
      <c r="L394" s="165"/>
      <c r="M394" s="165"/>
      <c r="N394" s="165"/>
      <c r="O394" s="165"/>
      <c r="P394" s="165"/>
      <c r="Q394" s="165"/>
    </row>
    <row r="395" ht="15.75" customHeight="1">
      <c r="B395" s="12"/>
      <c r="C395" s="7"/>
      <c r="E395" s="165"/>
      <c r="F395" s="165"/>
      <c r="G395" s="165"/>
      <c r="H395" s="165"/>
      <c r="I395" s="165"/>
      <c r="J395" s="165"/>
      <c r="K395" s="165"/>
      <c r="L395" s="165"/>
      <c r="M395" s="165"/>
      <c r="N395" s="165"/>
      <c r="O395" s="165"/>
      <c r="P395" s="165"/>
      <c r="Q395" s="165"/>
    </row>
    <row r="396" ht="15.75" customHeight="1">
      <c r="B396" s="12"/>
      <c r="C396" s="7"/>
      <c r="E396" s="165"/>
      <c r="F396" s="165"/>
      <c r="G396" s="165"/>
      <c r="H396" s="165"/>
      <c r="I396" s="165"/>
      <c r="J396" s="165"/>
      <c r="K396" s="165"/>
      <c r="L396" s="165"/>
      <c r="M396" s="165"/>
      <c r="N396" s="165"/>
      <c r="O396" s="165"/>
      <c r="P396" s="165"/>
      <c r="Q396" s="165"/>
    </row>
    <row r="397" ht="15.75" customHeight="1">
      <c r="B397" s="12"/>
      <c r="C397" s="7"/>
      <c r="E397" s="165"/>
      <c r="F397" s="165"/>
      <c r="G397" s="165"/>
      <c r="H397" s="165"/>
      <c r="I397" s="165"/>
      <c r="J397" s="165"/>
      <c r="K397" s="165"/>
      <c r="L397" s="165"/>
      <c r="M397" s="165"/>
      <c r="N397" s="165"/>
      <c r="O397" s="165"/>
      <c r="P397" s="165"/>
      <c r="Q397" s="165"/>
    </row>
    <row r="398" ht="15.75" customHeight="1">
      <c r="B398" s="12"/>
      <c r="C398" s="7"/>
      <c r="E398" s="165"/>
      <c r="F398" s="165"/>
      <c r="G398" s="165"/>
      <c r="H398" s="165"/>
      <c r="I398" s="165"/>
      <c r="J398" s="165"/>
      <c r="K398" s="165"/>
      <c r="L398" s="165"/>
      <c r="M398" s="165"/>
      <c r="N398" s="165"/>
      <c r="O398" s="165"/>
      <c r="P398" s="165"/>
      <c r="Q398" s="165"/>
    </row>
    <row r="399" ht="15.75" customHeight="1">
      <c r="B399" s="12"/>
      <c r="C399" s="7"/>
      <c r="E399" s="165"/>
      <c r="F399" s="165"/>
      <c r="G399" s="165"/>
      <c r="H399" s="165"/>
      <c r="I399" s="165"/>
      <c r="J399" s="165"/>
      <c r="K399" s="165"/>
      <c r="L399" s="165"/>
      <c r="M399" s="165"/>
      <c r="N399" s="165"/>
      <c r="O399" s="165"/>
      <c r="P399" s="165"/>
      <c r="Q399" s="165"/>
    </row>
    <row r="400" ht="15.75" customHeight="1">
      <c r="B400" s="12"/>
      <c r="C400" s="7"/>
      <c r="E400" s="165"/>
      <c r="F400" s="165"/>
      <c r="G400" s="165"/>
      <c r="H400" s="165"/>
      <c r="I400" s="165"/>
      <c r="J400" s="165"/>
      <c r="K400" s="165"/>
      <c r="L400" s="165"/>
      <c r="M400" s="165"/>
      <c r="N400" s="165"/>
      <c r="O400" s="165"/>
      <c r="P400" s="165"/>
      <c r="Q400" s="165"/>
    </row>
    <row r="401" ht="15.75" customHeight="1">
      <c r="B401" s="12"/>
      <c r="C401" s="7"/>
      <c r="E401" s="165"/>
      <c r="F401" s="165"/>
      <c r="G401" s="165"/>
      <c r="H401" s="165"/>
      <c r="I401" s="165"/>
      <c r="J401" s="165"/>
      <c r="K401" s="165"/>
      <c r="L401" s="165"/>
      <c r="M401" s="165"/>
      <c r="N401" s="165"/>
      <c r="O401" s="165"/>
      <c r="P401" s="165"/>
      <c r="Q401" s="165"/>
    </row>
    <row r="402" ht="15.75" customHeight="1">
      <c r="B402" s="12"/>
      <c r="C402" s="7"/>
      <c r="E402" s="165"/>
      <c r="F402" s="165"/>
      <c r="G402" s="165"/>
      <c r="H402" s="165"/>
      <c r="I402" s="165"/>
      <c r="J402" s="165"/>
      <c r="K402" s="165"/>
      <c r="L402" s="165"/>
      <c r="M402" s="165"/>
      <c r="N402" s="165"/>
      <c r="O402" s="165"/>
      <c r="P402" s="165"/>
      <c r="Q402" s="165"/>
    </row>
    <row r="403" ht="15.75" customHeight="1">
      <c r="B403" s="12"/>
      <c r="C403" s="7"/>
      <c r="E403" s="165"/>
      <c r="F403" s="165"/>
      <c r="G403" s="165"/>
      <c r="H403" s="165"/>
      <c r="I403" s="165"/>
      <c r="J403" s="165"/>
      <c r="K403" s="165"/>
      <c r="L403" s="165"/>
      <c r="M403" s="165"/>
      <c r="N403" s="165"/>
      <c r="O403" s="165"/>
      <c r="P403" s="165"/>
      <c r="Q403" s="165"/>
    </row>
    <row r="404" ht="15.75" customHeight="1">
      <c r="B404" s="12"/>
      <c r="C404" s="7"/>
      <c r="E404" s="165"/>
      <c r="F404" s="165"/>
      <c r="G404" s="165"/>
      <c r="H404" s="165"/>
      <c r="I404" s="165"/>
      <c r="J404" s="165"/>
      <c r="K404" s="165"/>
      <c r="L404" s="165"/>
      <c r="M404" s="165"/>
      <c r="N404" s="165"/>
      <c r="O404" s="165"/>
      <c r="P404" s="165"/>
      <c r="Q404" s="165"/>
    </row>
    <row r="405" ht="15.75" customHeight="1">
      <c r="B405" s="12"/>
      <c r="C405" s="7"/>
      <c r="E405" s="165"/>
      <c r="F405" s="165"/>
      <c r="G405" s="165"/>
      <c r="H405" s="165"/>
      <c r="I405" s="165"/>
      <c r="J405" s="165"/>
      <c r="K405" s="165"/>
      <c r="L405" s="165"/>
      <c r="M405" s="165"/>
      <c r="N405" s="165"/>
      <c r="O405" s="165"/>
      <c r="P405" s="165"/>
      <c r="Q405" s="165"/>
    </row>
    <row r="406" ht="15.75" customHeight="1">
      <c r="B406" s="12"/>
      <c r="C406" s="7"/>
      <c r="E406" s="165"/>
      <c r="F406" s="165"/>
      <c r="G406" s="165"/>
      <c r="H406" s="165"/>
      <c r="I406" s="165"/>
      <c r="J406" s="165"/>
      <c r="K406" s="165"/>
      <c r="L406" s="165"/>
      <c r="M406" s="165"/>
      <c r="N406" s="165"/>
      <c r="O406" s="165"/>
      <c r="P406" s="165"/>
      <c r="Q406" s="165"/>
    </row>
    <row r="407" ht="15.75" customHeight="1">
      <c r="B407" s="12"/>
      <c r="C407" s="7"/>
      <c r="E407" s="165"/>
      <c r="F407" s="165"/>
      <c r="G407" s="165"/>
      <c r="H407" s="165"/>
      <c r="I407" s="165"/>
      <c r="J407" s="165"/>
      <c r="K407" s="165"/>
      <c r="L407" s="165"/>
      <c r="M407" s="165"/>
      <c r="N407" s="165"/>
      <c r="O407" s="165"/>
      <c r="P407" s="165"/>
      <c r="Q407" s="165"/>
    </row>
    <row r="408" ht="15.75" customHeight="1">
      <c r="B408" s="12"/>
      <c r="C408" s="7"/>
      <c r="E408" s="165"/>
      <c r="F408" s="165"/>
      <c r="G408" s="165"/>
      <c r="H408" s="165"/>
      <c r="I408" s="165"/>
      <c r="J408" s="165"/>
      <c r="K408" s="165"/>
      <c r="L408" s="165"/>
      <c r="M408" s="165"/>
      <c r="N408" s="165"/>
      <c r="O408" s="165"/>
      <c r="P408" s="165"/>
      <c r="Q408" s="165"/>
    </row>
    <row r="409" ht="15.75" customHeight="1">
      <c r="B409" s="12"/>
      <c r="C409" s="7"/>
      <c r="E409" s="165"/>
      <c r="F409" s="165"/>
      <c r="G409" s="165"/>
      <c r="H409" s="165"/>
      <c r="I409" s="165"/>
      <c r="J409" s="165"/>
      <c r="K409" s="165"/>
      <c r="L409" s="165"/>
      <c r="M409" s="165"/>
      <c r="N409" s="165"/>
      <c r="O409" s="165"/>
      <c r="P409" s="165"/>
      <c r="Q409" s="165"/>
    </row>
    <row r="410" ht="15.75" customHeight="1">
      <c r="B410" s="12"/>
      <c r="C410" s="7"/>
      <c r="E410" s="165"/>
      <c r="F410" s="165"/>
      <c r="G410" s="165"/>
      <c r="H410" s="165"/>
      <c r="I410" s="165"/>
      <c r="J410" s="165"/>
      <c r="K410" s="165"/>
      <c r="L410" s="165"/>
      <c r="M410" s="165"/>
      <c r="N410" s="165"/>
      <c r="O410" s="165"/>
      <c r="P410" s="165"/>
      <c r="Q410" s="165"/>
    </row>
    <row r="411" ht="15.75" customHeight="1">
      <c r="B411" s="12"/>
      <c r="C411" s="7"/>
      <c r="E411" s="165"/>
      <c r="F411" s="165"/>
      <c r="G411" s="165"/>
      <c r="H411" s="165"/>
      <c r="I411" s="165"/>
      <c r="J411" s="165"/>
      <c r="K411" s="165"/>
      <c r="L411" s="165"/>
      <c r="M411" s="165"/>
      <c r="N411" s="165"/>
      <c r="O411" s="165"/>
      <c r="P411" s="165"/>
      <c r="Q411" s="165"/>
    </row>
    <row r="412" ht="15.75" customHeight="1">
      <c r="B412" s="12"/>
      <c r="C412" s="7"/>
      <c r="E412" s="165"/>
      <c r="F412" s="165"/>
      <c r="G412" s="165"/>
      <c r="H412" s="165"/>
      <c r="I412" s="165"/>
      <c r="J412" s="165"/>
      <c r="K412" s="165"/>
      <c r="L412" s="165"/>
      <c r="M412" s="165"/>
      <c r="N412" s="165"/>
      <c r="O412" s="165"/>
      <c r="P412" s="165"/>
      <c r="Q412" s="165"/>
    </row>
    <row r="413" ht="15.75" customHeight="1">
      <c r="B413" s="12"/>
      <c r="C413" s="7"/>
      <c r="E413" s="165"/>
      <c r="F413" s="165"/>
      <c r="G413" s="165"/>
      <c r="H413" s="165"/>
      <c r="I413" s="165"/>
      <c r="J413" s="165"/>
      <c r="K413" s="165"/>
      <c r="L413" s="165"/>
      <c r="M413" s="165"/>
      <c r="N413" s="165"/>
      <c r="O413" s="165"/>
      <c r="P413" s="165"/>
      <c r="Q413" s="165"/>
    </row>
    <row r="414" ht="15.75" customHeight="1">
      <c r="B414" s="12"/>
      <c r="C414" s="7"/>
      <c r="E414" s="165"/>
      <c r="F414" s="165"/>
      <c r="G414" s="165"/>
      <c r="H414" s="165"/>
      <c r="I414" s="165"/>
      <c r="J414" s="165"/>
      <c r="K414" s="165"/>
      <c r="L414" s="165"/>
      <c r="M414" s="165"/>
      <c r="N414" s="165"/>
      <c r="O414" s="165"/>
      <c r="P414" s="165"/>
      <c r="Q414" s="165"/>
    </row>
    <row r="415" ht="15.75" customHeight="1">
      <c r="B415" s="12"/>
      <c r="C415" s="7"/>
      <c r="E415" s="165"/>
      <c r="F415" s="165"/>
      <c r="G415" s="165"/>
      <c r="H415" s="165"/>
      <c r="I415" s="165"/>
      <c r="J415" s="165"/>
      <c r="K415" s="165"/>
      <c r="L415" s="165"/>
      <c r="M415" s="165"/>
      <c r="N415" s="165"/>
      <c r="O415" s="165"/>
      <c r="P415" s="165"/>
      <c r="Q415" s="165"/>
    </row>
    <row r="416" ht="15.75" customHeight="1">
      <c r="B416" s="12"/>
      <c r="C416" s="7"/>
      <c r="E416" s="165"/>
      <c r="F416" s="165"/>
      <c r="G416" s="165"/>
      <c r="H416" s="165"/>
      <c r="I416" s="165"/>
      <c r="J416" s="165"/>
      <c r="K416" s="165"/>
      <c r="L416" s="165"/>
      <c r="M416" s="165"/>
      <c r="N416" s="165"/>
      <c r="O416" s="165"/>
      <c r="P416" s="165"/>
      <c r="Q416" s="165"/>
    </row>
    <row r="417" ht="15.75" customHeight="1">
      <c r="B417" s="12"/>
      <c r="C417" s="7"/>
      <c r="E417" s="165"/>
      <c r="F417" s="165"/>
      <c r="G417" s="165"/>
      <c r="H417" s="165"/>
      <c r="I417" s="165"/>
      <c r="J417" s="165"/>
      <c r="K417" s="165"/>
      <c r="L417" s="165"/>
      <c r="M417" s="165"/>
      <c r="N417" s="165"/>
      <c r="O417" s="165"/>
      <c r="P417" s="165"/>
      <c r="Q417" s="165"/>
    </row>
    <row r="418" ht="15.75" customHeight="1">
      <c r="B418" s="12"/>
      <c r="C418" s="7"/>
      <c r="E418" s="165"/>
      <c r="F418" s="165"/>
      <c r="G418" s="165"/>
      <c r="H418" s="165"/>
      <c r="I418" s="165"/>
      <c r="J418" s="165"/>
      <c r="K418" s="165"/>
      <c r="L418" s="165"/>
      <c r="M418" s="165"/>
      <c r="N418" s="165"/>
      <c r="O418" s="165"/>
      <c r="P418" s="165"/>
      <c r="Q418" s="165"/>
    </row>
    <row r="419" ht="15.75" customHeight="1">
      <c r="B419" s="12"/>
      <c r="C419" s="7"/>
      <c r="E419" s="165"/>
      <c r="F419" s="165"/>
      <c r="G419" s="165"/>
      <c r="H419" s="165"/>
      <c r="I419" s="165"/>
      <c r="J419" s="165"/>
      <c r="K419" s="165"/>
      <c r="L419" s="165"/>
      <c r="M419" s="165"/>
      <c r="N419" s="165"/>
      <c r="O419" s="165"/>
      <c r="P419" s="165"/>
      <c r="Q419" s="165"/>
    </row>
    <row r="420" ht="15.75" customHeight="1">
      <c r="B420" s="12"/>
      <c r="C420" s="7"/>
      <c r="E420" s="165"/>
      <c r="F420" s="165"/>
      <c r="G420" s="165"/>
      <c r="H420" s="165"/>
      <c r="I420" s="165"/>
      <c r="J420" s="165"/>
      <c r="K420" s="165"/>
      <c r="L420" s="165"/>
      <c r="M420" s="165"/>
      <c r="N420" s="165"/>
      <c r="O420" s="165"/>
      <c r="P420" s="165"/>
      <c r="Q420" s="165"/>
    </row>
    <row r="421" ht="15.75" customHeight="1">
      <c r="B421" s="12"/>
      <c r="C421" s="7"/>
      <c r="E421" s="165"/>
      <c r="F421" s="165"/>
      <c r="G421" s="165"/>
      <c r="H421" s="165"/>
      <c r="I421" s="165"/>
      <c r="J421" s="165"/>
      <c r="K421" s="165"/>
      <c r="L421" s="165"/>
      <c r="M421" s="165"/>
      <c r="N421" s="165"/>
      <c r="O421" s="165"/>
      <c r="P421" s="165"/>
      <c r="Q421" s="165"/>
    </row>
    <row r="422" ht="15.75" customHeight="1">
      <c r="B422" s="12"/>
      <c r="C422" s="7"/>
      <c r="E422" s="165"/>
      <c r="F422" s="165"/>
      <c r="G422" s="165"/>
      <c r="H422" s="165"/>
      <c r="I422" s="165"/>
      <c r="J422" s="165"/>
      <c r="K422" s="165"/>
      <c r="L422" s="165"/>
      <c r="M422" s="165"/>
      <c r="N422" s="165"/>
      <c r="O422" s="165"/>
      <c r="P422" s="165"/>
      <c r="Q422" s="165"/>
    </row>
    <row r="423" ht="15.75" customHeight="1">
      <c r="B423" s="12"/>
      <c r="C423" s="7"/>
      <c r="E423" s="165"/>
      <c r="F423" s="165"/>
      <c r="G423" s="165"/>
      <c r="H423" s="165"/>
      <c r="I423" s="165"/>
      <c r="J423" s="165"/>
      <c r="K423" s="165"/>
      <c r="L423" s="165"/>
      <c r="M423" s="165"/>
      <c r="N423" s="165"/>
      <c r="O423" s="165"/>
      <c r="P423" s="165"/>
      <c r="Q423" s="165"/>
    </row>
    <row r="424" ht="15.75" customHeight="1">
      <c r="B424" s="12"/>
      <c r="C424" s="7"/>
      <c r="E424" s="165"/>
      <c r="F424" s="165"/>
      <c r="G424" s="165"/>
      <c r="H424" s="165"/>
      <c r="I424" s="165"/>
      <c r="J424" s="165"/>
      <c r="K424" s="165"/>
      <c r="L424" s="165"/>
      <c r="M424" s="165"/>
      <c r="N424" s="165"/>
      <c r="O424" s="165"/>
      <c r="P424" s="165"/>
      <c r="Q424" s="165"/>
    </row>
    <row r="425" ht="15.75" customHeight="1">
      <c r="B425" s="12"/>
      <c r="C425" s="7"/>
      <c r="E425" s="165"/>
      <c r="F425" s="165"/>
      <c r="G425" s="165"/>
      <c r="H425" s="165"/>
      <c r="I425" s="165"/>
      <c r="J425" s="165"/>
      <c r="K425" s="165"/>
      <c r="L425" s="165"/>
      <c r="M425" s="165"/>
      <c r="N425" s="165"/>
      <c r="O425" s="165"/>
      <c r="P425" s="165"/>
      <c r="Q425" s="165"/>
    </row>
    <row r="426" ht="15.75" customHeight="1">
      <c r="B426" s="12"/>
      <c r="C426" s="7"/>
      <c r="E426" s="165"/>
      <c r="F426" s="165"/>
      <c r="G426" s="165"/>
      <c r="H426" s="165"/>
      <c r="I426" s="165"/>
      <c r="J426" s="165"/>
      <c r="K426" s="165"/>
      <c r="L426" s="165"/>
      <c r="M426" s="165"/>
      <c r="N426" s="165"/>
      <c r="O426" s="165"/>
      <c r="P426" s="165"/>
      <c r="Q426" s="165"/>
    </row>
    <row r="427" ht="15.75" customHeight="1">
      <c r="B427" s="12"/>
      <c r="C427" s="7"/>
      <c r="E427" s="165"/>
      <c r="F427" s="165"/>
      <c r="G427" s="165"/>
      <c r="H427" s="165"/>
      <c r="I427" s="165"/>
      <c r="J427" s="165"/>
      <c r="K427" s="165"/>
      <c r="L427" s="165"/>
      <c r="M427" s="165"/>
      <c r="N427" s="165"/>
      <c r="O427" s="165"/>
      <c r="P427" s="165"/>
      <c r="Q427" s="165"/>
    </row>
    <row r="428" ht="15.75" customHeight="1">
      <c r="B428" s="12"/>
      <c r="C428" s="7"/>
      <c r="E428" s="165"/>
      <c r="F428" s="165"/>
      <c r="G428" s="165"/>
      <c r="H428" s="165"/>
      <c r="I428" s="165"/>
      <c r="J428" s="165"/>
      <c r="K428" s="165"/>
      <c r="L428" s="165"/>
      <c r="M428" s="165"/>
      <c r="N428" s="165"/>
      <c r="O428" s="165"/>
      <c r="P428" s="165"/>
      <c r="Q428" s="165"/>
    </row>
    <row r="429" ht="15.75" customHeight="1">
      <c r="B429" s="12"/>
      <c r="C429" s="7"/>
      <c r="E429" s="165"/>
      <c r="F429" s="165"/>
      <c r="G429" s="165"/>
      <c r="H429" s="165"/>
      <c r="I429" s="165"/>
      <c r="J429" s="165"/>
      <c r="K429" s="165"/>
      <c r="L429" s="165"/>
      <c r="M429" s="165"/>
      <c r="N429" s="165"/>
      <c r="O429" s="165"/>
      <c r="P429" s="165"/>
      <c r="Q429" s="165"/>
    </row>
    <row r="430" ht="15.75" customHeight="1">
      <c r="B430" s="12"/>
      <c r="C430" s="7"/>
      <c r="E430" s="165"/>
      <c r="F430" s="165"/>
      <c r="G430" s="165"/>
      <c r="H430" s="165"/>
      <c r="I430" s="165"/>
      <c r="J430" s="165"/>
      <c r="K430" s="165"/>
      <c r="L430" s="165"/>
      <c r="M430" s="165"/>
      <c r="N430" s="165"/>
      <c r="O430" s="165"/>
      <c r="P430" s="165"/>
      <c r="Q430" s="165"/>
    </row>
    <row r="431" ht="15.75" customHeight="1">
      <c r="B431" s="12"/>
      <c r="C431" s="7"/>
      <c r="E431" s="165"/>
      <c r="F431" s="165"/>
      <c r="G431" s="165"/>
      <c r="H431" s="165"/>
      <c r="I431" s="165"/>
      <c r="J431" s="165"/>
      <c r="K431" s="165"/>
      <c r="L431" s="165"/>
      <c r="M431" s="165"/>
      <c r="N431" s="165"/>
      <c r="O431" s="165"/>
      <c r="P431" s="165"/>
      <c r="Q431" s="165"/>
    </row>
    <row r="432" ht="15.75" customHeight="1">
      <c r="B432" s="12"/>
      <c r="C432" s="7"/>
      <c r="E432" s="165"/>
      <c r="F432" s="165"/>
      <c r="G432" s="165"/>
      <c r="H432" s="165"/>
      <c r="I432" s="165"/>
      <c r="J432" s="165"/>
      <c r="K432" s="165"/>
      <c r="L432" s="165"/>
      <c r="M432" s="165"/>
      <c r="N432" s="165"/>
      <c r="O432" s="165"/>
      <c r="P432" s="165"/>
      <c r="Q432" s="165"/>
    </row>
    <row r="433" ht="15.75" customHeight="1">
      <c r="B433" s="12"/>
      <c r="C433" s="7"/>
      <c r="E433" s="165"/>
      <c r="F433" s="165"/>
      <c r="G433" s="165"/>
      <c r="H433" s="165"/>
      <c r="I433" s="165"/>
      <c r="J433" s="165"/>
      <c r="K433" s="165"/>
      <c r="L433" s="165"/>
      <c r="M433" s="165"/>
      <c r="N433" s="165"/>
      <c r="O433" s="165"/>
      <c r="P433" s="165"/>
      <c r="Q433" s="165"/>
    </row>
    <row r="434" ht="15.75" customHeight="1">
      <c r="B434" s="12"/>
      <c r="C434" s="7"/>
      <c r="E434" s="165"/>
      <c r="F434" s="165"/>
      <c r="G434" s="165"/>
      <c r="H434" s="165"/>
      <c r="I434" s="165"/>
      <c r="J434" s="165"/>
      <c r="K434" s="165"/>
      <c r="L434" s="165"/>
      <c r="M434" s="165"/>
      <c r="N434" s="165"/>
      <c r="O434" s="165"/>
      <c r="P434" s="165"/>
      <c r="Q434" s="165"/>
    </row>
    <row r="435" ht="15.75" customHeight="1">
      <c r="B435" s="12"/>
      <c r="C435" s="7"/>
      <c r="E435" s="165"/>
      <c r="F435" s="165"/>
      <c r="G435" s="165"/>
      <c r="H435" s="165"/>
      <c r="I435" s="165"/>
      <c r="J435" s="165"/>
      <c r="K435" s="165"/>
      <c r="L435" s="165"/>
      <c r="M435" s="165"/>
      <c r="N435" s="165"/>
      <c r="O435" s="165"/>
      <c r="P435" s="165"/>
      <c r="Q435" s="165"/>
    </row>
    <row r="436" ht="15.75" customHeight="1">
      <c r="B436" s="12"/>
      <c r="C436" s="7"/>
      <c r="E436" s="165"/>
      <c r="F436" s="165"/>
      <c r="G436" s="165"/>
      <c r="H436" s="165"/>
      <c r="I436" s="165"/>
      <c r="J436" s="165"/>
      <c r="K436" s="165"/>
      <c r="L436" s="165"/>
      <c r="M436" s="165"/>
      <c r="N436" s="165"/>
      <c r="O436" s="165"/>
      <c r="P436" s="165"/>
      <c r="Q436" s="165"/>
    </row>
    <row r="437" ht="15.75" customHeight="1">
      <c r="B437" s="12"/>
      <c r="C437" s="7"/>
      <c r="E437" s="165"/>
      <c r="F437" s="165"/>
      <c r="G437" s="165"/>
      <c r="H437" s="165"/>
      <c r="I437" s="165"/>
      <c r="J437" s="165"/>
      <c r="K437" s="165"/>
      <c r="L437" s="165"/>
      <c r="M437" s="165"/>
      <c r="N437" s="165"/>
      <c r="O437" s="165"/>
      <c r="P437" s="165"/>
      <c r="Q437" s="165"/>
    </row>
    <row r="438" ht="15.75" customHeight="1">
      <c r="B438" s="12"/>
      <c r="C438" s="7"/>
      <c r="E438" s="165"/>
      <c r="F438" s="165"/>
      <c r="G438" s="165"/>
      <c r="H438" s="165"/>
      <c r="I438" s="165"/>
      <c r="J438" s="165"/>
      <c r="K438" s="165"/>
      <c r="L438" s="165"/>
      <c r="M438" s="165"/>
      <c r="N438" s="165"/>
      <c r="O438" s="165"/>
      <c r="P438" s="165"/>
      <c r="Q438" s="165"/>
    </row>
    <row r="439" ht="15.75" customHeight="1">
      <c r="B439" s="12"/>
      <c r="C439" s="7"/>
      <c r="E439" s="165"/>
      <c r="F439" s="165"/>
      <c r="G439" s="165"/>
      <c r="H439" s="165"/>
      <c r="I439" s="165"/>
      <c r="J439" s="165"/>
      <c r="K439" s="165"/>
      <c r="L439" s="165"/>
      <c r="M439" s="165"/>
      <c r="N439" s="165"/>
      <c r="O439" s="165"/>
      <c r="P439" s="165"/>
      <c r="Q439" s="165"/>
    </row>
    <row r="440" ht="15.75" customHeight="1">
      <c r="B440" s="12"/>
      <c r="C440" s="7"/>
      <c r="E440" s="165"/>
      <c r="F440" s="165"/>
      <c r="G440" s="165"/>
      <c r="H440" s="165"/>
      <c r="I440" s="165"/>
      <c r="J440" s="165"/>
      <c r="K440" s="165"/>
      <c r="L440" s="165"/>
      <c r="M440" s="165"/>
      <c r="N440" s="165"/>
      <c r="O440" s="165"/>
      <c r="P440" s="165"/>
      <c r="Q440" s="165"/>
    </row>
    <row r="441" ht="15.75" customHeight="1">
      <c r="B441" s="12"/>
      <c r="C441" s="7"/>
      <c r="E441" s="165"/>
      <c r="F441" s="165"/>
      <c r="G441" s="165"/>
      <c r="H441" s="165"/>
      <c r="I441" s="165"/>
      <c r="J441" s="165"/>
      <c r="K441" s="165"/>
      <c r="L441" s="165"/>
      <c r="M441" s="165"/>
      <c r="N441" s="165"/>
      <c r="O441" s="165"/>
      <c r="P441" s="165"/>
      <c r="Q441" s="165"/>
    </row>
    <row r="442" ht="15.75" customHeight="1">
      <c r="B442" s="12"/>
      <c r="C442" s="7"/>
      <c r="E442" s="165"/>
      <c r="F442" s="165"/>
      <c r="G442" s="165"/>
      <c r="H442" s="165"/>
      <c r="I442" s="165"/>
      <c r="J442" s="165"/>
      <c r="K442" s="165"/>
      <c r="L442" s="165"/>
      <c r="M442" s="165"/>
      <c r="N442" s="165"/>
      <c r="O442" s="165"/>
      <c r="P442" s="165"/>
      <c r="Q442" s="165"/>
    </row>
    <row r="443" ht="15.75" customHeight="1">
      <c r="B443" s="12"/>
      <c r="C443" s="7"/>
      <c r="E443" s="165"/>
      <c r="F443" s="165"/>
      <c r="G443" s="165"/>
      <c r="H443" s="165"/>
      <c r="I443" s="165"/>
      <c r="J443" s="165"/>
      <c r="K443" s="165"/>
      <c r="L443" s="165"/>
      <c r="M443" s="165"/>
      <c r="N443" s="165"/>
      <c r="O443" s="165"/>
      <c r="P443" s="165"/>
      <c r="Q443" s="165"/>
    </row>
    <row r="444" ht="15.75" customHeight="1">
      <c r="B444" s="12"/>
      <c r="C444" s="7"/>
      <c r="E444" s="165"/>
      <c r="F444" s="165"/>
      <c r="G444" s="165"/>
      <c r="H444" s="165"/>
      <c r="I444" s="165"/>
      <c r="J444" s="165"/>
      <c r="K444" s="165"/>
      <c r="L444" s="165"/>
      <c r="M444" s="165"/>
      <c r="N444" s="165"/>
      <c r="O444" s="165"/>
      <c r="P444" s="165"/>
      <c r="Q444" s="165"/>
    </row>
    <row r="445" ht="15.75" customHeight="1">
      <c r="B445" s="12"/>
      <c r="C445" s="7"/>
      <c r="E445" s="165"/>
      <c r="F445" s="165"/>
      <c r="G445" s="165"/>
      <c r="H445" s="165"/>
      <c r="I445" s="165"/>
      <c r="J445" s="165"/>
      <c r="K445" s="165"/>
      <c r="L445" s="165"/>
      <c r="M445" s="165"/>
      <c r="N445" s="165"/>
      <c r="O445" s="165"/>
      <c r="P445" s="165"/>
      <c r="Q445" s="165"/>
    </row>
    <row r="446" ht="15.75" customHeight="1">
      <c r="B446" s="12"/>
      <c r="C446" s="7"/>
      <c r="E446" s="165"/>
      <c r="F446" s="165"/>
      <c r="G446" s="165"/>
      <c r="H446" s="165"/>
      <c r="I446" s="165"/>
      <c r="J446" s="165"/>
      <c r="K446" s="165"/>
      <c r="L446" s="165"/>
      <c r="M446" s="165"/>
      <c r="N446" s="165"/>
      <c r="O446" s="165"/>
      <c r="P446" s="165"/>
      <c r="Q446" s="165"/>
    </row>
    <row r="447" ht="15.75" customHeight="1">
      <c r="B447" s="12"/>
      <c r="C447" s="7"/>
      <c r="E447" s="165"/>
      <c r="F447" s="165"/>
      <c r="G447" s="165"/>
      <c r="H447" s="165"/>
      <c r="I447" s="165"/>
      <c r="J447" s="165"/>
      <c r="K447" s="165"/>
      <c r="L447" s="165"/>
      <c r="M447" s="165"/>
      <c r="N447" s="165"/>
      <c r="O447" s="165"/>
      <c r="P447" s="165"/>
      <c r="Q447" s="165"/>
    </row>
    <row r="448" ht="15.75" customHeight="1">
      <c r="B448" s="12"/>
      <c r="C448" s="7"/>
      <c r="E448" s="165"/>
      <c r="F448" s="165"/>
      <c r="G448" s="165"/>
      <c r="H448" s="165"/>
      <c r="I448" s="165"/>
      <c r="J448" s="165"/>
      <c r="K448" s="165"/>
      <c r="L448" s="165"/>
      <c r="M448" s="165"/>
      <c r="N448" s="165"/>
      <c r="O448" s="165"/>
      <c r="P448" s="165"/>
      <c r="Q448" s="165"/>
    </row>
    <row r="449" ht="15.75" customHeight="1">
      <c r="B449" s="12"/>
      <c r="C449" s="7"/>
      <c r="E449" s="165"/>
      <c r="F449" s="165"/>
      <c r="G449" s="165"/>
      <c r="H449" s="165"/>
      <c r="I449" s="165"/>
      <c r="J449" s="165"/>
      <c r="K449" s="165"/>
      <c r="L449" s="165"/>
      <c r="M449" s="165"/>
      <c r="N449" s="165"/>
      <c r="O449" s="165"/>
      <c r="P449" s="165"/>
      <c r="Q449" s="165"/>
    </row>
    <row r="450" ht="15.75" customHeight="1">
      <c r="B450" s="12"/>
      <c r="C450" s="7"/>
      <c r="E450" s="165"/>
      <c r="F450" s="165"/>
      <c r="G450" s="165"/>
      <c r="H450" s="165"/>
      <c r="I450" s="165"/>
      <c r="J450" s="165"/>
      <c r="K450" s="165"/>
      <c r="L450" s="165"/>
      <c r="M450" s="165"/>
      <c r="N450" s="165"/>
      <c r="O450" s="165"/>
      <c r="P450" s="165"/>
      <c r="Q450" s="165"/>
    </row>
    <row r="451" ht="15.75" customHeight="1">
      <c r="B451" s="12"/>
      <c r="C451" s="7"/>
      <c r="E451" s="165"/>
      <c r="F451" s="165"/>
      <c r="G451" s="165"/>
      <c r="H451" s="165"/>
      <c r="I451" s="165"/>
      <c r="J451" s="165"/>
      <c r="K451" s="165"/>
      <c r="L451" s="165"/>
      <c r="M451" s="165"/>
      <c r="N451" s="165"/>
      <c r="O451" s="165"/>
      <c r="P451" s="165"/>
      <c r="Q451" s="165"/>
    </row>
    <row r="452" ht="15.75" customHeight="1">
      <c r="B452" s="12"/>
      <c r="C452" s="7"/>
      <c r="E452" s="165"/>
      <c r="F452" s="165"/>
      <c r="G452" s="165"/>
      <c r="H452" s="165"/>
      <c r="I452" s="165"/>
      <c r="J452" s="165"/>
      <c r="K452" s="165"/>
      <c r="L452" s="165"/>
      <c r="M452" s="165"/>
      <c r="N452" s="165"/>
      <c r="O452" s="165"/>
      <c r="P452" s="165"/>
      <c r="Q452" s="165"/>
    </row>
    <row r="453" ht="15.75" customHeight="1">
      <c r="B453" s="12"/>
      <c r="C453" s="7"/>
      <c r="E453" s="165"/>
      <c r="F453" s="165"/>
      <c r="G453" s="165"/>
      <c r="H453" s="165"/>
      <c r="I453" s="165"/>
      <c r="J453" s="165"/>
      <c r="K453" s="165"/>
      <c r="L453" s="165"/>
      <c r="M453" s="165"/>
      <c r="N453" s="165"/>
      <c r="O453" s="165"/>
      <c r="P453" s="165"/>
      <c r="Q453" s="165"/>
    </row>
    <row r="454" ht="15.75" customHeight="1">
      <c r="B454" s="12"/>
      <c r="C454" s="7"/>
      <c r="E454" s="165"/>
      <c r="F454" s="165"/>
      <c r="G454" s="165"/>
      <c r="H454" s="165"/>
      <c r="I454" s="165"/>
      <c r="J454" s="165"/>
      <c r="K454" s="165"/>
      <c r="L454" s="165"/>
      <c r="M454" s="165"/>
      <c r="N454" s="165"/>
      <c r="O454" s="165"/>
      <c r="P454" s="165"/>
      <c r="Q454" s="165"/>
    </row>
    <row r="455" ht="15.75" customHeight="1">
      <c r="B455" s="12"/>
      <c r="C455" s="7"/>
      <c r="E455" s="165"/>
      <c r="F455" s="165"/>
      <c r="G455" s="165"/>
      <c r="H455" s="165"/>
      <c r="I455" s="165"/>
      <c r="J455" s="165"/>
      <c r="K455" s="165"/>
      <c r="L455" s="165"/>
      <c r="M455" s="165"/>
      <c r="N455" s="165"/>
      <c r="O455" s="165"/>
      <c r="P455" s="165"/>
      <c r="Q455" s="165"/>
    </row>
    <row r="456" ht="15.75" customHeight="1">
      <c r="B456" s="12"/>
      <c r="C456" s="7"/>
      <c r="E456" s="165"/>
      <c r="F456" s="165"/>
      <c r="G456" s="165"/>
      <c r="H456" s="165"/>
      <c r="I456" s="165"/>
      <c r="J456" s="165"/>
      <c r="K456" s="165"/>
      <c r="L456" s="165"/>
      <c r="M456" s="165"/>
      <c r="N456" s="165"/>
      <c r="O456" s="165"/>
      <c r="P456" s="165"/>
      <c r="Q456" s="165"/>
    </row>
    <row r="457" ht="15.75" customHeight="1">
      <c r="B457" s="12"/>
      <c r="C457" s="7"/>
      <c r="E457" s="165"/>
      <c r="F457" s="165"/>
      <c r="G457" s="165"/>
      <c r="H457" s="165"/>
      <c r="I457" s="165"/>
      <c r="J457" s="165"/>
      <c r="K457" s="165"/>
      <c r="L457" s="165"/>
      <c r="M457" s="165"/>
      <c r="N457" s="165"/>
      <c r="O457" s="165"/>
      <c r="P457" s="165"/>
      <c r="Q457" s="165"/>
    </row>
    <row r="458" ht="15.75" customHeight="1">
      <c r="B458" s="12"/>
      <c r="C458" s="7"/>
      <c r="E458" s="165"/>
      <c r="F458" s="165"/>
      <c r="G458" s="165"/>
      <c r="H458" s="165"/>
      <c r="I458" s="165"/>
      <c r="J458" s="165"/>
      <c r="K458" s="165"/>
      <c r="L458" s="165"/>
      <c r="M458" s="165"/>
      <c r="N458" s="165"/>
      <c r="O458" s="165"/>
      <c r="P458" s="165"/>
      <c r="Q458" s="165"/>
    </row>
    <row r="459" ht="15.75" customHeight="1">
      <c r="B459" s="12"/>
      <c r="C459" s="7"/>
      <c r="E459" s="165"/>
      <c r="F459" s="165"/>
      <c r="G459" s="165"/>
      <c r="H459" s="165"/>
      <c r="I459" s="165"/>
      <c r="J459" s="165"/>
      <c r="K459" s="165"/>
      <c r="L459" s="165"/>
      <c r="M459" s="165"/>
      <c r="N459" s="165"/>
      <c r="O459" s="165"/>
      <c r="P459" s="165"/>
      <c r="Q459" s="165"/>
    </row>
    <row r="460" ht="15.75" customHeight="1">
      <c r="B460" s="12"/>
      <c r="C460" s="7"/>
      <c r="E460" s="165"/>
      <c r="F460" s="165"/>
      <c r="G460" s="165"/>
      <c r="H460" s="165"/>
      <c r="I460" s="165"/>
      <c r="J460" s="165"/>
      <c r="K460" s="165"/>
      <c r="L460" s="165"/>
      <c r="M460" s="165"/>
      <c r="N460" s="165"/>
      <c r="O460" s="165"/>
      <c r="P460" s="165"/>
      <c r="Q460" s="165"/>
    </row>
    <row r="461" ht="15.75" customHeight="1">
      <c r="B461" s="12"/>
      <c r="C461" s="7"/>
      <c r="E461" s="165"/>
      <c r="F461" s="165"/>
      <c r="G461" s="165"/>
      <c r="H461" s="165"/>
      <c r="I461" s="165"/>
      <c r="J461" s="165"/>
      <c r="K461" s="165"/>
      <c r="L461" s="165"/>
      <c r="M461" s="165"/>
      <c r="N461" s="165"/>
      <c r="O461" s="165"/>
      <c r="P461" s="165"/>
      <c r="Q461" s="165"/>
    </row>
    <row r="462" ht="15.75" customHeight="1">
      <c r="B462" s="12"/>
      <c r="C462" s="7"/>
      <c r="E462" s="165"/>
      <c r="F462" s="165"/>
      <c r="G462" s="165"/>
      <c r="H462" s="165"/>
      <c r="I462" s="165"/>
      <c r="J462" s="165"/>
      <c r="K462" s="165"/>
      <c r="L462" s="165"/>
      <c r="M462" s="165"/>
      <c r="N462" s="165"/>
      <c r="O462" s="165"/>
      <c r="P462" s="165"/>
      <c r="Q462" s="165"/>
    </row>
    <row r="463" ht="15.75" customHeight="1">
      <c r="B463" s="12"/>
      <c r="C463" s="7"/>
      <c r="E463" s="165"/>
      <c r="F463" s="165"/>
      <c r="G463" s="165"/>
      <c r="H463" s="165"/>
      <c r="I463" s="165"/>
      <c r="J463" s="165"/>
      <c r="K463" s="165"/>
      <c r="L463" s="165"/>
      <c r="M463" s="165"/>
      <c r="N463" s="165"/>
      <c r="O463" s="165"/>
      <c r="P463" s="165"/>
      <c r="Q463" s="165"/>
    </row>
    <row r="464" ht="15.75" customHeight="1">
      <c r="B464" s="12"/>
      <c r="C464" s="7"/>
      <c r="E464" s="165"/>
      <c r="F464" s="165"/>
      <c r="G464" s="165"/>
      <c r="H464" s="165"/>
      <c r="I464" s="165"/>
      <c r="J464" s="165"/>
      <c r="K464" s="165"/>
      <c r="L464" s="165"/>
      <c r="M464" s="165"/>
      <c r="N464" s="165"/>
      <c r="O464" s="165"/>
      <c r="P464" s="165"/>
      <c r="Q464" s="165"/>
    </row>
    <row r="465" ht="15.75" customHeight="1">
      <c r="B465" s="12"/>
      <c r="C465" s="7"/>
      <c r="E465" s="165"/>
      <c r="F465" s="165"/>
      <c r="G465" s="165"/>
      <c r="H465" s="165"/>
      <c r="I465" s="165"/>
      <c r="J465" s="165"/>
      <c r="K465" s="165"/>
      <c r="L465" s="165"/>
      <c r="M465" s="165"/>
      <c r="N465" s="165"/>
      <c r="O465" s="165"/>
      <c r="P465" s="165"/>
      <c r="Q465" s="165"/>
    </row>
    <row r="466" ht="15.75" customHeight="1">
      <c r="B466" s="12"/>
      <c r="C466" s="7"/>
      <c r="E466" s="165"/>
      <c r="F466" s="165"/>
      <c r="G466" s="165"/>
      <c r="H466" s="165"/>
      <c r="I466" s="165"/>
      <c r="J466" s="165"/>
      <c r="K466" s="165"/>
      <c r="L466" s="165"/>
      <c r="M466" s="165"/>
      <c r="N466" s="165"/>
      <c r="O466" s="165"/>
      <c r="P466" s="165"/>
      <c r="Q466" s="165"/>
    </row>
    <row r="467" ht="15.75" customHeight="1">
      <c r="B467" s="12"/>
      <c r="C467" s="7"/>
      <c r="E467" s="165"/>
      <c r="F467" s="165"/>
      <c r="G467" s="165"/>
      <c r="H467" s="165"/>
      <c r="I467" s="165"/>
      <c r="J467" s="165"/>
      <c r="K467" s="165"/>
      <c r="L467" s="165"/>
      <c r="M467" s="165"/>
      <c r="N467" s="165"/>
      <c r="O467" s="165"/>
      <c r="P467" s="165"/>
      <c r="Q467" s="165"/>
    </row>
    <row r="468" ht="15.75" customHeight="1">
      <c r="B468" s="12"/>
      <c r="C468" s="7"/>
      <c r="E468" s="165"/>
      <c r="F468" s="165"/>
      <c r="G468" s="165"/>
      <c r="H468" s="165"/>
      <c r="I468" s="165"/>
      <c r="J468" s="165"/>
      <c r="K468" s="165"/>
      <c r="L468" s="165"/>
      <c r="M468" s="165"/>
      <c r="N468" s="165"/>
      <c r="O468" s="165"/>
      <c r="P468" s="165"/>
      <c r="Q468" s="165"/>
    </row>
    <row r="469" ht="15.75" customHeight="1">
      <c r="B469" s="12"/>
      <c r="C469" s="7"/>
      <c r="E469" s="165"/>
      <c r="F469" s="165"/>
      <c r="G469" s="165"/>
      <c r="H469" s="165"/>
      <c r="I469" s="165"/>
      <c r="J469" s="165"/>
      <c r="K469" s="165"/>
      <c r="L469" s="165"/>
      <c r="M469" s="165"/>
      <c r="N469" s="165"/>
      <c r="O469" s="165"/>
      <c r="P469" s="165"/>
      <c r="Q469" s="165"/>
    </row>
    <row r="470" ht="15.75" customHeight="1">
      <c r="B470" s="12"/>
      <c r="C470" s="7"/>
      <c r="E470" s="165"/>
      <c r="F470" s="165"/>
      <c r="G470" s="165"/>
      <c r="H470" s="165"/>
      <c r="I470" s="165"/>
      <c r="J470" s="165"/>
      <c r="K470" s="165"/>
      <c r="L470" s="165"/>
      <c r="M470" s="165"/>
      <c r="N470" s="165"/>
      <c r="O470" s="165"/>
      <c r="P470" s="165"/>
      <c r="Q470" s="165"/>
    </row>
    <row r="471" ht="15.75" customHeight="1">
      <c r="B471" s="12"/>
      <c r="C471" s="7"/>
      <c r="E471" s="165"/>
      <c r="F471" s="165"/>
      <c r="G471" s="165"/>
      <c r="H471" s="165"/>
      <c r="I471" s="165"/>
      <c r="J471" s="165"/>
      <c r="K471" s="165"/>
      <c r="L471" s="165"/>
      <c r="M471" s="165"/>
      <c r="N471" s="165"/>
      <c r="O471" s="165"/>
      <c r="P471" s="165"/>
      <c r="Q471" s="165"/>
    </row>
    <row r="472" ht="15.75" customHeight="1">
      <c r="B472" s="12"/>
      <c r="C472" s="7"/>
      <c r="E472" s="165"/>
      <c r="F472" s="165"/>
      <c r="G472" s="165"/>
      <c r="H472" s="165"/>
      <c r="I472" s="165"/>
      <c r="J472" s="165"/>
      <c r="K472" s="165"/>
      <c r="L472" s="165"/>
      <c r="M472" s="165"/>
      <c r="N472" s="165"/>
      <c r="O472" s="165"/>
      <c r="P472" s="165"/>
      <c r="Q472" s="165"/>
    </row>
    <row r="473" ht="15.75" customHeight="1">
      <c r="B473" s="12"/>
      <c r="C473" s="7"/>
      <c r="E473" s="165"/>
      <c r="F473" s="165"/>
      <c r="G473" s="165"/>
      <c r="H473" s="165"/>
      <c r="I473" s="165"/>
      <c r="J473" s="165"/>
      <c r="K473" s="165"/>
      <c r="L473" s="165"/>
      <c r="M473" s="165"/>
      <c r="N473" s="165"/>
      <c r="O473" s="165"/>
      <c r="P473" s="165"/>
      <c r="Q473" s="165"/>
    </row>
    <row r="474" ht="15.75" customHeight="1">
      <c r="B474" s="12"/>
      <c r="C474" s="7"/>
      <c r="E474" s="165"/>
      <c r="F474" s="165"/>
      <c r="G474" s="165"/>
      <c r="H474" s="165"/>
      <c r="I474" s="165"/>
      <c r="J474" s="165"/>
      <c r="K474" s="165"/>
      <c r="L474" s="165"/>
      <c r="M474" s="165"/>
      <c r="N474" s="165"/>
      <c r="O474" s="165"/>
      <c r="P474" s="165"/>
      <c r="Q474" s="165"/>
    </row>
    <row r="475" ht="15.75" customHeight="1">
      <c r="B475" s="12"/>
      <c r="C475" s="7"/>
      <c r="E475" s="165"/>
      <c r="F475" s="165"/>
      <c r="G475" s="165"/>
      <c r="H475" s="165"/>
      <c r="I475" s="165"/>
      <c r="J475" s="165"/>
      <c r="K475" s="165"/>
      <c r="L475" s="165"/>
      <c r="M475" s="165"/>
      <c r="N475" s="165"/>
      <c r="O475" s="165"/>
      <c r="P475" s="165"/>
      <c r="Q475" s="165"/>
    </row>
    <row r="476" ht="15.75" customHeight="1">
      <c r="B476" s="12"/>
      <c r="C476" s="7"/>
      <c r="E476" s="165"/>
      <c r="F476" s="165"/>
      <c r="G476" s="165"/>
      <c r="H476" s="165"/>
      <c r="I476" s="165"/>
      <c r="J476" s="165"/>
      <c r="K476" s="165"/>
      <c r="L476" s="165"/>
      <c r="M476" s="165"/>
      <c r="N476" s="165"/>
      <c r="O476" s="165"/>
      <c r="P476" s="165"/>
      <c r="Q476" s="165"/>
    </row>
    <row r="477" ht="15.75" customHeight="1">
      <c r="B477" s="12"/>
      <c r="C477" s="7"/>
      <c r="E477" s="165"/>
      <c r="F477" s="165"/>
      <c r="G477" s="165"/>
      <c r="H477" s="165"/>
      <c r="I477" s="165"/>
      <c r="J477" s="165"/>
      <c r="K477" s="165"/>
      <c r="L477" s="165"/>
      <c r="M477" s="165"/>
      <c r="N477" s="165"/>
      <c r="O477" s="165"/>
      <c r="P477" s="165"/>
      <c r="Q477" s="165"/>
    </row>
    <row r="478" ht="15.75" customHeight="1">
      <c r="B478" s="12"/>
      <c r="C478" s="7"/>
      <c r="E478" s="165"/>
      <c r="F478" s="165"/>
      <c r="G478" s="165"/>
      <c r="H478" s="165"/>
      <c r="I478" s="165"/>
      <c r="J478" s="165"/>
      <c r="K478" s="165"/>
      <c r="L478" s="165"/>
      <c r="M478" s="165"/>
      <c r="N478" s="165"/>
      <c r="O478" s="165"/>
      <c r="P478" s="165"/>
      <c r="Q478" s="165"/>
    </row>
    <row r="479" ht="15.75" customHeight="1">
      <c r="B479" s="12"/>
      <c r="C479" s="7"/>
      <c r="E479" s="165"/>
      <c r="F479" s="165"/>
      <c r="G479" s="165"/>
      <c r="H479" s="165"/>
      <c r="I479" s="165"/>
      <c r="J479" s="165"/>
      <c r="K479" s="165"/>
      <c r="L479" s="165"/>
      <c r="M479" s="165"/>
      <c r="N479" s="165"/>
      <c r="O479" s="165"/>
      <c r="P479" s="165"/>
      <c r="Q479" s="165"/>
    </row>
    <row r="480" ht="15.75" customHeight="1">
      <c r="B480" s="12"/>
      <c r="C480" s="7"/>
      <c r="E480" s="165"/>
      <c r="F480" s="165"/>
      <c r="G480" s="165"/>
      <c r="H480" s="165"/>
      <c r="I480" s="165"/>
      <c r="J480" s="165"/>
      <c r="K480" s="165"/>
      <c r="L480" s="165"/>
      <c r="M480" s="165"/>
      <c r="N480" s="165"/>
      <c r="O480" s="165"/>
      <c r="P480" s="165"/>
      <c r="Q480" s="165"/>
    </row>
    <row r="481" ht="15.75" customHeight="1">
      <c r="B481" s="12"/>
      <c r="C481" s="7"/>
      <c r="E481" s="165"/>
      <c r="F481" s="165"/>
      <c r="G481" s="165"/>
      <c r="H481" s="165"/>
      <c r="I481" s="165"/>
      <c r="J481" s="165"/>
      <c r="K481" s="165"/>
      <c r="L481" s="165"/>
      <c r="M481" s="165"/>
      <c r="N481" s="165"/>
      <c r="O481" s="165"/>
      <c r="P481" s="165"/>
      <c r="Q481" s="165"/>
    </row>
    <row r="482" ht="15.75" customHeight="1">
      <c r="B482" s="12"/>
      <c r="C482" s="7"/>
      <c r="E482" s="165"/>
      <c r="F482" s="165"/>
      <c r="G482" s="165"/>
      <c r="H482" s="165"/>
      <c r="I482" s="165"/>
      <c r="J482" s="165"/>
      <c r="K482" s="165"/>
      <c r="L482" s="165"/>
      <c r="M482" s="165"/>
      <c r="N482" s="165"/>
      <c r="O482" s="165"/>
      <c r="P482" s="165"/>
      <c r="Q482" s="165"/>
    </row>
    <row r="483" ht="15.75" customHeight="1">
      <c r="B483" s="12"/>
      <c r="C483" s="7"/>
      <c r="E483" s="165"/>
      <c r="F483" s="165"/>
      <c r="G483" s="165"/>
      <c r="H483" s="165"/>
      <c r="I483" s="165"/>
      <c r="J483" s="165"/>
      <c r="K483" s="165"/>
      <c r="L483" s="165"/>
      <c r="M483" s="165"/>
      <c r="N483" s="165"/>
      <c r="O483" s="165"/>
      <c r="P483" s="165"/>
      <c r="Q483" s="165"/>
    </row>
    <row r="484" ht="15.75" customHeight="1">
      <c r="B484" s="12"/>
      <c r="C484" s="7"/>
      <c r="E484" s="165"/>
      <c r="F484" s="165"/>
      <c r="G484" s="165"/>
      <c r="H484" s="165"/>
      <c r="I484" s="165"/>
      <c r="J484" s="165"/>
      <c r="K484" s="165"/>
      <c r="L484" s="165"/>
      <c r="M484" s="165"/>
      <c r="N484" s="165"/>
      <c r="O484" s="165"/>
      <c r="P484" s="165"/>
      <c r="Q484" s="165"/>
    </row>
    <row r="485" ht="15.75" customHeight="1">
      <c r="B485" s="12"/>
      <c r="C485" s="7"/>
      <c r="E485" s="165"/>
      <c r="F485" s="165"/>
      <c r="G485" s="165"/>
      <c r="H485" s="165"/>
      <c r="I485" s="165"/>
      <c r="J485" s="165"/>
      <c r="K485" s="165"/>
      <c r="L485" s="165"/>
      <c r="M485" s="165"/>
      <c r="N485" s="165"/>
      <c r="O485" s="165"/>
      <c r="P485" s="165"/>
      <c r="Q485" s="165"/>
    </row>
    <row r="486" ht="15.75" customHeight="1">
      <c r="B486" s="12"/>
      <c r="C486" s="7"/>
      <c r="E486" s="165"/>
      <c r="F486" s="165"/>
      <c r="G486" s="165"/>
      <c r="H486" s="165"/>
      <c r="I486" s="165"/>
      <c r="J486" s="165"/>
      <c r="K486" s="165"/>
      <c r="L486" s="165"/>
      <c r="M486" s="165"/>
      <c r="N486" s="165"/>
      <c r="O486" s="165"/>
      <c r="P486" s="165"/>
      <c r="Q486" s="165"/>
    </row>
    <row r="487" ht="15.75" customHeight="1">
      <c r="B487" s="12"/>
      <c r="C487" s="7"/>
      <c r="E487" s="165"/>
      <c r="F487" s="165"/>
      <c r="G487" s="165"/>
      <c r="H487" s="165"/>
      <c r="I487" s="165"/>
      <c r="J487" s="165"/>
      <c r="K487" s="165"/>
      <c r="L487" s="165"/>
      <c r="M487" s="165"/>
      <c r="N487" s="165"/>
      <c r="O487" s="165"/>
      <c r="P487" s="165"/>
      <c r="Q487" s="165"/>
    </row>
    <row r="488" ht="15.75" customHeight="1">
      <c r="B488" s="12"/>
      <c r="C488" s="7"/>
      <c r="E488" s="165"/>
      <c r="F488" s="165"/>
      <c r="G488" s="165"/>
      <c r="H488" s="165"/>
      <c r="I488" s="165"/>
      <c r="J488" s="165"/>
      <c r="K488" s="165"/>
      <c r="L488" s="165"/>
      <c r="M488" s="165"/>
      <c r="N488" s="165"/>
      <c r="O488" s="165"/>
      <c r="P488" s="165"/>
      <c r="Q488" s="165"/>
    </row>
    <row r="489" ht="15.75" customHeight="1">
      <c r="B489" s="12"/>
      <c r="C489" s="7"/>
      <c r="E489" s="165"/>
      <c r="F489" s="165"/>
      <c r="G489" s="165"/>
      <c r="H489" s="165"/>
      <c r="I489" s="165"/>
      <c r="J489" s="165"/>
      <c r="K489" s="165"/>
      <c r="L489" s="165"/>
      <c r="M489" s="165"/>
      <c r="N489" s="165"/>
      <c r="O489" s="165"/>
      <c r="P489" s="165"/>
      <c r="Q489" s="165"/>
    </row>
    <row r="490" ht="15.75" customHeight="1">
      <c r="B490" s="12"/>
      <c r="C490" s="7"/>
      <c r="E490" s="165"/>
      <c r="F490" s="165"/>
      <c r="G490" s="165"/>
      <c r="H490" s="165"/>
      <c r="I490" s="165"/>
      <c r="J490" s="165"/>
      <c r="K490" s="165"/>
      <c r="L490" s="165"/>
      <c r="M490" s="165"/>
      <c r="N490" s="165"/>
      <c r="O490" s="165"/>
      <c r="P490" s="165"/>
      <c r="Q490" s="165"/>
    </row>
    <row r="491" ht="15.75" customHeight="1">
      <c r="B491" s="12"/>
      <c r="C491" s="7"/>
      <c r="E491" s="165"/>
      <c r="F491" s="165"/>
      <c r="G491" s="165"/>
      <c r="H491" s="165"/>
      <c r="I491" s="165"/>
      <c r="J491" s="165"/>
      <c r="K491" s="165"/>
      <c r="L491" s="165"/>
      <c r="M491" s="165"/>
      <c r="N491" s="165"/>
      <c r="O491" s="165"/>
      <c r="P491" s="165"/>
      <c r="Q491" s="165"/>
    </row>
    <row r="492" ht="15.75" customHeight="1">
      <c r="B492" s="12"/>
      <c r="C492" s="7"/>
      <c r="E492" s="165"/>
      <c r="F492" s="165"/>
      <c r="G492" s="165"/>
      <c r="H492" s="165"/>
      <c r="I492" s="165"/>
      <c r="J492" s="165"/>
      <c r="K492" s="165"/>
      <c r="L492" s="165"/>
      <c r="M492" s="165"/>
      <c r="N492" s="165"/>
      <c r="O492" s="165"/>
      <c r="P492" s="165"/>
      <c r="Q492" s="165"/>
    </row>
    <row r="493" ht="15.75" customHeight="1">
      <c r="B493" s="12"/>
      <c r="C493" s="7"/>
      <c r="E493" s="165"/>
      <c r="F493" s="165"/>
      <c r="G493" s="165"/>
      <c r="H493" s="165"/>
      <c r="I493" s="165"/>
      <c r="J493" s="165"/>
      <c r="K493" s="165"/>
      <c r="L493" s="165"/>
      <c r="M493" s="165"/>
      <c r="N493" s="165"/>
      <c r="O493" s="165"/>
      <c r="P493" s="165"/>
      <c r="Q493" s="165"/>
    </row>
    <row r="494" ht="15.75" customHeight="1">
      <c r="B494" s="12"/>
      <c r="C494" s="7"/>
      <c r="E494" s="165"/>
      <c r="F494" s="165"/>
      <c r="G494" s="165"/>
      <c r="H494" s="165"/>
      <c r="I494" s="165"/>
      <c r="J494" s="165"/>
      <c r="K494" s="165"/>
      <c r="L494" s="165"/>
      <c r="M494" s="165"/>
      <c r="N494" s="165"/>
      <c r="O494" s="165"/>
      <c r="P494" s="165"/>
      <c r="Q494" s="165"/>
    </row>
    <row r="495" ht="15.75" customHeight="1">
      <c r="B495" s="12"/>
      <c r="C495" s="7"/>
      <c r="E495" s="165"/>
      <c r="F495" s="165"/>
      <c r="G495" s="165"/>
      <c r="H495" s="165"/>
      <c r="I495" s="165"/>
      <c r="J495" s="165"/>
      <c r="K495" s="165"/>
      <c r="L495" s="165"/>
      <c r="M495" s="165"/>
      <c r="N495" s="165"/>
      <c r="O495" s="165"/>
      <c r="P495" s="165"/>
      <c r="Q495" s="165"/>
    </row>
    <row r="496" ht="15.75" customHeight="1">
      <c r="B496" s="12"/>
      <c r="C496" s="7"/>
      <c r="E496" s="165"/>
      <c r="F496" s="165"/>
      <c r="G496" s="165"/>
      <c r="H496" s="165"/>
      <c r="I496" s="165"/>
      <c r="J496" s="165"/>
      <c r="K496" s="165"/>
      <c r="L496" s="165"/>
      <c r="M496" s="165"/>
      <c r="N496" s="165"/>
      <c r="O496" s="165"/>
      <c r="P496" s="165"/>
      <c r="Q496" s="165"/>
    </row>
    <row r="497" ht="15.75" customHeight="1">
      <c r="B497" s="12"/>
      <c r="C497" s="7"/>
      <c r="E497" s="165"/>
      <c r="F497" s="165"/>
      <c r="G497" s="165"/>
      <c r="H497" s="165"/>
      <c r="I497" s="165"/>
      <c r="J497" s="165"/>
      <c r="K497" s="165"/>
      <c r="L497" s="165"/>
      <c r="M497" s="165"/>
      <c r="N497" s="165"/>
      <c r="O497" s="165"/>
      <c r="P497" s="165"/>
      <c r="Q497" s="165"/>
    </row>
    <row r="498" ht="15.75" customHeight="1">
      <c r="B498" s="12"/>
      <c r="C498" s="7"/>
      <c r="E498" s="165"/>
      <c r="F498" s="165"/>
      <c r="G498" s="165"/>
      <c r="H498" s="165"/>
      <c r="I498" s="165"/>
      <c r="J498" s="165"/>
      <c r="K498" s="165"/>
      <c r="L498" s="165"/>
      <c r="M498" s="165"/>
      <c r="N498" s="165"/>
      <c r="O498" s="165"/>
      <c r="P498" s="165"/>
      <c r="Q498" s="165"/>
    </row>
    <row r="499" ht="15.75" customHeight="1">
      <c r="B499" s="12"/>
      <c r="C499" s="7"/>
      <c r="E499" s="165"/>
      <c r="F499" s="165"/>
      <c r="G499" s="165"/>
      <c r="H499" s="165"/>
      <c r="I499" s="165"/>
      <c r="J499" s="165"/>
      <c r="K499" s="165"/>
      <c r="L499" s="165"/>
      <c r="M499" s="165"/>
      <c r="N499" s="165"/>
      <c r="O499" s="165"/>
      <c r="P499" s="165"/>
      <c r="Q499" s="165"/>
    </row>
    <row r="500" ht="15.75" customHeight="1">
      <c r="B500" s="12"/>
      <c r="C500" s="7"/>
      <c r="E500" s="165"/>
      <c r="F500" s="165"/>
      <c r="G500" s="165"/>
      <c r="H500" s="165"/>
      <c r="I500" s="165"/>
      <c r="J500" s="165"/>
      <c r="K500" s="165"/>
      <c r="L500" s="165"/>
      <c r="M500" s="165"/>
      <c r="N500" s="165"/>
      <c r="O500" s="165"/>
      <c r="P500" s="165"/>
      <c r="Q500" s="165"/>
    </row>
    <row r="501" ht="15.75" customHeight="1">
      <c r="B501" s="12"/>
      <c r="C501" s="7"/>
      <c r="E501" s="165"/>
      <c r="F501" s="165"/>
      <c r="G501" s="165"/>
      <c r="H501" s="165"/>
      <c r="I501" s="165"/>
      <c r="J501" s="165"/>
      <c r="K501" s="165"/>
      <c r="L501" s="165"/>
      <c r="M501" s="165"/>
      <c r="N501" s="165"/>
      <c r="O501" s="165"/>
      <c r="P501" s="165"/>
      <c r="Q501" s="165"/>
    </row>
    <row r="502" ht="15.75" customHeight="1">
      <c r="B502" s="12"/>
      <c r="C502" s="7"/>
      <c r="E502" s="165"/>
      <c r="F502" s="165"/>
      <c r="G502" s="165"/>
      <c r="H502" s="165"/>
      <c r="I502" s="165"/>
      <c r="J502" s="165"/>
      <c r="K502" s="165"/>
      <c r="L502" s="165"/>
      <c r="M502" s="165"/>
      <c r="N502" s="165"/>
      <c r="O502" s="165"/>
      <c r="P502" s="165"/>
      <c r="Q502" s="165"/>
    </row>
    <row r="503" ht="15.75" customHeight="1">
      <c r="B503" s="12"/>
      <c r="C503" s="7"/>
      <c r="E503" s="165"/>
      <c r="F503" s="165"/>
      <c r="G503" s="165"/>
      <c r="H503" s="165"/>
      <c r="I503" s="165"/>
      <c r="J503" s="165"/>
      <c r="K503" s="165"/>
      <c r="L503" s="165"/>
      <c r="M503" s="165"/>
      <c r="N503" s="165"/>
      <c r="O503" s="165"/>
      <c r="P503" s="165"/>
      <c r="Q503" s="165"/>
    </row>
    <row r="504" ht="15.75" customHeight="1">
      <c r="B504" s="12"/>
      <c r="C504" s="7"/>
      <c r="E504" s="165"/>
      <c r="F504" s="165"/>
      <c r="G504" s="165"/>
      <c r="H504" s="165"/>
      <c r="I504" s="165"/>
      <c r="J504" s="165"/>
      <c r="K504" s="165"/>
      <c r="L504" s="165"/>
      <c r="M504" s="165"/>
      <c r="N504" s="165"/>
      <c r="O504" s="165"/>
      <c r="P504" s="165"/>
      <c r="Q504" s="165"/>
    </row>
    <row r="505" ht="15.75" customHeight="1">
      <c r="B505" s="12"/>
      <c r="C505" s="7"/>
      <c r="E505" s="165"/>
      <c r="F505" s="165"/>
      <c r="G505" s="165"/>
      <c r="H505" s="165"/>
      <c r="I505" s="165"/>
      <c r="J505" s="165"/>
      <c r="K505" s="165"/>
      <c r="L505" s="165"/>
      <c r="M505" s="165"/>
      <c r="N505" s="165"/>
      <c r="O505" s="165"/>
      <c r="P505" s="165"/>
      <c r="Q505" s="165"/>
    </row>
    <row r="506" ht="15.75" customHeight="1">
      <c r="B506" s="12"/>
      <c r="C506" s="7"/>
      <c r="E506" s="165"/>
      <c r="F506" s="165"/>
      <c r="G506" s="165"/>
      <c r="H506" s="165"/>
      <c r="I506" s="165"/>
      <c r="J506" s="165"/>
      <c r="K506" s="165"/>
      <c r="L506" s="165"/>
      <c r="M506" s="165"/>
      <c r="N506" s="165"/>
      <c r="O506" s="165"/>
      <c r="P506" s="165"/>
      <c r="Q506" s="165"/>
    </row>
    <row r="507" ht="15.75" customHeight="1">
      <c r="B507" s="12"/>
      <c r="C507" s="7"/>
      <c r="E507" s="165"/>
      <c r="F507" s="165"/>
      <c r="G507" s="165"/>
      <c r="H507" s="165"/>
      <c r="I507" s="165"/>
      <c r="J507" s="165"/>
      <c r="K507" s="165"/>
      <c r="L507" s="165"/>
      <c r="M507" s="165"/>
      <c r="N507" s="165"/>
      <c r="O507" s="165"/>
      <c r="P507" s="165"/>
      <c r="Q507" s="165"/>
    </row>
    <row r="508" ht="15.75" customHeight="1">
      <c r="B508" s="12"/>
      <c r="C508" s="7"/>
      <c r="E508" s="165"/>
      <c r="F508" s="165"/>
      <c r="G508" s="165"/>
      <c r="H508" s="165"/>
      <c r="I508" s="165"/>
      <c r="J508" s="165"/>
      <c r="K508" s="165"/>
      <c r="L508" s="165"/>
      <c r="M508" s="165"/>
      <c r="N508" s="165"/>
      <c r="O508" s="165"/>
      <c r="P508" s="165"/>
      <c r="Q508" s="165"/>
    </row>
    <row r="509" ht="15.75" customHeight="1">
      <c r="B509" s="12"/>
      <c r="C509" s="7"/>
      <c r="E509" s="165"/>
      <c r="F509" s="165"/>
      <c r="G509" s="165"/>
      <c r="H509" s="165"/>
      <c r="I509" s="165"/>
      <c r="J509" s="165"/>
      <c r="K509" s="165"/>
      <c r="L509" s="165"/>
      <c r="M509" s="165"/>
      <c r="N509" s="165"/>
      <c r="O509" s="165"/>
      <c r="P509" s="165"/>
      <c r="Q509" s="165"/>
    </row>
    <row r="510" ht="15.75" customHeight="1">
      <c r="B510" s="12"/>
      <c r="C510" s="7"/>
      <c r="E510" s="165"/>
      <c r="F510" s="165"/>
      <c r="G510" s="165"/>
      <c r="H510" s="165"/>
      <c r="I510" s="165"/>
      <c r="J510" s="165"/>
      <c r="K510" s="165"/>
      <c r="L510" s="165"/>
      <c r="M510" s="165"/>
      <c r="N510" s="165"/>
      <c r="O510" s="165"/>
      <c r="P510" s="165"/>
      <c r="Q510" s="165"/>
    </row>
    <row r="511" ht="15.75" customHeight="1">
      <c r="B511" s="12"/>
      <c r="C511" s="7"/>
      <c r="E511" s="165"/>
      <c r="F511" s="165"/>
      <c r="G511" s="165"/>
      <c r="H511" s="165"/>
      <c r="I511" s="165"/>
      <c r="J511" s="165"/>
      <c r="K511" s="165"/>
      <c r="L511" s="165"/>
      <c r="M511" s="165"/>
      <c r="N511" s="165"/>
      <c r="O511" s="165"/>
      <c r="P511" s="165"/>
      <c r="Q511" s="165"/>
    </row>
    <row r="512" ht="15.75" customHeight="1">
      <c r="B512" s="12"/>
      <c r="C512" s="7"/>
      <c r="E512" s="165"/>
      <c r="F512" s="165"/>
      <c r="G512" s="165"/>
      <c r="H512" s="165"/>
      <c r="I512" s="165"/>
      <c r="J512" s="165"/>
      <c r="K512" s="165"/>
      <c r="L512" s="165"/>
      <c r="M512" s="165"/>
      <c r="N512" s="165"/>
      <c r="O512" s="165"/>
      <c r="P512" s="165"/>
      <c r="Q512" s="165"/>
    </row>
    <row r="513" ht="15.75" customHeight="1">
      <c r="B513" s="12"/>
      <c r="C513" s="7"/>
      <c r="E513" s="165"/>
      <c r="F513" s="165"/>
      <c r="G513" s="165"/>
      <c r="H513" s="165"/>
      <c r="I513" s="165"/>
      <c r="J513" s="165"/>
      <c r="K513" s="165"/>
      <c r="L513" s="165"/>
      <c r="M513" s="165"/>
      <c r="N513" s="165"/>
      <c r="O513" s="165"/>
      <c r="P513" s="165"/>
      <c r="Q513" s="165"/>
    </row>
    <row r="514" ht="15.75" customHeight="1">
      <c r="B514" s="12"/>
      <c r="C514" s="7"/>
      <c r="E514" s="165"/>
      <c r="F514" s="165"/>
      <c r="G514" s="165"/>
      <c r="H514" s="165"/>
      <c r="I514" s="165"/>
      <c r="J514" s="165"/>
      <c r="K514" s="165"/>
      <c r="L514" s="165"/>
      <c r="M514" s="165"/>
      <c r="N514" s="165"/>
      <c r="O514" s="165"/>
      <c r="P514" s="165"/>
      <c r="Q514" s="165"/>
    </row>
    <row r="515" ht="15.75" customHeight="1">
      <c r="B515" s="12"/>
      <c r="C515" s="7"/>
      <c r="E515" s="165"/>
      <c r="F515" s="165"/>
      <c r="G515" s="165"/>
      <c r="H515" s="165"/>
      <c r="I515" s="165"/>
      <c r="J515" s="165"/>
      <c r="K515" s="165"/>
      <c r="L515" s="165"/>
      <c r="M515" s="165"/>
      <c r="N515" s="165"/>
      <c r="O515" s="165"/>
      <c r="P515" s="165"/>
      <c r="Q515" s="165"/>
    </row>
    <row r="516" ht="15.75" customHeight="1">
      <c r="B516" s="12"/>
      <c r="C516" s="7"/>
      <c r="E516" s="165"/>
      <c r="F516" s="165"/>
      <c r="G516" s="165"/>
      <c r="H516" s="165"/>
      <c r="I516" s="165"/>
      <c r="J516" s="165"/>
      <c r="K516" s="165"/>
      <c r="L516" s="165"/>
      <c r="M516" s="165"/>
      <c r="N516" s="165"/>
      <c r="O516" s="165"/>
      <c r="P516" s="165"/>
      <c r="Q516" s="165"/>
    </row>
    <row r="517" ht="15.75" customHeight="1">
      <c r="B517" s="12"/>
      <c r="C517" s="7"/>
      <c r="E517" s="165"/>
      <c r="F517" s="165"/>
      <c r="G517" s="165"/>
      <c r="H517" s="165"/>
      <c r="I517" s="165"/>
      <c r="J517" s="165"/>
      <c r="K517" s="165"/>
      <c r="L517" s="165"/>
      <c r="M517" s="165"/>
      <c r="N517" s="165"/>
      <c r="O517" s="165"/>
      <c r="P517" s="165"/>
      <c r="Q517" s="165"/>
    </row>
    <row r="518" ht="15.75" customHeight="1">
      <c r="B518" s="12"/>
      <c r="C518" s="7"/>
      <c r="E518" s="165"/>
      <c r="F518" s="165"/>
      <c r="G518" s="165"/>
      <c r="H518" s="165"/>
      <c r="I518" s="165"/>
      <c r="J518" s="165"/>
      <c r="K518" s="165"/>
      <c r="L518" s="165"/>
      <c r="M518" s="165"/>
      <c r="N518" s="165"/>
      <c r="O518" s="165"/>
      <c r="P518" s="165"/>
      <c r="Q518" s="165"/>
    </row>
    <row r="519" ht="15.75" customHeight="1">
      <c r="B519" s="12"/>
      <c r="C519" s="7"/>
      <c r="E519" s="165"/>
      <c r="F519" s="165"/>
      <c r="G519" s="165"/>
      <c r="H519" s="165"/>
      <c r="I519" s="165"/>
      <c r="J519" s="165"/>
      <c r="K519" s="165"/>
      <c r="L519" s="165"/>
      <c r="M519" s="165"/>
      <c r="N519" s="165"/>
      <c r="O519" s="165"/>
      <c r="P519" s="165"/>
      <c r="Q519" s="165"/>
    </row>
    <row r="520" ht="15.75" customHeight="1">
      <c r="B520" s="12"/>
      <c r="C520" s="7"/>
      <c r="E520" s="165"/>
      <c r="F520" s="165"/>
      <c r="G520" s="165"/>
      <c r="H520" s="165"/>
      <c r="I520" s="165"/>
      <c r="J520" s="165"/>
      <c r="K520" s="165"/>
      <c r="L520" s="165"/>
      <c r="M520" s="165"/>
      <c r="N520" s="165"/>
      <c r="O520" s="165"/>
      <c r="P520" s="165"/>
      <c r="Q520" s="165"/>
    </row>
    <row r="521" ht="15.75" customHeight="1">
      <c r="B521" s="12"/>
      <c r="C521" s="7"/>
      <c r="E521" s="165"/>
      <c r="F521" s="165"/>
      <c r="G521" s="165"/>
      <c r="H521" s="165"/>
      <c r="I521" s="165"/>
      <c r="J521" s="165"/>
      <c r="K521" s="165"/>
      <c r="L521" s="165"/>
      <c r="M521" s="165"/>
      <c r="N521" s="165"/>
      <c r="O521" s="165"/>
      <c r="P521" s="165"/>
      <c r="Q521" s="165"/>
    </row>
    <row r="522" ht="15.75" customHeight="1">
      <c r="B522" s="12"/>
      <c r="C522" s="7"/>
      <c r="E522" s="165"/>
      <c r="F522" s="165"/>
      <c r="G522" s="165"/>
      <c r="H522" s="165"/>
      <c r="I522" s="165"/>
      <c r="J522" s="165"/>
      <c r="K522" s="165"/>
      <c r="L522" s="165"/>
      <c r="M522" s="165"/>
      <c r="N522" s="165"/>
      <c r="O522" s="165"/>
      <c r="P522" s="165"/>
      <c r="Q522" s="165"/>
    </row>
    <row r="523" ht="15.75" customHeight="1">
      <c r="B523" s="12"/>
      <c r="C523" s="7"/>
      <c r="E523" s="165"/>
      <c r="F523" s="165"/>
      <c r="G523" s="165"/>
      <c r="H523" s="165"/>
      <c r="I523" s="165"/>
      <c r="J523" s="165"/>
      <c r="K523" s="165"/>
      <c r="L523" s="165"/>
      <c r="M523" s="165"/>
      <c r="N523" s="165"/>
      <c r="O523" s="165"/>
      <c r="P523" s="165"/>
      <c r="Q523" s="165"/>
    </row>
    <row r="524" ht="15.75" customHeight="1">
      <c r="B524" s="12"/>
      <c r="C524" s="7"/>
      <c r="E524" s="165"/>
      <c r="F524" s="165"/>
      <c r="G524" s="165"/>
      <c r="H524" s="165"/>
      <c r="I524" s="165"/>
      <c r="J524" s="165"/>
      <c r="K524" s="165"/>
      <c r="L524" s="165"/>
      <c r="M524" s="165"/>
      <c r="N524" s="165"/>
      <c r="O524" s="165"/>
      <c r="P524" s="165"/>
      <c r="Q524" s="165"/>
    </row>
    <row r="525" ht="15.75" customHeight="1">
      <c r="B525" s="12"/>
      <c r="C525" s="7"/>
      <c r="E525" s="165"/>
      <c r="F525" s="165"/>
      <c r="G525" s="165"/>
      <c r="H525" s="165"/>
      <c r="I525" s="165"/>
      <c r="J525" s="165"/>
      <c r="K525" s="165"/>
      <c r="L525" s="165"/>
      <c r="M525" s="165"/>
      <c r="N525" s="165"/>
      <c r="O525" s="165"/>
      <c r="P525" s="165"/>
      <c r="Q525" s="165"/>
    </row>
    <row r="526" ht="15.75" customHeight="1">
      <c r="B526" s="12"/>
      <c r="C526" s="7"/>
      <c r="E526" s="165"/>
      <c r="F526" s="165"/>
      <c r="G526" s="165"/>
      <c r="H526" s="165"/>
      <c r="I526" s="165"/>
      <c r="J526" s="165"/>
      <c r="K526" s="165"/>
      <c r="L526" s="165"/>
      <c r="M526" s="165"/>
      <c r="N526" s="165"/>
      <c r="O526" s="165"/>
      <c r="P526" s="165"/>
      <c r="Q526" s="165"/>
    </row>
    <row r="527" ht="15.75" customHeight="1">
      <c r="B527" s="12"/>
      <c r="C527" s="7"/>
      <c r="E527" s="165"/>
      <c r="F527" s="165"/>
      <c r="G527" s="165"/>
      <c r="H527" s="165"/>
      <c r="I527" s="165"/>
      <c r="J527" s="165"/>
      <c r="K527" s="165"/>
      <c r="L527" s="165"/>
      <c r="M527" s="165"/>
      <c r="N527" s="165"/>
      <c r="O527" s="165"/>
      <c r="P527" s="165"/>
      <c r="Q527" s="165"/>
    </row>
    <row r="528" ht="15.75" customHeight="1">
      <c r="B528" s="12"/>
      <c r="C528" s="7"/>
      <c r="E528" s="165"/>
      <c r="F528" s="165"/>
      <c r="G528" s="165"/>
      <c r="H528" s="165"/>
      <c r="I528" s="165"/>
      <c r="J528" s="165"/>
      <c r="K528" s="165"/>
      <c r="L528" s="165"/>
      <c r="M528" s="165"/>
      <c r="N528" s="165"/>
      <c r="O528" s="165"/>
      <c r="P528" s="165"/>
      <c r="Q528" s="165"/>
    </row>
    <row r="529" ht="15.75" customHeight="1">
      <c r="B529" s="12"/>
      <c r="C529" s="7"/>
      <c r="E529" s="165"/>
      <c r="F529" s="165"/>
      <c r="G529" s="165"/>
      <c r="H529" s="165"/>
      <c r="I529" s="165"/>
      <c r="J529" s="165"/>
      <c r="K529" s="165"/>
      <c r="L529" s="165"/>
      <c r="M529" s="165"/>
      <c r="N529" s="165"/>
      <c r="O529" s="165"/>
      <c r="P529" s="165"/>
      <c r="Q529" s="165"/>
    </row>
    <row r="530" ht="15.75" customHeight="1">
      <c r="B530" s="12"/>
      <c r="C530" s="7"/>
      <c r="E530" s="165"/>
      <c r="F530" s="165"/>
      <c r="G530" s="165"/>
      <c r="H530" s="165"/>
      <c r="I530" s="165"/>
      <c r="J530" s="165"/>
      <c r="K530" s="165"/>
      <c r="L530" s="165"/>
      <c r="M530" s="165"/>
      <c r="N530" s="165"/>
      <c r="O530" s="165"/>
      <c r="P530" s="165"/>
      <c r="Q530" s="165"/>
    </row>
    <row r="531" ht="15.75" customHeight="1">
      <c r="B531" s="12"/>
      <c r="C531" s="7"/>
      <c r="E531" s="165"/>
      <c r="F531" s="165"/>
      <c r="G531" s="165"/>
      <c r="H531" s="165"/>
      <c r="I531" s="165"/>
      <c r="J531" s="165"/>
      <c r="K531" s="165"/>
      <c r="L531" s="165"/>
      <c r="M531" s="165"/>
      <c r="N531" s="165"/>
      <c r="O531" s="165"/>
      <c r="P531" s="165"/>
      <c r="Q531" s="165"/>
    </row>
    <row r="532" ht="15.75" customHeight="1">
      <c r="B532" s="12"/>
      <c r="C532" s="7"/>
      <c r="E532" s="165"/>
      <c r="F532" s="165"/>
      <c r="G532" s="165"/>
      <c r="H532" s="165"/>
      <c r="I532" s="165"/>
      <c r="J532" s="165"/>
      <c r="K532" s="165"/>
      <c r="L532" s="165"/>
      <c r="M532" s="165"/>
      <c r="N532" s="165"/>
      <c r="O532" s="165"/>
      <c r="P532" s="165"/>
      <c r="Q532" s="165"/>
    </row>
    <row r="533" ht="15.75" customHeight="1">
      <c r="B533" s="12"/>
      <c r="C533" s="7"/>
      <c r="E533" s="165"/>
      <c r="F533" s="165"/>
      <c r="G533" s="165"/>
      <c r="H533" s="165"/>
      <c r="I533" s="165"/>
      <c r="J533" s="165"/>
      <c r="K533" s="165"/>
      <c r="L533" s="165"/>
      <c r="M533" s="165"/>
      <c r="N533" s="165"/>
      <c r="O533" s="165"/>
      <c r="P533" s="165"/>
      <c r="Q533" s="165"/>
    </row>
    <row r="534" ht="15.75" customHeight="1">
      <c r="B534" s="12"/>
      <c r="C534" s="7"/>
      <c r="E534" s="165"/>
      <c r="F534" s="165"/>
      <c r="G534" s="165"/>
      <c r="H534" s="165"/>
      <c r="I534" s="165"/>
      <c r="J534" s="165"/>
      <c r="K534" s="165"/>
      <c r="L534" s="165"/>
      <c r="M534" s="165"/>
      <c r="N534" s="165"/>
      <c r="O534" s="165"/>
      <c r="P534" s="165"/>
      <c r="Q534" s="165"/>
    </row>
    <row r="535" ht="15.75" customHeight="1">
      <c r="B535" s="12"/>
      <c r="C535" s="7"/>
      <c r="E535" s="165"/>
      <c r="F535" s="165"/>
      <c r="G535" s="165"/>
      <c r="H535" s="165"/>
      <c r="I535" s="165"/>
      <c r="J535" s="165"/>
      <c r="K535" s="165"/>
      <c r="L535" s="165"/>
      <c r="M535" s="165"/>
      <c r="N535" s="165"/>
      <c r="O535" s="165"/>
      <c r="P535" s="165"/>
      <c r="Q535" s="165"/>
    </row>
    <row r="536" ht="15.75" customHeight="1">
      <c r="B536" s="12"/>
      <c r="C536" s="7"/>
      <c r="E536" s="165"/>
      <c r="F536" s="165"/>
      <c r="G536" s="165"/>
      <c r="H536" s="165"/>
      <c r="I536" s="165"/>
      <c r="J536" s="165"/>
      <c r="K536" s="165"/>
      <c r="L536" s="165"/>
      <c r="M536" s="165"/>
      <c r="N536" s="165"/>
      <c r="O536" s="165"/>
      <c r="P536" s="165"/>
      <c r="Q536" s="165"/>
    </row>
    <row r="537" ht="15.75" customHeight="1">
      <c r="B537" s="12"/>
      <c r="C537" s="7"/>
      <c r="E537" s="165"/>
      <c r="F537" s="165"/>
      <c r="G537" s="165"/>
      <c r="H537" s="165"/>
      <c r="I537" s="165"/>
      <c r="J537" s="165"/>
      <c r="K537" s="165"/>
      <c r="L537" s="165"/>
      <c r="M537" s="165"/>
      <c r="N537" s="165"/>
      <c r="O537" s="165"/>
      <c r="P537" s="165"/>
      <c r="Q537" s="165"/>
    </row>
    <row r="538" ht="15.75" customHeight="1">
      <c r="B538" s="12"/>
      <c r="C538" s="7"/>
      <c r="E538" s="165"/>
      <c r="F538" s="165"/>
      <c r="G538" s="165"/>
      <c r="H538" s="165"/>
      <c r="I538" s="165"/>
      <c r="J538" s="165"/>
      <c r="K538" s="165"/>
      <c r="L538" s="165"/>
      <c r="M538" s="165"/>
      <c r="N538" s="165"/>
      <c r="O538" s="165"/>
      <c r="P538" s="165"/>
      <c r="Q538" s="165"/>
    </row>
    <row r="539" ht="15.75" customHeight="1">
      <c r="B539" s="12"/>
      <c r="C539" s="7"/>
      <c r="E539" s="165"/>
      <c r="F539" s="165"/>
      <c r="G539" s="165"/>
      <c r="H539" s="165"/>
      <c r="I539" s="165"/>
      <c r="J539" s="165"/>
      <c r="K539" s="165"/>
      <c r="L539" s="165"/>
      <c r="M539" s="165"/>
      <c r="N539" s="165"/>
      <c r="O539" s="165"/>
      <c r="P539" s="165"/>
      <c r="Q539" s="165"/>
    </row>
    <row r="540" ht="15.75" customHeight="1">
      <c r="B540" s="12"/>
      <c r="C540" s="7"/>
      <c r="E540" s="165"/>
      <c r="F540" s="165"/>
      <c r="G540" s="165"/>
      <c r="H540" s="165"/>
      <c r="I540" s="165"/>
      <c r="J540" s="165"/>
      <c r="K540" s="165"/>
      <c r="L540" s="165"/>
      <c r="M540" s="165"/>
      <c r="N540" s="165"/>
      <c r="O540" s="165"/>
      <c r="P540" s="165"/>
      <c r="Q540" s="165"/>
    </row>
    <row r="541" ht="15.75" customHeight="1">
      <c r="B541" s="12"/>
      <c r="C541" s="7"/>
      <c r="E541" s="165"/>
      <c r="F541" s="165"/>
      <c r="G541" s="165"/>
      <c r="H541" s="165"/>
      <c r="I541" s="165"/>
      <c r="J541" s="165"/>
      <c r="K541" s="165"/>
      <c r="L541" s="165"/>
      <c r="M541" s="165"/>
      <c r="N541" s="165"/>
      <c r="O541" s="165"/>
      <c r="P541" s="165"/>
      <c r="Q541" s="165"/>
    </row>
    <row r="542" ht="15.75" customHeight="1">
      <c r="B542" s="12"/>
      <c r="C542" s="7"/>
      <c r="E542" s="165"/>
      <c r="F542" s="165"/>
      <c r="G542" s="165"/>
      <c r="H542" s="165"/>
      <c r="I542" s="165"/>
      <c r="J542" s="165"/>
      <c r="K542" s="165"/>
      <c r="L542" s="165"/>
      <c r="M542" s="165"/>
      <c r="N542" s="165"/>
      <c r="O542" s="165"/>
      <c r="P542" s="165"/>
      <c r="Q542" s="165"/>
    </row>
    <row r="543" ht="15.75" customHeight="1">
      <c r="B543" s="12"/>
      <c r="C543" s="7"/>
      <c r="E543" s="165"/>
      <c r="F543" s="165"/>
      <c r="G543" s="165"/>
      <c r="H543" s="165"/>
      <c r="I543" s="165"/>
      <c r="J543" s="165"/>
      <c r="K543" s="165"/>
      <c r="L543" s="165"/>
      <c r="M543" s="165"/>
      <c r="N543" s="165"/>
      <c r="O543" s="165"/>
      <c r="P543" s="165"/>
      <c r="Q543" s="165"/>
    </row>
    <row r="544" ht="15.75" customHeight="1">
      <c r="B544" s="12"/>
      <c r="C544" s="7"/>
      <c r="E544" s="165"/>
      <c r="F544" s="165"/>
      <c r="G544" s="165"/>
      <c r="H544" s="165"/>
      <c r="I544" s="165"/>
      <c r="J544" s="165"/>
      <c r="K544" s="165"/>
      <c r="L544" s="165"/>
      <c r="M544" s="165"/>
      <c r="N544" s="165"/>
      <c r="O544" s="165"/>
      <c r="P544" s="165"/>
      <c r="Q544" s="165"/>
    </row>
    <row r="545" ht="15.75" customHeight="1">
      <c r="B545" s="12"/>
      <c r="C545" s="7"/>
      <c r="E545" s="165"/>
      <c r="F545" s="165"/>
      <c r="G545" s="165"/>
      <c r="H545" s="165"/>
      <c r="I545" s="165"/>
      <c r="J545" s="165"/>
      <c r="K545" s="165"/>
      <c r="L545" s="165"/>
      <c r="M545" s="165"/>
      <c r="N545" s="165"/>
      <c r="O545" s="165"/>
      <c r="P545" s="165"/>
      <c r="Q545" s="165"/>
    </row>
    <row r="546" ht="15.75" customHeight="1">
      <c r="B546" s="12"/>
      <c r="C546" s="7"/>
      <c r="E546" s="165"/>
      <c r="F546" s="165"/>
      <c r="G546" s="165"/>
      <c r="H546" s="165"/>
      <c r="I546" s="165"/>
      <c r="J546" s="165"/>
      <c r="K546" s="165"/>
      <c r="L546" s="165"/>
      <c r="M546" s="165"/>
      <c r="N546" s="165"/>
      <c r="O546" s="165"/>
      <c r="P546" s="165"/>
      <c r="Q546" s="165"/>
    </row>
    <row r="547" ht="15.75" customHeight="1">
      <c r="B547" s="12"/>
      <c r="C547" s="7"/>
      <c r="E547" s="165"/>
      <c r="F547" s="165"/>
      <c r="G547" s="165"/>
      <c r="H547" s="165"/>
      <c r="I547" s="165"/>
      <c r="J547" s="165"/>
      <c r="K547" s="165"/>
      <c r="L547" s="165"/>
      <c r="M547" s="165"/>
      <c r="N547" s="165"/>
      <c r="O547" s="165"/>
      <c r="P547" s="165"/>
      <c r="Q547" s="165"/>
    </row>
    <row r="548" ht="15.75" customHeight="1">
      <c r="B548" s="12"/>
      <c r="C548" s="7"/>
      <c r="E548" s="165"/>
      <c r="F548" s="165"/>
      <c r="G548" s="165"/>
      <c r="H548" s="165"/>
      <c r="I548" s="165"/>
      <c r="J548" s="165"/>
      <c r="K548" s="165"/>
      <c r="L548" s="165"/>
      <c r="M548" s="165"/>
      <c r="N548" s="165"/>
      <c r="O548" s="165"/>
      <c r="P548" s="165"/>
      <c r="Q548" s="165"/>
    </row>
    <row r="549" ht="15.75" customHeight="1">
      <c r="B549" s="12"/>
      <c r="C549" s="7"/>
      <c r="E549" s="165"/>
      <c r="F549" s="165"/>
      <c r="G549" s="165"/>
      <c r="H549" s="165"/>
      <c r="I549" s="165"/>
      <c r="J549" s="165"/>
      <c r="K549" s="165"/>
      <c r="L549" s="165"/>
      <c r="M549" s="165"/>
      <c r="N549" s="165"/>
      <c r="O549" s="165"/>
      <c r="P549" s="165"/>
      <c r="Q549" s="165"/>
    </row>
    <row r="550" ht="15.75" customHeight="1">
      <c r="B550" s="12"/>
      <c r="C550" s="7"/>
      <c r="E550" s="165"/>
      <c r="F550" s="165"/>
      <c r="G550" s="165"/>
      <c r="H550" s="165"/>
      <c r="I550" s="165"/>
      <c r="J550" s="165"/>
      <c r="K550" s="165"/>
      <c r="L550" s="165"/>
      <c r="M550" s="165"/>
      <c r="N550" s="165"/>
      <c r="O550" s="165"/>
      <c r="P550" s="165"/>
      <c r="Q550" s="165"/>
    </row>
    <row r="551" ht="15.75" customHeight="1">
      <c r="B551" s="12"/>
      <c r="C551" s="7"/>
      <c r="E551" s="165"/>
      <c r="F551" s="165"/>
      <c r="G551" s="165"/>
      <c r="H551" s="165"/>
      <c r="I551" s="165"/>
      <c r="J551" s="165"/>
      <c r="K551" s="165"/>
      <c r="L551" s="165"/>
      <c r="M551" s="165"/>
      <c r="N551" s="165"/>
      <c r="O551" s="165"/>
      <c r="P551" s="165"/>
      <c r="Q551" s="165"/>
    </row>
    <row r="552" ht="15.75" customHeight="1">
      <c r="B552" s="12"/>
      <c r="C552" s="7"/>
      <c r="E552" s="165"/>
      <c r="F552" s="165"/>
      <c r="G552" s="165"/>
      <c r="H552" s="165"/>
      <c r="I552" s="165"/>
      <c r="J552" s="165"/>
      <c r="K552" s="165"/>
      <c r="L552" s="165"/>
      <c r="M552" s="165"/>
      <c r="N552" s="165"/>
      <c r="O552" s="165"/>
      <c r="P552" s="165"/>
      <c r="Q552" s="165"/>
    </row>
    <row r="553" ht="15.75" customHeight="1">
      <c r="B553" s="12"/>
      <c r="C553" s="7"/>
      <c r="E553" s="165"/>
      <c r="F553" s="165"/>
      <c r="G553" s="165"/>
      <c r="H553" s="165"/>
      <c r="I553" s="165"/>
      <c r="J553" s="165"/>
      <c r="K553" s="165"/>
      <c r="L553" s="165"/>
      <c r="M553" s="165"/>
      <c r="N553" s="165"/>
      <c r="O553" s="165"/>
      <c r="P553" s="165"/>
      <c r="Q553" s="165"/>
    </row>
    <row r="554" ht="15.75" customHeight="1">
      <c r="B554" s="12"/>
      <c r="C554" s="7"/>
      <c r="E554" s="165"/>
      <c r="F554" s="165"/>
      <c r="G554" s="165"/>
      <c r="H554" s="165"/>
      <c r="I554" s="165"/>
      <c r="J554" s="165"/>
      <c r="K554" s="165"/>
      <c r="L554" s="165"/>
      <c r="M554" s="165"/>
      <c r="N554" s="165"/>
      <c r="O554" s="165"/>
      <c r="P554" s="165"/>
      <c r="Q554" s="165"/>
    </row>
    <row r="555" ht="15.75" customHeight="1">
      <c r="B555" s="12"/>
      <c r="C555" s="7"/>
      <c r="E555" s="165"/>
      <c r="F555" s="165"/>
      <c r="G555" s="165"/>
      <c r="H555" s="165"/>
      <c r="I555" s="165"/>
      <c r="J555" s="165"/>
      <c r="K555" s="165"/>
      <c r="L555" s="165"/>
      <c r="M555" s="165"/>
      <c r="N555" s="165"/>
      <c r="O555" s="165"/>
      <c r="P555" s="165"/>
      <c r="Q555" s="165"/>
    </row>
    <row r="556" ht="15.75" customHeight="1">
      <c r="B556" s="12"/>
      <c r="C556" s="7"/>
      <c r="E556" s="165"/>
      <c r="F556" s="165"/>
      <c r="G556" s="165"/>
      <c r="H556" s="165"/>
      <c r="I556" s="165"/>
      <c r="J556" s="165"/>
      <c r="K556" s="165"/>
      <c r="L556" s="165"/>
      <c r="M556" s="165"/>
      <c r="N556" s="165"/>
      <c r="O556" s="165"/>
      <c r="P556" s="165"/>
      <c r="Q556" s="165"/>
    </row>
    <row r="557" ht="15.75" customHeight="1">
      <c r="B557" s="12"/>
      <c r="C557" s="7"/>
      <c r="E557" s="165"/>
      <c r="F557" s="165"/>
      <c r="G557" s="165"/>
      <c r="H557" s="165"/>
      <c r="I557" s="165"/>
      <c r="J557" s="165"/>
      <c r="K557" s="165"/>
      <c r="L557" s="165"/>
      <c r="M557" s="165"/>
      <c r="N557" s="165"/>
      <c r="O557" s="165"/>
      <c r="P557" s="165"/>
      <c r="Q557" s="165"/>
    </row>
    <row r="558" ht="15.75" customHeight="1">
      <c r="B558" s="12"/>
      <c r="C558" s="7"/>
      <c r="E558" s="165"/>
      <c r="F558" s="165"/>
      <c r="G558" s="165"/>
      <c r="H558" s="165"/>
      <c r="I558" s="165"/>
      <c r="J558" s="165"/>
      <c r="K558" s="165"/>
      <c r="L558" s="165"/>
      <c r="M558" s="165"/>
      <c r="N558" s="165"/>
      <c r="O558" s="165"/>
      <c r="P558" s="165"/>
      <c r="Q558" s="165"/>
    </row>
    <row r="559" ht="15.75" customHeight="1">
      <c r="B559" s="12"/>
      <c r="C559" s="7"/>
      <c r="E559" s="165"/>
      <c r="F559" s="165"/>
      <c r="G559" s="165"/>
      <c r="H559" s="165"/>
      <c r="I559" s="165"/>
      <c r="J559" s="165"/>
      <c r="K559" s="165"/>
      <c r="L559" s="165"/>
      <c r="M559" s="165"/>
      <c r="N559" s="165"/>
      <c r="O559" s="165"/>
      <c r="P559" s="165"/>
      <c r="Q559" s="165"/>
    </row>
    <row r="560" ht="15.75" customHeight="1">
      <c r="B560" s="12"/>
      <c r="C560" s="7"/>
      <c r="E560" s="165"/>
      <c r="F560" s="165"/>
      <c r="G560" s="165"/>
      <c r="H560" s="165"/>
      <c r="I560" s="165"/>
      <c r="J560" s="165"/>
      <c r="K560" s="165"/>
      <c r="L560" s="165"/>
      <c r="M560" s="165"/>
      <c r="N560" s="165"/>
      <c r="O560" s="165"/>
      <c r="P560" s="165"/>
      <c r="Q560" s="165"/>
    </row>
    <row r="561" ht="15.75" customHeight="1">
      <c r="B561" s="12"/>
      <c r="C561" s="7"/>
      <c r="E561" s="165"/>
      <c r="F561" s="165"/>
      <c r="G561" s="165"/>
      <c r="H561" s="165"/>
      <c r="I561" s="165"/>
      <c r="J561" s="165"/>
      <c r="K561" s="165"/>
      <c r="L561" s="165"/>
      <c r="M561" s="165"/>
      <c r="N561" s="165"/>
      <c r="O561" s="165"/>
      <c r="P561" s="165"/>
      <c r="Q561" s="165"/>
    </row>
    <row r="562" ht="15.75" customHeight="1">
      <c r="B562" s="12"/>
      <c r="C562" s="7"/>
      <c r="E562" s="165"/>
      <c r="F562" s="165"/>
      <c r="G562" s="165"/>
      <c r="H562" s="165"/>
      <c r="I562" s="165"/>
      <c r="J562" s="165"/>
      <c r="K562" s="165"/>
      <c r="L562" s="165"/>
      <c r="M562" s="165"/>
      <c r="N562" s="165"/>
      <c r="O562" s="165"/>
      <c r="P562" s="165"/>
      <c r="Q562" s="165"/>
    </row>
    <row r="563" ht="15.75" customHeight="1">
      <c r="B563" s="12"/>
      <c r="C563" s="7"/>
      <c r="E563" s="165"/>
      <c r="F563" s="165"/>
      <c r="G563" s="165"/>
      <c r="H563" s="165"/>
      <c r="I563" s="165"/>
      <c r="J563" s="165"/>
      <c r="K563" s="165"/>
      <c r="L563" s="165"/>
      <c r="M563" s="165"/>
      <c r="N563" s="165"/>
      <c r="O563" s="165"/>
      <c r="P563" s="165"/>
      <c r="Q563" s="165"/>
    </row>
    <row r="564" ht="15.75" customHeight="1">
      <c r="B564" s="12"/>
      <c r="C564" s="7"/>
      <c r="E564" s="165"/>
      <c r="F564" s="165"/>
      <c r="G564" s="165"/>
      <c r="H564" s="165"/>
      <c r="I564" s="165"/>
      <c r="J564" s="165"/>
      <c r="K564" s="165"/>
      <c r="L564" s="165"/>
      <c r="M564" s="165"/>
      <c r="N564" s="165"/>
      <c r="O564" s="165"/>
      <c r="P564" s="165"/>
      <c r="Q564" s="165"/>
    </row>
    <row r="565" ht="15.75" customHeight="1">
      <c r="B565" s="12"/>
      <c r="C565" s="7"/>
      <c r="E565" s="165"/>
      <c r="F565" s="165"/>
      <c r="G565" s="165"/>
      <c r="H565" s="165"/>
      <c r="I565" s="165"/>
      <c r="J565" s="165"/>
      <c r="K565" s="165"/>
      <c r="L565" s="165"/>
      <c r="M565" s="165"/>
      <c r="N565" s="165"/>
      <c r="O565" s="165"/>
      <c r="P565" s="165"/>
      <c r="Q565" s="165"/>
    </row>
    <row r="566" ht="15.75" customHeight="1">
      <c r="B566" s="12"/>
      <c r="C566" s="7"/>
      <c r="E566" s="165"/>
      <c r="F566" s="165"/>
      <c r="G566" s="165"/>
      <c r="H566" s="165"/>
      <c r="I566" s="165"/>
      <c r="J566" s="165"/>
      <c r="K566" s="165"/>
      <c r="L566" s="165"/>
      <c r="M566" s="165"/>
      <c r="N566" s="165"/>
      <c r="O566" s="165"/>
      <c r="P566" s="165"/>
      <c r="Q566" s="165"/>
    </row>
    <row r="567" ht="15.75" customHeight="1">
      <c r="B567" s="12"/>
      <c r="C567" s="7"/>
      <c r="E567" s="165"/>
      <c r="F567" s="165"/>
      <c r="G567" s="165"/>
      <c r="H567" s="165"/>
      <c r="I567" s="165"/>
      <c r="J567" s="165"/>
      <c r="K567" s="165"/>
      <c r="L567" s="165"/>
      <c r="M567" s="165"/>
      <c r="N567" s="165"/>
      <c r="O567" s="165"/>
      <c r="P567" s="165"/>
      <c r="Q567" s="165"/>
    </row>
    <row r="568" ht="15.75" customHeight="1">
      <c r="B568" s="12"/>
      <c r="C568" s="7"/>
      <c r="E568" s="165"/>
      <c r="F568" s="165"/>
      <c r="G568" s="165"/>
      <c r="H568" s="165"/>
      <c r="I568" s="165"/>
      <c r="J568" s="165"/>
      <c r="K568" s="165"/>
      <c r="L568" s="165"/>
      <c r="M568" s="165"/>
      <c r="N568" s="165"/>
      <c r="O568" s="165"/>
      <c r="P568" s="165"/>
      <c r="Q568" s="165"/>
    </row>
    <row r="569" ht="15.75" customHeight="1">
      <c r="B569" s="12"/>
      <c r="C569" s="7"/>
      <c r="E569" s="165"/>
      <c r="F569" s="165"/>
      <c r="G569" s="165"/>
      <c r="H569" s="165"/>
      <c r="I569" s="165"/>
      <c r="J569" s="165"/>
      <c r="K569" s="165"/>
      <c r="L569" s="165"/>
      <c r="M569" s="165"/>
      <c r="N569" s="165"/>
      <c r="O569" s="165"/>
      <c r="P569" s="165"/>
      <c r="Q569" s="165"/>
    </row>
    <row r="570" ht="15.75" customHeight="1">
      <c r="B570" s="12"/>
      <c r="C570" s="7"/>
      <c r="E570" s="165"/>
      <c r="F570" s="165"/>
      <c r="G570" s="165"/>
      <c r="H570" s="165"/>
      <c r="I570" s="165"/>
      <c r="J570" s="165"/>
      <c r="K570" s="165"/>
      <c r="L570" s="165"/>
      <c r="M570" s="165"/>
      <c r="N570" s="165"/>
      <c r="O570" s="165"/>
      <c r="P570" s="165"/>
      <c r="Q570" s="165"/>
    </row>
    <row r="571" ht="15.75" customHeight="1">
      <c r="B571" s="12"/>
      <c r="C571" s="7"/>
      <c r="E571" s="165"/>
      <c r="F571" s="165"/>
      <c r="G571" s="165"/>
      <c r="H571" s="165"/>
      <c r="I571" s="165"/>
      <c r="J571" s="165"/>
      <c r="K571" s="165"/>
      <c r="L571" s="165"/>
      <c r="M571" s="165"/>
      <c r="N571" s="165"/>
      <c r="O571" s="165"/>
      <c r="P571" s="165"/>
      <c r="Q571" s="165"/>
    </row>
    <row r="572" ht="15.75" customHeight="1">
      <c r="B572" s="12"/>
      <c r="C572" s="7"/>
      <c r="E572" s="165"/>
      <c r="F572" s="165"/>
      <c r="G572" s="165"/>
      <c r="H572" s="165"/>
      <c r="I572" s="165"/>
      <c r="J572" s="165"/>
      <c r="K572" s="165"/>
      <c r="L572" s="165"/>
      <c r="M572" s="165"/>
      <c r="N572" s="165"/>
      <c r="O572" s="165"/>
      <c r="P572" s="165"/>
      <c r="Q572" s="165"/>
    </row>
    <row r="573" ht="15.75" customHeight="1">
      <c r="B573" s="12"/>
      <c r="C573" s="7"/>
      <c r="E573" s="165"/>
      <c r="F573" s="165"/>
      <c r="G573" s="165"/>
      <c r="H573" s="165"/>
      <c r="I573" s="165"/>
      <c r="J573" s="165"/>
      <c r="K573" s="165"/>
      <c r="L573" s="165"/>
      <c r="M573" s="165"/>
      <c r="N573" s="165"/>
      <c r="O573" s="165"/>
      <c r="P573" s="165"/>
      <c r="Q573" s="165"/>
    </row>
    <row r="574" ht="15.75" customHeight="1">
      <c r="B574" s="12"/>
      <c r="C574" s="7"/>
      <c r="E574" s="165"/>
      <c r="F574" s="165"/>
      <c r="G574" s="165"/>
      <c r="H574" s="165"/>
      <c r="I574" s="165"/>
      <c r="J574" s="165"/>
      <c r="K574" s="165"/>
      <c r="L574" s="165"/>
      <c r="M574" s="165"/>
      <c r="N574" s="165"/>
      <c r="O574" s="165"/>
      <c r="P574" s="165"/>
      <c r="Q574" s="165"/>
    </row>
    <row r="575" ht="15.75" customHeight="1">
      <c r="B575" s="12"/>
      <c r="C575" s="7"/>
      <c r="E575" s="165"/>
      <c r="F575" s="165"/>
      <c r="G575" s="165"/>
      <c r="H575" s="165"/>
      <c r="I575" s="165"/>
      <c r="J575" s="165"/>
      <c r="K575" s="165"/>
      <c r="L575" s="165"/>
      <c r="M575" s="165"/>
      <c r="N575" s="165"/>
      <c r="O575" s="165"/>
      <c r="P575" s="165"/>
      <c r="Q575" s="165"/>
    </row>
    <row r="576" ht="15.75" customHeight="1">
      <c r="B576" s="12"/>
      <c r="C576" s="7"/>
      <c r="E576" s="165"/>
      <c r="F576" s="165"/>
      <c r="G576" s="165"/>
      <c r="H576" s="165"/>
      <c r="I576" s="165"/>
      <c r="J576" s="165"/>
      <c r="K576" s="165"/>
      <c r="L576" s="165"/>
      <c r="M576" s="165"/>
      <c r="N576" s="165"/>
      <c r="O576" s="165"/>
      <c r="P576" s="165"/>
      <c r="Q576" s="165"/>
    </row>
    <row r="577" ht="15.75" customHeight="1">
      <c r="B577" s="12"/>
      <c r="C577" s="7"/>
      <c r="E577" s="165"/>
      <c r="F577" s="165"/>
      <c r="G577" s="165"/>
      <c r="H577" s="165"/>
      <c r="I577" s="165"/>
      <c r="J577" s="165"/>
      <c r="K577" s="165"/>
      <c r="L577" s="165"/>
      <c r="M577" s="165"/>
      <c r="N577" s="165"/>
      <c r="O577" s="165"/>
      <c r="P577" s="165"/>
      <c r="Q577" s="165"/>
    </row>
    <row r="578" ht="15.75" customHeight="1">
      <c r="B578" s="12"/>
      <c r="C578" s="7"/>
      <c r="E578" s="165"/>
      <c r="F578" s="165"/>
      <c r="G578" s="165"/>
      <c r="H578" s="165"/>
      <c r="I578" s="165"/>
      <c r="J578" s="165"/>
      <c r="K578" s="165"/>
      <c r="L578" s="165"/>
      <c r="M578" s="165"/>
      <c r="N578" s="165"/>
      <c r="O578" s="165"/>
      <c r="P578" s="165"/>
      <c r="Q578" s="165"/>
    </row>
    <row r="579" ht="15.75" customHeight="1">
      <c r="B579" s="12"/>
      <c r="C579" s="7"/>
      <c r="E579" s="165"/>
      <c r="F579" s="165"/>
      <c r="G579" s="165"/>
      <c r="H579" s="165"/>
      <c r="I579" s="165"/>
      <c r="J579" s="165"/>
      <c r="K579" s="165"/>
      <c r="L579" s="165"/>
      <c r="M579" s="165"/>
      <c r="N579" s="165"/>
      <c r="O579" s="165"/>
      <c r="P579" s="165"/>
      <c r="Q579" s="165"/>
    </row>
    <row r="580" ht="15.75" customHeight="1">
      <c r="B580" s="12"/>
      <c r="C580" s="7"/>
      <c r="E580" s="165"/>
      <c r="F580" s="165"/>
      <c r="G580" s="165"/>
      <c r="H580" s="165"/>
      <c r="I580" s="165"/>
      <c r="J580" s="165"/>
      <c r="K580" s="165"/>
      <c r="L580" s="165"/>
      <c r="M580" s="165"/>
      <c r="N580" s="165"/>
      <c r="O580" s="165"/>
      <c r="P580" s="165"/>
      <c r="Q580" s="165"/>
    </row>
    <row r="581" ht="15.75" customHeight="1">
      <c r="B581" s="12"/>
      <c r="C581" s="7"/>
      <c r="E581" s="165"/>
      <c r="F581" s="165"/>
      <c r="G581" s="165"/>
      <c r="H581" s="165"/>
      <c r="I581" s="165"/>
      <c r="J581" s="165"/>
      <c r="K581" s="165"/>
      <c r="L581" s="165"/>
      <c r="M581" s="165"/>
      <c r="N581" s="165"/>
      <c r="O581" s="165"/>
      <c r="P581" s="165"/>
      <c r="Q581" s="165"/>
    </row>
    <row r="582" ht="15.75" customHeight="1">
      <c r="B582" s="12"/>
      <c r="C582" s="7"/>
      <c r="E582" s="165"/>
      <c r="F582" s="165"/>
      <c r="G582" s="165"/>
      <c r="H582" s="165"/>
      <c r="I582" s="165"/>
      <c r="J582" s="165"/>
      <c r="K582" s="165"/>
      <c r="L582" s="165"/>
      <c r="M582" s="165"/>
      <c r="N582" s="165"/>
      <c r="O582" s="165"/>
      <c r="P582" s="165"/>
      <c r="Q582" s="165"/>
    </row>
    <row r="583" ht="15.75" customHeight="1">
      <c r="B583" s="12"/>
      <c r="C583" s="7"/>
      <c r="E583" s="165"/>
      <c r="F583" s="165"/>
      <c r="G583" s="165"/>
      <c r="H583" s="165"/>
      <c r="I583" s="165"/>
      <c r="J583" s="165"/>
      <c r="K583" s="165"/>
      <c r="L583" s="165"/>
      <c r="M583" s="165"/>
      <c r="N583" s="165"/>
      <c r="O583" s="165"/>
      <c r="P583" s="165"/>
      <c r="Q583" s="165"/>
    </row>
    <row r="584" ht="15.75" customHeight="1">
      <c r="B584" s="12"/>
      <c r="C584" s="7"/>
      <c r="E584" s="165"/>
      <c r="F584" s="165"/>
      <c r="G584" s="165"/>
      <c r="H584" s="165"/>
      <c r="I584" s="165"/>
      <c r="J584" s="165"/>
      <c r="K584" s="165"/>
      <c r="L584" s="165"/>
      <c r="M584" s="165"/>
      <c r="N584" s="165"/>
      <c r="O584" s="165"/>
      <c r="P584" s="165"/>
      <c r="Q584" s="165"/>
    </row>
    <row r="585" ht="15.75" customHeight="1">
      <c r="B585" s="12"/>
      <c r="C585" s="7"/>
      <c r="E585" s="165"/>
      <c r="F585" s="165"/>
      <c r="G585" s="165"/>
      <c r="H585" s="165"/>
      <c r="I585" s="165"/>
      <c r="J585" s="165"/>
      <c r="K585" s="165"/>
      <c r="L585" s="165"/>
      <c r="M585" s="165"/>
      <c r="N585" s="165"/>
      <c r="O585" s="165"/>
      <c r="P585" s="165"/>
      <c r="Q585" s="165"/>
    </row>
    <row r="586" ht="15.75" customHeight="1">
      <c r="B586" s="12"/>
      <c r="C586" s="7"/>
      <c r="E586" s="165"/>
      <c r="F586" s="165"/>
      <c r="G586" s="165"/>
      <c r="H586" s="165"/>
      <c r="I586" s="165"/>
      <c r="J586" s="165"/>
      <c r="K586" s="165"/>
      <c r="L586" s="165"/>
      <c r="M586" s="165"/>
      <c r="N586" s="165"/>
      <c r="O586" s="165"/>
      <c r="P586" s="165"/>
      <c r="Q586" s="165"/>
    </row>
    <row r="587" ht="15.75" customHeight="1">
      <c r="B587" s="12"/>
      <c r="C587" s="7"/>
      <c r="E587" s="165"/>
      <c r="F587" s="165"/>
      <c r="G587" s="165"/>
      <c r="H587" s="165"/>
      <c r="I587" s="165"/>
      <c r="J587" s="165"/>
      <c r="K587" s="165"/>
      <c r="L587" s="165"/>
      <c r="M587" s="165"/>
      <c r="N587" s="165"/>
      <c r="O587" s="165"/>
      <c r="P587" s="165"/>
      <c r="Q587" s="165"/>
    </row>
    <row r="588" ht="15.75" customHeight="1">
      <c r="B588" s="12"/>
      <c r="C588" s="7"/>
      <c r="E588" s="165"/>
      <c r="F588" s="165"/>
      <c r="G588" s="165"/>
      <c r="H588" s="165"/>
      <c r="I588" s="165"/>
      <c r="J588" s="165"/>
      <c r="K588" s="165"/>
      <c r="L588" s="165"/>
      <c r="M588" s="165"/>
      <c r="N588" s="165"/>
      <c r="O588" s="165"/>
      <c r="P588" s="165"/>
      <c r="Q588" s="165"/>
    </row>
    <row r="589" ht="15.75" customHeight="1">
      <c r="B589" s="12"/>
      <c r="C589" s="7"/>
      <c r="E589" s="165"/>
      <c r="F589" s="165"/>
      <c r="G589" s="165"/>
      <c r="H589" s="165"/>
      <c r="I589" s="165"/>
      <c r="J589" s="165"/>
      <c r="K589" s="165"/>
      <c r="L589" s="165"/>
      <c r="M589" s="165"/>
      <c r="N589" s="165"/>
      <c r="O589" s="165"/>
      <c r="P589" s="165"/>
      <c r="Q589" s="165"/>
    </row>
    <row r="590" ht="15.75" customHeight="1">
      <c r="B590" s="12"/>
      <c r="C590" s="7"/>
      <c r="E590" s="165"/>
      <c r="F590" s="165"/>
      <c r="G590" s="165"/>
      <c r="H590" s="165"/>
      <c r="I590" s="165"/>
      <c r="J590" s="165"/>
      <c r="K590" s="165"/>
      <c r="L590" s="165"/>
      <c r="M590" s="165"/>
      <c r="N590" s="165"/>
      <c r="O590" s="165"/>
      <c r="P590" s="165"/>
      <c r="Q590" s="165"/>
    </row>
    <row r="591" ht="15.75" customHeight="1">
      <c r="B591" s="12"/>
      <c r="C591" s="7"/>
      <c r="E591" s="165"/>
      <c r="F591" s="165"/>
      <c r="G591" s="165"/>
      <c r="H591" s="165"/>
      <c r="I591" s="165"/>
      <c r="J591" s="165"/>
      <c r="K591" s="165"/>
      <c r="L591" s="165"/>
      <c r="M591" s="165"/>
      <c r="N591" s="165"/>
      <c r="O591" s="165"/>
      <c r="P591" s="165"/>
      <c r="Q591" s="165"/>
    </row>
    <row r="592" ht="15.75" customHeight="1">
      <c r="B592" s="12"/>
      <c r="C592" s="7"/>
      <c r="E592" s="165"/>
      <c r="F592" s="165"/>
      <c r="G592" s="165"/>
      <c r="H592" s="165"/>
      <c r="I592" s="165"/>
      <c r="J592" s="165"/>
      <c r="K592" s="165"/>
      <c r="L592" s="165"/>
      <c r="M592" s="165"/>
      <c r="N592" s="165"/>
      <c r="O592" s="165"/>
      <c r="P592" s="165"/>
      <c r="Q592" s="165"/>
    </row>
    <row r="593" ht="15.75" customHeight="1">
      <c r="B593" s="12"/>
      <c r="C593" s="7"/>
      <c r="E593" s="165"/>
      <c r="F593" s="165"/>
      <c r="G593" s="165"/>
      <c r="H593" s="165"/>
      <c r="I593" s="165"/>
      <c r="J593" s="165"/>
      <c r="K593" s="165"/>
      <c r="L593" s="165"/>
      <c r="M593" s="165"/>
      <c r="N593" s="165"/>
      <c r="O593" s="165"/>
      <c r="P593" s="165"/>
      <c r="Q593" s="165"/>
    </row>
    <row r="594" ht="15.75" customHeight="1">
      <c r="B594" s="12"/>
      <c r="C594" s="7"/>
      <c r="E594" s="165"/>
      <c r="F594" s="165"/>
      <c r="G594" s="165"/>
      <c r="H594" s="165"/>
      <c r="I594" s="165"/>
      <c r="J594" s="165"/>
      <c r="K594" s="165"/>
      <c r="L594" s="165"/>
      <c r="M594" s="165"/>
      <c r="N594" s="165"/>
      <c r="O594" s="165"/>
      <c r="P594" s="165"/>
      <c r="Q594" s="165"/>
    </row>
    <row r="595" ht="15.75" customHeight="1">
      <c r="B595" s="12"/>
      <c r="C595" s="7"/>
      <c r="E595" s="165"/>
      <c r="F595" s="165"/>
      <c r="G595" s="165"/>
      <c r="H595" s="165"/>
      <c r="I595" s="165"/>
      <c r="J595" s="165"/>
      <c r="K595" s="165"/>
      <c r="L595" s="165"/>
      <c r="M595" s="165"/>
      <c r="N595" s="165"/>
      <c r="O595" s="165"/>
      <c r="P595" s="165"/>
      <c r="Q595" s="165"/>
    </row>
    <row r="596" ht="15.75" customHeight="1">
      <c r="B596" s="12"/>
      <c r="C596" s="7"/>
      <c r="E596" s="165"/>
      <c r="F596" s="165"/>
      <c r="G596" s="165"/>
      <c r="H596" s="165"/>
      <c r="I596" s="165"/>
      <c r="J596" s="165"/>
      <c r="K596" s="165"/>
      <c r="L596" s="165"/>
      <c r="M596" s="165"/>
      <c r="N596" s="165"/>
      <c r="O596" s="165"/>
      <c r="P596" s="165"/>
      <c r="Q596" s="165"/>
    </row>
    <row r="597" ht="15.75" customHeight="1">
      <c r="B597" s="12"/>
      <c r="C597" s="7"/>
      <c r="E597" s="165"/>
      <c r="F597" s="165"/>
      <c r="G597" s="165"/>
      <c r="H597" s="165"/>
      <c r="I597" s="165"/>
      <c r="J597" s="165"/>
      <c r="K597" s="165"/>
      <c r="L597" s="165"/>
      <c r="M597" s="165"/>
      <c r="N597" s="165"/>
      <c r="O597" s="165"/>
      <c r="P597" s="165"/>
      <c r="Q597" s="165"/>
    </row>
    <row r="598" ht="15.75" customHeight="1">
      <c r="B598" s="12"/>
      <c r="C598" s="7"/>
      <c r="E598" s="165"/>
      <c r="F598" s="165"/>
      <c r="G598" s="165"/>
      <c r="H598" s="165"/>
      <c r="I598" s="165"/>
      <c r="J598" s="165"/>
      <c r="K598" s="165"/>
      <c r="L598" s="165"/>
      <c r="M598" s="165"/>
      <c r="N598" s="165"/>
      <c r="O598" s="165"/>
      <c r="P598" s="165"/>
      <c r="Q598" s="165"/>
    </row>
    <row r="599" ht="15.75" customHeight="1">
      <c r="B599" s="12"/>
      <c r="C599" s="7"/>
      <c r="E599" s="165"/>
      <c r="F599" s="165"/>
      <c r="G599" s="165"/>
      <c r="H599" s="165"/>
      <c r="I599" s="165"/>
      <c r="J599" s="165"/>
      <c r="K599" s="165"/>
      <c r="L599" s="165"/>
      <c r="M599" s="165"/>
      <c r="N599" s="165"/>
      <c r="O599" s="165"/>
      <c r="P599" s="165"/>
      <c r="Q599" s="165"/>
    </row>
    <row r="600" ht="15.75" customHeight="1">
      <c r="B600" s="12"/>
      <c r="C600" s="7"/>
      <c r="E600" s="165"/>
      <c r="F600" s="165"/>
      <c r="G600" s="165"/>
      <c r="H600" s="165"/>
      <c r="I600" s="165"/>
      <c r="J600" s="165"/>
      <c r="K600" s="165"/>
      <c r="L600" s="165"/>
      <c r="M600" s="165"/>
      <c r="N600" s="165"/>
      <c r="O600" s="165"/>
      <c r="P600" s="165"/>
      <c r="Q600" s="165"/>
    </row>
    <row r="601" ht="15.75" customHeight="1">
      <c r="B601" s="12"/>
      <c r="C601" s="7"/>
      <c r="E601" s="165"/>
      <c r="F601" s="165"/>
      <c r="G601" s="165"/>
      <c r="H601" s="165"/>
      <c r="I601" s="165"/>
      <c r="J601" s="165"/>
      <c r="K601" s="165"/>
      <c r="L601" s="165"/>
      <c r="M601" s="165"/>
      <c r="N601" s="165"/>
      <c r="O601" s="165"/>
      <c r="P601" s="165"/>
      <c r="Q601" s="165"/>
    </row>
    <row r="602" ht="15.75" customHeight="1">
      <c r="B602" s="12"/>
      <c r="C602" s="7"/>
      <c r="E602" s="165"/>
      <c r="F602" s="165"/>
      <c r="G602" s="165"/>
      <c r="H602" s="165"/>
      <c r="I602" s="165"/>
      <c r="J602" s="165"/>
      <c r="K602" s="165"/>
      <c r="L602" s="165"/>
      <c r="M602" s="165"/>
      <c r="N602" s="165"/>
      <c r="O602" s="165"/>
      <c r="P602" s="165"/>
      <c r="Q602" s="165"/>
    </row>
    <row r="603" ht="15.75" customHeight="1">
      <c r="B603" s="12"/>
      <c r="C603" s="7"/>
      <c r="E603" s="165"/>
      <c r="F603" s="165"/>
      <c r="G603" s="165"/>
      <c r="H603" s="165"/>
      <c r="I603" s="165"/>
      <c r="J603" s="165"/>
      <c r="K603" s="165"/>
      <c r="L603" s="165"/>
      <c r="M603" s="165"/>
      <c r="N603" s="165"/>
      <c r="O603" s="165"/>
      <c r="P603" s="165"/>
      <c r="Q603" s="165"/>
    </row>
    <row r="604" ht="15.75" customHeight="1">
      <c r="B604" s="12"/>
      <c r="C604" s="7"/>
      <c r="E604" s="165"/>
      <c r="F604" s="165"/>
      <c r="G604" s="165"/>
      <c r="H604" s="165"/>
      <c r="I604" s="165"/>
      <c r="J604" s="165"/>
      <c r="K604" s="165"/>
      <c r="L604" s="165"/>
      <c r="M604" s="165"/>
      <c r="N604" s="165"/>
      <c r="O604" s="165"/>
      <c r="P604" s="165"/>
      <c r="Q604" s="165"/>
    </row>
    <row r="605" ht="15.75" customHeight="1">
      <c r="B605" s="12"/>
      <c r="C605" s="7"/>
      <c r="E605" s="165"/>
      <c r="F605" s="165"/>
      <c r="G605" s="165"/>
      <c r="H605" s="165"/>
      <c r="I605" s="165"/>
      <c r="J605" s="165"/>
      <c r="K605" s="165"/>
      <c r="L605" s="165"/>
      <c r="M605" s="165"/>
      <c r="N605" s="165"/>
      <c r="O605" s="165"/>
      <c r="P605" s="165"/>
      <c r="Q605" s="165"/>
    </row>
    <row r="606" ht="15.75" customHeight="1">
      <c r="B606" s="12"/>
      <c r="C606" s="7"/>
      <c r="E606" s="165"/>
      <c r="F606" s="165"/>
      <c r="G606" s="165"/>
      <c r="H606" s="165"/>
      <c r="I606" s="165"/>
      <c r="J606" s="165"/>
      <c r="K606" s="165"/>
      <c r="L606" s="165"/>
      <c r="M606" s="165"/>
      <c r="N606" s="165"/>
      <c r="O606" s="165"/>
      <c r="P606" s="165"/>
      <c r="Q606" s="165"/>
    </row>
    <row r="607" ht="15.75" customHeight="1">
      <c r="B607" s="12"/>
      <c r="C607" s="7"/>
      <c r="E607" s="165"/>
      <c r="F607" s="165"/>
      <c r="G607" s="165"/>
      <c r="H607" s="165"/>
      <c r="I607" s="165"/>
      <c r="J607" s="165"/>
      <c r="K607" s="165"/>
      <c r="L607" s="165"/>
      <c r="M607" s="165"/>
      <c r="N607" s="165"/>
      <c r="O607" s="165"/>
      <c r="P607" s="165"/>
      <c r="Q607" s="165"/>
    </row>
    <row r="608" ht="15.75" customHeight="1">
      <c r="B608" s="12"/>
      <c r="C608" s="7"/>
      <c r="E608" s="165"/>
      <c r="F608" s="165"/>
      <c r="G608" s="165"/>
      <c r="H608" s="165"/>
      <c r="I608" s="165"/>
      <c r="J608" s="165"/>
      <c r="K608" s="165"/>
      <c r="L608" s="165"/>
      <c r="M608" s="165"/>
      <c r="N608" s="165"/>
      <c r="O608" s="165"/>
      <c r="P608" s="165"/>
      <c r="Q608" s="165"/>
    </row>
    <row r="609" ht="15.75" customHeight="1">
      <c r="B609" s="12"/>
      <c r="C609" s="7"/>
      <c r="E609" s="165"/>
      <c r="F609" s="165"/>
      <c r="G609" s="165"/>
      <c r="H609" s="165"/>
      <c r="I609" s="165"/>
      <c r="J609" s="165"/>
      <c r="K609" s="165"/>
      <c r="L609" s="165"/>
      <c r="M609" s="165"/>
      <c r="N609" s="165"/>
      <c r="O609" s="165"/>
      <c r="P609" s="165"/>
      <c r="Q609" s="165"/>
    </row>
    <row r="610" ht="15.75" customHeight="1">
      <c r="B610" s="12"/>
      <c r="C610" s="7"/>
      <c r="E610" s="165"/>
      <c r="F610" s="165"/>
      <c r="G610" s="165"/>
      <c r="H610" s="165"/>
      <c r="I610" s="165"/>
      <c r="J610" s="165"/>
      <c r="K610" s="165"/>
      <c r="L610" s="165"/>
      <c r="M610" s="165"/>
      <c r="N610" s="165"/>
      <c r="O610" s="165"/>
      <c r="P610" s="165"/>
      <c r="Q610" s="165"/>
    </row>
    <row r="611" ht="15.75" customHeight="1">
      <c r="B611" s="12"/>
      <c r="C611" s="7"/>
      <c r="E611" s="165"/>
      <c r="F611" s="165"/>
      <c r="G611" s="165"/>
      <c r="H611" s="165"/>
      <c r="I611" s="165"/>
      <c r="J611" s="165"/>
      <c r="K611" s="165"/>
      <c r="L611" s="165"/>
      <c r="M611" s="165"/>
      <c r="N611" s="165"/>
      <c r="O611" s="165"/>
      <c r="P611" s="165"/>
      <c r="Q611" s="165"/>
    </row>
    <row r="612" ht="15.75" customHeight="1">
      <c r="B612" s="12"/>
      <c r="C612" s="7"/>
      <c r="E612" s="165"/>
      <c r="F612" s="165"/>
      <c r="G612" s="165"/>
      <c r="H612" s="165"/>
      <c r="I612" s="165"/>
      <c r="J612" s="165"/>
      <c r="K612" s="165"/>
      <c r="L612" s="165"/>
      <c r="M612" s="165"/>
      <c r="N612" s="165"/>
      <c r="O612" s="165"/>
      <c r="P612" s="165"/>
      <c r="Q612" s="165"/>
    </row>
    <row r="613" ht="15.75" customHeight="1">
      <c r="B613" s="12"/>
      <c r="C613" s="7"/>
      <c r="E613" s="165"/>
      <c r="F613" s="165"/>
      <c r="G613" s="165"/>
      <c r="H613" s="165"/>
      <c r="I613" s="165"/>
      <c r="J613" s="165"/>
      <c r="K613" s="165"/>
      <c r="L613" s="165"/>
      <c r="M613" s="165"/>
      <c r="N613" s="165"/>
      <c r="O613" s="165"/>
      <c r="P613" s="165"/>
      <c r="Q613" s="165"/>
    </row>
    <row r="614" ht="15.75" customHeight="1">
      <c r="B614" s="12"/>
      <c r="C614" s="7"/>
      <c r="E614" s="165"/>
      <c r="F614" s="165"/>
      <c r="G614" s="165"/>
      <c r="H614" s="165"/>
      <c r="I614" s="165"/>
      <c r="J614" s="165"/>
      <c r="K614" s="165"/>
      <c r="L614" s="165"/>
      <c r="M614" s="165"/>
      <c r="N614" s="165"/>
      <c r="O614" s="165"/>
      <c r="P614" s="165"/>
      <c r="Q614" s="165"/>
    </row>
    <row r="615" ht="15.75" customHeight="1">
      <c r="B615" s="12"/>
      <c r="C615" s="7"/>
      <c r="E615" s="165"/>
      <c r="F615" s="165"/>
      <c r="G615" s="165"/>
      <c r="H615" s="165"/>
      <c r="I615" s="165"/>
      <c r="J615" s="165"/>
      <c r="K615" s="165"/>
      <c r="L615" s="165"/>
      <c r="M615" s="165"/>
      <c r="N615" s="165"/>
      <c r="O615" s="165"/>
      <c r="P615" s="165"/>
      <c r="Q615" s="165"/>
    </row>
    <row r="616" ht="15.75" customHeight="1">
      <c r="B616" s="12"/>
      <c r="C616" s="7"/>
      <c r="E616" s="165"/>
      <c r="F616" s="165"/>
      <c r="G616" s="165"/>
      <c r="H616" s="165"/>
      <c r="I616" s="165"/>
      <c r="J616" s="165"/>
      <c r="K616" s="165"/>
      <c r="L616" s="165"/>
      <c r="M616" s="165"/>
      <c r="N616" s="165"/>
      <c r="O616" s="165"/>
      <c r="P616" s="165"/>
      <c r="Q616" s="165"/>
    </row>
    <row r="617" ht="15.75" customHeight="1">
      <c r="B617" s="12"/>
      <c r="C617" s="7"/>
      <c r="E617" s="165"/>
      <c r="F617" s="165"/>
      <c r="G617" s="165"/>
      <c r="H617" s="165"/>
      <c r="I617" s="165"/>
      <c r="J617" s="165"/>
      <c r="K617" s="165"/>
      <c r="L617" s="165"/>
      <c r="M617" s="165"/>
      <c r="N617" s="165"/>
      <c r="O617" s="165"/>
      <c r="P617" s="165"/>
      <c r="Q617" s="165"/>
    </row>
    <row r="618" ht="15.75" customHeight="1">
      <c r="B618" s="12"/>
      <c r="C618" s="7"/>
      <c r="E618" s="165"/>
      <c r="F618" s="165"/>
      <c r="G618" s="165"/>
      <c r="H618" s="165"/>
      <c r="I618" s="165"/>
      <c r="J618" s="165"/>
      <c r="K618" s="165"/>
      <c r="L618" s="165"/>
      <c r="M618" s="165"/>
      <c r="N618" s="165"/>
      <c r="O618" s="165"/>
      <c r="P618" s="165"/>
      <c r="Q618" s="165"/>
    </row>
    <row r="619" ht="15.75" customHeight="1">
      <c r="B619" s="12"/>
      <c r="C619" s="7"/>
      <c r="E619" s="165"/>
      <c r="F619" s="165"/>
      <c r="G619" s="165"/>
      <c r="H619" s="165"/>
      <c r="I619" s="165"/>
      <c r="J619" s="165"/>
      <c r="K619" s="165"/>
      <c r="L619" s="165"/>
      <c r="M619" s="165"/>
      <c r="N619" s="165"/>
      <c r="O619" s="165"/>
      <c r="P619" s="165"/>
      <c r="Q619" s="165"/>
    </row>
    <row r="620" ht="15.75" customHeight="1">
      <c r="B620" s="12"/>
      <c r="C620" s="7"/>
      <c r="E620" s="165"/>
      <c r="F620" s="165"/>
      <c r="G620" s="165"/>
      <c r="H620" s="165"/>
      <c r="I620" s="165"/>
      <c r="J620" s="165"/>
      <c r="K620" s="165"/>
      <c r="L620" s="165"/>
      <c r="M620" s="165"/>
      <c r="N620" s="165"/>
      <c r="O620" s="165"/>
      <c r="P620" s="165"/>
      <c r="Q620" s="165"/>
    </row>
    <row r="621" ht="15.75" customHeight="1">
      <c r="B621" s="12"/>
      <c r="C621" s="7"/>
      <c r="E621" s="165"/>
      <c r="F621" s="165"/>
      <c r="G621" s="165"/>
      <c r="H621" s="165"/>
      <c r="I621" s="165"/>
      <c r="J621" s="165"/>
      <c r="K621" s="165"/>
      <c r="L621" s="165"/>
      <c r="M621" s="165"/>
      <c r="N621" s="165"/>
      <c r="O621" s="165"/>
      <c r="P621" s="165"/>
      <c r="Q621" s="165"/>
    </row>
    <row r="622" ht="15.75" customHeight="1">
      <c r="B622" s="12"/>
      <c r="C622" s="7"/>
      <c r="E622" s="165"/>
      <c r="F622" s="165"/>
      <c r="G622" s="165"/>
      <c r="H622" s="165"/>
      <c r="I622" s="165"/>
      <c r="J622" s="165"/>
      <c r="K622" s="165"/>
      <c r="L622" s="165"/>
      <c r="M622" s="165"/>
      <c r="N622" s="165"/>
      <c r="O622" s="165"/>
      <c r="P622" s="165"/>
      <c r="Q622" s="165"/>
    </row>
    <row r="623" ht="15.75" customHeight="1">
      <c r="B623" s="12"/>
      <c r="C623" s="7"/>
      <c r="E623" s="165"/>
      <c r="F623" s="165"/>
      <c r="G623" s="165"/>
      <c r="H623" s="165"/>
      <c r="I623" s="165"/>
      <c r="J623" s="165"/>
      <c r="K623" s="165"/>
      <c r="L623" s="165"/>
      <c r="M623" s="165"/>
      <c r="N623" s="165"/>
      <c r="O623" s="165"/>
      <c r="P623" s="165"/>
      <c r="Q623" s="165"/>
    </row>
    <row r="624" ht="15.75" customHeight="1">
      <c r="B624" s="12"/>
      <c r="C624" s="7"/>
      <c r="E624" s="165"/>
      <c r="F624" s="165"/>
      <c r="G624" s="165"/>
      <c r="H624" s="165"/>
      <c r="I624" s="165"/>
      <c r="J624" s="165"/>
      <c r="K624" s="165"/>
      <c r="L624" s="165"/>
      <c r="M624" s="165"/>
      <c r="N624" s="165"/>
      <c r="O624" s="165"/>
      <c r="P624" s="165"/>
      <c r="Q624" s="165"/>
    </row>
    <row r="625" ht="15.75" customHeight="1">
      <c r="B625" s="12"/>
      <c r="C625" s="7"/>
      <c r="E625" s="165"/>
      <c r="F625" s="165"/>
      <c r="G625" s="165"/>
      <c r="H625" s="165"/>
      <c r="I625" s="165"/>
      <c r="J625" s="165"/>
      <c r="K625" s="165"/>
      <c r="L625" s="165"/>
      <c r="M625" s="165"/>
      <c r="N625" s="165"/>
      <c r="O625" s="165"/>
      <c r="P625" s="165"/>
      <c r="Q625" s="165"/>
    </row>
    <row r="626" ht="15.75" customHeight="1">
      <c r="B626" s="12"/>
      <c r="C626" s="7"/>
      <c r="E626" s="165"/>
      <c r="F626" s="165"/>
      <c r="G626" s="165"/>
      <c r="H626" s="165"/>
      <c r="I626" s="165"/>
      <c r="J626" s="165"/>
      <c r="K626" s="165"/>
      <c r="L626" s="165"/>
      <c r="M626" s="165"/>
      <c r="N626" s="165"/>
      <c r="O626" s="165"/>
      <c r="P626" s="165"/>
      <c r="Q626" s="165"/>
    </row>
    <row r="627" ht="15.75" customHeight="1">
      <c r="B627" s="12"/>
      <c r="C627" s="7"/>
      <c r="E627" s="165"/>
      <c r="F627" s="165"/>
      <c r="G627" s="165"/>
      <c r="H627" s="165"/>
      <c r="I627" s="165"/>
      <c r="J627" s="165"/>
      <c r="K627" s="165"/>
      <c r="L627" s="165"/>
      <c r="M627" s="165"/>
      <c r="N627" s="165"/>
      <c r="O627" s="165"/>
      <c r="P627" s="165"/>
      <c r="Q627" s="165"/>
    </row>
    <row r="628" ht="15.75" customHeight="1">
      <c r="B628" s="12"/>
      <c r="C628" s="7"/>
      <c r="E628" s="165"/>
      <c r="F628" s="165"/>
      <c r="G628" s="165"/>
      <c r="H628" s="165"/>
      <c r="I628" s="165"/>
      <c r="J628" s="165"/>
      <c r="K628" s="165"/>
      <c r="L628" s="165"/>
      <c r="M628" s="165"/>
      <c r="N628" s="165"/>
      <c r="O628" s="165"/>
      <c r="P628" s="165"/>
      <c r="Q628" s="165"/>
    </row>
    <row r="629" ht="15.75" customHeight="1">
      <c r="B629" s="12"/>
      <c r="C629" s="7"/>
      <c r="E629" s="165"/>
      <c r="F629" s="165"/>
      <c r="G629" s="165"/>
      <c r="H629" s="165"/>
      <c r="I629" s="165"/>
      <c r="J629" s="165"/>
      <c r="K629" s="165"/>
      <c r="L629" s="165"/>
      <c r="M629" s="165"/>
      <c r="N629" s="165"/>
      <c r="O629" s="165"/>
      <c r="P629" s="165"/>
      <c r="Q629" s="165"/>
    </row>
    <row r="630" ht="15.75" customHeight="1">
      <c r="B630" s="12"/>
      <c r="C630" s="7"/>
      <c r="E630" s="165"/>
      <c r="F630" s="165"/>
      <c r="G630" s="165"/>
      <c r="H630" s="165"/>
      <c r="I630" s="165"/>
      <c r="J630" s="165"/>
      <c r="K630" s="165"/>
      <c r="L630" s="165"/>
      <c r="M630" s="165"/>
      <c r="N630" s="165"/>
      <c r="O630" s="165"/>
      <c r="P630" s="165"/>
      <c r="Q630" s="165"/>
    </row>
    <row r="631" ht="15.75" customHeight="1">
      <c r="B631" s="12"/>
      <c r="C631" s="7"/>
      <c r="E631" s="165"/>
      <c r="F631" s="165"/>
      <c r="G631" s="165"/>
      <c r="H631" s="165"/>
      <c r="I631" s="165"/>
      <c r="J631" s="165"/>
      <c r="K631" s="165"/>
      <c r="L631" s="165"/>
      <c r="M631" s="165"/>
      <c r="N631" s="165"/>
      <c r="O631" s="165"/>
      <c r="P631" s="165"/>
      <c r="Q631" s="165"/>
    </row>
    <row r="632" ht="15.75" customHeight="1">
      <c r="B632" s="12"/>
      <c r="C632" s="7"/>
      <c r="E632" s="165"/>
      <c r="F632" s="165"/>
      <c r="G632" s="165"/>
      <c r="H632" s="165"/>
      <c r="I632" s="165"/>
      <c r="J632" s="165"/>
      <c r="K632" s="165"/>
      <c r="L632" s="165"/>
      <c r="M632" s="165"/>
      <c r="N632" s="165"/>
      <c r="O632" s="165"/>
      <c r="P632" s="165"/>
      <c r="Q632" s="165"/>
    </row>
    <row r="633" ht="15.75" customHeight="1">
      <c r="B633" s="12"/>
      <c r="C633" s="7"/>
      <c r="E633" s="165"/>
      <c r="F633" s="165"/>
      <c r="G633" s="165"/>
      <c r="H633" s="165"/>
      <c r="I633" s="165"/>
      <c r="J633" s="165"/>
      <c r="K633" s="165"/>
      <c r="L633" s="165"/>
      <c r="M633" s="165"/>
      <c r="N633" s="165"/>
      <c r="O633" s="165"/>
      <c r="P633" s="165"/>
      <c r="Q633" s="165"/>
    </row>
    <row r="634" ht="15.75" customHeight="1">
      <c r="B634" s="12"/>
      <c r="C634" s="7"/>
      <c r="E634" s="165"/>
      <c r="F634" s="165"/>
      <c r="G634" s="165"/>
      <c r="H634" s="165"/>
      <c r="I634" s="165"/>
      <c r="J634" s="165"/>
      <c r="K634" s="165"/>
      <c r="L634" s="165"/>
      <c r="M634" s="165"/>
      <c r="N634" s="165"/>
      <c r="O634" s="165"/>
      <c r="P634" s="165"/>
      <c r="Q634" s="165"/>
    </row>
    <row r="635" ht="15.75" customHeight="1">
      <c r="B635" s="12"/>
      <c r="C635" s="7"/>
      <c r="E635" s="165"/>
      <c r="F635" s="165"/>
      <c r="G635" s="165"/>
      <c r="H635" s="165"/>
      <c r="I635" s="165"/>
      <c r="J635" s="165"/>
      <c r="K635" s="165"/>
      <c r="L635" s="165"/>
      <c r="M635" s="165"/>
      <c r="N635" s="165"/>
      <c r="O635" s="165"/>
      <c r="P635" s="165"/>
      <c r="Q635" s="165"/>
    </row>
    <row r="636" ht="15.75" customHeight="1">
      <c r="B636" s="12"/>
      <c r="C636" s="7"/>
      <c r="E636" s="165"/>
      <c r="F636" s="165"/>
      <c r="G636" s="165"/>
      <c r="H636" s="165"/>
      <c r="I636" s="165"/>
      <c r="J636" s="165"/>
      <c r="K636" s="165"/>
      <c r="L636" s="165"/>
      <c r="M636" s="165"/>
      <c r="N636" s="165"/>
      <c r="O636" s="165"/>
      <c r="P636" s="165"/>
      <c r="Q636" s="165"/>
    </row>
    <row r="637" ht="15.75" customHeight="1">
      <c r="B637" s="12"/>
      <c r="C637" s="7"/>
      <c r="E637" s="165"/>
      <c r="F637" s="165"/>
      <c r="G637" s="165"/>
      <c r="H637" s="165"/>
      <c r="I637" s="165"/>
      <c r="J637" s="165"/>
      <c r="K637" s="165"/>
      <c r="L637" s="165"/>
      <c r="M637" s="165"/>
      <c r="N637" s="165"/>
      <c r="O637" s="165"/>
      <c r="P637" s="165"/>
      <c r="Q637" s="165"/>
    </row>
    <row r="638" ht="15.75" customHeight="1">
      <c r="B638" s="12"/>
      <c r="C638" s="7"/>
      <c r="E638" s="165"/>
      <c r="F638" s="165"/>
      <c r="G638" s="165"/>
      <c r="H638" s="165"/>
      <c r="I638" s="165"/>
      <c r="J638" s="165"/>
      <c r="K638" s="165"/>
      <c r="L638" s="165"/>
      <c r="M638" s="165"/>
      <c r="N638" s="165"/>
      <c r="O638" s="165"/>
      <c r="P638" s="165"/>
      <c r="Q638" s="165"/>
    </row>
    <row r="639" ht="15.75" customHeight="1">
      <c r="B639" s="12"/>
      <c r="C639" s="7"/>
      <c r="E639" s="165"/>
      <c r="F639" s="165"/>
      <c r="G639" s="165"/>
      <c r="H639" s="165"/>
      <c r="I639" s="165"/>
      <c r="J639" s="165"/>
      <c r="K639" s="165"/>
      <c r="L639" s="165"/>
      <c r="M639" s="165"/>
      <c r="N639" s="165"/>
      <c r="O639" s="165"/>
      <c r="P639" s="165"/>
      <c r="Q639" s="165"/>
    </row>
    <row r="640" ht="15.75" customHeight="1">
      <c r="B640" s="12"/>
      <c r="C640" s="7"/>
      <c r="E640" s="165"/>
      <c r="F640" s="165"/>
      <c r="G640" s="165"/>
      <c r="H640" s="165"/>
      <c r="I640" s="165"/>
      <c r="J640" s="165"/>
      <c r="K640" s="165"/>
      <c r="L640" s="165"/>
      <c r="M640" s="165"/>
      <c r="N640" s="165"/>
      <c r="O640" s="165"/>
      <c r="P640" s="165"/>
      <c r="Q640" s="165"/>
    </row>
    <row r="641" ht="15.75" customHeight="1">
      <c r="B641" s="12"/>
      <c r="C641" s="7"/>
      <c r="E641" s="165"/>
      <c r="F641" s="165"/>
      <c r="G641" s="165"/>
      <c r="H641" s="165"/>
      <c r="I641" s="165"/>
      <c r="J641" s="165"/>
      <c r="K641" s="165"/>
      <c r="L641" s="165"/>
      <c r="M641" s="165"/>
      <c r="N641" s="165"/>
      <c r="O641" s="165"/>
      <c r="P641" s="165"/>
      <c r="Q641" s="165"/>
    </row>
    <row r="642" ht="15.75" customHeight="1">
      <c r="B642" s="12"/>
      <c r="C642" s="7"/>
      <c r="E642" s="165"/>
      <c r="F642" s="165"/>
      <c r="G642" s="165"/>
      <c r="H642" s="165"/>
      <c r="I642" s="165"/>
      <c r="J642" s="165"/>
      <c r="K642" s="165"/>
      <c r="L642" s="165"/>
      <c r="M642" s="165"/>
      <c r="N642" s="165"/>
      <c r="O642" s="165"/>
      <c r="P642" s="165"/>
      <c r="Q642" s="165"/>
    </row>
    <row r="643" ht="15.75" customHeight="1">
      <c r="B643" s="12"/>
      <c r="C643" s="7"/>
      <c r="E643" s="165"/>
      <c r="F643" s="165"/>
      <c r="G643" s="165"/>
      <c r="H643" s="165"/>
      <c r="I643" s="165"/>
      <c r="J643" s="165"/>
      <c r="K643" s="165"/>
      <c r="L643" s="165"/>
      <c r="M643" s="165"/>
      <c r="N643" s="165"/>
      <c r="O643" s="165"/>
      <c r="P643" s="165"/>
      <c r="Q643" s="165"/>
    </row>
    <row r="644" ht="15.75" customHeight="1">
      <c r="B644" s="12"/>
      <c r="C644" s="7"/>
      <c r="E644" s="165"/>
      <c r="F644" s="165"/>
      <c r="G644" s="165"/>
      <c r="H644" s="165"/>
      <c r="I644" s="165"/>
      <c r="J644" s="165"/>
      <c r="K644" s="165"/>
      <c r="L644" s="165"/>
      <c r="M644" s="165"/>
      <c r="N644" s="165"/>
      <c r="O644" s="165"/>
      <c r="P644" s="165"/>
      <c r="Q644" s="165"/>
    </row>
    <row r="645" ht="15.75" customHeight="1">
      <c r="B645" s="12"/>
      <c r="C645" s="7"/>
      <c r="E645" s="165"/>
      <c r="F645" s="165"/>
      <c r="G645" s="165"/>
      <c r="H645" s="165"/>
      <c r="I645" s="165"/>
      <c r="J645" s="165"/>
      <c r="K645" s="165"/>
      <c r="L645" s="165"/>
      <c r="M645" s="165"/>
      <c r="N645" s="165"/>
      <c r="O645" s="165"/>
      <c r="P645" s="165"/>
      <c r="Q645" s="165"/>
    </row>
    <row r="646" ht="15.75" customHeight="1">
      <c r="B646" s="12"/>
      <c r="C646" s="7"/>
      <c r="E646" s="165"/>
      <c r="F646" s="165"/>
      <c r="G646" s="165"/>
      <c r="H646" s="165"/>
      <c r="I646" s="165"/>
      <c r="J646" s="165"/>
      <c r="K646" s="165"/>
      <c r="L646" s="165"/>
      <c r="M646" s="165"/>
      <c r="N646" s="165"/>
      <c r="O646" s="165"/>
      <c r="P646" s="165"/>
      <c r="Q646" s="165"/>
    </row>
    <row r="647" ht="15.75" customHeight="1">
      <c r="B647" s="12"/>
      <c r="C647" s="7"/>
      <c r="E647" s="165"/>
      <c r="F647" s="165"/>
      <c r="G647" s="165"/>
      <c r="H647" s="165"/>
      <c r="I647" s="165"/>
      <c r="J647" s="165"/>
      <c r="K647" s="165"/>
      <c r="L647" s="165"/>
      <c r="M647" s="165"/>
      <c r="N647" s="165"/>
      <c r="O647" s="165"/>
      <c r="P647" s="165"/>
      <c r="Q647" s="165"/>
    </row>
    <row r="648" ht="15.75" customHeight="1">
      <c r="B648" s="12"/>
      <c r="C648" s="7"/>
      <c r="E648" s="165"/>
      <c r="F648" s="165"/>
      <c r="G648" s="165"/>
      <c r="H648" s="165"/>
      <c r="I648" s="165"/>
      <c r="J648" s="165"/>
      <c r="K648" s="165"/>
      <c r="L648" s="165"/>
      <c r="M648" s="165"/>
      <c r="N648" s="165"/>
      <c r="O648" s="165"/>
      <c r="P648" s="165"/>
      <c r="Q648" s="165"/>
    </row>
    <row r="649" ht="15.75" customHeight="1">
      <c r="B649" s="12"/>
      <c r="C649" s="7"/>
      <c r="E649" s="165"/>
      <c r="F649" s="165"/>
      <c r="G649" s="165"/>
      <c r="H649" s="165"/>
      <c r="I649" s="165"/>
      <c r="J649" s="165"/>
      <c r="K649" s="165"/>
      <c r="L649" s="165"/>
      <c r="M649" s="165"/>
      <c r="N649" s="165"/>
      <c r="O649" s="165"/>
      <c r="P649" s="165"/>
      <c r="Q649" s="165"/>
    </row>
    <row r="650" ht="15.75" customHeight="1">
      <c r="B650" s="12"/>
      <c r="C650" s="7"/>
      <c r="E650" s="165"/>
      <c r="F650" s="165"/>
      <c r="G650" s="165"/>
      <c r="H650" s="165"/>
      <c r="I650" s="165"/>
      <c r="J650" s="165"/>
      <c r="K650" s="165"/>
      <c r="L650" s="165"/>
      <c r="M650" s="165"/>
      <c r="N650" s="165"/>
      <c r="O650" s="165"/>
      <c r="P650" s="165"/>
      <c r="Q650" s="165"/>
    </row>
    <row r="651" ht="15.75" customHeight="1">
      <c r="B651" s="12"/>
      <c r="C651" s="7"/>
      <c r="E651" s="165"/>
      <c r="F651" s="165"/>
      <c r="G651" s="165"/>
      <c r="H651" s="165"/>
      <c r="I651" s="165"/>
      <c r="J651" s="165"/>
      <c r="K651" s="165"/>
      <c r="L651" s="165"/>
      <c r="M651" s="165"/>
      <c r="N651" s="165"/>
      <c r="O651" s="165"/>
      <c r="P651" s="165"/>
      <c r="Q651" s="165"/>
    </row>
    <row r="652" ht="15.75" customHeight="1">
      <c r="B652" s="12"/>
      <c r="C652" s="7"/>
      <c r="E652" s="165"/>
      <c r="F652" s="165"/>
      <c r="G652" s="165"/>
      <c r="H652" s="165"/>
      <c r="I652" s="165"/>
      <c r="J652" s="165"/>
      <c r="K652" s="165"/>
      <c r="L652" s="165"/>
      <c r="M652" s="165"/>
      <c r="N652" s="165"/>
      <c r="O652" s="165"/>
      <c r="P652" s="165"/>
      <c r="Q652" s="165"/>
    </row>
    <row r="653" ht="15.75" customHeight="1">
      <c r="B653" s="12"/>
      <c r="C653" s="7"/>
      <c r="E653" s="165"/>
      <c r="F653" s="165"/>
      <c r="G653" s="165"/>
      <c r="H653" s="165"/>
      <c r="I653" s="165"/>
      <c r="J653" s="165"/>
      <c r="K653" s="165"/>
      <c r="L653" s="165"/>
      <c r="M653" s="165"/>
      <c r="N653" s="165"/>
      <c r="O653" s="165"/>
      <c r="P653" s="165"/>
      <c r="Q653" s="165"/>
    </row>
    <row r="654" ht="15.75" customHeight="1">
      <c r="B654" s="12"/>
      <c r="C654" s="7"/>
      <c r="E654" s="165"/>
      <c r="F654" s="165"/>
      <c r="G654" s="165"/>
      <c r="H654" s="165"/>
      <c r="I654" s="165"/>
      <c r="J654" s="165"/>
      <c r="K654" s="165"/>
      <c r="L654" s="165"/>
      <c r="M654" s="165"/>
      <c r="N654" s="165"/>
      <c r="O654" s="165"/>
      <c r="P654" s="165"/>
      <c r="Q654" s="165"/>
    </row>
    <row r="655" ht="15.75" customHeight="1">
      <c r="B655" s="12"/>
      <c r="C655" s="7"/>
      <c r="E655" s="165"/>
      <c r="F655" s="165"/>
      <c r="G655" s="165"/>
      <c r="H655" s="165"/>
      <c r="I655" s="165"/>
      <c r="J655" s="165"/>
      <c r="K655" s="165"/>
      <c r="L655" s="165"/>
      <c r="M655" s="165"/>
      <c r="N655" s="165"/>
      <c r="O655" s="165"/>
      <c r="P655" s="165"/>
      <c r="Q655" s="165"/>
    </row>
    <row r="656" ht="15.75" customHeight="1">
      <c r="B656" s="12"/>
      <c r="C656" s="7"/>
      <c r="E656" s="165"/>
      <c r="F656" s="165"/>
      <c r="G656" s="165"/>
      <c r="H656" s="165"/>
      <c r="I656" s="165"/>
      <c r="J656" s="165"/>
      <c r="K656" s="165"/>
      <c r="L656" s="165"/>
      <c r="M656" s="165"/>
      <c r="N656" s="165"/>
      <c r="O656" s="165"/>
      <c r="P656" s="165"/>
      <c r="Q656" s="165"/>
    </row>
    <row r="657" ht="15.75" customHeight="1">
      <c r="B657" s="12"/>
      <c r="C657" s="7"/>
      <c r="E657" s="165"/>
      <c r="F657" s="165"/>
      <c r="G657" s="165"/>
      <c r="H657" s="165"/>
      <c r="I657" s="165"/>
      <c r="J657" s="165"/>
      <c r="K657" s="165"/>
      <c r="L657" s="165"/>
      <c r="M657" s="165"/>
      <c r="N657" s="165"/>
      <c r="O657" s="165"/>
      <c r="P657" s="165"/>
      <c r="Q657" s="165"/>
    </row>
    <row r="658" ht="15.75" customHeight="1">
      <c r="B658" s="12"/>
      <c r="C658" s="7"/>
      <c r="E658" s="165"/>
      <c r="F658" s="165"/>
      <c r="G658" s="165"/>
      <c r="H658" s="165"/>
      <c r="I658" s="165"/>
      <c r="J658" s="165"/>
      <c r="K658" s="165"/>
      <c r="L658" s="165"/>
      <c r="M658" s="165"/>
      <c r="N658" s="165"/>
      <c r="O658" s="165"/>
      <c r="P658" s="165"/>
      <c r="Q658" s="165"/>
    </row>
    <row r="659" ht="15.75" customHeight="1">
      <c r="B659" s="12"/>
      <c r="C659" s="7"/>
      <c r="E659" s="165"/>
      <c r="F659" s="165"/>
      <c r="G659" s="165"/>
      <c r="H659" s="165"/>
      <c r="I659" s="165"/>
      <c r="J659" s="165"/>
      <c r="K659" s="165"/>
      <c r="L659" s="165"/>
      <c r="M659" s="165"/>
      <c r="N659" s="165"/>
      <c r="O659" s="165"/>
      <c r="P659" s="165"/>
      <c r="Q659" s="165"/>
    </row>
    <row r="660" ht="15.75" customHeight="1">
      <c r="B660" s="12"/>
      <c r="C660" s="7"/>
      <c r="E660" s="165"/>
      <c r="F660" s="165"/>
      <c r="G660" s="165"/>
      <c r="H660" s="165"/>
      <c r="I660" s="165"/>
      <c r="J660" s="165"/>
      <c r="K660" s="165"/>
      <c r="L660" s="165"/>
      <c r="M660" s="165"/>
      <c r="N660" s="165"/>
      <c r="O660" s="165"/>
      <c r="P660" s="165"/>
      <c r="Q660" s="165"/>
    </row>
    <row r="661" ht="15.75" customHeight="1">
      <c r="B661" s="12"/>
      <c r="C661" s="7"/>
      <c r="E661" s="165"/>
      <c r="F661" s="165"/>
      <c r="G661" s="165"/>
      <c r="H661" s="165"/>
      <c r="I661" s="165"/>
      <c r="J661" s="165"/>
      <c r="K661" s="165"/>
      <c r="L661" s="165"/>
      <c r="M661" s="165"/>
      <c r="N661" s="165"/>
      <c r="O661" s="165"/>
      <c r="P661" s="165"/>
      <c r="Q661" s="165"/>
    </row>
    <row r="662" ht="15.75" customHeight="1">
      <c r="B662" s="12"/>
      <c r="C662" s="7"/>
      <c r="E662" s="165"/>
      <c r="F662" s="165"/>
      <c r="G662" s="165"/>
      <c r="H662" s="165"/>
      <c r="I662" s="165"/>
      <c r="J662" s="165"/>
      <c r="K662" s="165"/>
      <c r="L662" s="165"/>
      <c r="M662" s="165"/>
      <c r="N662" s="165"/>
      <c r="O662" s="165"/>
      <c r="P662" s="165"/>
      <c r="Q662" s="165"/>
    </row>
    <row r="663" ht="15.75" customHeight="1">
      <c r="B663" s="12"/>
      <c r="C663" s="7"/>
      <c r="E663" s="165"/>
      <c r="F663" s="165"/>
      <c r="G663" s="165"/>
      <c r="H663" s="165"/>
      <c r="I663" s="165"/>
      <c r="J663" s="165"/>
      <c r="K663" s="165"/>
      <c r="L663" s="165"/>
      <c r="M663" s="165"/>
      <c r="N663" s="165"/>
      <c r="O663" s="165"/>
      <c r="P663" s="165"/>
      <c r="Q663" s="165"/>
    </row>
    <row r="664" ht="15.75" customHeight="1">
      <c r="B664" s="12"/>
      <c r="C664" s="7"/>
      <c r="E664" s="165"/>
      <c r="F664" s="165"/>
      <c r="G664" s="165"/>
      <c r="H664" s="165"/>
      <c r="I664" s="165"/>
      <c r="J664" s="165"/>
      <c r="K664" s="165"/>
      <c r="L664" s="165"/>
      <c r="M664" s="165"/>
      <c r="N664" s="165"/>
      <c r="O664" s="165"/>
      <c r="P664" s="165"/>
      <c r="Q664" s="165"/>
    </row>
    <row r="665" ht="15.75" customHeight="1">
      <c r="B665" s="12"/>
      <c r="C665" s="7"/>
      <c r="E665" s="165"/>
      <c r="F665" s="165"/>
      <c r="G665" s="165"/>
      <c r="H665" s="165"/>
      <c r="I665" s="165"/>
      <c r="J665" s="165"/>
      <c r="K665" s="165"/>
      <c r="L665" s="165"/>
      <c r="M665" s="165"/>
      <c r="N665" s="165"/>
      <c r="O665" s="165"/>
      <c r="P665" s="165"/>
      <c r="Q665" s="165"/>
    </row>
    <row r="666" ht="15.75" customHeight="1">
      <c r="B666" s="12"/>
      <c r="C666" s="7"/>
      <c r="E666" s="165"/>
      <c r="F666" s="165"/>
      <c r="G666" s="165"/>
      <c r="H666" s="165"/>
      <c r="I666" s="165"/>
      <c r="J666" s="165"/>
      <c r="K666" s="165"/>
      <c r="L666" s="165"/>
      <c r="M666" s="165"/>
      <c r="N666" s="165"/>
      <c r="O666" s="165"/>
      <c r="P666" s="165"/>
      <c r="Q666" s="165"/>
    </row>
    <row r="667" ht="15.75" customHeight="1">
      <c r="B667" s="12"/>
      <c r="C667" s="7"/>
      <c r="E667" s="165"/>
      <c r="F667" s="165"/>
      <c r="G667" s="165"/>
      <c r="H667" s="165"/>
      <c r="I667" s="165"/>
      <c r="J667" s="165"/>
      <c r="K667" s="165"/>
      <c r="L667" s="165"/>
      <c r="M667" s="165"/>
      <c r="N667" s="165"/>
      <c r="O667" s="165"/>
      <c r="P667" s="165"/>
      <c r="Q667" s="165"/>
    </row>
    <row r="668" ht="15.75" customHeight="1">
      <c r="B668" s="12"/>
      <c r="C668" s="7"/>
      <c r="E668" s="165"/>
      <c r="F668" s="165"/>
      <c r="G668" s="165"/>
      <c r="H668" s="165"/>
      <c r="I668" s="165"/>
      <c r="J668" s="165"/>
      <c r="K668" s="165"/>
      <c r="L668" s="165"/>
      <c r="M668" s="165"/>
      <c r="N668" s="165"/>
      <c r="O668" s="165"/>
      <c r="P668" s="165"/>
      <c r="Q668" s="165"/>
    </row>
    <row r="669" ht="15.75" customHeight="1">
      <c r="B669" s="12"/>
      <c r="C669" s="7"/>
      <c r="E669" s="165"/>
      <c r="F669" s="165"/>
      <c r="G669" s="165"/>
      <c r="H669" s="165"/>
      <c r="I669" s="165"/>
      <c r="J669" s="165"/>
      <c r="K669" s="165"/>
      <c r="L669" s="165"/>
      <c r="M669" s="165"/>
      <c r="N669" s="165"/>
      <c r="O669" s="165"/>
      <c r="P669" s="165"/>
      <c r="Q669" s="165"/>
    </row>
    <row r="670" ht="15.75" customHeight="1">
      <c r="B670" s="12"/>
      <c r="C670" s="7"/>
      <c r="E670" s="165"/>
      <c r="F670" s="165"/>
      <c r="G670" s="165"/>
      <c r="H670" s="165"/>
      <c r="I670" s="165"/>
      <c r="J670" s="165"/>
      <c r="K670" s="165"/>
      <c r="L670" s="165"/>
      <c r="M670" s="165"/>
      <c r="N670" s="165"/>
      <c r="O670" s="165"/>
      <c r="P670" s="165"/>
      <c r="Q670" s="165"/>
    </row>
    <row r="671" ht="15.75" customHeight="1">
      <c r="B671" s="12"/>
      <c r="C671" s="7"/>
      <c r="E671" s="165"/>
      <c r="F671" s="165"/>
      <c r="G671" s="165"/>
      <c r="H671" s="165"/>
      <c r="I671" s="165"/>
      <c r="J671" s="165"/>
      <c r="K671" s="165"/>
      <c r="L671" s="165"/>
      <c r="M671" s="165"/>
      <c r="N671" s="165"/>
      <c r="O671" s="165"/>
      <c r="P671" s="165"/>
      <c r="Q671" s="165"/>
    </row>
    <row r="672" ht="15.75" customHeight="1">
      <c r="B672" s="12"/>
      <c r="C672" s="7"/>
      <c r="E672" s="165"/>
      <c r="F672" s="165"/>
      <c r="G672" s="165"/>
      <c r="H672" s="165"/>
      <c r="I672" s="165"/>
      <c r="J672" s="165"/>
      <c r="K672" s="165"/>
      <c r="L672" s="165"/>
      <c r="M672" s="165"/>
      <c r="N672" s="165"/>
      <c r="O672" s="165"/>
      <c r="P672" s="165"/>
      <c r="Q672" s="165"/>
    </row>
    <row r="673" ht="15.75" customHeight="1">
      <c r="B673" s="12"/>
      <c r="C673" s="7"/>
      <c r="E673" s="165"/>
      <c r="F673" s="165"/>
      <c r="G673" s="165"/>
      <c r="H673" s="165"/>
      <c r="I673" s="165"/>
      <c r="J673" s="165"/>
      <c r="K673" s="165"/>
      <c r="L673" s="165"/>
      <c r="M673" s="165"/>
      <c r="N673" s="165"/>
      <c r="O673" s="165"/>
      <c r="P673" s="165"/>
      <c r="Q673" s="165"/>
    </row>
    <row r="674" ht="15.75" customHeight="1">
      <c r="B674" s="12"/>
      <c r="C674" s="7"/>
      <c r="E674" s="165"/>
      <c r="F674" s="165"/>
      <c r="G674" s="165"/>
      <c r="H674" s="165"/>
      <c r="I674" s="165"/>
      <c r="J674" s="165"/>
      <c r="K674" s="165"/>
      <c r="L674" s="165"/>
      <c r="M674" s="165"/>
      <c r="N674" s="165"/>
      <c r="O674" s="165"/>
      <c r="P674" s="165"/>
      <c r="Q674" s="165"/>
    </row>
    <row r="675" ht="15.75" customHeight="1">
      <c r="B675" s="12"/>
      <c r="C675" s="7"/>
      <c r="E675" s="165"/>
      <c r="F675" s="165"/>
      <c r="G675" s="165"/>
      <c r="H675" s="165"/>
      <c r="I675" s="165"/>
      <c r="J675" s="165"/>
      <c r="K675" s="165"/>
      <c r="L675" s="165"/>
      <c r="M675" s="165"/>
      <c r="N675" s="165"/>
      <c r="O675" s="165"/>
      <c r="P675" s="165"/>
      <c r="Q675" s="165"/>
    </row>
    <row r="676" ht="15.75" customHeight="1">
      <c r="B676" s="12"/>
      <c r="C676" s="7"/>
      <c r="E676" s="165"/>
      <c r="F676" s="165"/>
      <c r="G676" s="165"/>
      <c r="H676" s="165"/>
      <c r="I676" s="165"/>
      <c r="J676" s="165"/>
      <c r="K676" s="165"/>
      <c r="L676" s="165"/>
      <c r="M676" s="165"/>
      <c r="N676" s="165"/>
      <c r="O676" s="165"/>
      <c r="P676" s="165"/>
      <c r="Q676" s="165"/>
    </row>
    <row r="677" ht="15.75" customHeight="1">
      <c r="B677" s="12"/>
      <c r="C677" s="7"/>
      <c r="E677" s="165"/>
      <c r="F677" s="165"/>
      <c r="G677" s="165"/>
      <c r="H677" s="165"/>
      <c r="I677" s="165"/>
      <c r="J677" s="165"/>
      <c r="K677" s="165"/>
      <c r="L677" s="165"/>
      <c r="M677" s="165"/>
      <c r="N677" s="165"/>
      <c r="O677" s="165"/>
      <c r="P677" s="165"/>
      <c r="Q677" s="165"/>
    </row>
    <row r="678" ht="15.75" customHeight="1">
      <c r="B678" s="12"/>
      <c r="C678" s="7"/>
      <c r="E678" s="165"/>
      <c r="F678" s="165"/>
      <c r="G678" s="165"/>
      <c r="H678" s="165"/>
      <c r="I678" s="165"/>
      <c r="J678" s="165"/>
      <c r="K678" s="165"/>
      <c r="L678" s="165"/>
      <c r="M678" s="165"/>
      <c r="N678" s="165"/>
      <c r="O678" s="165"/>
      <c r="P678" s="165"/>
      <c r="Q678" s="165"/>
    </row>
    <row r="679" ht="15.75" customHeight="1">
      <c r="B679" s="12"/>
      <c r="C679" s="7"/>
      <c r="E679" s="165"/>
      <c r="F679" s="165"/>
      <c r="G679" s="165"/>
      <c r="H679" s="165"/>
      <c r="I679" s="165"/>
      <c r="J679" s="165"/>
      <c r="K679" s="165"/>
      <c r="L679" s="165"/>
      <c r="M679" s="165"/>
      <c r="N679" s="165"/>
      <c r="O679" s="165"/>
      <c r="P679" s="165"/>
      <c r="Q679" s="165"/>
    </row>
    <row r="680" ht="15.75" customHeight="1">
      <c r="B680" s="12"/>
      <c r="C680" s="7"/>
      <c r="E680" s="165"/>
      <c r="F680" s="165"/>
      <c r="G680" s="165"/>
      <c r="H680" s="165"/>
      <c r="I680" s="165"/>
      <c r="J680" s="165"/>
      <c r="K680" s="165"/>
      <c r="L680" s="165"/>
      <c r="M680" s="165"/>
      <c r="N680" s="165"/>
      <c r="O680" s="165"/>
      <c r="P680" s="165"/>
      <c r="Q680" s="165"/>
    </row>
    <row r="681" ht="15.75" customHeight="1">
      <c r="B681" s="12"/>
      <c r="C681" s="7"/>
      <c r="E681" s="165"/>
      <c r="F681" s="165"/>
      <c r="G681" s="165"/>
      <c r="H681" s="165"/>
      <c r="I681" s="165"/>
      <c r="J681" s="165"/>
      <c r="K681" s="165"/>
      <c r="L681" s="165"/>
      <c r="M681" s="165"/>
      <c r="N681" s="165"/>
      <c r="O681" s="165"/>
      <c r="P681" s="165"/>
      <c r="Q681" s="165"/>
    </row>
    <row r="682" ht="15.75" customHeight="1">
      <c r="B682" s="12"/>
      <c r="C682" s="7"/>
      <c r="E682" s="165"/>
      <c r="F682" s="165"/>
      <c r="G682" s="165"/>
      <c r="H682" s="165"/>
      <c r="I682" s="165"/>
      <c r="J682" s="165"/>
      <c r="K682" s="165"/>
      <c r="L682" s="165"/>
      <c r="M682" s="165"/>
      <c r="N682" s="165"/>
      <c r="O682" s="165"/>
      <c r="P682" s="165"/>
      <c r="Q682" s="165"/>
    </row>
    <row r="683" ht="15.75" customHeight="1">
      <c r="B683" s="12"/>
      <c r="C683" s="7"/>
      <c r="E683" s="165"/>
      <c r="F683" s="165"/>
      <c r="G683" s="165"/>
      <c r="H683" s="165"/>
      <c r="I683" s="165"/>
      <c r="J683" s="165"/>
      <c r="K683" s="165"/>
      <c r="L683" s="165"/>
      <c r="M683" s="165"/>
      <c r="N683" s="165"/>
      <c r="O683" s="165"/>
      <c r="P683" s="165"/>
      <c r="Q683" s="165"/>
    </row>
    <row r="684" ht="15.75" customHeight="1">
      <c r="B684" s="12"/>
      <c r="C684" s="7"/>
      <c r="E684" s="165"/>
      <c r="F684" s="165"/>
      <c r="G684" s="165"/>
      <c r="H684" s="165"/>
      <c r="I684" s="165"/>
      <c r="J684" s="165"/>
      <c r="K684" s="165"/>
      <c r="L684" s="165"/>
      <c r="M684" s="165"/>
      <c r="N684" s="165"/>
      <c r="O684" s="165"/>
      <c r="P684" s="165"/>
      <c r="Q684" s="165"/>
    </row>
    <row r="685" ht="15.75" customHeight="1">
      <c r="B685" s="12"/>
      <c r="C685" s="7"/>
      <c r="E685" s="165"/>
      <c r="F685" s="165"/>
      <c r="G685" s="165"/>
      <c r="H685" s="165"/>
      <c r="I685" s="165"/>
      <c r="J685" s="165"/>
      <c r="K685" s="165"/>
      <c r="L685" s="165"/>
      <c r="M685" s="165"/>
      <c r="N685" s="165"/>
      <c r="O685" s="165"/>
      <c r="P685" s="165"/>
      <c r="Q685" s="165"/>
    </row>
    <row r="686" ht="15.75" customHeight="1">
      <c r="B686" s="12"/>
      <c r="C686" s="7"/>
      <c r="E686" s="165"/>
      <c r="F686" s="165"/>
      <c r="G686" s="165"/>
      <c r="H686" s="165"/>
      <c r="I686" s="165"/>
      <c r="J686" s="165"/>
      <c r="K686" s="165"/>
      <c r="L686" s="165"/>
      <c r="M686" s="165"/>
      <c r="N686" s="165"/>
      <c r="O686" s="165"/>
      <c r="P686" s="165"/>
      <c r="Q686" s="165"/>
    </row>
    <row r="687" ht="15.75" customHeight="1">
      <c r="B687" s="12"/>
      <c r="C687" s="7"/>
      <c r="E687" s="165"/>
      <c r="F687" s="165"/>
      <c r="G687" s="165"/>
      <c r="H687" s="165"/>
      <c r="I687" s="165"/>
      <c r="J687" s="165"/>
      <c r="K687" s="165"/>
      <c r="L687" s="165"/>
      <c r="M687" s="165"/>
      <c r="N687" s="165"/>
      <c r="O687" s="165"/>
      <c r="P687" s="165"/>
      <c r="Q687" s="165"/>
    </row>
    <row r="688" ht="15.75" customHeight="1">
      <c r="B688" s="12"/>
      <c r="C688" s="7"/>
      <c r="E688" s="165"/>
      <c r="F688" s="165"/>
      <c r="G688" s="165"/>
      <c r="H688" s="165"/>
      <c r="I688" s="165"/>
      <c r="J688" s="165"/>
      <c r="K688" s="165"/>
      <c r="L688" s="165"/>
      <c r="M688" s="165"/>
      <c r="N688" s="165"/>
      <c r="O688" s="165"/>
      <c r="P688" s="165"/>
      <c r="Q688" s="165"/>
    </row>
    <row r="689" ht="15.75" customHeight="1">
      <c r="B689" s="12"/>
      <c r="C689" s="7"/>
      <c r="E689" s="165"/>
      <c r="F689" s="165"/>
      <c r="G689" s="165"/>
      <c r="H689" s="165"/>
      <c r="I689" s="165"/>
      <c r="J689" s="165"/>
      <c r="K689" s="165"/>
      <c r="L689" s="165"/>
      <c r="M689" s="165"/>
      <c r="N689" s="165"/>
      <c r="O689" s="165"/>
      <c r="P689" s="165"/>
      <c r="Q689" s="165"/>
    </row>
    <row r="690" ht="15.75" customHeight="1">
      <c r="B690" s="12"/>
      <c r="C690" s="7"/>
      <c r="E690" s="165"/>
      <c r="F690" s="165"/>
      <c r="G690" s="165"/>
      <c r="H690" s="165"/>
      <c r="I690" s="165"/>
      <c r="J690" s="165"/>
      <c r="K690" s="165"/>
      <c r="L690" s="165"/>
      <c r="M690" s="165"/>
      <c r="N690" s="165"/>
      <c r="O690" s="165"/>
      <c r="P690" s="165"/>
      <c r="Q690" s="165"/>
    </row>
    <row r="691" ht="15.75" customHeight="1">
      <c r="B691" s="12"/>
      <c r="C691" s="7"/>
      <c r="E691" s="165"/>
      <c r="F691" s="165"/>
      <c r="G691" s="165"/>
      <c r="H691" s="165"/>
      <c r="I691" s="165"/>
      <c r="J691" s="165"/>
      <c r="K691" s="165"/>
      <c r="L691" s="165"/>
      <c r="M691" s="165"/>
      <c r="N691" s="165"/>
      <c r="O691" s="165"/>
      <c r="P691" s="165"/>
      <c r="Q691" s="165"/>
    </row>
    <row r="692" ht="15.75" customHeight="1">
      <c r="B692" s="12"/>
      <c r="C692" s="7"/>
      <c r="E692" s="165"/>
      <c r="F692" s="165"/>
      <c r="G692" s="165"/>
      <c r="H692" s="165"/>
      <c r="I692" s="165"/>
      <c r="J692" s="165"/>
      <c r="K692" s="165"/>
      <c r="L692" s="165"/>
      <c r="M692" s="165"/>
      <c r="N692" s="165"/>
      <c r="O692" s="165"/>
      <c r="P692" s="165"/>
      <c r="Q692" s="165"/>
    </row>
    <row r="693" ht="15.75" customHeight="1">
      <c r="B693" s="12"/>
      <c r="C693" s="7"/>
      <c r="E693" s="165"/>
      <c r="F693" s="165"/>
      <c r="G693" s="165"/>
      <c r="H693" s="165"/>
      <c r="I693" s="165"/>
      <c r="J693" s="165"/>
      <c r="K693" s="165"/>
      <c r="L693" s="165"/>
      <c r="M693" s="165"/>
      <c r="N693" s="165"/>
      <c r="O693" s="165"/>
      <c r="P693" s="165"/>
      <c r="Q693" s="165"/>
    </row>
    <row r="694" ht="15.75" customHeight="1">
      <c r="B694" s="12"/>
      <c r="C694" s="7"/>
      <c r="E694" s="165"/>
      <c r="F694" s="165"/>
      <c r="G694" s="165"/>
      <c r="H694" s="165"/>
      <c r="I694" s="165"/>
      <c r="J694" s="165"/>
      <c r="K694" s="165"/>
      <c r="L694" s="165"/>
      <c r="M694" s="165"/>
      <c r="N694" s="165"/>
      <c r="O694" s="165"/>
      <c r="P694" s="165"/>
      <c r="Q694" s="165"/>
    </row>
    <row r="695" ht="15.75" customHeight="1">
      <c r="B695" s="12"/>
      <c r="C695" s="7"/>
      <c r="E695" s="165"/>
      <c r="F695" s="165"/>
      <c r="G695" s="165"/>
      <c r="H695" s="165"/>
      <c r="I695" s="165"/>
      <c r="J695" s="165"/>
      <c r="K695" s="165"/>
      <c r="L695" s="165"/>
      <c r="M695" s="165"/>
      <c r="N695" s="165"/>
      <c r="O695" s="165"/>
      <c r="P695" s="165"/>
      <c r="Q695" s="165"/>
    </row>
    <row r="696" ht="15.75" customHeight="1">
      <c r="B696" s="12"/>
      <c r="C696" s="7"/>
      <c r="E696" s="165"/>
      <c r="F696" s="165"/>
      <c r="G696" s="165"/>
      <c r="H696" s="165"/>
      <c r="I696" s="165"/>
      <c r="J696" s="165"/>
      <c r="K696" s="165"/>
      <c r="L696" s="165"/>
      <c r="M696" s="165"/>
      <c r="N696" s="165"/>
      <c r="O696" s="165"/>
      <c r="P696" s="165"/>
      <c r="Q696" s="165"/>
    </row>
    <row r="697" ht="15.75" customHeight="1">
      <c r="B697" s="12"/>
      <c r="C697" s="7"/>
      <c r="E697" s="165"/>
      <c r="F697" s="165"/>
      <c r="G697" s="165"/>
      <c r="H697" s="165"/>
      <c r="I697" s="165"/>
      <c r="J697" s="165"/>
      <c r="K697" s="165"/>
      <c r="L697" s="165"/>
      <c r="M697" s="165"/>
      <c r="N697" s="165"/>
      <c r="O697" s="165"/>
      <c r="P697" s="165"/>
      <c r="Q697" s="165"/>
    </row>
    <row r="698" ht="15.75" customHeight="1">
      <c r="B698" s="12"/>
      <c r="C698" s="7"/>
      <c r="E698" s="165"/>
      <c r="F698" s="165"/>
      <c r="G698" s="165"/>
      <c r="H698" s="165"/>
      <c r="I698" s="165"/>
      <c r="J698" s="165"/>
      <c r="K698" s="165"/>
      <c r="L698" s="165"/>
      <c r="M698" s="165"/>
      <c r="N698" s="165"/>
      <c r="O698" s="165"/>
      <c r="P698" s="165"/>
      <c r="Q698" s="165"/>
    </row>
    <row r="699" ht="15.75" customHeight="1">
      <c r="B699" s="12"/>
      <c r="C699" s="7"/>
      <c r="E699" s="165"/>
      <c r="F699" s="165"/>
      <c r="G699" s="165"/>
      <c r="H699" s="165"/>
      <c r="I699" s="165"/>
      <c r="J699" s="165"/>
      <c r="K699" s="165"/>
      <c r="L699" s="165"/>
      <c r="M699" s="165"/>
      <c r="N699" s="165"/>
      <c r="O699" s="165"/>
      <c r="P699" s="165"/>
      <c r="Q699" s="165"/>
    </row>
    <row r="700" ht="15.75" customHeight="1">
      <c r="B700" s="12"/>
      <c r="C700" s="7"/>
      <c r="E700" s="165"/>
      <c r="F700" s="165"/>
      <c r="G700" s="165"/>
      <c r="H700" s="165"/>
      <c r="I700" s="165"/>
      <c r="J700" s="165"/>
      <c r="K700" s="165"/>
      <c r="L700" s="165"/>
      <c r="M700" s="165"/>
      <c r="N700" s="165"/>
      <c r="O700" s="165"/>
      <c r="P700" s="165"/>
      <c r="Q700" s="165"/>
    </row>
    <row r="701" ht="15.75" customHeight="1">
      <c r="B701" s="12"/>
      <c r="C701" s="7"/>
      <c r="E701" s="165"/>
      <c r="F701" s="165"/>
      <c r="G701" s="165"/>
      <c r="H701" s="165"/>
      <c r="I701" s="165"/>
      <c r="J701" s="165"/>
      <c r="K701" s="165"/>
      <c r="L701" s="165"/>
      <c r="M701" s="165"/>
      <c r="N701" s="165"/>
      <c r="O701" s="165"/>
      <c r="P701" s="165"/>
      <c r="Q701" s="165"/>
    </row>
    <row r="702" ht="15.75" customHeight="1">
      <c r="B702" s="12"/>
      <c r="C702" s="7"/>
      <c r="E702" s="165"/>
      <c r="F702" s="165"/>
      <c r="G702" s="165"/>
      <c r="H702" s="165"/>
      <c r="I702" s="165"/>
      <c r="J702" s="165"/>
      <c r="K702" s="165"/>
      <c r="L702" s="165"/>
      <c r="M702" s="165"/>
      <c r="N702" s="165"/>
      <c r="O702" s="165"/>
      <c r="P702" s="165"/>
      <c r="Q702" s="165"/>
    </row>
    <row r="703" ht="15.75" customHeight="1">
      <c r="B703" s="12"/>
      <c r="C703" s="7"/>
      <c r="E703" s="165"/>
      <c r="F703" s="165"/>
      <c r="G703" s="165"/>
      <c r="H703" s="165"/>
      <c r="I703" s="165"/>
      <c r="J703" s="165"/>
      <c r="K703" s="165"/>
      <c r="L703" s="165"/>
      <c r="M703" s="165"/>
      <c r="N703" s="165"/>
      <c r="O703" s="165"/>
      <c r="P703" s="165"/>
      <c r="Q703" s="165"/>
    </row>
    <row r="704" ht="15.75" customHeight="1">
      <c r="B704" s="12"/>
      <c r="C704" s="7"/>
      <c r="E704" s="165"/>
      <c r="F704" s="165"/>
      <c r="G704" s="165"/>
      <c r="H704" s="165"/>
      <c r="I704" s="165"/>
      <c r="J704" s="165"/>
      <c r="K704" s="165"/>
      <c r="L704" s="165"/>
      <c r="M704" s="165"/>
      <c r="N704" s="165"/>
      <c r="O704" s="165"/>
      <c r="P704" s="165"/>
      <c r="Q704" s="165"/>
    </row>
    <row r="705" ht="15.75" customHeight="1">
      <c r="B705" s="12"/>
      <c r="C705" s="7"/>
      <c r="E705" s="165"/>
      <c r="F705" s="165"/>
      <c r="G705" s="165"/>
      <c r="H705" s="165"/>
      <c r="I705" s="165"/>
      <c r="J705" s="165"/>
      <c r="K705" s="165"/>
      <c r="L705" s="165"/>
      <c r="M705" s="165"/>
      <c r="N705" s="165"/>
      <c r="O705" s="165"/>
      <c r="P705" s="165"/>
      <c r="Q705" s="165"/>
    </row>
    <row r="706" ht="15.75" customHeight="1">
      <c r="B706" s="12"/>
      <c r="C706" s="7"/>
      <c r="E706" s="165"/>
      <c r="F706" s="165"/>
      <c r="G706" s="165"/>
      <c r="H706" s="165"/>
      <c r="I706" s="165"/>
      <c r="J706" s="165"/>
      <c r="K706" s="165"/>
      <c r="L706" s="165"/>
      <c r="M706" s="165"/>
      <c r="N706" s="165"/>
      <c r="O706" s="165"/>
      <c r="P706" s="165"/>
      <c r="Q706" s="165"/>
    </row>
    <row r="707" ht="15.75" customHeight="1">
      <c r="B707" s="12"/>
      <c r="C707" s="7"/>
      <c r="E707" s="165"/>
      <c r="F707" s="165"/>
      <c r="G707" s="165"/>
      <c r="H707" s="165"/>
      <c r="I707" s="165"/>
      <c r="J707" s="165"/>
      <c r="K707" s="165"/>
      <c r="L707" s="165"/>
      <c r="M707" s="165"/>
      <c r="N707" s="165"/>
      <c r="O707" s="165"/>
      <c r="P707" s="165"/>
      <c r="Q707" s="165"/>
    </row>
    <row r="708" ht="15.75" customHeight="1">
      <c r="B708" s="12"/>
      <c r="C708" s="7"/>
      <c r="E708" s="165"/>
      <c r="F708" s="165"/>
      <c r="G708" s="165"/>
      <c r="H708" s="165"/>
      <c r="I708" s="165"/>
      <c r="J708" s="165"/>
      <c r="K708" s="165"/>
      <c r="L708" s="165"/>
      <c r="M708" s="165"/>
      <c r="N708" s="165"/>
      <c r="O708" s="165"/>
      <c r="P708" s="165"/>
      <c r="Q708" s="165"/>
    </row>
    <row r="709" ht="15.75" customHeight="1">
      <c r="B709" s="12"/>
      <c r="C709" s="7"/>
      <c r="E709" s="165"/>
      <c r="F709" s="165"/>
      <c r="G709" s="165"/>
      <c r="H709" s="165"/>
      <c r="I709" s="165"/>
      <c r="J709" s="165"/>
      <c r="K709" s="165"/>
      <c r="L709" s="165"/>
      <c r="M709" s="165"/>
      <c r="N709" s="165"/>
      <c r="O709" s="165"/>
      <c r="P709" s="165"/>
      <c r="Q709" s="165"/>
    </row>
    <row r="710" ht="15.75" customHeight="1">
      <c r="B710" s="12"/>
      <c r="C710" s="7"/>
      <c r="E710" s="165"/>
      <c r="F710" s="165"/>
      <c r="G710" s="165"/>
      <c r="H710" s="165"/>
      <c r="I710" s="165"/>
      <c r="J710" s="165"/>
      <c r="K710" s="165"/>
      <c r="L710" s="165"/>
      <c r="M710" s="165"/>
      <c r="N710" s="165"/>
      <c r="O710" s="165"/>
      <c r="P710" s="165"/>
      <c r="Q710" s="165"/>
    </row>
    <row r="711" ht="15.75" customHeight="1">
      <c r="B711" s="12"/>
      <c r="C711" s="7"/>
      <c r="E711" s="165"/>
      <c r="F711" s="165"/>
      <c r="G711" s="165"/>
      <c r="H711" s="165"/>
      <c r="I711" s="165"/>
      <c r="J711" s="165"/>
      <c r="K711" s="165"/>
      <c r="L711" s="165"/>
      <c r="M711" s="165"/>
      <c r="N711" s="165"/>
      <c r="O711" s="165"/>
      <c r="P711" s="165"/>
      <c r="Q711" s="165"/>
    </row>
    <row r="712" ht="15.75" customHeight="1">
      <c r="B712" s="12"/>
      <c r="C712" s="7"/>
      <c r="E712" s="165"/>
      <c r="F712" s="165"/>
      <c r="G712" s="165"/>
      <c r="H712" s="165"/>
      <c r="I712" s="165"/>
      <c r="J712" s="165"/>
      <c r="K712" s="165"/>
      <c r="L712" s="165"/>
      <c r="M712" s="165"/>
      <c r="N712" s="165"/>
      <c r="O712" s="165"/>
      <c r="P712" s="165"/>
      <c r="Q712" s="165"/>
    </row>
    <row r="713" ht="15.75" customHeight="1">
      <c r="B713" s="12"/>
      <c r="C713" s="7"/>
      <c r="E713" s="165"/>
      <c r="F713" s="165"/>
      <c r="G713" s="165"/>
      <c r="H713" s="165"/>
      <c r="I713" s="165"/>
      <c r="J713" s="165"/>
      <c r="K713" s="165"/>
      <c r="L713" s="165"/>
      <c r="M713" s="165"/>
      <c r="N713" s="165"/>
      <c r="O713" s="165"/>
      <c r="P713" s="165"/>
      <c r="Q713" s="165"/>
    </row>
    <row r="714" ht="15.75" customHeight="1">
      <c r="B714" s="12"/>
      <c r="C714" s="7"/>
      <c r="E714" s="165"/>
      <c r="F714" s="165"/>
      <c r="G714" s="165"/>
      <c r="H714" s="165"/>
      <c r="I714" s="165"/>
      <c r="J714" s="165"/>
      <c r="K714" s="165"/>
      <c r="L714" s="165"/>
      <c r="M714" s="165"/>
      <c r="N714" s="165"/>
      <c r="O714" s="165"/>
      <c r="P714" s="165"/>
      <c r="Q714" s="165"/>
    </row>
    <row r="715" ht="15.75" customHeight="1">
      <c r="B715" s="12"/>
      <c r="C715" s="7"/>
      <c r="E715" s="165"/>
      <c r="F715" s="165"/>
      <c r="G715" s="165"/>
      <c r="H715" s="165"/>
      <c r="I715" s="165"/>
      <c r="J715" s="165"/>
      <c r="K715" s="165"/>
      <c r="L715" s="165"/>
      <c r="M715" s="165"/>
      <c r="N715" s="165"/>
      <c r="O715" s="165"/>
      <c r="P715" s="165"/>
      <c r="Q715" s="165"/>
    </row>
    <row r="716" ht="15.75" customHeight="1">
      <c r="B716" s="12"/>
      <c r="C716" s="7"/>
      <c r="E716" s="165"/>
      <c r="F716" s="165"/>
      <c r="G716" s="165"/>
      <c r="H716" s="165"/>
      <c r="I716" s="165"/>
      <c r="J716" s="165"/>
      <c r="K716" s="165"/>
      <c r="L716" s="165"/>
      <c r="M716" s="165"/>
      <c r="N716" s="165"/>
      <c r="O716" s="165"/>
      <c r="P716" s="165"/>
      <c r="Q716" s="165"/>
    </row>
    <row r="717" ht="15.75" customHeight="1">
      <c r="B717" s="12"/>
      <c r="C717" s="7"/>
      <c r="E717" s="165"/>
      <c r="F717" s="165"/>
      <c r="G717" s="165"/>
      <c r="H717" s="165"/>
      <c r="I717" s="165"/>
      <c r="J717" s="165"/>
      <c r="K717" s="165"/>
      <c r="L717" s="165"/>
      <c r="M717" s="165"/>
      <c r="N717" s="165"/>
      <c r="O717" s="165"/>
      <c r="P717" s="165"/>
      <c r="Q717" s="165"/>
    </row>
    <row r="718" ht="15.75" customHeight="1">
      <c r="B718" s="12"/>
      <c r="C718" s="7"/>
      <c r="E718" s="165"/>
      <c r="F718" s="165"/>
      <c r="G718" s="165"/>
      <c r="H718" s="165"/>
      <c r="I718" s="165"/>
      <c r="J718" s="165"/>
      <c r="K718" s="165"/>
      <c r="L718" s="165"/>
      <c r="M718" s="165"/>
      <c r="N718" s="165"/>
      <c r="O718" s="165"/>
      <c r="P718" s="165"/>
      <c r="Q718" s="165"/>
    </row>
    <row r="719" ht="15.75" customHeight="1">
      <c r="B719" s="12"/>
      <c r="C719" s="7"/>
      <c r="E719" s="165"/>
      <c r="F719" s="165"/>
      <c r="G719" s="165"/>
      <c r="H719" s="165"/>
      <c r="I719" s="165"/>
      <c r="J719" s="165"/>
      <c r="K719" s="165"/>
      <c r="L719" s="165"/>
      <c r="M719" s="165"/>
      <c r="N719" s="165"/>
      <c r="O719" s="165"/>
      <c r="P719" s="165"/>
      <c r="Q719" s="165"/>
    </row>
    <row r="720" ht="15.75" customHeight="1">
      <c r="B720" s="12"/>
      <c r="C720" s="7"/>
      <c r="E720" s="165"/>
      <c r="F720" s="165"/>
      <c r="G720" s="165"/>
      <c r="H720" s="165"/>
      <c r="I720" s="165"/>
      <c r="J720" s="165"/>
      <c r="K720" s="165"/>
      <c r="L720" s="165"/>
      <c r="M720" s="165"/>
      <c r="N720" s="165"/>
      <c r="O720" s="165"/>
      <c r="P720" s="165"/>
      <c r="Q720" s="165"/>
    </row>
    <row r="721" ht="15.75" customHeight="1">
      <c r="B721" s="12"/>
      <c r="C721" s="7"/>
      <c r="E721" s="165"/>
      <c r="F721" s="165"/>
      <c r="G721" s="165"/>
      <c r="H721" s="165"/>
      <c r="I721" s="165"/>
      <c r="J721" s="165"/>
      <c r="K721" s="165"/>
      <c r="L721" s="165"/>
      <c r="M721" s="165"/>
      <c r="N721" s="165"/>
      <c r="O721" s="165"/>
      <c r="P721" s="165"/>
      <c r="Q721" s="165"/>
    </row>
    <row r="722" ht="15.75" customHeight="1">
      <c r="B722" s="12"/>
      <c r="C722" s="7"/>
      <c r="E722" s="165"/>
      <c r="F722" s="165"/>
      <c r="G722" s="165"/>
      <c r="H722" s="165"/>
      <c r="I722" s="165"/>
      <c r="J722" s="165"/>
      <c r="K722" s="165"/>
      <c r="L722" s="165"/>
      <c r="M722" s="165"/>
      <c r="N722" s="165"/>
      <c r="O722" s="165"/>
      <c r="P722" s="165"/>
      <c r="Q722" s="165"/>
    </row>
    <row r="723" ht="15.75" customHeight="1">
      <c r="B723" s="12"/>
      <c r="C723" s="7"/>
      <c r="E723" s="165"/>
      <c r="F723" s="165"/>
      <c r="G723" s="165"/>
      <c r="H723" s="165"/>
      <c r="I723" s="165"/>
      <c r="J723" s="165"/>
      <c r="K723" s="165"/>
      <c r="L723" s="165"/>
      <c r="M723" s="165"/>
      <c r="N723" s="165"/>
      <c r="O723" s="165"/>
      <c r="P723" s="165"/>
      <c r="Q723" s="165"/>
    </row>
    <row r="724" ht="15.75" customHeight="1">
      <c r="B724" s="12"/>
      <c r="C724" s="7"/>
      <c r="E724" s="165"/>
      <c r="F724" s="165"/>
      <c r="G724" s="165"/>
      <c r="H724" s="165"/>
      <c r="I724" s="165"/>
      <c r="J724" s="165"/>
      <c r="K724" s="165"/>
      <c r="L724" s="165"/>
      <c r="M724" s="165"/>
      <c r="N724" s="165"/>
      <c r="O724" s="165"/>
      <c r="P724" s="165"/>
      <c r="Q724" s="165"/>
    </row>
    <row r="725" ht="15.75" customHeight="1">
      <c r="B725" s="12"/>
      <c r="C725" s="7"/>
      <c r="E725" s="165"/>
      <c r="F725" s="165"/>
      <c r="G725" s="165"/>
      <c r="H725" s="165"/>
      <c r="I725" s="165"/>
      <c r="J725" s="165"/>
      <c r="K725" s="165"/>
      <c r="L725" s="165"/>
      <c r="M725" s="165"/>
      <c r="N725" s="165"/>
      <c r="O725" s="165"/>
      <c r="P725" s="165"/>
      <c r="Q725" s="165"/>
    </row>
    <row r="726" ht="15.75" customHeight="1">
      <c r="B726" s="12"/>
      <c r="C726" s="7"/>
      <c r="E726" s="165"/>
      <c r="F726" s="165"/>
      <c r="G726" s="165"/>
      <c r="H726" s="165"/>
      <c r="I726" s="165"/>
      <c r="J726" s="165"/>
      <c r="K726" s="165"/>
      <c r="L726" s="165"/>
      <c r="M726" s="165"/>
      <c r="N726" s="165"/>
      <c r="O726" s="165"/>
      <c r="P726" s="165"/>
      <c r="Q726" s="165"/>
    </row>
    <row r="727" ht="15.75" customHeight="1">
      <c r="B727" s="12"/>
      <c r="C727" s="7"/>
      <c r="E727" s="165"/>
      <c r="F727" s="165"/>
      <c r="G727" s="165"/>
      <c r="H727" s="165"/>
      <c r="I727" s="165"/>
      <c r="J727" s="165"/>
      <c r="K727" s="165"/>
      <c r="L727" s="165"/>
      <c r="M727" s="165"/>
      <c r="N727" s="165"/>
      <c r="O727" s="165"/>
      <c r="P727" s="165"/>
      <c r="Q727" s="165"/>
    </row>
    <row r="728" ht="15.75" customHeight="1">
      <c r="B728" s="12"/>
      <c r="C728" s="7"/>
      <c r="E728" s="165"/>
      <c r="F728" s="165"/>
      <c r="G728" s="165"/>
      <c r="H728" s="165"/>
      <c r="I728" s="165"/>
      <c r="J728" s="165"/>
      <c r="K728" s="165"/>
      <c r="L728" s="165"/>
      <c r="M728" s="165"/>
      <c r="N728" s="165"/>
      <c r="O728" s="165"/>
      <c r="P728" s="165"/>
      <c r="Q728" s="165"/>
    </row>
    <row r="729" ht="15.75" customHeight="1">
      <c r="B729" s="12"/>
      <c r="C729" s="7"/>
      <c r="E729" s="165"/>
      <c r="F729" s="165"/>
      <c r="G729" s="165"/>
      <c r="H729" s="165"/>
      <c r="I729" s="165"/>
      <c r="J729" s="165"/>
      <c r="K729" s="165"/>
      <c r="L729" s="165"/>
      <c r="M729" s="165"/>
      <c r="N729" s="165"/>
      <c r="O729" s="165"/>
      <c r="P729" s="165"/>
      <c r="Q729" s="165"/>
    </row>
    <row r="730" ht="15.75" customHeight="1">
      <c r="B730" s="12"/>
      <c r="C730" s="7"/>
      <c r="E730" s="165"/>
      <c r="F730" s="165"/>
      <c r="G730" s="165"/>
      <c r="H730" s="165"/>
      <c r="I730" s="165"/>
      <c r="J730" s="165"/>
      <c r="K730" s="165"/>
      <c r="L730" s="165"/>
      <c r="M730" s="165"/>
      <c r="N730" s="165"/>
      <c r="O730" s="165"/>
      <c r="P730" s="165"/>
      <c r="Q730" s="165"/>
    </row>
    <row r="731" ht="15.75" customHeight="1">
      <c r="B731" s="12"/>
      <c r="C731" s="7"/>
      <c r="E731" s="165"/>
      <c r="F731" s="165"/>
      <c r="G731" s="165"/>
      <c r="H731" s="165"/>
      <c r="I731" s="165"/>
      <c r="J731" s="165"/>
      <c r="K731" s="165"/>
      <c r="L731" s="165"/>
      <c r="M731" s="165"/>
      <c r="N731" s="165"/>
      <c r="O731" s="165"/>
      <c r="P731" s="165"/>
      <c r="Q731" s="165"/>
    </row>
    <row r="732" ht="15.75" customHeight="1">
      <c r="B732" s="12"/>
      <c r="C732" s="7"/>
      <c r="E732" s="165"/>
      <c r="F732" s="165"/>
      <c r="G732" s="165"/>
      <c r="H732" s="165"/>
      <c r="I732" s="165"/>
      <c r="J732" s="165"/>
      <c r="K732" s="165"/>
      <c r="L732" s="165"/>
      <c r="M732" s="165"/>
      <c r="N732" s="165"/>
      <c r="O732" s="165"/>
      <c r="P732" s="165"/>
      <c r="Q732" s="165"/>
    </row>
    <row r="733" ht="15.75" customHeight="1">
      <c r="B733" s="12"/>
      <c r="C733" s="7"/>
      <c r="E733" s="165"/>
      <c r="F733" s="165"/>
      <c r="G733" s="165"/>
      <c r="H733" s="165"/>
      <c r="I733" s="165"/>
      <c r="J733" s="165"/>
      <c r="K733" s="165"/>
      <c r="L733" s="165"/>
      <c r="M733" s="165"/>
      <c r="N733" s="165"/>
      <c r="O733" s="165"/>
      <c r="P733" s="165"/>
      <c r="Q733" s="165"/>
    </row>
    <row r="734" ht="15.75" customHeight="1">
      <c r="B734" s="12"/>
      <c r="C734" s="7"/>
      <c r="E734" s="165"/>
      <c r="F734" s="165"/>
      <c r="G734" s="165"/>
      <c r="H734" s="165"/>
      <c r="I734" s="165"/>
      <c r="J734" s="165"/>
      <c r="K734" s="165"/>
      <c r="L734" s="165"/>
      <c r="M734" s="165"/>
      <c r="N734" s="165"/>
      <c r="O734" s="165"/>
      <c r="P734" s="165"/>
      <c r="Q734" s="165"/>
    </row>
    <row r="735" ht="15.75" customHeight="1">
      <c r="B735" s="12"/>
      <c r="C735" s="7"/>
      <c r="E735" s="165"/>
      <c r="F735" s="165"/>
      <c r="G735" s="165"/>
      <c r="H735" s="165"/>
      <c r="I735" s="165"/>
      <c r="J735" s="165"/>
      <c r="K735" s="165"/>
      <c r="L735" s="165"/>
      <c r="M735" s="165"/>
      <c r="N735" s="165"/>
      <c r="O735" s="165"/>
      <c r="P735" s="165"/>
      <c r="Q735" s="165"/>
    </row>
    <row r="736" ht="15.75" customHeight="1">
      <c r="B736" s="12"/>
      <c r="C736" s="7"/>
      <c r="E736" s="165"/>
      <c r="F736" s="165"/>
      <c r="G736" s="165"/>
      <c r="H736" s="165"/>
      <c r="I736" s="165"/>
      <c r="J736" s="165"/>
      <c r="K736" s="165"/>
      <c r="L736" s="165"/>
      <c r="M736" s="165"/>
      <c r="N736" s="165"/>
      <c r="O736" s="165"/>
      <c r="P736" s="165"/>
      <c r="Q736" s="165"/>
    </row>
    <row r="737" ht="15.75" customHeight="1">
      <c r="B737" s="12"/>
      <c r="C737" s="7"/>
      <c r="E737" s="165"/>
      <c r="F737" s="165"/>
      <c r="G737" s="165"/>
      <c r="H737" s="165"/>
      <c r="I737" s="165"/>
      <c r="J737" s="165"/>
      <c r="K737" s="165"/>
      <c r="L737" s="165"/>
      <c r="M737" s="165"/>
      <c r="N737" s="165"/>
      <c r="O737" s="165"/>
      <c r="P737" s="165"/>
      <c r="Q737" s="165"/>
    </row>
    <row r="738" ht="15.75" customHeight="1">
      <c r="B738" s="12"/>
      <c r="C738" s="7"/>
      <c r="E738" s="165"/>
      <c r="F738" s="165"/>
      <c r="G738" s="165"/>
      <c r="H738" s="165"/>
      <c r="I738" s="165"/>
      <c r="J738" s="165"/>
      <c r="K738" s="165"/>
      <c r="L738" s="165"/>
      <c r="M738" s="165"/>
      <c r="N738" s="165"/>
      <c r="O738" s="165"/>
      <c r="P738" s="165"/>
      <c r="Q738" s="165"/>
    </row>
    <row r="739" ht="15.75" customHeight="1">
      <c r="B739" s="12"/>
      <c r="C739" s="7"/>
      <c r="E739" s="165"/>
      <c r="F739" s="165"/>
      <c r="G739" s="165"/>
      <c r="H739" s="165"/>
      <c r="I739" s="165"/>
      <c r="J739" s="165"/>
      <c r="K739" s="165"/>
      <c r="L739" s="165"/>
      <c r="M739" s="165"/>
      <c r="N739" s="165"/>
      <c r="O739" s="165"/>
      <c r="P739" s="165"/>
      <c r="Q739" s="165"/>
    </row>
    <row r="740" ht="15.75" customHeight="1">
      <c r="B740" s="12"/>
      <c r="C740" s="7"/>
      <c r="E740" s="165"/>
      <c r="F740" s="165"/>
      <c r="G740" s="165"/>
      <c r="H740" s="165"/>
      <c r="I740" s="165"/>
      <c r="J740" s="165"/>
      <c r="K740" s="165"/>
      <c r="L740" s="165"/>
      <c r="M740" s="165"/>
      <c r="N740" s="165"/>
      <c r="O740" s="165"/>
      <c r="P740" s="165"/>
      <c r="Q740" s="165"/>
    </row>
    <row r="741" ht="15.75" customHeight="1">
      <c r="B741" s="12"/>
      <c r="C741" s="7"/>
      <c r="E741" s="165"/>
      <c r="F741" s="165"/>
      <c r="G741" s="165"/>
      <c r="H741" s="165"/>
      <c r="I741" s="165"/>
      <c r="J741" s="165"/>
      <c r="K741" s="165"/>
      <c r="L741" s="165"/>
      <c r="M741" s="165"/>
      <c r="N741" s="165"/>
      <c r="O741" s="165"/>
      <c r="P741" s="165"/>
      <c r="Q741" s="165"/>
    </row>
    <row r="742" ht="15.75" customHeight="1">
      <c r="B742" s="12"/>
      <c r="C742" s="7"/>
      <c r="E742" s="165"/>
      <c r="F742" s="165"/>
      <c r="G742" s="165"/>
      <c r="H742" s="165"/>
      <c r="I742" s="165"/>
      <c r="J742" s="165"/>
      <c r="K742" s="165"/>
      <c r="L742" s="165"/>
      <c r="M742" s="165"/>
      <c r="N742" s="165"/>
      <c r="O742" s="165"/>
      <c r="P742" s="165"/>
      <c r="Q742" s="165"/>
    </row>
    <row r="743" ht="15.75" customHeight="1">
      <c r="B743" s="12"/>
      <c r="C743" s="7"/>
      <c r="E743" s="165"/>
      <c r="F743" s="165"/>
      <c r="G743" s="165"/>
      <c r="H743" s="165"/>
      <c r="I743" s="165"/>
      <c r="J743" s="165"/>
      <c r="K743" s="165"/>
      <c r="L743" s="165"/>
      <c r="M743" s="165"/>
      <c r="N743" s="165"/>
      <c r="O743" s="165"/>
      <c r="P743" s="165"/>
      <c r="Q743" s="165"/>
    </row>
    <row r="744" ht="15.75" customHeight="1">
      <c r="B744" s="12"/>
      <c r="C744" s="7"/>
      <c r="E744" s="165"/>
      <c r="F744" s="165"/>
      <c r="G744" s="165"/>
      <c r="H744" s="165"/>
      <c r="I744" s="165"/>
      <c r="J744" s="165"/>
      <c r="K744" s="165"/>
      <c r="L744" s="165"/>
      <c r="M744" s="165"/>
      <c r="N744" s="165"/>
      <c r="O744" s="165"/>
      <c r="P744" s="165"/>
      <c r="Q744" s="165"/>
    </row>
    <row r="745" ht="15.75" customHeight="1">
      <c r="B745" s="12"/>
      <c r="C745" s="7"/>
      <c r="E745" s="165"/>
      <c r="F745" s="165"/>
      <c r="G745" s="165"/>
      <c r="H745" s="165"/>
      <c r="I745" s="165"/>
      <c r="J745" s="165"/>
      <c r="K745" s="165"/>
      <c r="L745" s="165"/>
      <c r="M745" s="165"/>
      <c r="N745" s="165"/>
      <c r="O745" s="165"/>
      <c r="P745" s="165"/>
      <c r="Q745" s="165"/>
    </row>
    <row r="746" ht="15.75" customHeight="1">
      <c r="B746" s="12"/>
      <c r="C746" s="7"/>
      <c r="E746" s="165"/>
      <c r="F746" s="165"/>
      <c r="G746" s="165"/>
      <c r="H746" s="165"/>
      <c r="I746" s="165"/>
      <c r="J746" s="165"/>
      <c r="K746" s="165"/>
      <c r="L746" s="165"/>
      <c r="M746" s="165"/>
      <c r="N746" s="165"/>
      <c r="O746" s="165"/>
      <c r="P746" s="165"/>
      <c r="Q746" s="165"/>
    </row>
    <row r="747" ht="15.75" customHeight="1">
      <c r="B747" s="12"/>
      <c r="C747" s="7"/>
      <c r="E747" s="165"/>
      <c r="F747" s="165"/>
      <c r="G747" s="165"/>
      <c r="H747" s="165"/>
      <c r="I747" s="165"/>
      <c r="J747" s="165"/>
      <c r="K747" s="165"/>
      <c r="L747" s="165"/>
      <c r="M747" s="165"/>
      <c r="N747" s="165"/>
      <c r="O747" s="165"/>
      <c r="P747" s="165"/>
      <c r="Q747" s="165"/>
    </row>
    <row r="748" ht="15.75" customHeight="1">
      <c r="B748" s="12"/>
      <c r="C748" s="7"/>
      <c r="E748" s="165"/>
      <c r="F748" s="165"/>
      <c r="G748" s="165"/>
      <c r="H748" s="165"/>
      <c r="I748" s="165"/>
      <c r="J748" s="165"/>
      <c r="K748" s="165"/>
      <c r="L748" s="165"/>
      <c r="M748" s="165"/>
      <c r="N748" s="165"/>
      <c r="O748" s="165"/>
      <c r="P748" s="165"/>
      <c r="Q748" s="165"/>
    </row>
    <row r="749" ht="15.75" customHeight="1">
      <c r="B749" s="12"/>
      <c r="C749" s="7"/>
      <c r="E749" s="165"/>
      <c r="F749" s="165"/>
      <c r="G749" s="165"/>
      <c r="H749" s="165"/>
      <c r="I749" s="165"/>
      <c r="J749" s="165"/>
      <c r="K749" s="165"/>
      <c r="L749" s="165"/>
      <c r="M749" s="165"/>
      <c r="N749" s="165"/>
      <c r="O749" s="165"/>
      <c r="P749" s="165"/>
      <c r="Q749" s="165"/>
    </row>
    <row r="750" ht="15.75" customHeight="1">
      <c r="B750" s="12"/>
      <c r="C750" s="7"/>
      <c r="E750" s="165"/>
      <c r="F750" s="165"/>
      <c r="G750" s="165"/>
      <c r="H750" s="165"/>
      <c r="I750" s="165"/>
      <c r="J750" s="165"/>
      <c r="K750" s="165"/>
      <c r="L750" s="165"/>
      <c r="M750" s="165"/>
      <c r="N750" s="165"/>
      <c r="O750" s="165"/>
      <c r="P750" s="165"/>
      <c r="Q750" s="165"/>
    </row>
    <row r="751" ht="15.75" customHeight="1">
      <c r="B751" s="12"/>
      <c r="C751" s="7"/>
      <c r="E751" s="165"/>
      <c r="F751" s="165"/>
      <c r="G751" s="165"/>
      <c r="H751" s="165"/>
      <c r="I751" s="165"/>
      <c r="J751" s="165"/>
      <c r="K751" s="165"/>
      <c r="L751" s="165"/>
      <c r="M751" s="165"/>
      <c r="N751" s="165"/>
      <c r="O751" s="165"/>
      <c r="P751" s="165"/>
      <c r="Q751" s="165"/>
    </row>
    <row r="752" ht="15.75" customHeight="1">
      <c r="B752" s="12"/>
      <c r="C752" s="7"/>
      <c r="E752" s="165"/>
      <c r="F752" s="165"/>
      <c r="G752" s="165"/>
      <c r="H752" s="165"/>
      <c r="I752" s="165"/>
      <c r="J752" s="165"/>
      <c r="K752" s="165"/>
      <c r="L752" s="165"/>
      <c r="M752" s="165"/>
      <c r="N752" s="165"/>
      <c r="O752" s="165"/>
      <c r="P752" s="165"/>
      <c r="Q752" s="165"/>
    </row>
    <row r="753" ht="15.75" customHeight="1">
      <c r="B753" s="12"/>
      <c r="C753" s="7"/>
      <c r="E753" s="165"/>
      <c r="F753" s="165"/>
      <c r="G753" s="165"/>
      <c r="H753" s="165"/>
      <c r="I753" s="165"/>
      <c r="J753" s="165"/>
      <c r="K753" s="165"/>
      <c r="L753" s="165"/>
      <c r="M753" s="165"/>
      <c r="N753" s="165"/>
      <c r="O753" s="165"/>
      <c r="P753" s="165"/>
      <c r="Q753" s="165"/>
    </row>
    <row r="754" ht="15.75" customHeight="1">
      <c r="B754" s="12"/>
      <c r="C754" s="7"/>
      <c r="E754" s="165"/>
      <c r="F754" s="165"/>
      <c r="G754" s="165"/>
      <c r="H754" s="165"/>
      <c r="I754" s="165"/>
      <c r="J754" s="165"/>
      <c r="K754" s="165"/>
      <c r="L754" s="165"/>
      <c r="M754" s="165"/>
      <c r="N754" s="165"/>
      <c r="O754" s="165"/>
      <c r="P754" s="165"/>
      <c r="Q754" s="165"/>
    </row>
    <row r="755" ht="15.75" customHeight="1">
      <c r="B755" s="12"/>
      <c r="C755" s="7"/>
      <c r="E755" s="165"/>
      <c r="F755" s="165"/>
      <c r="G755" s="165"/>
      <c r="H755" s="165"/>
      <c r="I755" s="165"/>
      <c r="J755" s="165"/>
      <c r="K755" s="165"/>
      <c r="L755" s="165"/>
      <c r="M755" s="165"/>
      <c r="N755" s="165"/>
      <c r="O755" s="165"/>
      <c r="P755" s="165"/>
      <c r="Q755" s="165"/>
    </row>
    <row r="756" ht="15.75" customHeight="1">
      <c r="B756" s="12"/>
      <c r="C756" s="7"/>
      <c r="E756" s="165"/>
      <c r="F756" s="165"/>
      <c r="G756" s="165"/>
      <c r="H756" s="165"/>
      <c r="I756" s="165"/>
      <c r="J756" s="165"/>
      <c r="K756" s="165"/>
      <c r="L756" s="165"/>
      <c r="M756" s="165"/>
      <c r="N756" s="165"/>
      <c r="O756" s="165"/>
      <c r="P756" s="165"/>
      <c r="Q756" s="165"/>
    </row>
    <row r="757" ht="15.75" customHeight="1">
      <c r="B757" s="12"/>
      <c r="C757" s="7"/>
      <c r="E757" s="165"/>
      <c r="F757" s="165"/>
      <c r="G757" s="165"/>
      <c r="H757" s="165"/>
      <c r="I757" s="165"/>
      <c r="J757" s="165"/>
      <c r="K757" s="165"/>
      <c r="L757" s="165"/>
      <c r="M757" s="165"/>
      <c r="N757" s="165"/>
      <c r="O757" s="165"/>
      <c r="P757" s="165"/>
      <c r="Q757" s="165"/>
    </row>
    <row r="758" ht="15.75" customHeight="1">
      <c r="B758" s="12"/>
      <c r="C758" s="7"/>
      <c r="E758" s="165"/>
      <c r="F758" s="165"/>
      <c r="G758" s="165"/>
      <c r="H758" s="165"/>
      <c r="I758" s="165"/>
      <c r="J758" s="165"/>
      <c r="K758" s="165"/>
      <c r="L758" s="165"/>
      <c r="M758" s="165"/>
      <c r="N758" s="165"/>
      <c r="O758" s="165"/>
      <c r="P758" s="165"/>
      <c r="Q758" s="165"/>
    </row>
    <row r="759" ht="15.75" customHeight="1">
      <c r="B759" s="12"/>
      <c r="C759" s="7"/>
      <c r="E759" s="165"/>
      <c r="F759" s="165"/>
      <c r="G759" s="165"/>
      <c r="H759" s="165"/>
      <c r="I759" s="165"/>
      <c r="J759" s="165"/>
      <c r="K759" s="165"/>
      <c r="L759" s="165"/>
      <c r="M759" s="165"/>
      <c r="N759" s="165"/>
      <c r="O759" s="165"/>
      <c r="P759" s="165"/>
      <c r="Q759" s="165"/>
    </row>
    <row r="760" ht="15.75" customHeight="1">
      <c r="B760" s="12"/>
      <c r="C760" s="7"/>
      <c r="E760" s="165"/>
      <c r="F760" s="165"/>
      <c r="G760" s="165"/>
      <c r="H760" s="165"/>
      <c r="I760" s="165"/>
      <c r="J760" s="165"/>
      <c r="K760" s="165"/>
      <c r="L760" s="165"/>
      <c r="M760" s="165"/>
      <c r="N760" s="165"/>
      <c r="O760" s="165"/>
      <c r="P760" s="165"/>
      <c r="Q760" s="165"/>
    </row>
    <row r="761" ht="15.75" customHeight="1">
      <c r="B761" s="12"/>
      <c r="C761" s="7"/>
      <c r="E761" s="165"/>
      <c r="F761" s="165"/>
      <c r="G761" s="165"/>
      <c r="H761" s="165"/>
      <c r="I761" s="165"/>
      <c r="J761" s="165"/>
      <c r="K761" s="165"/>
      <c r="L761" s="165"/>
      <c r="M761" s="165"/>
      <c r="N761" s="165"/>
      <c r="O761" s="165"/>
      <c r="P761" s="165"/>
      <c r="Q761" s="165"/>
    </row>
    <row r="762" ht="15.75" customHeight="1">
      <c r="B762" s="12"/>
      <c r="C762" s="7"/>
      <c r="E762" s="165"/>
      <c r="F762" s="165"/>
      <c r="G762" s="165"/>
      <c r="H762" s="165"/>
      <c r="I762" s="165"/>
      <c r="J762" s="165"/>
      <c r="K762" s="165"/>
      <c r="L762" s="165"/>
      <c r="M762" s="165"/>
      <c r="N762" s="165"/>
      <c r="O762" s="165"/>
      <c r="P762" s="165"/>
      <c r="Q762" s="165"/>
    </row>
    <row r="763" ht="15.75" customHeight="1">
      <c r="B763" s="12"/>
      <c r="C763" s="7"/>
      <c r="E763" s="165"/>
      <c r="F763" s="165"/>
      <c r="G763" s="165"/>
      <c r="H763" s="165"/>
      <c r="I763" s="165"/>
      <c r="J763" s="165"/>
      <c r="K763" s="165"/>
      <c r="L763" s="165"/>
      <c r="M763" s="165"/>
      <c r="N763" s="165"/>
      <c r="O763" s="165"/>
      <c r="P763" s="165"/>
      <c r="Q763" s="165"/>
    </row>
    <row r="764" ht="15.75" customHeight="1">
      <c r="B764" s="12"/>
      <c r="C764" s="7"/>
      <c r="E764" s="165"/>
      <c r="F764" s="165"/>
      <c r="G764" s="165"/>
      <c r="H764" s="165"/>
      <c r="I764" s="165"/>
      <c r="J764" s="165"/>
      <c r="K764" s="165"/>
      <c r="L764" s="165"/>
      <c r="M764" s="165"/>
      <c r="N764" s="165"/>
      <c r="O764" s="165"/>
      <c r="P764" s="165"/>
      <c r="Q764" s="165"/>
    </row>
    <row r="765" ht="15.75" customHeight="1">
      <c r="B765" s="12"/>
      <c r="C765" s="7"/>
      <c r="E765" s="165"/>
      <c r="F765" s="165"/>
      <c r="G765" s="165"/>
      <c r="H765" s="165"/>
      <c r="I765" s="165"/>
      <c r="J765" s="165"/>
      <c r="K765" s="165"/>
      <c r="L765" s="165"/>
      <c r="M765" s="165"/>
      <c r="N765" s="165"/>
      <c r="O765" s="165"/>
      <c r="P765" s="165"/>
      <c r="Q765" s="165"/>
    </row>
    <row r="766" ht="15.75" customHeight="1">
      <c r="B766" s="12"/>
      <c r="C766" s="7"/>
      <c r="E766" s="165"/>
      <c r="F766" s="165"/>
      <c r="G766" s="165"/>
      <c r="H766" s="165"/>
      <c r="I766" s="165"/>
      <c r="J766" s="165"/>
      <c r="K766" s="165"/>
      <c r="L766" s="165"/>
      <c r="M766" s="165"/>
      <c r="N766" s="165"/>
      <c r="O766" s="165"/>
      <c r="P766" s="165"/>
      <c r="Q766" s="165"/>
    </row>
    <row r="767" ht="15.75" customHeight="1">
      <c r="B767" s="12"/>
      <c r="C767" s="7"/>
      <c r="E767" s="165"/>
      <c r="F767" s="165"/>
      <c r="G767" s="165"/>
      <c r="H767" s="165"/>
      <c r="I767" s="165"/>
      <c r="J767" s="165"/>
      <c r="K767" s="165"/>
      <c r="L767" s="165"/>
      <c r="M767" s="165"/>
      <c r="N767" s="165"/>
      <c r="O767" s="165"/>
      <c r="P767" s="165"/>
      <c r="Q767" s="165"/>
    </row>
    <row r="768" ht="15.75" customHeight="1">
      <c r="B768" s="12"/>
      <c r="C768" s="7"/>
      <c r="E768" s="165"/>
      <c r="F768" s="165"/>
      <c r="G768" s="165"/>
      <c r="H768" s="165"/>
      <c r="I768" s="165"/>
      <c r="J768" s="165"/>
      <c r="K768" s="165"/>
      <c r="L768" s="165"/>
      <c r="M768" s="165"/>
      <c r="N768" s="165"/>
      <c r="O768" s="165"/>
      <c r="P768" s="165"/>
      <c r="Q768" s="165"/>
    </row>
    <row r="769" ht="15.75" customHeight="1">
      <c r="B769" s="12"/>
      <c r="C769" s="7"/>
      <c r="E769" s="165"/>
      <c r="F769" s="165"/>
      <c r="G769" s="165"/>
      <c r="H769" s="165"/>
      <c r="I769" s="165"/>
      <c r="J769" s="165"/>
      <c r="K769" s="165"/>
      <c r="L769" s="165"/>
      <c r="M769" s="165"/>
      <c r="N769" s="165"/>
      <c r="O769" s="165"/>
      <c r="P769" s="165"/>
      <c r="Q769" s="165"/>
    </row>
    <row r="770" ht="15.75" customHeight="1">
      <c r="B770" s="12"/>
      <c r="C770" s="7"/>
      <c r="E770" s="165"/>
      <c r="F770" s="165"/>
      <c r="G770" s="165"/>
      <c r="H770" s="165"/>
      <c r="I770" s="165"/>
      <c r="J770" s="165"/>
      <c r="K770" s="165"/>
      <c r="L770" s="165"/>
      <c r="M770" s="165"/>
      <c r="N770" s="165"/>
      <c r="O770" s="165"/>
      <c r="P770" s="165"/>
      <c r="Q770" s="165"/>
    </row>
    <row r="771" ht="15.75" customHeight="1">
      <c r="B771" s="12"/>
      <c r="C771" s="7"/>
      <c r="E771" s="165"/>
      <c r="F771" s="165"/>
      <c r="G771" s="165"/>
      <c r="H771" s="165"/>
      <c r="I771" s="165"/>
      <c r="J771" s="165"/>
      <c r="K771" s="165"/>
      <c r="L771" s="165"/>
      <c r="M771" s="165"/>
      <c r="N771" s="165"/>
      <c r="O771" s="165"/>
      <c r="P771" s="165"/>
      <c r="Q771" s="165"/>
    </row>
    <row r="772" ht="15.75" customHeight="1">
      <c r="B772" s="12"/>
      <c r="C772" s="7"/>
      <c r="E772" s="165"/>
      <c r="F772" s="165"/>
      <c r="G772" s="165"/>
      <c r="H772" s="165"/>
      <c r="I772" s="165"/>
      <c r="J772" s="165"/>
      <c r="K772" s="165"/>
      <c r="L772" s="165"/>
      <c r="M772" s="165"/>
      <c r="N772" s="165"/>
      <c r="O772" s="165"/>
      <c r="P772" s="165"/>
      <c r="Q772" s="165"/>
    </row>
    <row r="773" ht="15.75" customHeight="1">
      <c r="B773" s="12"/>
      <c r="C773" s="7"/>
      <c r="E773" s="165"/>
      <c r="F773" s="165"/>
      <c r="G773" s="165"/>
      <c r="H773" s="165"/>
      <c r="I773" s="165"/>
      <c r="J773" s="165"/>
      <c r="K773" s="165"/>
      <c r="L773" s="165"/>
      <c r="M773" s="165"/>
      <c r="N773" s="165"/>
      <c r="O773" s="165"/>
      <c r="P773" s="165"/>
      <c r="Q773" s="165"/>
    </row>
    <row r="774" ht="15.75" customHeight="1">
      <c r="B774" s="12"/>
      <c r="C774" s="7"/>
      <c r="E774" s="165"/>
      <c r="F774" s="165"/>
      <c r="G774" s="165"/>
      <c r="H774" s="165"/>
      <c r="I774" s="165"/>
      <c r="J774" s="165"/>
      <c r="K774" s="165"/>
      <c r="L774" s="165"/>
      <c r="M774" s="165"/>
      <c r="N774" s="165"/>
      <c r="O774" s="165"/>
      <c r="P774" s="165"/>
      <c r="Q774" s="165"/>
    </row>
    <row r="775" ht="15.75" customHeight="1">
      <c r="B775" s="12"/>
      <c r="C775" s="7"/>
      <c r="E775" s="165"/>
      <c r="F775" s="165"/>
      <c r="G775" s="165"/>
      <c r="H775" s="165"/>
      <c r="I775" s="165"/>
      <c r="J775" s="165"/>
      <c r="K775" s="165"/>
      <c r="L775" s="165"/>
      <c r="M775" s="165"/>
      <c r="N775" s="165"/>
      <c r="O775" s="165"/>
      <c r="P775" s="165"/>
      <c r="Q775" s="165"/>
    </row>
    <row r="776" ht="15.75" customHeight="1">
      <c r="B776" s="12"/>
      <c r="C776" s="7"/>
      <c r="E776" s="165"/>
      <c r="F776" s="165"/>
      <c r="G776" s="165"/>
      <c r="H776" s="165"/>
      <c r="I776" s="165"/>
      <c r="J776" s="165"/>
      <c r="K776" s="165"/>
      <c r="L776" s="165"/>
      <c r="M776" s="165"/>
      <c r="N776" s="165"/>
      <c r="O776" s="165"/>
      <c r="P776" s="165"/>
      <c r="Q776" s="165"/>
    </row>
    <row r="777" ht="15.75" customHeight="1">
      <c r="B777" s="12"/>
      <c r="C777" s="7"/>
      <c r="E777" s="165"/>
      <c r="F777" s="165"/>
      <c r="G777" s="165"/>
      <c r="H777" s="165"/>
      <c r="I777" s="165"/>
      <c r="J777" s="165"/>
      <c r="K777" s="165"/>
      <c r="L777" s="165"/>
      <c r="M777" s="165"/>
      <c r="N777" s="165"/>
      <c r="O777" s="165"/>
      <c r="P777" s="165"/>
      <c r="Q777" s="165"/>
    </row>
    <row r="778" ht="15.75" customHeight="1">
      <c r="B778" s="12"/>
      <c r="C778" s="7"/>
      <c r="E778" s="165"/>
      <c r="F778" s="165"/>
      <c r="G778" s="165"/>
      <c r="H778" s="165"/>
      <c r="I778" s="165"/>
      <c r="J778" s="165"/>
      <c r="K778" s="165"/>
      <c r="L778" s="165"/>
      <c r="M778" s="165"/>
      <c r="N778" s="165"/>
      <c r="O778" s="165"/>
      <c r="P778" s="165"/>
      <c r="Q778" s="165"/>
    </row>
    <row r="779" ht="15.75" customHeight="1">
      <c r="B779" s="12"/>
      <c r="C779" s="7"/>
      <c r="E779" s="165"/>
      <c r="F779" s="165"/>
      <c r="G779" s="165"/>
      <c r="H779" s="165"/>
      <c r="I779" s="165"/>
      <c r="J779" s="165"/>
      <c r="K779" s="165"/>
      <c r="L779" s="165"/>
      <c r="M779" s="165"/>
      <c r="N779" s="165"/>
      <c r="O779" s="165"/>
      <c r="P779" s="165"/>
      <c r="Q779" s="165"/>
    </row>
    <row r="780" ht="15.75" customHeight="1">
      <c r="B780" s="12"/>
      <c r="C780" s="7"/>
      <c r="E780" s="165"/>
      <c r="F780" s="165"/>
      <c r="G780" s="165"/>
      <c r="H780" s="165"/>
      <c r="I780" s="165"/>
      <c r="J780" s="165"/>
      <c r="K780" s="165"/>
      <c r="L780" s="165"/>
      <c r="M780" s="165"/>
      <c r="N780" s="165"/>
      <c r="O780" s="165"/>
      <c r="P780" s="165"/>
      <c r="Q780" s="165"/>
    </row>
    <row r="781" ht="15.75" customHeight="1">
      <c r="B781" s="12"/>
      <c r="C781" s="7"/>
      <c r="E781" s="165"/>
      <c r="F781" s="165"/>
      <c r="G781" s="165"/>
      <c r="H781" s="165"/>
      <c r="I781" s="165"/>
      <c r="J781" s="165"/>
      <c r="K781" s="165"/>
      <c r="L781" s="165"/>
      <c r="M781" s="165"/>
      <c r="N781" s="165"/>
      <c r="O781" s="165"/>
      <c r="P781" s="165"/>
      <c r="Q781" s="165"/>
    </row>
    <row r="782" ht="15.75" customHeight="1">
      <c r="B782" s="12"/>
      <c r="C782" s="7"/>
      <c r="E782" s="165"/>
      <c r="F782" s="165"/>
      <c r="G782" s="165"/>
      <c r="H782" s="165"/>
      <c r="I782" s="165"/>
      <c r="J782" s="165"/>
      <c r="K782" s="165"/>
      <c r="L782" s="165"/>
      <c r="M782" s="165"/>
      <c r="N782" s="165"/>
      <c r="O782" s="165"/>
      <c r="P782" s="165"/>
      <c r="Q782" s="165"/>
    </row>
    <row r="783" ht="15.75" customHeight="1">
      <c r="B783" s="12"/>
      <c r="C783" s="7"/>
      <c r="E783" s="165"/>
      <c r="F783" s="165"/>
      <c r="G783" s="165"/>
      <c r="H783" s="165"/>
      <c r="I783" s="165"/>
      <c r="J783" s="165"/>
      <c r="K783" s="165"/>
      <c r="L783" s="165"/>
      <c r="M783" s="165"/>
      <c r="N783" s="165"/>
      <c r="O783" s="165"/>
      <c r="P783" s="165"/>
      <c r="Q783" s="165"/>
    </row>
    <row r="784" ht="15.75" customHeight="1">
      <c r="B784" s="12"/>
      <c r="C784" s="7"/>
      <c r="E784" s="165"/>
      <c r="F784" s="165"/>
      <c r="G784" s="165"/>
      <c r="H784" s="165"/>
      <c r="I784" s="165"/>
      <c r="J784" s="165"/>
      <c r="K784" s="165"/>
      <c r="L784" s="165"/>
      <c r="M784" s="165"/>
      <c r="N784" s="165"/>
      <c r="O784" s="165"/>
      <c r="P784" s="165"/>
      <c r="Q784" s="165"/>
    </row>
    <row r="785" ht="15.75" customHeight="1">
      <c r="B785" s="12"/>
      <c r="C785" s="7"/>
      <c r="E785" s="165"/>
      <c r="F785" s="165"/>
      <c r="G785" s="165"/>
      <c r="H785" s="165"/>
      <c r="I785" s="165"/>
      <c r="J785" s="165"/>
      <c r="K785" s="165"/>
      <c r="L785" s="165"/>
      <c r="M785" s="165"/>
      <c r="N785" s="165"/>
      <c r="O785" s="165"/>
      <c r="P785" s="165"/>
      <c r="Q785" s="165"/>
    </row>
    <row r="786" ht="15.75" customHeight="1">
      <c r="B786" s="12"/>
      <c r="C786" s="7"/>
      <c r="E786" s="165"/>
      <c r="F786" s="165"/>
      <c r="G786" s="165"/>
      <c r="H786" s="165"/>
      <c r="I786" s="165"/>
      <c r="J786" s="165"/>
      <c r="K786" s="165"/>
      <c r="L786" s="165"/>
      <c r="M786" s="165"/>
      <c r="N786" s="165"/>
      <c r="O786" s="165"/>
      <c r="P786" s="165"/>
      <c r="Q786" s="165"/>
    </row>
    <row r="787" ht="15.75" customHeight="1">
      <c r="B787" s="12"/>
      <c r="C787" s="7"/>
      <c r="E787" s="165"/>
      <c r="F787" s="165"/>
      <c r="G787" s="165"/>
      <c r="H787" s="165"/>
      <c r="I787" s="165"/>
      <c r="J787" s="165"/>
      <c r="K787" s="165"/>
      <c r="L787" s="165"/>
      <c r="M787" s="165"/>
      <c r="N787" s="165"/>
      <c r="O787" s="165"/>
      <c r="P787" s="165"/>
      <c r="Q787" s="165"/>
    </row>
    <row r="788" ht="15.75" customHeight="1">
      <c r="B788" s="12"/>
      <c r="C788" s="7"/>
      <c r="E788" s="165"/>
      <c r="F788" s="165"/>
      <c r="G788" s="165"/>
      <c r="H788" s="165"/>
      <c r="I788" s="165"/>
      <c r="J788" s="165"/>
      <c r="K788" s="165"/>
      <c r="L788" s="165"/>
      <c r="M788" s="165"/>
      <c r="N788" s="165"/>
      <c r="O788" s="165"/>
      <c r="P788" s="165"/>
      <c r="Q788" s="165"/>
    </row>
    <row r="789" ht="15.75" customHeight="1">
      <c r="B789" s="12"/>
      <c r="C789" s="7"/>
      <c r="E789" s="165"/>
      <c r="F789" s="165"/>
      <c r="G789" s="165"/>
      <c r="H789" s="165"/>
      <c r="I789" s="165"/>
      <c r="J789" s="165"/>
      <c r="K789" s="165"/>
      <c r="L789" s="165"/>
      <c r="M789" s="165"/>
      <c r="N789" s="165"/>
      <c r="O789" s="165"/>
      <c r="P789" s="165"/>
      <c r="Q789" s="165"/>
    </row>
    <row r="790" ht="15.75" customHeight="1">
      <c r="B790" s="12"/>
      <c r="C790" s="7"/>
      <c r="E790" s="165"/>
      <c r="F790" s="165"/>
      <c r="G790" s="165"/>
      <c r="H790" s="165"/>
      <c r="I790" s="165"/>
      <c r="J790" s="165"/>
      <c r="K790" s="165"/>
      <c r="L790" s="165"/>
      <c r="M790" s="165"/>
      <c r="N790" s="165"/>
      <c r="O790" s="165"/>
      <c r="P790" s="165"/>
      <c r="Q790" s="165"/>
    </row>
    <row r="791" ht="15.75" customHeight="1">
      <c r="B791" s="12"/>
      <c r="C791" s="7"/>
      <c r="E791" s="165"/>
      <c r="F791" s="165"/>
      <c r="G791" s="165"/>
      <c r="H791" s="165"/>
      <c r="I791" s="165"/>
      <c r="J791" s="165"/>
      <c r="K791" s="165"/>
      <c r="L791" s="165"/>
      <c r="M791" s="165"/>
      <c r="N791" s="165"/>
      <c r="O791" s="165"/>
      <c r="P791" s="165"/>
      <c r="Q791" s="165"/>
    </row>
    <row r="792" ht="15.75" customHeight="1">
      <c r="B792" s="12"/>
      <c r="C792" s="7"/>
      <c r="E792" s="165"/>
      <c r="F792" s="165"/>
      <c r="G792" s="165"/>
      <c r="H792" s="165"/>
      <c r="I792" s="165"/>
      <c r="J792" s="165"/>
      <c r="K792" s="165"/>
      <c r="L792" s="165"/>
      <c r="M792" s="165"/>
      <c r="N792" s="165"/>
      <c r="O792" s="165"/>
      <c r="P792" s="165"/>
      <c r="Q792" s="165"/>
    </row>
    <row r="793" ht="15.75" customHeight="1">
      <c r="B793" s="12"/>
      <c r="C793" s="7"/>
      <c r="E793" s="165"/>
      <c r="F793" s="165"/>
      <c r="G793" s="165"/>
      <c r="H793" s="165"/>
      <c r="I793" s="165"/>
      <c r="J793" s="165"/>
      <c r="K793" s="165"/>
      <c r="L793" s="165"/>
      <c r="M793" s="165"/>
      <c r="N793" s="165"/>
      <c r="O793" s="165"/>
      <c r="P793" s="165"/>
      <c r="Q793" s="165"/>
    </row>
    <row r="794" ht="15.75" customHeight="1">
      <c r="B794" s="12"/>
      <c r="C794" s="7"/>
      <c r="E794" s="165"/>
      <c r="F794" s="165"/>
      <c r="G794" s="165"/>
      <c r="H794" s="165"/>
      <c r="I794" s="165"/>
      <c r="J794" s="165"/>
      <c r="K794" s="165"/>
      <c r="L794" s="165"/>
      <c r="M794" s="165"/>
      <c r="N794" s="165"/>
      <c r="O794" s="165"/>
      <c r="P794" s="165"/>
      <c r="Q794" s="165"/>
    </row>
    <row r="795" ht="15.75" customHeight="1">
      <c r="B795" s="12"/>
      <c r="C795" s="7"/>
      <c r="E795" s="165"/>
      <c r="F795" s="165"/>
      <c r="G795" s="165"/>
      <c r="H795" s="165"/>
      <c r="I795" s="165"/>
      <c r="J795" s="165"/>
      <c r="K795" s="165"/>
      <c r="L795" s="165"/>
      <c r="M795" s="165"/>
      <c r="N795" s="165"/>
      <c r="O795" s="165"/>
      <c r="P795" s="165"/>
      <c r="Q795" s="165"/>
    </row>
    <row r="796" ht="15.75" customHeight="1">
      <c r="B796" s="12"/>
      <c r="C796" s="7"/>
      <c r="E796" s="165"/>
      <c r="F796" s="165"/>
      <c r="G796" s="165"/>
      <c r="H796" s="165"/>
      <c r="I796" s="165"/>
      <c r="J796" s="165"/>
      <c r="K796" s="165"/>
      <c r="L796" s="165"/>
      <c r="M796" s="165"/>
      <c r="N796" s="165"/>
      <c r="O796" s="165"/>
      <c r="P796" s="165"/>
      <c r="Q796" s="165"/>
    </row>
    <row r="797" ht="15.75" customHeight="1">
      <c r="B797" s="12"/>
      <c r="C797" s="7"/>
      <c r="E797" s="165"/>
      <c r="F797" s="165"/>
      <c r="G797" s="165"/>
      <c r="H797" s="165"/>
      <c r="I797" s="165"/>
      <c r="J797" s="165"/>
      <c r="K797" s="165"/>
      <c r="L797" s="165"/>
      <c r="M797" s="165"/>
      <c r="N797" s="165"/>
      <c r="O797" s="165"/>
      <c r="P797" s="165"/>
      <c r="Q797" s="165"/>
    </row>
    <row r="798" ht="15.75" customHeight="1">
      <c r="B798" s="12"/>
      <c r="C798" s="7"/>
      <c r="E798" s="165"/>
      <c r="F798" s="165"/>
      <c r="G798" s="165"/>
      <c r="H798" s="165"/>
      <c r="I798" s="165"/>
      <c r="J798" s="165"/>
      <c r="K798" s="165"/>
      <c r="L798" s="165"/>
      <c r="M798" s="165"/>
      <c r="N798" s="165"/>
      <c r="O798" s="165"/>
      <c r="P798" s="165"/>
      <c r="Q798" s="165"/>
    </row>
    <row r="799" ht="15.75" customHeight="1">
      <c r="B799" s="12"/>
      <c r="C799" s="7"/>
      <c r="E799" s="165"/>
      <c r="F799" s="165"/>
      <c r="G799" s="165"/>
      <c r="H799" s="165"/>
      <c r="I799" s="165"/>
      <c r="J799" s="165"/>
      <c r="K799" s="165"/>
      <c r="L799" s="165"/>
      <c r="M799" s="165"/>
      <c r="N799" s="165"/>
      <c r="O799" s="165"/>
      <c r="P799" s="165"/>
      <c r="Q799" s="165"/>
    </row>
    <row r="800" ht="15.75" customHeight="1">
      <c r="B800" s="12"/>
      <c r="C800" s="7"/>
      <c r="E800" s="165"/>
      <c r="F800" s="165"/>
      <c r="G800" s="165"/>
      <c r="H800" s="165"/>
      <c r="I800" s="165"/>
      <c r="J800" s="165"/>
      <c r="K800" s="165"/>
      <c r="L800" s="165"/>
      <c r="M800" s="165"/>
      <c r="N800" s="165"/>
      <c r="O800" s="165"/>
      <c r="P800" s="165"/>
      <c r="Q800" s="165"/>
    </row>
    <row r="801" ht="15.75" customHeight="1">
      <c r="B801" s="12"/>
      <c r="C801" s="7"/>
      <c r="E801" s="165"/>
      <c r="F801" s="165"/>
      <c r="G801" s="165"/>
      <c r="H801" s="165"/>
      <c r="I801" s="165"/>
      <c r="J801" s="165"/>
      <c r="K801" s="165"/>
      <c r="L801" s="165"/>
      <c r="M801" s="165"/>
      <c r="N801" s="165"/>
      <c r="O801" s="165"/>
      <c r="P801" s="165"/>
      <c r="Q801" s="165"/>
    </row>
    <row r="802" ht="15.75" customHeight="1">
      <c r="B802" s="12"/>
      <c r="C802" s="7"/>
      <c r="E802" s="165"/>
      <c r="F802" s="165"/>
      <c r="G802" s="165"/>
      <c r="H802" s="165"/>
      <c r="I802" s="165"/>
      <c r="J802" s="165"/>
      <c r="K802" s="165"/>
      <c r="L802" s="165"/>
      <c r="M802" s="165"/>
      <c r="N802" s="165"/>
      <c r="O802" s="165"/>
      <c r="P802" s="165"/>
      <c r="Q802" s="165"/>
    </row>
    <row r="803" ht="15.75" customHeight="1">
      <c r="B803" s="12"/>
      <c r="C803" s="7"/>
      <c r="E803" s="165"/>
      <c r="F803" s="165"/>
      <c r="G803" s="165"/>
      <c r="H803" s="165"/>
      <c r="I803" s="165"/>
      <c r="J803" s="165"/>
      <c r="K803" s="165"/>
      <c r="L803" s="165"/>
      <c r="M803" s="165"/>
      <c r="N803" s="165"/>
      <c r="O803" s="165"/>
      <c r="P803" s="165"/>
      <c r="Q803" s="165"/>
    </row>
    <row r="804" ht="15.75" customHeight="1">
      <c r="B804" s="12"/>
      <c r="C804" s="7"/>
      <c r="E804" s="165"/>
      <c r="F804" s="165"/>
      <c r="G804" s="165"/>
      <c r="H804" s="165"/>
      <c r="I804" s="165"/>
      <c r="J804" s="165"/>
      <c r="K804" s="165"/>
      <c r="L804" s="165"/>
      <c r="M804" s="165"/>
      <c r="N804" s="165"/>
      <c r="O804" s="165"/>
      <c r="P804" s="165"/>
      <c r="Q804" s="165"/>
    </row>
    <row r="805" ht="15.75" customHeight="1">
      <c r="B805" s="12"/>
      <c r="C805" s="7"/>
      <c r="E805" s="165"/>
      <c r="F805" s="165"/>
      <c r="G805" s="165"/>
      <c r="H805" s="165"/>
      <c r="I805" s="165"/>
      <c r="J805" s="165"/>
      <c r="K805" s="165"/>
      <c r="L805" s="165"/>
      <c r="M805" s="165"/>
      <c r="N805" s="165"/>
      <c r="O805" s="165"/>
      <c r="P805" s="165"/>
      <c r="Q805" s="165"/>
    </row>
    <row r="806" ht="15.75" customHeight="1">
      <c r="B806" s="12"/>
      <c r="C806" s="7"/>
      <c r="E806" s="165"/>
      <c r="F806" s="165"/>
      <c r="G806" s="165"/>
      <c r="H806" s="165"/>
      <c r="I806" s="165"/>
      <c r="J806" s="165"/>
      <c r="K806" s="165"/>
      <c r="L806" s="165"/>
      <c r="M806" s="165"/>
      <c r="N806" s="165"/>
      <c r="O806" s="165"/>
      <c r="P806" s="165"/>
      <c r="Q806" s="165"/>
    </row>
    <row r="807" ht="15.75" customHeight="1">
      <c r="B807" s="12"/>
      <c r="C807" s="7"/>
      <c r="E807" s="165"/>
      <c r="F807" s="165"/>
      <c r="G807" s="165"/>
      <c r="H807" s="165"/>
      <c r="I807" s="165"/>
      <c r="J807" s="165"/>
      <c r="K807" s="165"/>
      <c r="L807" s="165"/>
      <c r="M807" s="165"/>
      <c r="N807" s="165"/>
      <c r="O807" s="165"/>
      <c r="P807" s="165"/>
      <c r="Q807" s="165"/>
    </row>
    <row r="808" ht="15.75" customHeight="1">
      <c r="B808" s="12"/>
      <c r="C808" s="7"/>
      <c r="E808" s="165"/>
      <c r="F808" s="165"/>
      <c r="G808" s="165"/>
      <c r="H808" s="165"/>
      <c r="I808" s="165"/>
      <c r="J808" s="165"/>
      <c r="K808" s="165"/>
      <c r="L808" s="165"/>
      <c r="M808" s="165"/>
      <c r="N808" s="165"/>
      <c r="O808" s="165"/>
      <c r="P808" s="165"/>
      <c r="Q808" s="165"/>
    </row>
    <row r="809" ht="15.75" customHeight="1">
      <c r="B809" s="12"/>
      <c r="C809" s="7"/>
      <c r="E809" s="165"/>
      <c r="F809" s="165"/>
      <c r="G809" s="165"/>
      <c r="H809" s="165"/>
      <c r="I809" s="165"/>
      <c r="J809" s="165"/>
      <c r="K809" s="165"/>
      <c r="L809" s="165"/>
      <c r="M809" s="165"/>
      <c r="N809" s="165"/>
      <c r="O809" s="165"/>
      <c r="P809" s="165"/>
      <c r="Q809" s="165"/>
    </row>
    <row r="810" ht="15.75" customHeight="1">
      <c r="B810" s="12"/>
      <c r="C810" s="7"/>
      <c r="E810" s="165"/>
      <c r="F810" s="165"/>
      <c r="G810" s="165"/>
      <c r="H810" s="165"/>
      <c r="I810" s="165"/>
      <c r="J810" s="165"/>
      <c r="K810" s="165"/>
      <c r="L810" s="165"/>
      <c r="M810" s="165"/>
      <c r="N810" s="165"/>
      <c r="O810" s="165"/>
      <c r="P810" s="165"/>
      <c r="Q810" s="165"/>
    </row>
    <row r="811" ht="15.75" customHeight="1">
      <c r="B811" s="12"/>
      <c r="C811" s="7"/>
      <c r="E811" s="165"/>
      <c r="F811" s="165"/>
      <c r="G811" s="165"/>
      <c r="H811" s="165"/>
      <c r="I811" s="165"/>
      <c r="J811" s="165"/>
      <c r="K811" s="165"/>
      <c r="L811" s="165"/>
      <c r="M811" s="165"/>
      <c r="N811" s="165"/>
      <c r="O811" s="165"/>
      <c r="P811" s="165"/>
      <c r="Q811" s="165"/>
    </row>
    <row r="812" ht="15.75" customHeight="1">
      <c r="B812" s="12"/>
      <c r="C812" s="7"/>
      <c r="E812" s="165"/>
      <c r="F812" s="165"/>
      <c r="G812" s="165"/>
      <c r="H812" s="165"/>
      <c r="I812" s="165"/>
      <c r="J812" s="165"/>
      <c r="K812" s="165"/>
      <c r="L812" s="165"/>
      <c r="M812" s="165"/>
      <c r="N812" s="165"/>
      <c r="O812" s="165"/>
      <c r="P812" s="165"/>
      <c r="Q812" s="165"/>
    </row>
    <row r="813" ht="15.75" customHeight="1">
      <c r="B813" s="12"/>
      <c r="C813" s="7"/>
      <c r="E813" s="165"/>
      <c r="F813" s="165"/>
      <c r="G813" s="165"/>
      <c r="H813" s="165"/>
      <c r="I813" s="165"/>
      <c r="J813" s="165"/>
      <c r="K813" s="165"/>
      <c r="L813" s="165"/>
      <c r="M813" s="165"/>
      <c r="N813" s="165"/>
      <c r="O813" s="165"/>
      <c r="P813" s="165"/>
      <c r="Q813" s="165"/>
    </row>
    <row r="814" ht="15.75" customHeight="1">
      <c r="B814" s="12"/>
      <c r="C814" s="7"/>
      <c r="E814" s="165"/>
      <c r="F814" s="165"/>
      <c r="G814" s="165"/>
      <c r="H814" s="165"/>
      <c r="I814" s="165"/>
      <c r="J814" s="165"/>
      <c r="K814" s="165"/>
      <c r="L814" s="165"/>
      <c r="M814" s="165"/>
      <c r="N814" s="165"/>
      <c r="O814" s="165"/>
      <c r="P814" s="165"/>
      <c r="Q814" s="165"/>
    </row>
    <row r="815" ht="15.75" customHeight="1">
      <c r="B815" s="12"/>
      <c r="C815" s="7"/>
      <c r="E815" s="165"/>
      <c r="F815" s="165"/>
      <c r="G815" s="165"/>
      <c r="H815" s="165"/>
      <c r="I815" s="165"/>
      <c r="J815" s="165"/>
      <c r="K815" s="165"/>
      <c r="L815" s="165"/>
      <c r="M815" s="165"/>
      <c r="N815" s="165"/>
      <c r="O815" s="165"/>
      <c r="P815" s="165"/>
      <c r="Q815" s="165"/>
    </row>
    <row r="816" ht="15.75" customHeight="1">
      <c r="B816" s="12"/>
      <c r="C816" s="7"/>
      <c r="E816" s="165"/>
      <c r="F816" s="165"/>
      <c r="G816" s="165"/>
      <c r="H816" s="165"/>
      <c r="I816" s="165"/>
      <c r="J816" s="165"/>
      <c r="K816" s="165"/>
      <c r="L816" s="165"/>
      <c r="M816" s="165"/>
      <c r="N816" s="165"/>
      <c r="O816" s="165"/>
      <c r="P816" s="165"/>
      <c r="Q816" s="165"/>
    </row>
    <row r="817" ht="15.75" customHeight="1">
      <c r="B817" s="12"/>
      <c r="C817" s="7"/>
      <c r="E817" s="165"/>
      <c r="F817" s="165"/>
      <c r="G817" s="165"/>
      <c r="H817" s="165"/>
      <c r="I817" s="165"/>
      <c r="J817" s="165"/>
      <c r="K817" s="165"/>
      <c r="L817" s="165"/>
      <c r="M817" s="165"/>
      <c r="N817" s="165"/>
      <c r="O817" s="165"/>
      <c r="P817" s="165"/>
      <c r="Q817" s="165"/>
    </row>
    <row r="818" ht="15.75" customHeight="1">
      <c r="B818" s="12"/>
      <c r="C818" s="7"/>
      <c r="E818" s="165"/>
      <c r="F818" s="165"/>
      <c r="G818" s="165"/>
      <c r="H818" s="165"/>
      <c r="I818" s="165"/>
      <c r="J818" s="165"/>
      <c r="K818" s="165"/>
      <c r="L818" s="165"/>
      <c r="M818" s="165"/>
      <c r="N818" s="165"/>
      <c r="O818" s="165"/>
      <c r="P818" s="165"/>
      <c r="Q818" s="165"/>
    </row>
    <row r="819" ht="15.75" customHeight="1">
      <c r="B819" s="12"/>
      <c r="C819" s="7"/>
      <c r="E819" s="165"/>
      <c r="F819" s="165"/>
      <c r="G819" s="165"/>
      <c r="H819" s="165"/>
      <c r="I819" s="165"/>
      <c r="J819" s="165"/>
      <c r="K819" s="165"/>
      <c r="L819" s="165"/>
      <c r="M819" s="165"/>
      <c r="N819" s="165"/>
      <c r="O819" s="165"/>
      <c r="P819" s="165"/>
      <c r="Q819" s="165"/>
    </row>
    <row r="820" ht="15.75" customHeight="1">
      <c r="B820" s="12"/>
      <c r="C820" s="7"/>
      <c r="E820" s="165"/>
      <c r="F820" s="165"/>
      <c r="G820" s="165"/>
      <c r="H820" s="165"/>
      <c r="I820" s="165"/>
      <c r="J820" s="165"/>
      <c r="K820" s="165"/>
      <c r="L820" s="165"/>
      <c r="M820" s="165"/>
      <c r="N820" s="165"/>
      <c r="O820" s="165"/>
      <c r="P820" s="165"/>
      <c r="Q820" s="165"/>
    </row>
    <row r="821" ht="15.75" customHeight="1">
      <c r="B821" s="12"/>
      <c r="C821" s="7"/>
      <c r="E821" s="165"/>
      <c r="F821" s="165"/>
      <c r="G821" s="165"/>
      <c r="H821" s="165"/>
      <c r="I821" s="165"/>
      <c r="J821" s="165"/>
      <c r="K821" s="165"/>
      <c r="L821" s="165"/>
      <c r="M821" s="165"/>
      <c r="N821" s="165"/>
      <c r="O821" s="165"/>
      <c r="P821" s="165"/>
      <c r="Q821" s="165"/>
    </row>
    <row r="822" ht="15.75" customHeight="1">
      <c r="B822" s="12"/>
      <c r="C822" s="7"/>
      <c r="E822" s="165"/>
      <c r="F822" s="165"/>
      <c r="G822" s="165"/>
      <c r="H822" s="165"/>
      <c r="I822" s="165"/>
      <c r="J822" s="165"/>
      <c r="K822" s="165"/>
      <c r="L822" s="165"/>
      <c r="M822" s="165"/>
      <c r="N822" s="165"/>
      <c r="O822" s="165"/>
      <c r="P822" s="165"/>
      <c r="Q822" s="165"/>
    </row>
    <row r="823" ht="15.75" customHeight="1">
      <c r="B823" s="12"/>
      <c r="C823" s="7"/>
      <c r="E823" s="165"/>
      <c r="F823" s="165"/>
      <c r="G823" s="165"/>
      <c r="H823" s="165"/>
      <c r="I823" s="165"/>
      <c r="J823" s="165"/>
      <c r="K823" s="165"/>
      <c r="L823" s="165"/>
      <c r="M823" s="165"/>
      <c r="N823" s="165"/>
      <c r="O823" s="165"/>
      <c r="P823" s="165"/>
      <c r="Q823" s="165"/>
    </row>
    <row r="824" ht="15.75" customHeight="1">
      <c r="B824" s="12"/>
      <c r="C824" s="7"/>
      <c r="E824" s="165"/>
      <c r="F824" s="165"/>
      <c r="G824" s="165"/>
      <c r="H824" s="165"/>
      <c r="I824" s="165"/>
      <c r="J824" s="165"/>
      <c r="K824" s="165"/>
      <c r="L824" s="165"/>
      <c r="M824" s="165"/>
      <c r="N824" s="165"/>
      <c r="O824" s="165"/>
      <c r="P824" s="165"/>
      <c r="Q824" s="165"/>
    </row>
    <row r="825" ht="15.75" customHeight="1">
      <c r="B825" s="12"/>
      <c r="C825" s="7"/>
      <c r="E825" s="165"/>
      <c r="F825" s="165"/>
      <c r="G825" s="165"/>
      <c r="H825" s="165"/>
      <c r="I825" s="165"/>
      <c r="J825" s="165"/>
      <c r="K825" s="165"/>
      <c r="L825" s="165"/>
      <c r="M825" s="165"/>
      <c r="N825" s="165"/>
      <c r="O825" s="165"/>
      <c r="P825" s="165"/>
      <c r="Q825" s="165"/>
    </row>
    <row r="826" ht="15.75" customHeight="1">
      <c r="B826" s="12"/>
      <c r="C826" s="7"/>
      <c r="E826" s="165"/>
      <c r="F826" s="165"/>
      <c r="G826" s="165"/>
      <c r="H826" s="165"/>
      <c r="I826" s="165"/>
      <c r="J826" s="165"/>
      <c r="K826" s="165"/>
      <c r="L826" s="165"/>
      <c r="M826" s="165"/>
      <c r="N826" s="165"/>
      <c r="O826" s="165"/>
      <c r="P826" s="165"/>
      <c r="Q826" s="165"/>
    </row>
    <row r="827" ht="15.75" customHeight="1">
      <c r="B827" s="12"/>
      <c r="C827" s="7"/>
      <c r="E827" s="165"/>
      <c r="F827" s="165"/>
      <c r="G827" s="165"/>
      <c r="H827" s="165"/>
      <c r="I827" s="165"/>
      <c r="J827" s="165"/>
      <c r="K827" s="165"/>
      <c r="L827" s="165"/>
      <c r="M827" s="165"/>
      <c r="N827" s="165"/>
      <c r="O827" s="165"/>
      <c r="P827" s="165"/>
      <c r="Q827" s="165"/>
    </row>
    <row r="828" ht="15.75" customHeight="1">
      <c r="B828" s="12"/>
      <c r="C828" s="7"/>
      <c r="E828" s="165"/>
      <c r="F828" s="165"/>
      <c r="G828" s="165"/>
      <c r="H828" s="165"/>
      <c r="I828" s="165"/>
      <c r="J828" s="165"/>
      <c r="K828" s="165"/>
      <c r="L828" s="165"/>
      <c r="M828" s="165"/>
      <c r="N828" s="165"/>
      <c r="O828" s="165"/>
      <c r="P828" s="165"/>
      <c r="Q828" s="165"/>
    </row>
    <row r="829" ht="15.75" customHeight="1">
      <c r="B829" s="12"/>
      <c r="C829" s="7"/>
      <c r="E829" s="165"/>
      <c r="F829" s="165"/>
      <c r="G829" s="165"/>
      <c r="H829" s="165"/>
      <c r="I829" s="165"/>
      <c r="J829" s="165"/>
      <c r="K829" s="165"/>
      <c r="L829" s="165"/>
      <c r="M829" s="165"/>
      <c r="N829" s="165"/>
      <c r="O829" s="165"/>
      <c r="P829" s="165"/>
      <c r="Q829" s="165"/>
    </row>
    <row r="830" ht="15.75" customHeight="1">
      <c r="B830" s="12"/>
      <c r="C830" s="7"/>
      <c r="E830" s="165"/>
      <c r="F830" s="165"/>
      <c r="G830" s="165"/>
      <c r="H830" s="165"/>
      <c r="I830" s="165"/>
      <c r="J830" s="165"/>
      <c r="K830" s="165"/>
      <c r="L830" s="165"/>
      <c r="M830" s="165"/>
      <c r="N830" s="165"/>
      <c r="O830" s="165"/>
      <c r="P830" s="165"/>
      <c r="Q830" s="165"/>
    </row>
    <row r="831" ht="15.75" customHeight="1">
      <c r="B831" s="12"/>
      <c r="C831" s="7"/>
      <c r="E831" s="165"/>
      <c r="F831" s="165"/>
      <c r="G831" s="165"/>
      <c r="H831" s="165"/>
      <c r="I831" s="165"/>
      <c r="J831" s="165"/>
      <c r="K831" s="165"/>
      <c r="L831" s="165"/>
      <c r="M831" s="165"/>
      <c r="N831" s="165"/>
      <c r="O831" s="165"/>
      <c r="P831" s="165"/>
      <c r="Q831" s="165"/>
    </row>
    <row r="832" ht="15.75" customHeight="1">
      <c r="B832" s="12"/>
      <c r="C832" s="7"/>
      <c r="E832" s="165"/>
      <c r="F832" s="165"/>
      <c r="G832" s="165"/>
      <c r="H832" s="165"/>
      <c r="I832" s="165"/>
      <c r="J832" s="165"/>
      <c r="K832" s="165"/>
      <c r="L832" s="165"/>
      <c r="M832" s="165"/>
      <c r="N832" s="165"/>
      <c r="O832" s="165"/>
      <c r="P832" s="165"/>
      <c r="Q832" s="165"/>
    </row>
    <row r="833" ht="15.75" customHeight="1">
      <c r="B833" s="12"/>
      <c r="C833" s="7"/>
      <c r="E833" s="165"/>
      <c r="F833" s="165"/>
      <c r="G833" s="165"/>
      <c r="H833" s="165"/>
      <c r="I833" s="165"/>
      <c r="J833" s="165"/>
      <c r="K833" s="165"/>
      <c r="L833" s="165"/>
      <c r="M833" s="165"/>
      <c r="N833" s="165"/>
      <c r="O833" s="165"/>
      <c r="P833" s="165"/>
      <c r="Q833" s="165"/>
    </row>
    <row r="834" ht="15.75" customHeight="1">
      <c r="B834" s="12"/>
      <c r="C834" s="7"/>
      <c r="E834" s="165"/>
      <c r="F834" s="165"/>
      <c r="G834" s="165"/>
      <c r="H834" s="165"/>
      <c r="I834" s="165"/>
      <c r="J834" s="165"/>
      <c r="K834" s="165"/>
      <c r="L834" s="165"/>
      <c r="M834" s="165"/>
      <c r="N834" s="165"/>
      <c r="O834" s="165"/>
      <c r="P834" s="165"/>
      <c r="Q834" s="165"/>
    </row>
    <row r="835" ht="15.75" customHeight="1">
      <c r="B835" s="12"/>
      <c r="C835" s="7"/>
      <c r="E835" s="165"/>
      <c r="F835" s="165"/>
      <c r="G835" s="165"/>
      <c r="H835" s="165"/>
      <c r="I835" s="165"/>
      <c r="J835" s="165"/>
      <c r="K835" s="165"/>
      <c r="L835" s="165"/>
      <c r="M835" s="165"/>
      <c r="N835" s="165"/>
      <c r="O835" s="165"/>
      <c r="P835" s="165"/>
      <c r="Q835" s="165"/>
    </row>
    <row r="836" ht="15.75" customHeight="1">
      <c r="B836" s="12"/>
      <c r="C836" s="7"/>
      <c r="E836" s="165"/>
      <c r="F836" s="165"/>
      <c r="G836" s="165"/>
      <c r="H836" s="165"/>
      <c r="I836" s="165"/>
      <c r="J836" s="165"/>
      <c r="K836" s="165"/>
      <c r="L836" s="165"/>
      <c r="M836" s="165"/>
      <c r="N836" s="165"/>
      <c r="O836" s="165"/>
      <c r="P836" s="165"/>
      <c r="Q836" s="165"/>
    </row>
    <row r="837" ht="15.75" customHeight="1">
      <c r="B837" s="12"/>
      <c r="C837" s="7"/>
      <c r="E837" s="165"/>
      <c r="F837" s="165"/>
      <c r="G837" s="165"/>
      <c r="H837" s="165"/>
      <c r="I837" s="165"/>
      <c r="J837" s="165"/>
      <c r="K837" s="165"/>
      <c r="L837" s="165"/>
      <c r="M837" s="165"/>
      <c r="N837" s="165"/>
      <c r="O837" s="165"/>
      <c r="P837" s="165"/>
      <c r="Q837" s="165"/>
    </row>
    <row r="838" ht="15.75" customHeight="1">
      <c r="B838" s="12"/>
      <c r="C838" s="7"/>
      <c r="E838" s="165"/>
      <c r="F838" s="165"/>
      <c r="G838" s="165"/>
      <c r="H838" s="165"/>
      <c r="I838" s="165"/>
      <c r="J838" s="165"/>
      <c r="K838" s="165"/>
      <c r="L838" s="165"/>
      <c r="M838" s="165"/>
      <c r="N838" s="165"/>
      <c r="O838" s="165"/>
      <c r="P838" s="165"/>
      <c r="Q838" s="165"/>
    </row>
    <row r="839" ht="15.75" customHeight="1">
      <c r="B839" s="12"/>
      <c r="C839" s="7"/>
      <c r="E839" s="165"/>
      <c r="F839" s="165"/>
      <c r="G839" s="165"/>
      <c r="H839" s="165"/>
      <c r="I839" s="165"/>
      <c r="J839" s="165"/>
      <c r="K839" s="165"/>
      <c r="L839" s="165"/>
      <c r="M839" s="165"/>
      <c r="N839" s="165"/>
      <c r="O839" s="165"/>
      <c r="P839" s="165"/>
      <c r="Q839" s="165"/>
    </row>
    <row r="840" ht="15.75" customHeight="1">
      <c r="B840" s="12"/>
      <c r="C840" s="7"/>
      <c r="E840" s="165"/>
      <c r="F840" s="165"/>
      <c r="G840" s="165"/>
      <c r="H840" s="165"/>
      <c r="I840" s="165"/>
      <c r="J840" s="165"/>
      <c r="K840" s="165"/>
      <c r="L840" s="165"/>
      <c r="M840" s="165"/>
      <c r="N840" s="165"/>
      <c r="O840" s="165"/>
      <c r="P840" s="165"/>
      <c r="Q840" s="165"/>
    </row>
    <row r="841" ht="15.75" customHeight="1">
      <c r="B841" s="12"/>
      <c r="C841" s="7"/>
      <c r="E841" s="165"/>
      <c r="F841" s="165"/>
      <c r="G841" s="165"/>
      <c r="H841" s="165"/>
      <c r="I841" s="165"/>
      <c r="J841" s="165"/>
      <c r="K841" s="165"/>
      <c r="L841" s="165"/>
      <c r="M841" s="165"/>
      <c r="N841" s="165"/>
      <c r="O841" s="165"/>
      <c r="P841" s="165"/>
      <c r="Q841" s="165"/>
    </row>
    <row r="842" ht="15.75" customHeight="1">
      <c r="B842" s="12"/>
      <c r="C842" s="7"/>
      <c r="E842" s="165"/>
      <c r="F842" s="165"/>
      <c r="G842" s="165"/>
      <c r="H842" s="165"/>
      <c r="I842" s="165"/>
      <c r="J842" s="165"/>
      <c r="K842" s="165"/>
      <c r="L842" s="165"/>
      <c r="M842" s="165"/>
      <c r="N842" s="165"/>
      <c r="O842" s="165"/>
      <c r="P842" s="165"/>
      <c r="Q842" s="165"/>
    </row>
    <row r="843" ht="15.75" customHeight="1">
      <c r="B843" s="12"/>
      <c r="C843" s="7"/>
      <c r="E843" s="165"/>
      <c r="F843" s="165"/>
      <c r="G843" s="165"/>
      <c r="H843" s="165"/>
      <c r="I843" s="165"/>
      <c r="J843" s="165"/>
      <c r="K843" s="165"/>
      <c r="L843" s="165"/>
      <c r="M843" s="165"/>
      <c r="N843" s="165"/>
      <c r="O843" s="165"/>
      <c r="P843" s="165"/>
      <c r="Q843" s="165"/>
    </row>
    <row r="844" ht="15.75" customHeight="1">
      <c r="B844" s="12"/>
      <c r="C844" s="7"/>
      <c r="E844" s="165"/>
      <c r="F844" s="165"/>
      <c r="G844" s="165"/>
      <c r="H844" s="165"/>
      <c r="I844" s="165"/>
      <c r="J844" s="165"/>
      <c r="K844" s="165"/>
      <c r="L844" s="165"/>
      <c r="M844" s="165"/>
      <c r="N844" s="165"/>
      <c r="O844" s="165"/>
      <c r="P844" s="165"/>
      <c r="Q844" s="165"/>
    </row>
    <row r="845" ht="15.75" customHeight="1">
      <c r="B845" s="12"/>
      <c r="C845" s="7"/>
      <c r="E845" s="165"/>
      <c r="F845" s="165"/>
      <c r="G845" s="165"/>
      <c r="H845" s="165"/>
      <c r="I845" s="165"/>
      <c r="J845" s="165"/>
      <c r="K845" s="165"/>
      <c r="L845" s="165"/>
      <c r="M845" s="165"/>
      <c r="N845" s="165"/>
      <c r="O845" s="165"/>
      <c r="P845" s="165"/>
      <c r="Q845" s="165"/>
    </row>
    <row r="846" ht="15.75" customHeight="1">
      <c r="B846" s="12"/>
      <c r="C846" s="7"/>
      <c r="E846" s="165"/>
      <c r="F846" s="165"/>
      <c r="G846" s="165"/>
      <c r="H846" s="165"/>
      <c r="I846" s="165"/>
      <c r="J846" s="165"/>
      <c r="K846" s="165"/>
      <c r="L846" s="165"/>
      <c r="M846" s="165"/>
      <c r="N846" s="165"/>
      <c r="O846" s="165"/>
      <c r="P846" s="165"/>
      <c r="Q846" s="165"/>
    </row>
    <row r="847" ht="15.75" customHeight="1">
      <c r="B847" s="12"/>
      <c r="C847" s="7"/>
      <c r="E847" s="165"/>
      <c r="F847" s="165"/>
      <c r="G847" s="165"/>
      <c r="H847" s="165"/>
      <c r="I847" s="165"/>
      <c r="J847" s="165"/>
      <c r="K847" s="165"/>
      <c r="L847" s="165"/>
      <c r="M847" s="165"/>
      <c r="N847" s="165"/>
      <c r="O847" s="165"/>
      <c r="P847" s="165"/>
      <c r="Q847" s="165"/>
    </row>
    <row r="848" ht="15.75" customHeight="1">
      <c r="B848" s="12"/>
      <c r="C848" s="7"/>
      <c r="E848" s="165"/>
      <c r="F848" s="165"/>
      <c r="G848" s="165"/>
      <c r="H848" s="165"/>
      <c r="I848" s="165"/>
      <c r="J848" s="165"/>
      <c r="K848" s="165"/>
      <c r="L848" s="165"/>
      <c r="M848" s="165"/>
      <c r="N848" s="165"/>
      <c r="O848" s="165"/>
      <c r="P848" s="165"/>
      <c r="Q848" s="165"/>
    </row>
    <row r="849" ht="15.75" customHeight="1">
      <c r="B849" s="12"/>
      <c r="C849" s="7"/>
      <c r="E849" s="165"/>
      <c r="F849" s="165"/>
      <c r="G849" s="165"/>
      <c r="H849" s="165"/>
      <c r="I849" s="165"/>
      <c r="J849" s="165"/>
      <c r="K849" s="165"/>
      <c r="L849" s="165"/>
      <c r="M849" s="165"/>
      <c r="N849" s="165"/>
      <c r="O849" s="165"/>
      <c r="P849" s="165"/>
      <c r="Q849" s="165"/>
    </row>
    <row r="850" ht="15.75" customHeight="1">
      <c r="B850" s="12"/>
      <c r="C850" s="7"/>
      <c r="E850" s="165"/>
      <c r="F850" s="165"/>
      <c r="G850" s="165"/>
      <c r="H850" s="165"/>
      <c r="I850" s="165"/>
      <c r="J850" s="165"/>
      <c r="K850" s="165"/>
      <c r="L850" s="165"/>
      <c r="M850" s="165"/>
      <c r="N850" s="165"/>
      <c r="O850" s="165"/>
      <c r="P850" s="165"/>
      <c r="Q850" s="165"/>
    </row>
    <row r="851" ht="15.75" customHeight="1">
      <c r="B851" s="12"/>
      <c r="C851" s="7"/>
      <c r="E851" s="165"/>
      <c r="F851" s="165"/>
      <c r="G851" s="165"/>
      <c r="H851" s="165"/>
      <c r="I851" s="165"/>
      <c r="J851" s="165"/>
      <c r="K851" s="165"/>
      <c r="L851" s="165"/>
      <c r="M851" s="165"/>
      <c r="N851" s="165"/>
      <c r="O851" s="165"/>
      <c r="P851" s="165"/>
      <c r="Q851" s="165"/>
    </row>
    <row r="852" ht="15.75" customHeight="1">
      <c r="B852" s="12"/>
      <c r="C852" s="7"/>
      <c r="E852" s="165"/>
      <c r="F852" s="165"/>
      <c r="G852" s="165"/>
      <c r="H852" s="165"/>
      <c r="I852" s="165"/>
      <c r="J852" s="165"/>
      <c r="K852" s="165"/>
      <c r="L852" s="165"/>
      <c r="M852" s="165"/>
      <c r="N852" s="165"/>
      <c r="O852" s="165"/>
      <c r="P852" s="165"/>
      <c r="Q852" s="165"/>
    </row>
    <row r="853" ht="15.75" customHeight="1">
      <c r="B853" s="12"/>
      <c r="C853" s="7"/>
      <c r="E853" s="165"/>
      <c r="F853" s="165"/>
      <c r="G853" s="165"/>
      <c r="H853" s="165"/>
      <c r="I853" s="165"/>
      <c r="J853" s="165"/>
      <c r="K853" s="165"/>
      <c r="L853" s="165"/>
      <c r="M853" s="165"/>
      <c r="N853" s="165"/>
      <c r="O853" s="165"/>
      <c r="P853" s="165"/>
      <c r="Q853" s="165"/>
    </row>
    <row r="854" ht="15.75" customHeight="1">
      <c r="B854" s="12"/>
      <c r="C854" s="7"/>
      <c r="E854" s="165"/>
      <c r="F854" s="165"/>
      <c r="G854" s="165"/>
      <c r="H854" s="165"/>
      <c r="I854" s="165"/>
      <c r="J854" s="165"/>
      <c r="K854" s="165"/>
      <c r="L854" s="165"/>
      <c r="M854" s="165"/>
      <c r="N854" s="165"/>
      <c r="O854" s="165"/>
      <c r="P854" s="165"/>
      <c r="Q854" s="165"/>
    </row>
    <row r="855" ht="15.75" customHeight="1">
      <c r="B855" s="12"/>
      <c r="C855" s="7"/>
      <c r="E855" s="165"/>
      <c r="F855" s="165"/>
      <c r="G855" s="165"/>
      <c r="H855" s="165"/>
      <c r="I855" s="165"/>
      <c r="J855" s="165"/>
      <c r="K855" s="165"/>
      <c r="L855" s="165"/>
      <c r="M855" s="165"/>
      <c r="N855" s="165"/>
      <c r="O855" s="165"/>
      <c r="P855" s="165"/>
      <c r="Q855" s="165"/>
    </row>
    <row r="856" ht="15.75" customHeight="1">
      <c r="B856" s="12"/>
      <c r="C856" s="7"/>
      <c r="E856" s="165"/>
      <c r="F856" s="165"/>
      <c r="G856" s="165"/>
      <c r="H856" s="165"/>
      <c r="I856" s="165"/>
      <c r="J856" s="165"/>
      <c r="K856" s="165"/>
      <c r="L856" s="165"/>
      <c r="M856" s="165"/>
      <c r="N856" s="165"/>
      <c r="O856" s="165"/>
      <c r="P856" s="165"/>
      <c r="Q856" s="165"/>
    </row>
    <row r="857" ht="15.75" customHeight="1">
      <c r="B857" s="12"/>
      <c r="C857" s="7"/>
      <c r="E857" s="165"/>
      <c r="F857" s="165"/>
      <c r="G857" s="165"/>
      <c r="H857" s="165"/>
      <c r="I857" s="165"/>
      <c r="J857" s="165"/>
      <c r="K857" s="165"/>
      <c r="L857" s="165"/>
      <c r="M857" s="165"/>
      <c r="N857" s="165"/>
      <c r="O857" s="165"/>
      <c r="P857" s="165"/>
      <c r="Q857" s="165"/>
    </row>
    <row r="858" ht="15.75" customHeight="1">
      <c r="B858" s="12"/>
      <c r="C858" s="7"/>
      <c r="E858" s="165"/>
      <c r="F858" s="165"/>
      <c r="G858" s="165"/>
      <c r="H858" s="165"/>
      <c r="I858" s="165"/>
      <c r="J858" s="165"/>
      <c r="K858" s="165"/>
      <c r="L858" s="165"/>
      <c r="M858" s="165"/>
      <c r="N858" s="165"/>
      <c r="O858" s="165"/>
      <c r="P858" s="165"/>
      <c r="Q858" s="165"/>
    </row>
    <row r="859" ht="15.75" customHeight="1">
      <c r="B859" s="12"/>
      <c r="C859" s="7"/>
      <c r="E859" s="165"/>
      <c r="F859" s="165"/>
      <c r="G859" s="165"/>
      <c r="H859" s="165"/>
      <c r="I859" s="165"/>
      <c r="J859" s="165"/>
      <c r="K859" s="165"/>
      <c r="L859" s="165"/>
      <c r="M859" s="165"/>
      <c r="N859" s="165"/>
      <c r="O859" s="165"/>
      <c r="P859" s="165"/>
      <c r="Q859" s="165"/>
    </row>
    <row r="860" ht="15.75" customHeight="1">
      <c r="B860" s="12"/>
      <c r="C860" s="7"/>
      <c r="E860" s="165"/>
      <c r="F860" s="165"/>
      <c r="G860" s="165"/>
      <c r="H860" s="165"/>
      <c r="I860" s="165"/>
      <c r="J860" s="165"/>
      <c r="K860" s="165"/>
      <c r="L860" s="165"/>
      <c r="M860" s="165"/>
      <c r="N860" s="165"/>
      <c r="O860" s="165"/>
      <c r="P860" s="165"/>
      <c r="Q860" s="165"/>
    </row>
    <row r="861" ht="15.75" customHeight="1">
      <c r="B861" s="12"/>
      <c r="C861" s="7"/>
      <c r="E861" s="165"/>
      <c r="F861" s="165"/>
      <c r="G861" s="165"/>
      <c r="H861" s="165"/>
      <c r="I861" s="165"/>
      <c r="J861" s="165"/>
      <c r="K861" s="165"/>
      <c r="L861" s="165"/>
      <c r="M861" s="165"/>
      <c r="N861" s="165"/>
      <c r="O861" s="165"/>
      <c r="P861" s="165"/>
      <c r="Q861" s="165"/>
    </row>
    <row r="862" ht="15.75" customHeight="1">
      <c r="B862" s="12"/>
      <c r="C862" s="7"/>
      <c r="E862" s="165"/>
      <c r="F862" s="165"/>
      <c r="G862" s="165"/>
      <c r="H862" s="165"/>
      <c r="I862" s="165"/>
      <c r="J862" s="165"/>
      <c r="K862" s="165"/>
      <c r="L862" s="165"/>
      <c r="M862" s="165"/>
      <c r="N862" s="165"/>
      <c r="O862" s="165"/>
      <c r="P862" s="165"/>
      <c r="Q862" s="165"/>
    </row>
    <row r="863" ht="15.75" customHeight="1">
      <c r="B863" s="12"/>
      <c r="C863" s="7"/>
      <c r="E863" s="165"/>
      <c r="F863" s="165"/>
      <c r="G863" s="165"/>
      <c r="H863" s="165"/>
      <c r="I863" s="165"/>
      <c r="J863" s="165"/>
      <c r="K863" s="165"/>
      <c r="L863" s="165"/>
      <c r="M863" s="165"/>
      <c r="N863" s="165"/>
      <c r="O863" s="165"/>
      <c r="P863" s="165"/>
      <c r="Q863" s="165"/>
    </row>
    <row r="864" ht="15.75" customHeight="1">
      <c r="B864" s="12"/>
      <c r="C864" s="7"/>
      <c r="E864" s="165"/>
      <c r="F864" s="165"/>
      <c r="G864" s="165"/>
      <c r="H864" s="165"/>
      <c r="I864" s="165"/>
      <c r="J864" s="165"/>
      <c r="K864" s="165"/>
      <c r="L864" s="165"/>
      <c r="M864" s="165"/>
      <c r="N864" s="165"/>
      <c r="O864" s="165"/>
      <c r="P864" s="165"/>
      <c r="Q864" s="165"/>
    </row>
    <row r="865" ht="15.75" customHeight="1">
      <c r="B865" s="12"/>
      <c r="C865" s="7"/>
      <c r="E865" s="165"/>
      <c r="F865" s="165"/>
      <c r="G865" s="165"/>
      <c r="H865" s="165"/>
      <c r="I865" s="165"/>
      <c r="J865" s="165"/>
      <c r="K865" s="165"/>
      <c r="L865" s="165"/>
      <c r="M865" s="165"/>
      <c r="N865" s="165"/>
      <c r="O865" s="165"/>
      <c r="P865" s="165"/>
      <c r="Q865" s="165"/>
    </row>
    <row r="866" ht="15.75" customHeight="1">
      <c r="B866" s="12"/>
      <c r="C866" s="7"/>
      <c r="E866" s="165"/>
      <c r="F866" s="165"/>
      <c r="G866" s="165"/>
      <c r="H866" s="165"/>
      <c r="I866" s="165"/>
      <c r="J866" s="165"/>
      <c r="K866" s="165"/>
      <c r="L866" s="165"/>
      <c r="M866" s="165"/>
      <c r="N866" s="165"/>
      <c r="O866" s="165"/>
      <c r="P866" s="165"/>
      <c r="Q866" s="165"/>
    </row>
    <row r="867" ht="15.75" customHeight="1">
      <c r="B867" s="12"/>
      <c r="C867" s="7"/>
      <c r="E867" s="165"/>
      <c r="F867" s="165"/>
      <c r="G867" s="165"/>
      <c r="H867" s="165"/>
      <c r="I867" s="165"/>
      <c r="J867" s="165"/>
      <c r="K867" s="165"/>
      <c r="L867" s="165"/>
      <c r="M867" s="165"/>
      <c r="N867" s="165"/>
      <c r="O867" s="165"/>
      <c r="P867" s="165"/>
      <c r="Q867" s="165"/>
    </row>
    <row r="868" ht="15.75" customHeight="1">
      <c r="B868" s="12"/>
      <c r="C868" s="7"/>
      <c r="E868" s="165"/>
      <c r="F868" s="165"/>
      <c r="G868" s="165"/>
      <c r="H868" s="165"/>
      <c r="I868" s="165"/>
      <c r="J868" s="165"/>
      <c r="K868" s="165"/>
      <c r="L868" s="165"/>
      <c r="M868" s="165"/>
      <c r="N868" s="165"/>
      <c r="O868" s="165"/>
      <c r="P868" s="165"/>
      <c r="Q868" s="165"/>
    </row>
    <row r="869" ht="15.75" customHeight="1">
      <c r="B869" s="12"/>
      <c r="C869" s="7"/>
      <c r="E869" s="165"/>
      <c r="F869" s="165"/>
      <c r="G869" s="165"/>
      <c r="H869" s="165"/>
      <c r="I869" s="165"/>
      <c r="J869" s="165"/>
      <c r="K869" s="165"/>
      <c r="L869" s="165"/>
      <c r="M869" s="165"/>
      <c r="N869" s="165"/>
      <c r="O869" s="165"/>
      <c r="P869" s="165"/>
      <c r="Q869" s="165"/>
    </row>
    <row r="870" ht="15.75" customHeight="1">
      <c r="B870" s="12"/>
      <c r="C870" s="7"/>
      <c r="E870" s="165"/>
      <c r="F870" s="165"/>
      <c r="G870" s="165"/>
      <c r="H870" s="165"/>
      <c r="I870" s="165"/>
      <c r="J870" s="165"/>
      <c r="K870" s="165"/>
      <c r="L870" s="165"/>
      <c r="M870" s="165"/>
      <c r="N870" s="165"/>
      <c r="O870" s="165"/>
      <c r="P870" s="165"/>
      <c r="Q870" s="165"/>
    </row>
    <row r="871" ht="15.75" customHeight="1">
      <c r="B871" s="12"/>
      <c r="C871" s="7"/>
      <c r="E871" s="165"/>
      <c r="F871" s="165"/>
      <c r="G871" s="165"/>
      <c r="H871" s="165"/>
      <c r="I871" s="165"/>
      <c r="J871" s="165"/>
      <c r="K871" s="165"/>
      <c r="L871" s="165"/>
      <c r="M871" s="165"/>
      <c r="N871" s="165"/>
      <c r="O871" s="165"/>
      <c r="P871" s="165"/>
      <c r="Q871" s="165"/>
    </row>
    <row r="872" ht="15.75" customHeight="1">
      <c r="B872" s="12"/>
      <c r="C872" s="7"/>
      <c r="E872" s="165"/>
      <c r="F872" s="165"/>
      <c r="G872" s="165"/>
      <c r="H872" s="165"/>
      <c r="I872" s="165"/>
      <c r="J872" s="165"/>
      <c r="K872" s="165"/>
      <c r="L872" s="165"/>
      <c r="M872" s="165"/>
      <c r="N872" s="165"/>
      <c r="O872" s="165"/>
      <c r="P872" s="165"/>
      <c r="Q872" s="165"/>
    </row>
    <row r="873" ht="15.75" customHeight="1">
      <c r="B873" s="12"/>
      <c r="C873" s="7"/>
      <c r="E873" s="165"/>
      <c r="F873" s="165"/>
      <c r="G873" s="165"/>
      <c r="H873" s="165"/>
      <c r="I873" s="165"/>
      <c r="J873" s="165"/>
      <c r="K873" s="165"/>
      <c r="L873" s="165"/>
      <c r="M873" s="165"/>
      <c r="N873" s="165"/>
      <c r="O873" s="165"/>
      <c r="P873" s="165"/>
      <c r="Q873" s="165"/>
    </row>
    <row r="874" ht="15.75" customHeight="1">
      <c r="B874" s="12"/>
      <c r="C874" s="7"/>
      <c r="E874" s="165"/>
      <c r="F874" s="165"/>
      <c r="G874" s="165"/>
      <c r="H874" s="165"/>
      <c r="I874" s="165"/>
      <c r="J874" s="165"/>
      <c r="K874" s="165"/>
      <c r="L874" s="165"/>
      <c r="M874" s="165"/>
      <c r="N874" s="165"/>
      <c r="O874" s="165"/>
      <c r="P874" s="165"/>
      <c r="Q874" s="165"/>
    </row>
    <row r="875" ht="15.75" customHeight="1">
      <c r="B875" s="12"/>
      <c r="C875" s="7"/>
      <c r="E875" s="165"/>
      <c r="F875" s="165"/>
      <c r="G875" s="165"/>
      <c r="H875" s="165"/>
      <c r="I875" s="165"/>
      <c r="J875" s="165"/>
      <c r="K875" s="165"/>
      <c r="L875" s="165"/>
      <c r="M875" s="165"/>
      <c r="N875" s="165"/>
      <c r="O875" s="165"/>
      <c r="P875" s="165"/>
      <c r="Q875" s="165"/>
    </row>
    <row r="876" ht="15.75" customHeight="1">
      <c r="B876" s="12"/>
      <c r="C876" s="7"/>
      <c r="E876" s="165"/>
      <c r="F876" s="165"/>
      <c r="G876" s="165"/>
      <c r="H876" s="165"/>
      <c r="I876" s="165"/>
      <c r="J876" s="165"/>
      <c r="K876" s="165"/>
      <c r="L876" s="165"/>
      <c r="M876" s="165"/>
      <c r="N876" s="165"/>
      <c r="O876" s="165"/>
      <c r="P876" s="165"/>
      <c r="Q876" s="165"/>
    </row>
    <row r="877" ht="15.75" customHeight="1">
      <c r="B877" s="12"/>
      <c r="C877" s="7"/>
      <c r="E877" s="165"/>
      <c r="F877" s="165"/>
      <c r="G877" s="165"/>
      <c r="H877" s="165"/>
      <c r="I877" s="165"/>
      <c r="J877" s="165"/>
      <c r="K877" s="165"/>
      <c r="L877" s="165"/>
      <c r="M877" s="165"/>
      <c r="N877" s="165"/>
      <c r="O877" s="165"/>
      <c r="P877" s="165"/>
      <c r="Q877" s="165"/>
    </row>
    <row r="878" ht="15.75" customHeight="1">
      <c r="B878" s="12"/>
      <c r="C878" s="7"/>
      <c r="E878" s="165"/>
      <c r="F878" s="165"/>
      <c r="G878" s="165"/>
      <c r="H878" s="165"/>
      <c r="I878" s="165"/>
      <c r="J878" s="165"/>
      <c r="K878" s="165"/>
      <c r="L878" s="165"/>
      <c r="M878" s="165"/>
      <c r="N878" s="165"/>
      <c r="O878" s="165"/>
      <c r="P878" s="165"/>
      <c r="Q878" s="165"/>
    </row>
    <row r="879" ht="15.75" customHeight="1">
      <c r="B879" s="12"/>
      <c r="C879" s="7"/>
      <c r="E879" s="165"/>
      <c r="F879" s="165"/>
      <c r="G879" s="165"/>
      <c r="H879" s="165"/>
      <c r="I879" s="165"/>
      <c r="J879" s="165"/>
      <c r="K879" s="165"/>
      <c r="L879" s="165"/>
      <c r="M879" s="165"/>
      <c r="N879" s="165"/>
      <c r="O879" s="165"/>
      <c r="P879" s="165"/>
      <c r="Q879" s="165"/>
    </row>
    <row r="880" ht="15.75" customHeight="1">
      <c r="B880" s="12"/>
      <c r="C880" s="7"/>
      <c r="E880" s="165"/>
      <c r="F880" s="165"/>
      <c r="G880" s="165"/>
      <c r="H880" s="165"/>
      <c r="I880" s="165"/>
      <c r="J880" s="165"/>
      <c r="K880" s="165"/>
      <c r="L880" s="165"/>
      <c r="M880" s="165"/>
      <c r="N880" s="165"/>
      <c r="O880" s="165"/>
      <c r="P880" s="165"/>
      <c r="Q880" s="165"/>
    </row>
    <row r="881" ht="15.75" customHeight="1">
      <c r="B881" s="12"/>
      <c r="C881" s="7"/>
      <c r="E881" s="165"/>
      <c r="F881" s="165"/>
      <c r="G881" s="165"/>
      <c r="H881" s="165"/>
      <c r="I881" s="165"/>
      <c r="J881" s="165"/>
      <c r="K881" s="165"/>
      <c r="L881" s="165"/>
      <c r="M881" s="165"/>
      <c r="N881" s="165"/>
      <c r="O881" s="165"/>
      <c r="P881" s="165"/>
      <c r="Q881" s="165"/>
    </row>
    <row r="882" ht="15.75" customHeight="1">
      <c r="B882" s="12"/>
      <c r="C882" s="7"/>
      <c r="E882" s="165"/>
      <c r="F882" s="165"/>
      <c r="G882" s="165"/>
      <c r="H882" s="165"/>
      <c r="I882" s="165"/>
      <c r="J882" s="165"/>
      <c r="K882" s="165"/>
      <c r="L882" s="165"/>
      <c r="M882" s="165"/>
      <c r="N882" s="165"/>
      <c r="O882" s="165"/>
      <c r="P882" s="165"/>
      <c r="Q882" s="165"/>
    </row>
    <row r="883" ht="15.75" customHeight="1">
      <c r="B883" s="12"/>
      <c r="C883" s="7"/>
      <c r="E883" s="165"/>
      <c r="F883" s="165"/>
      <c r="G883" s="165"/>
      <c r="H883" s="165"/>
      <c r="I883" s="165"/>
      <c r="J883" s="165"/>
      <c r="K883" s="165"/>
      <c r="L883" s="165"/>
      <c r="M883" s="165"/>
      <c r="N883" s="165"/>
      <c r="O883" s="165"/>
      <c r="P883" s="165"/>
      <c r="Q883" s="165"/>
    </row>
    <row r="884" ht="15.75" customHeight="1">
      <c r="B884" s="12"/>
      <c r="C884" s="7"/>
      <c r="E884" s="165"/>
      <c r="F884" s="165"/>
      <c r="G884" s="165"/>
      <c r="H884" s="165"/>
      <c r="I884" s="165"/>
      <c r="J884" s="165"/>
      <c r="K884" s="165"/>
      <c r="L884" s="165"/>
      <c r="M884" s="165"/>
      <c r="N884" s="165"/>
      <c r="O884" s="165"/>
      <c r="P884" s="165"/>
      <c r="Q884" s="165"/>
    </row>
    <row r="885" ht="15.75" customHeight="1">
      <c r="B885" s="12"/>
      <c r="C885" s="7"/>
      <c r="E885" s="165"/>
      <c r="F885" s="165"/>
      <c r="G885" s="165"/>
      <c r="H885" s="165"/>
      <c r="I885" s="165"/>
      <c r="J885" s="165"/>
      <c r="K885" s="165"/>
      <c r="L885" s="165"/>
      <c r="M885" s="165"/>
      <c r="N885" s="165"/>
      <c r="O885" s="165"/>
      <c r="P885" s="165"/>
      <c r="Q885" s="165"/>
    </row>
    <row r="886" ht="15.75" customHeight="1">
      <c r="B886" s="12"/>
      <c r="C886" s="7"/>
      <c r="E886" s="165"/>
      <c r="F886" s="165"/>
      <c r="G886" s="165"/>
      <c r="H886" s="165"/>
      <c r="I886" s="165"/>
      <c r="J886" s="165"/>
      <c r="K886" s="165"/>
      <c r="L886" s="165"/>
      <c r="M886" s="165"/>
      <c r="N886" s="165"/>
      <c r="O886" s="165"/>
      <c r="P886" s="165"/>
      <c r="Q886" s="165"/>
    </row>
    <row r="887" ht="15.75" customHeight="1">
      <c r="B887" s="12"/>
      <c r="C887" s="7"/>
      <c r="E887" s="165"/>
      <c r="F887" s="165"/>
      <c r="G887" s="165"/>
      <c r="H887" s="165"/>
      <c r="I887" s="165"/>
      <c r="J887" s="165"/>
      <c r="K887" s="165"/>
      <c r="L887" s="165"/>
      <c r="M887" s="165"/>
      <c r="N887" s="165"/>
      <c r="O887" s="165"/>
      <c r="P887" s="165"/>
      <c r="Q887" s="165"/>
    </row>
    <row r="888" ht="15.75" customHeight="1">
      <c r="B888" s="12"/>
      <c r="C888" s="7"/>
      <c r="E888" s="165"/>
      <c r="F888" s="165"/>
      <c r="G888" s="165"/>
      <c r="H888" s="165"/>
      <c r="I888" s="165"/>
      <c r="J888" s="165"/>
      <c r="K888" s="165"/>
      <c r="L888" s="165"/>
      <c r="M888" s="165"/>
      <c r="N888" s="165"/>
      <c r="O888" s="165"/>
      <c r="P888" s="165"/>
      <c r="Q888" s="165"/>
    </row>
    <row r="889" ht="15.75" customHeight="1">
      <c r="B889" s="12"/>
      <c r="C889" s="7"/>
      <c r="E889" s="165"/>
      <c r="F889" s="165"/>
      <c r="G889" s="165"/>
      <c r="H889" s="165"/>
      <c r="I889" s="165"/>
      <c r="J889" s="165"/>
      <c r="K889" s="165"/>
      <c r="L889" s="165"/>
      <c r="M889" s="165"/>
      <c r="N889" s="165"/>
      <c r="O889" s="165"/>
      <c r="P889" s="165"/>
      <c r="Q889" s="165"/>
    </row>
    <row r="890" ht="15.75" customHeight="1">
      <c r="B890" s="12"/>
      <c r="C890" s="7"/>
      <c r="E890" s="165"/>
      <c r="F890" s="165"/>
      <c r="G890" s="165"/>
      <c r="H890" s="165"/>
      <c r="I890" s="165"/>
      <c r="J890" s="165"/>
      <c r="K890" s="165"/>
      <c r="L890" s="165"/>
      <c r="M890" s="165"/>
      <c r="N890" s="165"/>
      <c r="O890" s="165"/>
      <c r="P890" s="165"/>
      <c r="Q890" s="165"/>
    </row>
    <row r="891" ht="15.75" customHeight="1">
      <c r="B891" s="12"/>
      <c r="C891" s="7"/>
      <c r="E891" s="165"/>
      <c r="F891" s="165"/>
      <c r="G891" s="165"/>
      <c r="H891" s="165"/>
      <c r="I891" s="165"/>
      <c r="J891" s="165"/>
      <c r="K891" s="165"/>
      <c r="L891" s="165"/>
      <c r="M891" s="165"/>
      <c r="N891" s="165"/>
      <c r="O891" s="165"/>
      <c r="P891" s="165"/>
      <c r="Q891" s="165"/>
    </row>
    <row r="892" ht="15.75" customHeight="1">
      <c r="B892" s="12"/>
      <c r="C892" s="7"/>
      <c r="E892" s="165"/>
      <c r="F892" s="165"/>
      <c r="G892" s="165"/>
      <c r="H892" s="165"/>
      <c r="I892" s="165"/>
      <c r="J892" s="165"/>
      <c r="K892" s="165"/>
      <c r="L892" s="165"/>
      <c r="M892" s="165"/>
      <c r="N892" s="165"/>
      <c r="O892" s="165"/>
      <c r="P892" s="165"/>
      <c r="Q892" s="165"/>
    </row>
    <row r="893" ht="15.75" customHeight="1">
      <c r="B893" s="12"/>
      <c r="C893" s="7"/>
      <c r="E893" s="165"/>
      <c r="F893" s="165"/>
      <c r="G893" s="165"/>
      <c r="H893" s="165"/>
      <c r="I893" s="165"/>
      <c r="J893" s="165"/>
      <c r="K893" s="165"/>
      <c r="L893" s="165"/>
      <c r="M893" s="165"/>
      <c r="N893" s="165"/>
      <c r="O893" s="165"/>
      <c r="P893" s="165"/>
      <c r="Q893" s="165"/>
    </row>
    <row r="894" ht="15.75" customHeight="1">
      <c r="B894" s="12"/>
      <c r="C894" s="7"/>
      <c r="E894" s="165"/>
      <c r="F894" s="165"/>
      <c r="G894" s="165"/>
      <c r="H894" s="165"/>
      <c r="I894" s="165"/>
      <c r="J894" s="165"/>
      <c r="K894" s="165"/>
      <c r="L894" s="165"/>
      <c r="M894" s="165"/>
      <c r="N894" s="165"/>
      <c r="O894" s="165"/>
      <c r="P894" s="165"/>
      <c r="Q894" s="165"/>
    </row>
    <row r="895" ht="15.75" customHeight="1">
      <c r="B895" s="12"/>
      <c r="C895" s="7"/>
      <c r="E895" s="165"/>
      <c r="F895" s="165"/>
      <c r="G895" s="165"/>
      <c r="H895" s="165"/>
      <c r="I895" s="165"/>
      <c r="J895" s="165"/>
      <c r="K895" s="165"/>
      <c r="L895" s="165"/>
      <c r="M895" s="165"/>
      <c r="N895" s="165"/>
      <c r="O895" s="165"/>
      <c r="P895" s="165"/>
      <c r="Q895" s="165"/>
    </row>
    <row r="896" ht="15.75" customHeight="1">
      <c r="B896" s="12"/>
      <c r="C896" s="7"/>
      <c r="E896" s="165"/>
      <c r="F896" s="165"/>
      <c r="G896" s="165"/>
      <c r="H896" s="165"/>
      <c r="I896" s="165"/>
      <c r="J896" s="165"/>
      <c r="K896" s="165"/>
      <c r="L896" s="165"/>
      <c r="M896" s="165"/>
      <c r="N896" s="165"/>
      <c r="O896" s="165"/>
      <c r="P896" s="165"/>
      <c r="Q896" s="165"/>
    </row>
    <row r="897" ht="15.75" customHeight="1">
      <c r="B897" s="12"/>
      <c r="C897" s="7"/>
      <c r="E897" s="165"/>
      <c r="F897" s="165"/>
      <c r="G897" s="165"/>
      <c r="H897" s="165"/>
      <c r="I897" s="165"/>
      <c r="J897" s="165"/>
      <c r="K897" s="165"/>
      <c r="L897" s="165"/>
      <c r="M897" s="165"/>
      <c r="N897" s="165"/>
      <c r="O897" s="165"/>
      <c r="P897" s="165"/>
      <c r="Q897" s="165"/>
    </row>
    <row r="898" ht="15.75" customHeight="1">
      <c r="B898" s="12"/>
      <c r="C898" s="7"/>
      <c r="E898" s="165"/>
      <c r="F898" s="165"/>
      <c r="G898" s="165"/>
      <c r="H898" s="165"/>
      <c r="I898" s="165"/>
      <c r="J898" s="165"/>
      <c r="K898" s="165"/>
      <c r="L898" s="165"/>
      <c r="M898" s="165"/>
      <c r="N898" s="165"/>
      <c r="O898" s="165"/>
      <c r="P898" s="165"/>
      <c r="Q898" s="165"/>
    </row>
    <row r="899" ht="15.75" customHeight="1">
      <c r="B899" s="12"/>
      <c r="C899" s="7"/>
      <c r="E899" s="165"/>
      <c r="F899" s="165"/>
      <c r="G899" s="165"/>
      <c r="H899" s="165"/>
      <c r="I899" s="165"/>
      <c r="J899" s="165"/>
      <c r="K899" s="165"/>
      <c r="L899" s="165"/>
      <c r="M899" s="165"/>
      <c r="N899" s="165"/>
      <c r="O899" s="165"/>
      <c r="P899" s="165"/>
      <c r="Q899" s="165"/>
    </row>
    <row r="900" ht="15.75" customHeight="1">
      <c r="B900" s="12"/>
      <c r="C900" s="7"/>
      <c r="E900" s="165"/>
      <c r="F900" s="165"/>
      <c r="G900" s="165"/>
      <c r="H900" s="165"/>
      <c r="I900" s="165"/>
      <c r="J900" s="165"/>
      <c r="K900" s="165"/>
      <c r="L900" s="165"/>
      <c r="M900" s="165"/>
      <c r="N900" s="165"/>
      <c r="O900" s="165"/>
      <c r="P900" s="165"/>
      <c r="Q900" s="165"/>
    </row>
    <row r="901" ht="15.75" customHeight="1">
      <c r="B901" s="12"/>
      <c r="C901" s="7"/>
      <c r="E901" s="165"/>
      <c r="F901" s="165"/>
      <c r="G901" s="165"/>
      <c r="H901" s="165"/>
      <c r="I901" s="165"/>
      <c r="J901" s="165"/>
      <c r="K901" s="165"/>
      <c r="L901" s="165"/>
      <c r="M901" s="165"/>
      <c r="N901" s="165"/>
      <c r="O901" s="165"/>
      <c r="P901" s="165"/>
      <c r="Q901" s="165"/>
    </row>
    <row r="902" ht="15.75" customHeight="1">
      <c r="B902" s="12"/>
      <c r="C902" s="7"/>
      <c r="E902" s="165"/>
      <c r="F902" s="165"/>
      <c r="G902" s="165"/>
      <c r="H902" s="165"/>
      <c r="I902" s="165"/>
      <c r="J902" s="165"/>
      <c r="K902" s="165"/>
      <c r="L902" s="165"/>
      <c r="M902" s="165"/>
      <c r="N902" s="165"/>
      <c r="O902" s="165"/>
      <c r="P902" s="165"/>
      <c r="Q902" s="165"/>
    </row>
    <row r="903" ht="15.75" customHeight="1">
      <c r="B903" s="12"/>
      <c r="C903" s="7"/>
      <c r="E903" s="165"/>
      <c r="F903" s="165"/>
      <c r="G903" s="165"/>
      <c r="H903" s="165"/>
      <c r="I903" s="165"/>
      <c r="J903" s="165"/>
      <c r="K903" s="165"/>
      <c r="L903" s="165"/>
      <c r="M903" s="165"/>
      <c r="N903" s="165"/>
      <c r="O903" s="165"/>
      <c r="P903" s="165"/>
      <c r="Q903" s="165"/>
    </row>
    <row r="904" ht="15.75" customHeight="1">
      <c r="B904" s="12"/>
      <c r="C904" s="7"/>
      <c r="E904" s="165"/>
      <c r="F904" s="165"/>
      <c r="G904" s="165"/>
      <c r="H904" s="165"/>
      <c r="I904" s="165"/>
      <c r="J904" s="165"/>
      <c r="K904" s="165"/>
      <c r="L904" s="165"/>
      <c r="M904" s="165"/>
      <c r="N904" s="165"/>
      <c r="O904" s="165"/>
      <c r="P904" s="165"/>
      <c r="Q904" s="165"/>
    </row>
    <row r="905" ht="15.75" customHeight="1">
      <c r="B905" s="12"/>
      <c r="C905" s="7"/>
      <c r="E905" s="165"/>
      <c r="F905" s="165"/>
      <c r="G905" s="165"/>
      <c r="H905" s="165"/>
      <c r="I905" s="165"/>
      <c r="J905" s="165"/>
      <c r="K905" s="165"/>
      <c r="L905" s="165"/>
      <c r="M905" s="165"/>
      <c r="N905" s="165"/>
      <c r="O905" s="165"/>
      <c r="P905" s="165"/>
      <c r="Q905" s="165"/>
    </row>
    <row r="906" ht="15.75" customHeight="1">
      <c r="B906" s="12"/>
      <c r="C906" s="7"/>
      <c r="E906" s="165"/>
      <c r="F906" s="165"/>
      <c r="G906" s="165"/>
      <c r="H906" s="165"/>
      <c r="I906" s="165"/>
      <c r="J906" s="165"/>
      <c r="K906" s="165"/>
      <c r="L906" s="165"/>
      <c r="M906" s="165"/>
      <c r="N906" s="165"/>
      <c r="O906" s="165"/>
      <c r="P906" s="165"/>
      <c r="Q906" s="165"/>
    </row>
    <row r="907" ht="15.75" customHeight="1">
      <c r="B907" s="12"/>
      <c r="C907" s="7"/>
      <c r="E907" s="165"/>
      <c r="F907" s="165"/>
      <c r="G907" s="165"/>
      <c r="H907" s="165"/>
      <c r="I907" s="165"/>
      <c r="J907" s="165"/>
      <c r="K907" s="165"/>
      <c r="L907" s="165"/>
      <c r="M907" s="165"/>
      <c r="N907" s="165"/>
      <c r="O907" s="165"/>
      <c r="P907" s="165"/>
      <c r="Q907" s="165"/>
    </row>
    <row r="908" ht="15.75" customHeight="1">
      <c r="B908" s="12"/>
      <c r="C908" s="7"/>
      <c r="E908" s="165"/>
      <c r="F908" s="165"/>
      <c r="G908" s="165"/>
      <c r="H908" s="165"/>
      <c r="I908" s="165"/>
      <c r="J908" s="165"/>
      <c r="K908" s="165"/>
      <c r="L908" s="165"/>
      <c r="M908" s="165"/>
      <c r="N908" s="165"/>
      <c r="O908" s="165"/>
      <c r="P908" s="165"/>
      <c r="Q908" s="165"/>
    </row>
    <row r="909" ht="15.75" customHeight="1">
      <c r="B909" s="12"/>
      <c r="C909" s="7"/>
      <c r="E909" s="165"/>
      <c r="F909" s="165"/>
      <c r="G909" s="165"/>
      <c r="H909" s="165"/>
      <c r="I909" s="165"/>
      <c r="J909" s="165"/>
      <c r="K909" s="165"/>
      <c r="L909" s="165"/>
      <c r="M909" s="165"/>
      <c r="N909" s="165"/>
      <c r="O909" s="165"/>
      <c r="P909" s="165"/>
      <c r="Q909" s="165"/>
    </row>
    <row r="910" ht="15.75" customHeight="1">
      <c r="B910" s="12"/>
      <c r="C910" s="7"/>
      <c r="E910" s="165"/>
      <c r="F910" s="165"/>
      <c r="G910" s="165"/>
      <c r="H910" s="165"/>
      <c r="I910" s="165"/>
      <c r="J910" s="165"/>
      <c r="K910" s="165"/>
      <c r="L910" s="165"/>
      <c r="M910" s="165"/>
      <c r="N910" s="165"/>
      <c r="O910" s="165"/>
      <c r="P910" s="165"/>
      <c r="Q910" s="165"/>
    </row>
    <row r="911" ht="15.75" customHeight="1">
      <c r="B911" s="12"/>
      <c r="C911" s="7"/>
      <c r="E911" s="165"/>
      <c r="F911" s="165"/>
      <c r="G911" s="165"/>
      <c r="H911" s="165"/>
      <c r="I911" s="165"/>
      <c r="J911" s="165"/>
      <c r="K911" s="165"/>
      <c r="L911" s="165"/>
      <c r="M911" s="165"/>
      <c r="N911" s="165"/>
      <c r="O911" s="165"/>
      <c r="P911" s="165"/>
      <c r="Q911" s="165"/>
    </row>
    <row r="912" ht="15.75" customHeight="1">
      <c r="B912" s="12"/>
      <c r="C912" s="7"/>
      <c r="E912" s="165"/>
      <c r="F912" s="165"/>
      <c r="G912" s="165"/>
      <c r="H912" s="165"/>
      <c r="I912" s="165"/>
      <c r="J912" s="165"/>
      <c r="K912" s="165"/>
      <c r="L912" s="165"/>
      <c r="M912" s="165"/>
      <c r="N912" s="165"/>
      <c r="O912" s="165"/>
      <c r="P912" s="165"/>
      <c r="Q912" s="165"/>
    </row>
    <row r="913" ht="15.75" customHeight="1">
      <c r="B913" s="12"/>
      <c r="C913" s="7"/>
      <c r="E913" s="165"/>
      <c r="F913" s="165"/>
      <c r="G913" s="165"/>
      <c r="H913" s="165"/>
      <c r="I913" s="165"/>
      <c r="J913" s="165"/>
      <c r="K913" s="165"/>
      <c r="L913" s="165"/>
      <c r="M913" s="165"/>
      <c r="N913" s="165"/>
      <c r="O913" s="165"/>
      <c r="P913" s="165"/>
      <c r="Q913" s="165"/>
    </row>
    <row r="914" ht="15.75" customHeight="1">
      <c r="B914" s="12"/>
      <c r="C914" s="7"/>
      <c r="E914" s="165"/>
      <c r="F914" s="165"/>
      <c r="G914" s="165"/>
      <c r="H914" s="165"/>
      <c r="I914" s="165"/>
      <c r="J914" s="165"/>
      <c r="K914" s="165"/>
      <c r="L914" s="165"/>
      <c r="M914" s="165"/>
      <c r="N914" s="165"/>
      <c r="O914" s="165"/>
      <c r="P914" s="165"/>
      <c r="Q914" s="165"/>
    </row>
    <row r="915" ht="15.75" customHeight="1">
      <c r="B915" s="12"/>
      <c r="C915" s="7"/>
      <c r="E915" s="165"/>
      <c r="F915" s="165"/>
      <c r="G915" s="165"/>
      <c r="H915" s="165"/>
      <c r="I915" s="165"/>
      <c r="J915" s="165"/>
      <c r="K915" s="165"/>
      <c r="L915" s="165"/>
      <c r="M915" s="165"/>
      <c r="N915" s="165"/>
      <c r="O915" s="165"/>
      <c r="P915" s="165"/>
      <c r="Q915" s="165"/>
    </row>
    <row r="916" ht="15.75" customHeight="1">
      <c r="B916" s="12"/>
      <c r="C916" s="7"/>
      <c r="E916" s="165"/>
      <c r="F916" s="165"/>
      <c r="G916" s="165"/>
      <c r="H916" s="165"/>
      <c r="I916" s="165"/>
      <c r="J916" s="165"/>
      <c r="K916" s="165"/>
      <c r="L916" s="165"/>
      <c r="M916" s="165"/>
      <c r="N916" s="165"/>
      <c r="O916" s="165"/>
      <c r="P916" s="165"/>
      <c r="Q916" s="165"/>
    </row>
    <row r="917" ht="15.75" customHeight="1">
      <c r="B917" s="12"/>
      <c r="C917" s="7"/>
      <c r="E917" s="165"/>
      <c r="F917" s="165"/>
      <c r="G917" s="165"/>
      <c r="H917" s="165"/>
      <c r="I917" s="165"/>
      <c r="J917" s="165"/>
      <c r="K917" s="165"/>
      <c r="L917" s="165"/>
      <c r="M917" s="165"/>
      <c r="N917" s="165"/>
      <c r="O917" s="165"/>
      <c r="P917" s="165"/>
      <c r="Q917" s="165"/>
    </row>
    <row r="918" ht="15.75" customHeight="1">
      <c r="B918" s="12"/>
      <c r="C918" s="7"/>
      <c r="E918" s="165"/>
      <c r="F918" s="165"/>
      <c r="G918" s="165"/>
      <c r="H918" s="165"/>
      <c r="I918" s="165"/>
      <c r="J918" s="165"/>
      <c r="K918" s="165"/>
      <c r="L918" s="165"/>
      <c r="M918" s="165"/>
      <c r="N918" s="165"/>
      <c r="O918" s="165"/>
      <c r="P918" s="165"/>
      <c r="Q918" s="165"/>
    </row>
    <row r="919" ht="15.75" customHeight="1">
      <c r="B919" s="12"/>
      <c r="C919" s="7"/>
      <c r="E919" s="165"/>
      <c r="F919" s="165"/>
      <c r="G919" s="165"/>
      <c r="H919" s="165"/>
      <c r="I919" s="165"/>
      <c r="J919" s="165"/>
      <c r="K919" s="165"/>
      <c r="L919" s="165"/>
      <c r="M919" s="165"/>
      <c r="N919" s="165"/>
      <c r="O919" s="165"/>
      <c r="P919" s="165"/>
      <c r="Q919" s="165"/>
    </row>
    <row r="920" ht="15.75" customHeight="1">
      <c r="B920" s="12"/>
      <c r="C920" s="7"/>
      <c r="E920" s="165"/>
      <c r="F920" s="165"/>
      <c r="G920" s="165"/>
      <c r="H920" s="165"/>
      <c r="I920" s="165"/>
      <c r="J920" s="165"/>
      <c r="K920" s="165"/>
      <c r="L920" s="165"/>
      <c r="M920" s="165"/>
      <c r="N920" s="165"/>
      <c r="O920" s="165"/>
      <c r="P920" s="165"/>
      <c r="Q920" s="165"/>
    </row>
    <row r="921" ht="15.75" customHeight="1">
      <c r="B921" s="12"/>
      <c r="C921" s="7"/>
      <c r="E921" s="165"/>
      <c r="F921" s="165"/>
      <c r="G921" s="165"/>
      <c r="H921" s="165"/>
      <c r="I921" s="165"/>
      <c r="J921" s="165"/>
      <c r="K921" s="165"/>
      <c r="L921" s="165"/>
      <c r="M921" s="165"/>
      <c r="N921" s="165"/>
      <c r="O921" s="165"/>
      <c r="P921" s="165"/>
      <c r="Q921" s="165"/>
    </row>
    <row r="922" ht="15.75" customHeight="1">
      <c r="B922" s="12"/>
      <c r="C922" s="7"/>
      <c r="E922" s="165"/>
      <c r="F922" s="165"/>
      <c r="G922" s="165"/>
      <c r="H922" s="165"/>
      <c r="I922" s="165"/>
      <c r="J922" s="165"/>
      <c r="K922" s="165"/>
      <c r="L922" s="165"/>
      <c r="M922" s="165"/>
      <c r="N922" s="165"/>
      <c r="O922" s="165"/>
      <c r="P922" s="165"/>
      <c r="Q922" s="165"/>
    </row>
    <row r="923" ht="15.75" customHeight="1">
      <c r="B923" s="12"/>
      <c r="C923" s="7"/>
      <c r="E923" s="165"/>
      <c r="F923" s="165"/>
      <c r="G923" s="165"/>
      <c r="H923" s="165"/>
      <c r="I923" s="165"/>
      <c r="J923" s="165"/>
      <c r="K923" s="165"/>
      <c r="L923" s="165"/>
      <c r="M923" s="165"/>
      <c r="N923" s="165"/>
      <c r="O923" s="165"/>
      <c r="P923" s="165"/>
      <c r="Q923" s="165"/>
    </row>
    <row r="924" ht="15.75" customHeight="1">
      <c r="B924" s="12"/>
      <c r="C924" s="7"/>
      <c r="E924" s="165"/>
      <c r="F924" s="165"/>
      <c r="G924" s="165"/>
      <c r="H924" s="165"/>
      <c r="I924" s="165"/>
      <c r="J924" s="165"/>
      <c r="K924" s="165"/>
      <c r="L924" s="165"/>
      <c r="M924" s="165"/>
      <c r="N924" s="165"/>
      <c r="O924" s="165"/>
      <c r="P924" s="165"/>
      <c r="Q924" s="165"/>
    </row>
    <row r="925" ht="15.75" customHeight="1">
      <c r="B925" s="12"/>
      <c r="C925" s="7"/>
      <c r="E925" s="165"/>
      <c r="F925" s="165"/>
      <c r="G925" s="165"/>
      <c r="H925" s="165"/>
      <c r="I925" s="165"/>
      <c r="J925" s="165"/>
      <c r="K925" s="165"/>
      <c r="L925" s="165"/>
      <c r="M925" s="165"/>
      <c r="N925" s="165"/>
      <c r="O925" s="165"/>
      <c r="P925" s="165"/>
      <c r="Q925" s="165"/>
    </row>
    <row r="926" ht="15.75" customHeight="1">
      <c r="B926" s="12"/>
      <c r="C926" s="7"/>
      <c r="E926" s="165"/>
      <c r="F926" s="165"/>
      <c r="G926" s="165"/>
      <c r="H926" s="165"/>
      <c r="I926" s="165"/>
      <c r="J926" s="165"/>
      <c r="K926" s="165"/>
      <c r="L926" s="165"/>
      <c r="M926" s="165"/>
      <c r="N926" s="165"/>
      <c r="O926" s="165"/>
      <c r="P926" s="165"/>
      <c r="Q926" s="165"/>
    </row>
    <row r="927" ht="15.75" customHeight="1">
      <c r="B927" s="12"/>
      <c r="C927" s="7"/>
      <c r="E927" s="165"/>
      <c r="F927" s="165"/>
      <c r="G927" s="165"/>
      <c r="H927" s="165"/>
      <c r="I927" s="165"/>
      <c r="J927" s="165"/>
      <c r="K927" s="165"/>
      <c r="L927" s="165"/>
      <c r="M927" s="165"/>
      <c r="N927" s="165"/>
      <c r="O927" s="165"/>
      <c r="P927" s="165"/>
      <c r="Q927" s="165"/>
    </row>
    <row r="928" ht="15.75" customHeight="1">
      <c r="B928" s="12"/>
      <c r="C928" s="7"/>
      <c r="E928" s="165"/>
      <c r="F928" s="165"/>
      <c r="G928" s="165"/>
      <c r="H928" s="165"/>
      <c r="I928" s="165"/>
      <c r="J928" s="165"/>
      <c r="K928" s="165"/>
      <c r="L928" s="165"/>
      <c r="M928" s="165"/>
      <c r="N928" s="165"/>
      <c r="O928" s="165"/>
      <c r="P928" s="165"/>
      <c r="Q928" s="165"/>
    </row>
    <row r="929" ht="15.75" customHeight="1">
      <c r="B929" s="12"/>
      <c r="C929" s="7"/>
      <c r="E929" s="165"/>
      <c r="F929" s="165"/>
      <c r="G929" s="165"/>
      <c r="H929" s="165"/>
      <c r="I929" s="165"/>
      <c r="J929" s="165"/>
      <c r="K929" s="165"/>
      <c r="L929" s="165"/>
      <c r="M929" s="165"/>
      <c r="N929" s="165"/>
      <c r="O929" s="165"/>
      <c r="P929" s="165"/>
      <c r="Q929" s="165"/>
    </row>
    <row r="930" ht="15.75" customHeight="1">
      <c r="B930" s="12"/>
      <c r="C930" s="7"/>
      <c r="E930" s="165"/>
      <c r="F930" s="165"/>
      <c r="G930" s="165"/>
      <c r="H930" s="165"/>
      <c r="I930" s="165"/>
      <c r="J930" s="165"/>
      <c r="K930" s="165"/>
      <c r="L930" s="165"/>
      <c r="M930" s="165"/>
      <c r="N930" s="165"/>
      <c r="O930" s="165"/>
      <c r="P930" s="165"/>
      <c r="Q930" s="165"/>
    </row>
    <row r="931" ht="15.75" customHeight="1">
      <c r="B931" s="12"/>
      <c r="C931" s="7"/>
      <c r="E931" s="165"/>
      <c r="F931" s="165"/>
      <c r="G931" s="165"/>
      <c r="H931" s="165"/>
      <c r="I931" s="165"/>
      <c r="J931" s="165"/>
      <c r="K931" s="165"/>
      <c r="L931" s="165"/>
      <c r="M931" s="165"/>
      <c r="N931" s="165"/>
      <c r="O931" s="165"/>
      <c r="P931" s="165"/>
      <c r="Q931" s="165"/>
    </row>
    <row r="932" ht="15.75" customHeight="1">
      <c r="B932" s="12"/>
      <c r="C932" s="7"/>
      <c r="E932" s="165"/>
      <c r="F932" s="165"/>
      <c r="G932" s="165"/>
      <c r="H932" s="165"/>
      <c r="I932" s="165"/>
      <c r="J932" s="165"/>
      <c r="K932" s="165"/>
      <c r="L932" s="165"/>
      <c r="M932" s="165"/>
      <c r="N932" s="165"/>
      <c r="O932" s="165"/>
      <c r="P932" s="165"/>
      <c r="Q932" s="165"/>
    </row>
    <row r="933" ht="15.75" customHeight="1">
      <c r="B933" s="12"/>
      <c r="C933" s="7"/>
      <c r="E933" s="165"/>
      <c r="F933" s="165"/>
      <c r="G933" s="165"/>
      <c r="H933" s="165"/>
      <c r="I933" s="165"/>
      <c r="J933" s="165"/>
      <c r="K933" s="165"/>
      <c r="L933" s="165"/>
      <c r="M933" s="165"/>
      <c r="N933" s="165"/>
      <c r="O933" s="165"/>
      <c r="P933" s="165"/>
      <c r="Q933" s="165"/>
    </row>
    <row r="934" ht="15.75" customHeight="1">
      <c r="B934" s="12"/>
      <c r="C934" s="7"/>
      <c r="E934" s="165"/>
      <c r="F934" s="165"/>
      <c r="G934" s="165"/>
      <c r="H934" s="165"/>
      <c r="I934" s="165"/>
      <c r="J934" s="165"/>
      <c r="K934" s="165"/>
      <c r="L934" s="165"/>
      <c r="M934" s="165"/>
      <c r="N934" s="165"/>
      <c r="O934" s="165"/>
      <c r="P934" s="165"/>
      <c r="Q934" s="165"/>
    </row>
    <row r="935" ht="15.75" customHeight="1">
      <c r="B935" s="12"/>
      <c r="C935" s="7"/>
      <c r="E935" s="165"/>
      <c r="F935" s="165"/>
      <c r="G935" s="165"/>
      <c r="H935" s="165"/>
      <c r="I935" s="165"/>
      <c r="J935" s="165"/>
      <c r="K935" s="165"/>
      <c r="L935" s="165"/>
      <c r="M935" s="165"/>
      <c r="N935" s="165"/>
      <c r="O935" s="165"/>
      <c r="P935" s="165"/>
      <c r="Q935" s="165"/>
    </row>
    <row r="936" ht="15.75" customHeight="1">
      <c r="B936" s="12"/>
      <c r="C936" s="7"/>
      <c r="E936" s="165"/>
      <c r="F936" s="165"/>
      <c r="G936" s="165"/>
      <c r="H936" s="165"/>
      <c r="I936" s="165"/>
      <c r="J936" s="165"/>
      <c r="K936" s="165"/>
      <c r="L936" s="165"/>
      <c r="M936" s="165"/>
      <c r="N936" s="165"/>
      <c r="O936" s="165"/>
      <c r="P936" s="165"/>
      <c r="Q936" s="165"/>
    </row>
    <row r="937" ht="15.75" customHeight="1">
      <c r="B937" s="12"/>
      <c r="C937" s="7"/>
      <c r="E937" s="165"/>
      <c r="F937" s="165"/>
      <c r="G937" s="165"/>
      <c r="H937" s="165"/>
      <c r="I937" s="165"/>
      <c r="J937" s="165"/>
      <c r="K937" s="165"/>
      <c r="L937" s="165"/>
      <c r="M937" s="165"/>
      <c r="N937" s="165"/>
      <c r="O937" s="165"/>
      <c r="P937" s="165"/>
      <c r="Q937" s="165"/>
    </row>
    <row r="938" ht="15.75" customHeight="1">
      <c r="B938" s="12"/>
      <c r="C938" s="7"/>
      <c r="E938" s="165"/>
      <c r="F938" s="165"/>
      <c r="G938" s="165"/>
      <c r="H938" s="165"/>
      <c r="I938" s="165"/>
      <c r="J938" s="165"/>
      <c r="K938" s="165"/>
      <c r="L938" s="165"/>
      <c r="M938" s="165"/>
      <c r="N938" s="165"/>
      <c r="O938" s="165"/>
      <c r="P938" s="165"/>
      <c r="Q938" s="165"/>
    </row>
    <row r="939" ht="15.75" customHeight="1">
      <c r="B939" s="12"/>
      <c r="C939" s="7"/>
      <c r="E939" s="165"/>
      <c r="F939" s="165"/>
      <c r="G939" s="165"/>
      <c r="H939" s="165"/>
      <c r="I939" s="165"/>
      <c r="J939" s="165"/>
      <c r="K939" s="165"/>
      <c r="L939" s="165"/>
      <c r="M939" s="165"/>
      <c r="N939" s="165"/>
      <c r="O939" s="165"/>
      <c r="P939" s="165"/>
      <c r="Q939" s="165"/>
    </row>
    <row r="940" ht="15.75" customHeight="1">
      <c r="B940" s="12"/>
      <c r="C940" s="7"/>
      <c r="E940" s="165"/>
      <c r="F940" s="165"/>
      <c r="G940" s="165"/>
      <c r="H940" s="165"/>
      <c r="I940" s="165"/>
      <c r="J940" s="165"/>
      <c r="K940" s="165"/>
      <c r="L940" s="165"/>
      <c r="M940" s="165"/>
      <c r="N940" s="165"/>
      <c r="O940" s="165"/>
      <c r="P940" s="165"/>
      <c r="Q940" s="165"/>
    </row>
    <row r="941" ht="15.75" customHeight="1">
      <c r="B941" s="12"/>
      <c r="C941" s="7"/>
      <c r="E941" s="165"/>
      <c r="F941" s="165"/>
      <c r="G941" s="165"/>
      <c r="H941" s="165"/>
      <c r="I941" s="165"/>
      <c r="J941" s="165"/>
      <c r="K941" s="165"/>
      <c r="L941" s="165"/>
      <c r="M941" s="165"/>
      <c r="N941" s="165"/>
      <c r="O941" s="165"/>
      <c r="P941" s="165"/>
      <c r="Q941" s="165"/>
    </row>
    <row r="942" ht="15.75" customHeight="1">
      <c r="B942" s="12"/>
      <c r="C942" s="7"/>
      <c r="E942" s="165"/>
      <c r="F942" s="165"/>
      <c r="G942" s="165"/>
      <c r="H942" s="165"/>
      <c r="I942" s="165"/>
      <c r="J942" s="165"/>
      <c r="K942" s="165"/>
      <c r="L942" s="165"/>
      <c r="M942" s="165"/>
      <c r="N942" s="165"/>
      <c r="O942" s="165"/>
      <c r="P942" s="165"/>
      <c r="Q942" s="165"/>
    </row>
    <row r="943" ht="15.75" customHeight="1">
      <c r="B943" s="12"/>
      <c r="C943" s="7"/>
      <c r="E943" s="165"/>
      <c r="F943" s="165"/>
      <c r="G943" s="165"/>
      <c r="H943" s="165"/>
      <c r="I943" s="165"/>
      <c r="J943" s="165"/>
      <c r="K943" s="165"/>
      <c r="L943" s="165"/>
      <c r="M943" s="165"/>
      <c r="N943" s="165"/>
      <c r="O943" s="165"/>
      <c r="P943" s="165"/>
      <c r="Q943" s="165"/>
    </row>
    <row r="944" ht="15.75" customHeight="1">
      <c r="B944" s="12"/>
      <c r="C944" s="7"/>
      <c r="E944" s="165"/>
      <c r="F944" s="165"/>
      <c r="G944" s="165"/>
      <c r="H944" s="165"/>
      <c r="I944" s="165"/>
      <c r="J944" s="165"/>
      <c r="K944" s="165"/>
      <c r="L944" s="165"/>
      <c r="M944" s="165"/>
      <c r="N944" s="165"/>
      <c r="O944" s="165"/>
      <c r="P944" s="165"/>
      <c r="Q944" s="165"/>
    </row>
    <row r="945" ht="15.75" customHeight="1">
      <c r="B945" s="12"/>
      <c r="C945" s="7"/>
      <c r="E945" s="165"/>
      <c r="F945" s="165"/>
      <c r="G945" s="165"/>
      <c r="H945" s="165"/>
      <c r="I945" s="165"/>
      <c r="J945" s="165"/>
      <c r="K945" s="165"/>
      <c r="L945" s="165"/>
      <c r="M945" s="165"/>
      <c r="N945" s="165"/>
      <c r="O945" s="165"/>
      <c r="P945" s="165"/>
      <c r="Q945" s="165"/>
    </row>
    <row r="946" ht="15.75" customHeight="1">
      <c r="B946" s="12"/>
      <c r="C946" s="7"/>
      <c r="E946" s="165"/>
      <c r="F946" s="165"/>
      <c r="G946" s="165"/>
      <c r="H946" s="165"/>
      <c r="I946" s="165"/>
      <c r="J946" s="165"/>
      <c r="K946" s="165"/>
      <c r="L946" s="165"/>
      <c r="M946" s="165"/>
      <c r="N946" s="165"/>
      <c r="O946" s="165"/>
      <c r="P946" s="165"/>
      <c r="Q946" s="165"/>
    </row>
    <row r="947" ht="15.75" customHeight="1">
      <c r="B947" s="12"/>
      <c r="C947" s="7"/>
      <c r="E947" s="165"/>
      <c r="F947" s="165"/>
      <c r="G947" s="165"/>
      <c r="H947" s="165"/>
      <c r="I947" s="165"/>
      <c r="J947" s="165"/>
      <c r="K947" s="165"/>
      <c r="L947" s="165"/>
      <c r="M947" s="165"/>
      <c r="N947" s="165"/>
      <c r="O947" s="165"/>
      <c r="P947" s="165"/>
      <c r="Q947" s="165"/>
    </row>
    <row r="948" ht="15.75" customHeight="1">
      <c r="B948" s="12"/>
      <c r="C948" s="7"/>
      <c r="E948" s="165"/>
      <c r="F948" s="165"/>
      <c r="G948" s="165"/>
      <c r="H948" s="165"/>
      <c r="I948" s="165"/>
      <c r="J948" s="165"/>
      <c r="K948" s="165"/>
      <c r="L948" s="165"/>
      <c r="M948" s="165"/>
      <c r="N948" s="165"/>
      <c r="O948" s="165"/>
      <c r="P948" s="165"/>
      <c r="Q948" s="165"/>
    </row>
    <row r="949" ht="15.75" customHeight="1">
      <c r="B949" s="12"/>
      <c r="C949" s="7"/>
      <c r="E949" s="165"/>
      <c r="F949" s="165"/>
      <c r="G949" s="165"/>
      <c r="H949" s="165"/>
      <c r="I949" s="165"/>
      <c r="J949" s="165"/>
      <c r="K949" s="165"/>
      <c r="L949" s="165"/>
      <c r="M949" s="165"/>
      <c r="N949" s="165"/>
      <c r="O949" s="165"/>
      <c r="P949" s="165"/>
      <c r="Q949" s="165"/>
    </row>
    <row r="950" ht="15.75" customHeight="1">
      <c r="B950" s="12"/>
      <c r="C950" s="7"/>
      <c r="E950" s="165"/>
      <c r="F950" s="165"/>
      <c r="G950" s="165"/>
      <c r="H950" s="165"/>
      <c r="I950" s="165"/>
      <c r="J950" s="165"/>
      <c r="K950" s="165"/>
      <c r="L950" s="165"/>
      <c r="M950" s="165"/>
      <c r="N950" s="165"/>
      <c r="O950" s="165"/>
      <c r="P950" s="165"/>
      <c r="Q950" s="165"/>
    </row>
    <row r="951" ht="15.75" customHeight="1">
      <c r="B951" s="12"/>
      <c r="C951" s="7"/>
      <c r="E951" s="165"/>
      <c r="F951" s="165"/>
      <c r="G951" s="165"/>
      <c r="H951" s="165"/>
      <c r="I951" s="165"/>
      <c r="J951" s="165"/>
      <c r="K951" s="165"/>
      <c r="L951" s="165"/>
      <c r="M951" s="165"/>
      <c r="N951" s="165"/>
      <c r="O951" s="165"/>
      <c r="P951" s="165"/>
      <c r="Q951" s="165"/>
    </row>
    <row r="952" ht="15.75" customHeight="1">
      <c r="B952" s="12"/>
      <c r="C952" s="7"/>
      <c r="E952" s="165"/>
      <c r="F952" s="165"/>
      <c r="G952" s="165"/>
      <c r="H952" s="165"/>
      <c r="I952" s="165"/>
      <c r="J952" s="165"/>
      <c r="K952" s="165"/>
      <c r="L952" s="165"/>
      <c r="M952" s="165"/>
      <c r="N952" s="165"/>
      <c r="O952" s="165"/>
      <c r="P952" s="165"/>
      <c r="Q952" s="165"/>
    </row>
    <row r="953" ht="15.75" customHeight="1">
      <c r="B953" s="12"/>
      <c r="C953" s="7"/>
      <c r="E953" s="165"/>
      <c r="F953" s="165"/>
      <c r="G953" s="165"/>
      <c r="H953" s="165"/>
      <c r="I953" s="165"/>
      <c r="J953" s="165"/>
      <c r="K953" s="165"/>
      <c r="L953" s="165"/>
      <c r="M953" s="165"/>
      <c r="N953" s="165"/>
      <c r="O953" s="165"/>
      <c r="P953" s="165"/>
      <c r="Q953" s="165"/>
    </row>
    <row r="954" ht="15.75" customHeight="1">
      <c r="B954" s="12"/>
      <c r="C954" s="7"/>
      <c r="E954" s="165"/>
      <c r="F954" s="165"/>
      <c r="G954" s="165"/>
      <c r="H954" s="165"/>
      <c r="I954" s="165"/>
      <c r="J954" s="165"/>
      <c r="K954" s="165"/>
      <c r="L954" s="165"/>
      <c r="M954" s="165"/>
      <c r="N954" s="165"/>
      <c r="O954" s="165"/>
      <c r="P954" s="165"/>
      <c r="Q954" s="165"/>
    </row>
    <row r="955" ht="15.75" customHeight="1">
      <c r="B955" s="12"/>
      <c r="C955" s="7"/>
      <c r="E955" s="165"/>
      <c r="F955" s="165"/>
      <c r="G955" s="165"/>
      <c r="H955" s="165"/>
      <c r="I955" s="165"/>
      <c r="J955" s="165"/>
      <c r="K955" s="165"/>
      <c r="L955" s="165"/>
      <c r="M955" s="165"/>
      <c r="N955" s="165"/>
      <c r="O955" s="165"/>
      <c r="P955" s="165"/>
      <c r="Q955" s="165"/>
    </row>
    <row r="956" ht="15.75" customHeight="1">
      <c r="B956" s="12"/>
      <c r="C956" s="7"/>
      <c r="E956" s="165"/>
      <c r="F956" s="165"/>
      <c r="G956" s="165"/>
      <c r="H956" s="165"/>
      <c r="I956" s="165"/>
      <c r="J956" s="165"/>
      <c r="K956" s="165"/>
      <c r="L956" s="165"/>
      <c r="M956" s="165"/>
      <c r="N956" s="165"/>
      <c r="O956" s="165"/>
      <c r="P956" s="165"/>
      <c r="Q956" s="165"/>
    </row>
    <row r="957" ht="15.75" customHeight="1">
      <c r="B957" s="12"/>
      <c r="C957" s="7"/>
      <c r="E957" s="165"/>
      <c r="F957" s="165"/>
      <c r="G957" s="165"/>
      <c r="H957" s="165"/>
      <c r="I957" s="165"/>
      <c r="J957" s="165"/>
      <c r="K957" s="165"/>
      <c r="L957" s="165"/>
      <c r="M957" s="165"/>
      <c r="N957" s="165"/>
      <c r="O957" s="165"/>
      <c r="P957" s="165"/>
      <c r="Q957" s="165"/>
    </row>
    <row r="958" ht="15.75" customHeight="1">
      <c r="B958" s="12"/>
      <c r="C958" s="7"/>
      <c r="E958" s="165"/>
      <c r="F958" s="165"/>
      <c r="G958" s="165"/>
      <c r="H958" s="165"/>
      <c r="I958" s="165"/>
      <c r="J958" s="165"/>
      <c r="K958" s="165"/>
      <c r="L958" s="165"/>
      <c r="M958" s="165"/>
      <c r="N958" s="165"/>
      <c r="O958" s="165"/>
      <c r="P958" s="165"/>
      <c r="Q958" s="165"/>
    </row>
    <row r="959" ht="15.75" customHeight="1">
      <c r="B959" s="12"/>
      <c r="C959" s="7"/>
      <c r="E959" s="165"/>
      <c r="F959" s="165"/>
      <c r="G959" s="165"/>
      <c r="H959" s="165"/>
      <c r="I959" s="165"/>
      <c r="J959" s="165"/>
      <c r="K959" s="165"/>
      <c r="L959" s="165"/>
      <c r="M959" s="165"/>
      <c r="N959" s="165"/>
      <c r="O959" s="165"/>
      <c r="P959" s="165"/>
      <c r="Q959" s="165"/>
    </row>
    <row r="960" ht="15.75" customHeight="1">
      <c r="B960" s="12"/>
      <c r="C960" s="7"/>
      <c r="E960" s="165"/>
      <c r="F960" s="165"/>
      <c r="G960" s="165"/>
      <c r="H960" s="165"/>
      <c r="I960" s="165"/>
      <c r="J960" s="165"/>
      <c r="K960" s="165"/>
      <c r="L960" s="165"/>
      <c r="M960" s="165"/>
      <c r="N960" s="165"/>
      <c r="O960" s="165"/>
      <c r="P960" s="165"/>
      <c r="Q960" s="165"/>
    </row>
    <row r="961" ht="15.75" customHeight="1">
      <c r="B961" s="12"/>
      <c r="C961" s="7"/>
      <c r="E961" s="165"/>
      <c r="F961" s="165"/>
      <c r="G961" s="165"/>
      <c r="H961" s="165"/>
      <c r="I961" s="165"/>
      <c r="J961" s="165"/>
      <c r="K961" s="165"/>
      <c r="L961" s="165"/>
      <c r="M961" s="165"/>
      <c r="N961" s="165"/>
      <c r="O961" s="165"/>
      <c r="P961" s="165"/>
      <c r="Q961" s="165"/>
    </row>
    <row r="962" ht="15.75" customHeight="1">
      <c r="B962" s="12"/>
      <c r="C962" s="7"/>
      <c r="E962" s="165"/>
      <c r="F962" s="165"/>
      <c r="G962" s="165"/>
      <c r="H962" s="165"/>
      <c r="I962" s="165"/>
      <c r="J962" s="165"/>
      <c r="K962" s="165"/>
      <c r="L962" s="165"/>
      <c r="M962" s="165"/>
      <c r="N962" s="165"/>
      <c r="O962" s="165"/>
      <c r="P962" s="165"/>
      <c r="Q962" s="165"/>
    </row>
    <row r="963" ht="15.75" customHeight="1">
      <c r="B963" s="12"/>
      <c r="C963" s="7"/>
      <c r="E963" s="165"/>
      <c r="F963" s="165"/>
      <c r="G963" s="165"/>
      <c r="H963" s="165"/>
      <c r="I963" s="165"/>
      <c r="J963" s="165"/>
      <c r="K963" s="165"/>
      <c r="L963" s="165"/>
      <c r="M963" s="165"/>
      <c r="N963" s="165"/>
      <c r="O963" s="165"/>
      <c r="P963" s="165"/>
      <c r="Q963" s="165"/>
    </row>
    <row r="964" ht="15.75" customHeight="1">
      <c r="B964" s="12"/>
      <c r="C964" s="7"/>
      <c r="E964" s="165"/>
      <c r="F964" s="165"/>
      <c r="G964" s="165"/>
      <c r="H964" s="165"/>
      <c r="I964" s="165"/>
      <c r="J964" s="165"/>
      <c r="K964" s="165"/>
      <c r="L964" s="165"/>
      <c r="M964" s="165"/>
      <c r="N964" s="165"/>
      <c r="O964" s="165"/>
      <c r="P964" s="165"/>
      <c r="Q964" s="165"/>
    </row>
    <row r="965" ht="15.75" customHeight="1">
      <c r="B965" s="12"/>
      <c r="C965" s="7"/>
      <c r="E965" s="165"/>
      <c r="F965" s="165"/>
      <c r="G965" s="165"/>
      <c r="H965" s="165"/>
      <c r="I965" s="165"/>
      <c r="J965" s="165"/>
      <c r="K965" s="165"/>
      <c r="L965" s="165"/>
      <c r="M965" s="165"/>
      <c r="N965" s="165"/>
      <c r="O965" s="165"/>
      <c r="P965" s="165"/>
      <c r="Q965" s="165"/>
    </row>
    <row r="966" ht="15.75" customHeight="1">
      <c r="B966" s="12"/>
      <c r="C966" s="7"/>
      <c r="E966" s="165"/>
      <c r="F966" s="165"/>
      <c r="G966" s="165"/>
      <c r="H966" s="165"/>
      <c r="I966" s="165"/>
      <c r="J966" s="165"/>
      <c r="K966" s="165"/>
      <c r="L966" s="165"/>
      <c r="M966" s="165"/>
      <c r="N966" s="165"/>
      <c r="O966" s="165"/>
      <c r="P966" s="165"/>
      <c r="Q966" s="165"/>
    </row>
    <row r="967" ht="15.75" customHeight="1">
      <c r="B967" s="12"/>
      <c r="C967" s="7"/>
      <c r="E967" s="165"/>
      <c r="F967" s="165"/>
      <c r="G967" s="165"/>
      <c r="H967" s="165"/>
      <c r="I967" s="165"/>
      <c r="J967" s="165"/>
      <c r="K967" s="165"/>
      <c r="L967" s="165"/>
      <c r="M967" s="165"/>
      <c r="N967" s="165"/>
      <c r="O967" s="165"/>
      <c r="P967" s="165"/>
      <c r="Q967" s="165"/>
    </row>
    <row r="968" ht="15.75" customHeight="1">
      <c r="B968" s="12"/>
      <c r="C968" s="7"/>
      <c r="E968" s="165"/>
      <c r="F968" s="165"/>
      <c r="G968" s="165"/>
      <c r="H968" s="165"/>
      <c r="I968" s="165"/>
      <c r="J968" s="165"/>
      <c r="K968" s="165"/>
      <c r="L968" s="165"/>
      <c r="M968" s="165"/>
      <c r="N968" s="165"/>
      <c r="O968" s="165"/>
      <c r="P968" s="165"/>
      <c r="Q968" s="165"/>
    </row>
    <row r="969" ht="15.75" customHeight="1">
      <c r="B969" s="12"/>
      <c r="C969" s="7"/>
      <c r="E969" s="165"/>
      <c r="F969" s="165"/>
      <c r="G969" s="165"/>
      <c r="H969" s="165"/>
      <c r="I969" s="165"/>
      <c r="J969" s="165"/>
      <c r="K969" s="165"/>
      <c r="L969" s="165"/>
      <c r="M969" s="165"/>
      <c r="N969" s="165"/>
      <c r="O969" s="165"/>
      <c r="P969" s="165"/>
      <c r="Q969" s="165"/>
    </row>
    <row r="970" ht="15.75" customHeight="1">
      <c r="B970" s="12"/>
      <c r="C970" s="7"/>
      <c r="E970" s="165"/>
      <c r="F970" s="165"/>
      <c r="G970" s="165"/>
      <c r="H970" s="165"/>
      <c r="I970" s="165"/>
      <c r="J970" s="165"/>
      <c r="K970" s="165"/>
      <c r="L970" s="165"/>
      <c r="M970" s="165"/>
      <c r="N970" s="165"/>
      <c r="O970" s="165"/>
      <c r="P970" s="165"/>
      <c r="Q970" s="165"/>
    </row>
    <row r="971" ht="15.75" customHeight="1">
      <c r="B971" s="12"/>
      <c r="C971" s="7"/>
      <c r="E971" s="165"/>
      <c r="F971" s="165"/>
      <c r="G971" s="165"/>
      <c r="H971" s="165"/>
      <c r="I971" s="165"/>
      <c r="J971" s="165"/>
      <c r="K971" s="165"/>
      <c r="L971" s="165"/>
      <c r="M971" s="165"/>
      <c r="N971" s="165"/>
      <c r="O971" s="165"/>
      <c r="P971" s="165"/>
      <c r="Q971" s="165"/>
    </row>
    <row r="972" ht="15.75" customHeight="1">
      <c r="B972" s="12"/>
      <c r="C972" s="7"/>
      <c r="E972" s="165"/>
      <c r="F972" s="165"/>
      <c r="G972" s="165"/>
      <c r="H972" s="165"/>
      <c r="I972" s="165"/>
      <c r="J972" s="165"/>
      <c r="K972" s="165"/>
      <c r="L972" s="165"/>
      <c r="M972" s="165"/>
      <c r="N972" s="165"/>
      <c r="O972" s="165"/>
      <c r="P972" s="165"/>
      <c r="Q972" s="165"/>
    </row>
    <row r="973" ht="15.75" customHeight="1">
      <c r="B973" s="12"/>
      <c r="C973" s="7"/>
      <c r="E973" s="165"/>
      <c r="F973" s="165"/>
      <c r="G973" s="165"/>
      <c r="H973" s="165"/>
      <c r="I973" s="165"/>
      <c r="J973" s="165"/>
      <c r="K973" s="165"/>
      <c r="L973" s="165"/>
      <c r="M973" s="165"/>
      <c r="N973" s="165"/>
      <c r="O973" s="165"/>
      <c r="P973" s="165"/>
      <c r="Q973" s="165"/>
    </row>
    <row r="974" ht="15.75" customHeight="1">
      <c r="B974" s="12"/>
      <c r="C974" s="7"/>
      <c r="E974" s="165"/>
      <c r="F974" s="165"/>
      <c r="G974" s="165"/>
      <c r="H974" s="165"/>
      <c r="I974" s="165"/>
      <c r="J974" s="165"/>
      <c r="K974" s="165"/>
      <c r="L974" s="165"/>
      <c r="M974" s="165"/>
      <c r="N974" s="165"/>
      <c r="O974" s="165"/>
      <c r="P974" s="165"/>
      <c r="Q974" s="165"/>
    </row>
    <row r="975" ht="15.75" customHeight="1">
      <c r="B975" s="12"/>
      <c r="C975" s="7"/>
      <c r="E975" s="165"/>
      <c r="F975" s="165"/>
      <c r="G975" s="165"/>
      <c r="H975" s="165"/>
      <c r="I975" s="165"/>
      <c r="J975" s="165"/>
      <c r="K975" s="165"/>
      <c r="L975" s="165"/>
      <c r="M975" s="165"/>
      <c r="N975" s="165"/>
      <c r="O975" s="165"/>
      <c r="P975" s="165"/>
      <c r="Q975" s="165"/>
    </row>
    <row r="976" ht="15.75" customHeight="1">
      <c r="B976" s="12"/>
      <c r="C976" s="7"/>
      <c r="E976" s="165"/>
      <c r="F976" s="165"/>
      <c r="G976" s="165"/>
      <c r="H976" s="165"/>
      <c r="I976" s="165"/>
      <c r="J976" s="165"/>
      <c r="K976" s="165"/>
      <c r="L976" s="165"/>
      <c r="M976" s="165"/>
      <c r="N976" s="165"/>
      <c r="O976" s="165"/>
      <c r="P976" s="165"/>
      <c r="Q976" s="165"/>
    </row>
    <row r="977" ht="15.75" customHeight="1">
      <c r="B977" s="12"/>
      <c r="C977" s="7"/>
      <c r="E977" s="165"/>
      <c r="F977" s="165"/>
      <c r="G977" s="165"/>
      <c r="H977" s="165"/>
      <c r="I977" s="165"/>
      <c r="J977" s="165"/>
      <c r="K977" s="165"/>
      <c r="L977" s="165"/>
      <c r="M977" s="165"/>
      <c r="N977" s="165"/>
      <c r="O977" s="165"/>
      <c r="P977" s="165"/>
      <c r="Q977" s="165"/>
    </row>
    <row r="978" ht="15.75" customHeight="1">
      <c r="B978" s="12"/>
      <c r="C978" s="7"/>
      <c r="E978" s="165"/>
      <c r="F978" s="165"/>
      <c r="G978" s="165"/>
      <c r="H978" s="165"/>
      <c r="I978" s="165"/>
      <c r="J978" s="165"/>
      <c r="K978" s="165"/>
      <c r="L978" s="165"/>
      <c r="M978" s="165"/>
      <c r="N978" s="165"/>
      <c r="O978" s="165"/>
      <c r="P978" s="165"/>
      <c r="Q978" s="165"/>
    </row>
    <row r="979" ht="15.75" customHeight="1">
      <c r="B979" s="12"/>
      <c r="C979" s="7"/>
      <c r="E979" s="165"/>
      <c r="F979" s="165"/>
      <c r="G979" s="165"/>
      <c r="H979" s="165"/>
      <c r="I979" s="165"/>
      <c r="J979" s="165"/>
      <c r="K979" s="165"/>
      <c r="L979" s="165"/>
      <c r="M979" s="165"/>
      <c r="N979" s="165"/>
      <c r="O979" s="165"/>
      <c r="P979" s="165"/>
      <c r="Q979" s="165"/>
    </row>
    <row r="980" ht="15.75" customHeight="1">
      <c r="B980" s="12"/>
      <c r="C980" s="7"/>
      <c r="E980" s="165"/>
      <c r="F980" s="165"/>
      <c r="G980" s="165"/>
      <c r="H980" s="165"/>
      <c r="I980" s="165"/>
      <c r="J980" s="165"/>
      <c r="K980" s="165"/>
      <c r="L980" s="165"/>
      <c r="M980" s="165"/>
      <c r="N980" s="165"/>
      <c r="O980" s="165"/>
      <c r="P980" s="165"/>
      <c r="Q980" s="165"/>
    </row>
    <row r="981" ht="15.75" customHeight="1">
      <c r="B981" s="12"/>
      <c r="C981" s="7"/>
      <c r="E981" s="165"/>
      <c r="F981" s="165"/>
      <c r="G981" s="165"/>
      <c r="H981" s="165"/>
      <c r="I981" s="165"/>
      <c r="J981" s="165"/>
      <c r="K981" s="165"/>
      <c r="L981" s="165"/>
      <c r="M981" s="165"/>
      <c r="N981" s="165"/>
      <c r="O981" s="165"/>
      <c r="P981" s="165"/>
      <c r="Q981" s="165"/>
    </row>
    <row r="982" ht="15.75" customHeight="1">
      <c r="B982" s="12"/>
      <c r="C982" s="7"/>
      <c r="E982" s="165"/>
      <c r="F982" s="165"/>
      <c r="G982" s="165"/>
      <c r="H982" s="165"/>
      <c r="I982" s="165"/>
      <c r="J982" s="165"/>
      <c r="K982" s="165"/>
      <c r="L982" s="165"/>
      <c r="M982" s="165"/>
      <c r="N982" s="165"/>
      <c r="O982" s="165"/>
      <c r="P982" s="165"/>
      <c r="Q982" s="165"/>
    </row>
    <row r="983" ht="15.75" customHeight="1">
      <c r="B983" s="12"/>
      <c r="C983" s="7"/>
      <c r="E983" s="165"/>
      <c r="F983" s="165"/>
      <c r="G983" s="165"/>
      <c r="H983" s="165"/>
      <c r="I983" s="165"/>
      <c r="J983" s="165"/>
      <c r="K983" s="165"/>
      <c r="L983" s="165"/>
      <c r="M983" s="165"/>
      <c r="N983" s="165"/>
      <c r="O983" s="165"/>
      <c r="P983" s="165"/>
      <c r="Q983" s="165"/>
    </row>
    <row r="984" ht="15.75" customHeight="1">
      <c r="B984" s="12"/>
      <c r="C984" s="7"/>
      <c r="E984" s="165"/>
      <c r="F984" s="165"/>
      <c r="G984" s="165"/>
      <c r="H984" s="165"/>
      <c r="I984" s="165"/>
      <c r="J984" s="165"/>
      <c r="K984" s="165"/>
      <c r="L984" s="165"/>
      <c r="M984" s="165"/>
      <c r="N984" s="165"/>
      <c r="O984" s="165"/>
      <c r="P984" s="165"/>
      <c r="Q984" s="165"/>
    </row>
    <row r="985" ht="15.75" customHeight="1">
      <c r="B985" s="12"/>
      <c r="C985" s="7"/>
      <c r="E985" s="165"/>
      <c r="F985" s="165"/>
      <c r="G985" s="165"/>
      <c r="H985" s="165"/>
      <c r="I985" s="165"/>
      <c r="J985" s="165"/>
      <c r="K985" s="165"/>
      <c r="L985" s="165"/>
      <c r="M985" s="165"/>
      <c r="N985" s="165"/>
      <c r="O985" s="165"/>
      <c r="P985" s="165"/>
      <c r="Q985" s="165"/>
    </row>
    <row r="986" ht="15.75" customHeight="1">
      <c r="B986" s="12"/>
      <c r="C986" s="7"/>
      <c r="E986" s="165"/>
      <c r="F986" s="165"/>
      <c r="G986" s="165"/>
      <c r="H986" s="165"/>
      <c r="I986" s="165"/>
      <c r="J986" s="165"/>
      <c r="K986" s="165"/>
      <c r="L986" s="165"/>
      <c r="M986" s="165"/>
      <c r="N986" s="165"/>
      <c r="O986" s="165"/>
      <c r="P986" s="165"/>
      <c r="Q986" s="165"/>
    </row>
    <row r="987" ht="15.75" customHeight="1">
      <c r="B987" s="12"/>
      <c r="C987" s="7"/>
      <c r="E987" s="165"/>
      <c r="F987" s="165"/>
      <c r="G987" s="165"/>
      <c r="H987" s="165"/>
      <c r="I987" s="165"/>
      <c r="J987" s="165"/>
      <c r="K987" s="165"/>
      <c r="L987" s="165"/>
      <c r="M987" s="165"/>
      <c r="N987" s="165"/>
      <c r="O987" s="165"/>
      <c r="P987" s="165"/>
      <c r="Q987" s="165"/>
    </row>
    <row r="988" ht="15.75" customHeight="1">
      <c r="B988" s="12"/>
      <c r="C988" s="7"/>
      <c r="E988" s="165"/>
      <c r="F988" s="165"/>
      <c r="G988" s="165"/>
      <c r="H988" s="165"/>
      <c r="I988" s="165"/>
      <c r="J988" s="165"/>
      <c r="K988" s="165"/>
      <c r="L988" s="165"/>
      <c r="M988" s="165"/>
      <c r="N988" s="165"/>
      <c r="O988" s="165"/>
      <c r="P988" s="165"/>
      <c r="Q988" s="165"/>
    </row>
    <row r="989" ht="15.75" customHeight="1">
      <c r="B989" s="12"/>
      <c r="C989" s="7"/>
      <c r="E989" s="165"/>
      <c r="F989" s="165"/>
      <c r="G989" s="165"/>
      <c r="H989" s="165"/>
      <c r="I989" s="165"/>
      <c r="J989" s="165"/>
      <c r="K989" s="165"/>
      <c r="L989" s="165"/>
      <c r="M989" s="165"/>
      <c r="N989" s="165"/>
      <c r="O989" s="165"/>
      <c r="P989" s="165"/>
      <c r="Q989" s="165"/>
    </row>
    <row r="990" ht="15.75" customHeight="1">
      <c r="B990" s="12"/>
      <c r="C990" s="7"/>
      <c r="E990" s="165"/>
      <c r="F990" s="165"/>
      <c r="G990" s="165"/>
      <c r="H990" s="165"/>
      <c r="I990" s="165"/>
      <c r="J990" s="165"/>
      <c r="K990" s="165"/>
      <c r="L990" s="165"/>
      <c r="M990" s="165"/>
      <c r="N990" s="165"/>
      <c r="O990" s="165"/>
      <c r="P990" s="165"/>
      <c r="Q990" s="165"/>
    </row>
    <row r="991" ht="15.75" customHeight="1">
      <c r="B991" s="12"/>
      <c r="C991" s="7"/>
      <c r="E991" s="165"/>
      <c r="F991" s="165"/>
      <c r="G991" s="165"/>
      <c r="H991" s="165"/>
      <c r="I991" s="165"/>
      <c r="J991" s="165"/>
      <c r="K991" s="165"/>
      <c r="L991" s="165"/>
      <c r="M991" s="165"/>
      <c r="N991" s="165"/>
      <c r="O991" s="165"/>
      <c r="P991" s="165"/>
      <c r="Q991" s="165"/>
    </row>
    <row r="992" ht="15.75" customHeight="1">
      <c r="B992" s="12"/>
      <c r="C992" s="7"/>
      <c r="E992" s="165"/>
      <c r="F992" s="165"/>
      <c r="G992" s="165"/>
      <c r="H992" s="165"/>
      <c r="I992" s="165"/>
      <c r="J992" s="165"/>
      <c r="K992" s="165"/>
      <c r="L992" s="165"/>
      <c r="M992" s="165"/>
      <c r="N992" s="165"/>
      <c r="O992" s="165"/>
      <c r="P992" s="165"/>
      <c r="Q992" s="165"/>
    </row>
    <row r="993" ht="15.75" customHeight="1">
      <c r="B993" s="12"/>
      <c r="C993" s="7"/>
      <c r="E993" s="165"/>
      <c r="F993" s="165"/>
      <c r="G993" s="165"/>
      <c r="H993" s="165"/>
      <c r="I993" s="165"/>
      <c r="J993" s="165"/>
      <c r="K993" s="165"/>
      <c r="L993" s="165"/>
      <c r="M993" s="165"/>
      <c r="N993" s="165"/>
      <c r="O993" s="165"/>
      <c r="P993" s="165"/>
      <c r="Q993" s="165"/>
    </row>
    <row r="994" ht="15.75" customHeight="1">
      <c r="B994" s="12"/>
      <c r="C994" s="7"/>
      <c r="E994" s="165"/>
      <c r="F994" s="165"/>
      <c r="G994" s="165"/>
      <c r="H994" s="165"/>
      <c r="I994" s="165"/>
      <c r="J994" s="165"/>
      <c r="K994" s="165"/>
      <c r="L994" s="165"/>
      <c r="M994" s="165"/>
      <c r="N994" s="165"/>
      <c r="O994" s="165"/>
      <c r="P994" s="165"/>
      <c r="Q994" s="165"/>
    </row>
    <row r="995" ht="15.75" customHeight="1">
      <c r="B995" s="12"/>
      <c r="C995" s="7"/>
      <c r="E995" s="165"/>
      <c r="F995" s="165"/>
      <c r="G995" s="165"/>
      <c r="H995" s="165"/>
      <c r="I995" s="165"/>
      <c r="J995" s="165"/>
      <c r="K995" s="165"/>
      <c r="L995" s="165"/>
      <c r="M995" s="165"/>
      <c r="N995" s="165"/>
      <c r="O995" s="165"/>
      <c r="P995" s="165"/>
      <c r="Q995" s="165"/>
    </row>
    <row r="996" ht="15.75" customHeight="1">
      <c r="B996" s="12"/>
      <c r="C996" s="7"/>
      <c r="E996" s="165"/>
      <c r="F996" s="165"/>
      <c r="G996" s="165"/>
      <c r="H996" s="165"/>
      <c r="I996" s="165"/>
      <c r="J996" s="165"/>
      <c r="K996" s="165"/>
      <c r="L996" s="165"/>
      <c r="M996" s="165"/>
      <c r="N996" s="165"/>
      <c r="O996" s="165"/>
      <c r="P996" s="165"/>
      <c r="Q996" s="165"/>
    </row>
    <row r="997" ht="15.75" customHeight="1">
      <c r="B997" s="12"/>
      <c r="C997" s="7"/>
      <c r="E997" s="165"/>
      <c r="F997" s="165"/>
      <c r="G997" s="165"/>
      <c r="H997" s="165"/>
      <c r="I997" s="165"/>
      <c r="J997" s="165"/>
      <c r="K997" s="165"/>
      <c r="L997" s="165"/>
      <c r="M997" s="165"/>
      <c r="N997" s="165"/>
      <c r="O997" s="165"/>
      <c r="P997" s="165"/>
      <c r="Q997" s="165"/>
    </row>
    <row r="998" ht="15.75" customHeight="1">
      <c r="B998" s="12"/>
      <c r="C998" s="7"/>
      <c r="E998" s="165"/>
      <c r="F998" s="165"/>
      <c r="G998" s="165"/>
      <c r="H998" s="165"/>
      <c r="I998" s="165"/>
      <c r="J998" s="165"/>
      <c r="K998" s="165"/>
      <c r="L998" s="165"/>
      <c r="M998" s="165"/>
      <c r="N998" s="165"/>
      <c r="O998" s="165"/>
      <c r="P998" s="165"/>
      <c r="Q998" s="165"/>
    </row>
    <row r="999" ht="15.75" customHeight="1">
      <c r="B999" s="12"/>
      <c r="C999" s="7"/>
      <c r="E999" s="165"/>
      <c r="F999" s="165"/>
      <c r="G999" s="165"/>
      <c r="H999" s="165"/>
      <c r="I999" s="165"/>
      <c r="J999" s="165"/>
      <c r="K999" s="165"/>
      <c r="L999" s="165"/>
      <c r="M999" s="165"/>
      <c r="N999" s="165"/>
      <c r="O999" s="165"/>
      <c r="P999" s="165"/>
      <c r="Q999" s="165"/>
    </row>
    <row r="1000" ht="15.75" customHeight="1">
      <c r="B1000" s="12"/>
      <c r="C1000" s="7"/>
      <c r="E1000" s="165"/>
      <c r="F1000" s="165"/>
      <c r="G1000" s="165"/>
      <c r="H1000" s="165"/>
      <c r="I1000" s="165"/>
      <c r="J1000" s="165"/>
      <c r="K1000" s="165"/>
      <c r="L1000" s="165"/>
      <c r="M1000" s="165"/>
      <c r="N1000" s="165"/>
      <c r="O1000" s="165"/>
      <c r="P1000" s="165"/>
      <c r="Q1000" s="165"/>
    </row>
  </sheetData>
  <printOptions/>
  <pageMargins bottom="0.75" footer="0.0" header="0.0" left="0.7" right="0.7" top="0.75"/>
  <pageSetup orientation="landscape"/>
  <drawing r:id="rId1"/>
</worksheet>
</file>