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I9">
      <text>
        <t xml:space="preserve">Doctor_J:
Add price for full one time install.</t>
      </text>
    </comment>
    <comment authorId="0" ref="K36">
      <text>
        <t xml:space="preserve">DJ:
Windows Server 2012 software=$800
New Server system (4 core) = $700
Network Switches and routers=$500</t>
      </text>
    </comment>
    <comment authorId="0" ref="K37">
      <text>
        <t xml:space="preserve">Doctor_J:
Visual Studio Professional=$1,200</t>
      </text>
    </comment>
    <comment authorId="0" ref="L37">
      <text>
        <t xml:space="preserve">Doctor_J:
Visual Studio Team Server=$500
Team Server CAL=$500</t>
      </text>
    </comment>
    <comment authorId="0" ref="K38">
      <text>
        <t xml:space="preserve">Doctor_J:
Subscriptions are $100/year.</t>
      </text>
    </comment>
    <comment authorId="0" ref="K39">
      <text>
        <t xml:space="preserve">Doctor_J:
GitHub Individual subscription =$7.00/mo
GitHub Organizational sub =$9.00/mo or $25/mo for first 5 users</t>
      </text>
    </comment>
    <comment authorId="0" ref="I56">
      <text>
        <t xml:space="preserve">Doctor_J:
On line store billing and transaction processing. Transaction database with encrypted security, credit card, paypal, and bank check forms of payment. Registration process, user id and password creation for log in.(see Avangate.com website) for example.</t>
      </text>
    </comment>
    <comment authorId="0" ref="I58">
      <text>
        <t xml:space="preserve">Doctor_J:
Sales cost = 30% of Sales revenue for Android and Apple apps.
</t>
      </text>
    </comment>
    <comment authorId="0" ref="I61">
      <text>
        <t xml:space="preserve">Doctor_J:
This would be a one time charge.</t>
      </text>
    </comment>
  </commentList>
</comments>
</file>

<file path=xl/sharedStrings.xml><?xml version="1.0" encoding="utf-8"?>
<sst xmlns="http://schemas.openxmlformats.org/spreadsheetml/2006/main" count="132" uniqueCount="121">
  <si>
    <t>Business Sustainability Plan</t>
  </si>
  <si>
    <t>Item 3</t>
  </si>
  <si>
    <t>Financial Estimates</t>
  </si>
  <si>
    <t>Year 1</t>
  </si>
  <si>
    <t>Year 2</t>
  </si>
  <si>
    <t>Year 3</t>
  </si>
  <si>
    <t>Year 4</t>
  </si>
  <si>
    <t>REVENUES</t>
  </si>
  <si>
    <t>Software Revenue</t>
  </si>
  <si>
    <t>Unit Price</t>
  </si>
  <si>
    <t>Units Yr1</t>
  </si>
  <si>
    <t>Units Yr2</t>
  </si>
  <si>
    <t>Units Yr3</t>
  </si>
  <si>
    <t>Units Yr4</t>
  </si>
  <si>
    <t>Subscriptions/Fees - Website</t>
  </si>
  <si>
    <t>@ $20/yr for web portal</t>
  </si>
  <si>
    <t>Desktop Applications - Sales/subscriptions</t>
  </si>
  <si>
    <t>@ $100/yr for cloud access</t>
  </si>
  <si>
    <t>Mobile Applications - Sales</t>
  </si>
  <si>
    <t>@ $5 per app</t>
  </si>
  <si>
    <t>Services - Training</t>
  </si>
  <si>
    <t>@ $100 per client, 50% of desk top clients</t>
  </si>
  <si>
    <t>Services - Secure Email</t>
  </si>
  <si>
    <t>@ $24.00/yr, desktop and mobile cust</t>
  </si>
  <si>
    <t>Customizations - Desktop</t>
  </si>
  <si>
    <t>Assumed annual gross revenue (case by case)</t>
  </si>
  <si>
    <t>Other - Utilities</t>
  </si>
  <si>
    <t>Sub-total</t>
  </si>
  <si>
    <t>Advertising Revenue</t>
  </si>
  <si>
    <t>Web based</t>
  </si>
  <si>
    <t>Ads placed on portal by others</t>
  </si>
  <si>
    <t>Mobile push</t>
  </si>
  <si>
    <t xml:space="preserve">Ads linked to mobile push </t>
  </si>
  <si>
    <t>Other</t>
  </si>
  <si>
    <t>Ads on unrelated digital property</t>
  </si>
  <si>
    <t>Other Revenue</t>
  </si>
  <si>
    <t>Hardware</t>
  </si>
  <si>
    <t>Desktop sys w/PPOA, secure cloud storage,</t>
  </si>
  <si>
    <t>Documentation</t>
  </si>
  <si>
    <t>Info on consumer protected health info</t>
  </si>
  <si>
    <t>Support - LIve</t>
  </si>
  <si>
    <t>Live tech support @ $50/hr</t>
  </si>
  <si>
    <t>Support - Email</t>
  </si>
  <si>
    <t>Grand Total - Revenue</t>
  </si>
  <si>
    <t>EXPENSES</t>
  </si>
  <si>
    <t>Software Development</t>
  </si>
  <si>
    <t>Unit Cost Y1</t>
  </si>
  <si>
    <t>Unit CostY2</t>
  </si>
  <si>
    <t>Unit Cost Y3</t>
  </si>
  <si>
    <t>Unit Cost Y4</t>
  </si>
  <si>
    <t>Units Y1</t>
  </si>
  <si>
    <t>Units Y2</t>
  </si>
  <si>
    <t>Units Y3</t>
  </si>
  <si>
    <t>Units Y4</t>
  </si>
  <si>
    <t>App Developer services and contracts</t>
  </si>
  <si>
    <t>Staff time as well as third party services</t>
  </si>
  <si>
    <t>Desktop Developer services and contracts</t>
  </si>
  <si>
    <t>Hardware Systems</t>
  </si>
  <si>
    <t>Servers, network gear, security systems</t>
  </si>
  <si>
    <t>Software Tools</t>
  </si>
  <si>
    <t>Visual Studio Professional, MSDN, VS Team server</t>
  </si>
  <si>
    <t>Subscriptions for Software Development</t>
  </si>
  <si>
    <t xml:space="preserve">Google Android Studio, Apple IOS </t>
  </si>
  <si>
    <t>Cloud Resources for App Development</t>
  </si>
  <si>
    <t>SaaS based private/public cloud (GitHub, Ubuntu etc.)</t>
  </si>
  <si>
    <t>Software Testing</t>
  </si>
  <si>
    <t>Third party application testing services</t>
  </si>
  <si>
    <t>Security Validation/Endorsement</t>
  </si>
  <si>
    <t>Third party review, testing, rating of apps</t>
  </si>
  <si>
    <t>Collaboration Expense</t>
  </si>
  <si>
    <t>Data Systems x 3</t>
  </si>
  <si>
    <t>Cost sharing, leases and chargbacks for usage</t>
  </si>
  <si>
    <t>Provder Environment x 2</t>
  </si>
  <si>
    <t>Ancillary Items</t>
  </si>
  <si>
    <t>System set-up, configuration, troubleshooting</t>
  </si>
  <si>
    <t>Contingencies</t>
  </si>
  <si>
    <t>Contract Services</t>
  </si>
  <si>
    <t>Marketing</t>
  </si>
  <si>
    <t xml:space="preserve">Ad-Web site creation/devlopment services </t>
  </si>
  <si>
    <t>Advertising</t>
  </si>
  <si>
    <t>Ad placement expense</t>
  </si>
  <si>
    <t>Training</t>
  </si>
  <si>
    <t>Training for users (video, webinar)</t>
  </si>
  <si>
    <t>Web Hosting</t>
  </si>
  <si>
    <t>Corporate Website expense</t>
  </si>
  <si>
    <t>App Deployment/User Support (starts in Year 2)</t>
  </si>
  <si>
    <t>System Access Leases/Subscriptions</t>
  </si>
  <si>
    <t xml:space="preserve">Subscription/access mgmt for " The Service" </t>
  </si>
  <si>
    <t>Build Up and Roll Out</t>
  </si>
  <si>
    <t>Go Live costs for "The Service"</t>
  </si>
  <si>
    <t>Mobile App Sales Expense</t>
  </si>
  <si>
    <t>Sales cost for Android and Apple apps</t>
  </si>
  <si>
    <t>On-Line Help System</t>
  </si>
  <si>
    <t>Help System development for "The Service"</t>
  </si>
  <si>
    <t xml:space="preserve">Off-Line/Live Help </t>
  </si>
  <si>
    <t xml:space="preserve">Telephone and Live Chat Help system </t>
  </si>
  <si>
    <t xml:space="preserve">Techinical Preparations </t>
  </si>
  <si>
    <t>EULA development, privacy policies, data usage</t>
  </si>
  <si>
    <t>Curation for iOS</t>
  </si>
  <si>
    <t>TBD</t>
  </si>
  <si>
    <t>App vetting expense for Apple iOS apps</t>
  </si>
  <si>
    <t>Administrative</t>
  </si>
  <si>
    <t>Communications (Net, telephone, cell phones)</t>
  </si>
  <si>
    <t>Enterprise communications expense</t>
  </si>
  <si>
    <t>Annual cost increase of 5 percent</t>
  </si>
  <si>
    <t>Facilities (Rent)</t>
  </si>
  <si>
    <t>Office rent/lease expense</t>
  </si>
  <si>
    <t>Annual cost increase of 3 percent</t>
  </si>
  <si>
    <t>Utilities</t>
  </si>
  <si>
    <t>Electricity, water and sewerage, heating fuel expense</t>
  </si>
  <si>
    <t>Insurance</t>
  </si>
  <si>
    <t>Property and casualty insurance expense</t>
  </si>
  <si>
    <t>Annual cost increase of 2 percent</t>
  </si>
  <si>
    <t>Legal</t>
  </si>
  <si>
    <t>Legal Counsel expenses</t>
  </si>
  <si>
    <t>Travel</t>
  </si>
  <si>
    <t xml:space="preserve">Travel and lodging expenses </t>
  </si>
  <si>
    <t>Grand Total - Expenses</t>
  </si>
  <si>
    <t>Net Income Before Taxes</t>
  </si>
  <si>
    <t>Taxes</t>
  </si>
  <si>
    <t>Business and Income @ 28 percent, Federal, State and City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</si>
</sst>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00_);_(&quot;$&quot;* \(#,##0.00\);_(&quot;$&quot;* &quot;-&quot;??_);_(@_)"/>
    <numFmt numFmtId="165" formatCode="_(* #,##0.00_);_(* \(#,##0.00\);_(* &quot;-&quot;??_);_(@_)"/>
  </numFmts>
  <fonts count="7">
    <font>
      <sz val="11.0"/>
      <color theme="1"/>
      <name val="Arial"/>
    </font>
    <font>
      <sz val="18.0"/>
      <color rgb="FF000000"/>
      <name val="Calibri"/>
    </font>
    <font>
      <sz val="14.0"/>
      <color rgb="FF000000"/>
      <name val="Calibri"/>
    </font>
    <font>
      <color theme="1"/>
      <name val="Calibri"/>
    </font>
    <font>
      <sz val="11.0"/>
      <color theme="1"/>
      <name val="Calibri"/>
    </font>
    <font>
      <b/>
      <sz val="11.0"/>
      <color rgb="FF000000"/>
      <name val="Calibri"/>
    </font>
    <font>
      <b/>
      <sz val="12.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Alignment="1" applyFont="1">
      <alignment horizontal="left"/>
    </xf>
    <xf borderId="0" fillId="0" fontId="4" numFmtId="164" xfId="0" applyFont="1" applyNumberFormat="1"/>
    <xf quotePrefix="1" borderId="0" fillId="0" fontId="4" numFmtId="0" xfId="0" applyFont="1"/>
    <xf borderId="0" fillId="0" fontId="5" numFmtId="0" xfId="0" applyAlignment="1" applyFont="1">
      <alignment horizontal="left"/>
    </xf>
    <xf borderId="0" fillId="0" fontId="5" numFmtId="164" xfId="0" applyFont="1" applyNumberFormat="1"/>
    <xf borderId="0" fillId="0" fontId="6" numFmtId="0" xfId="0" applyFont="1"/>
    <xf borderId="0" fillId="0" fontId="6" numFmtId="164" xfId="0" applyFont="1" applyNumberFormat="1"/>
    <xf borderId="0" fillId="0" fontId="5" numFmtId="0" xfId="0" applyFont="1"/>
    <xf borderId="0" fillId="0" fontId="4" numFmtId="165" xfId="0" applyFont="1" applyNumberFormat="1"/>
    <xf borderId="0" fillId="0" fontId="4"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63"/>
    <col customWidth="1" min="3" max="3" width="35.25"/>
    <col customWidth="1" min="4" max="4" width="11.25"/>
    <col customWidth="1" min="5" max="6" width="11.13"/>
    <col customWidth="1" min="7" max="7" width="12.25"/>
    <col customWidth="1" min="8" max="8" width="7.63"/>
    <col customWidth="1" min="9" max="9" width="33.5"/>
    <col customWidth="1" min="10" max="10" width="9.25"/>
    <col customWidth="1" min="11" max="11" width="10.0"/>
    <col customWidth="1" min="12" max="12" width="9.63"/>
    <col customWidth="1" min="13" max="13" width="10.0"/>
    <col customWidth="1" min="14" max="14" width="9.63"/>
    <col customWidth="1" min="15" max="26" width="7.63"/>
  </cols>
  <sheetData>
    <row r="1">
      <c r="A1" s="1" t="s">
        <v>0</v>
      </c>
    </row>
    <row r="3">
      <c r="A3" s="2" t="s">
        <v>1</v>
      </c>
      <c r="B3" s="2" t="s">
        <v>2</v>
      </c>
    </row>
    <row r="4">
      <c r="D4" s="3" t="s">
        <v>3</v>
      </c>
      <c r="E4" s="3" t="s">
        <v>4</v>
      </c>
      <c r="F4" s="3" t="s">
        <v>5</v>
      </c>
      <c r="G4" s="3" t="s">
        <v>6</v>
      </c>
    </row>
    <row r="5">
      <c r="B5" s="2" t="s">
        <v>7</v>
      </c>
    </row>
    <row r="7">
      <c r="B7" s="3" t="s">
        <v>8</v>
      </c>
      <c r="J7" s="3" t="s">
        <v>9</v>
      </c>
      <c r="K7" s="3" t="s">
        <v>10</v>
      </c>
      <c r="L7" s="3" t="s">
        <v>11</v>
      </c>
      <c r="M7" s="3" t="s">
        <v>12</v>
      </c>
      <c r="N7" s="3" t="s">
        <v>13</v>
      </c>
    </row>
    <row r="8">
      <c r="C8" s="4" t="s">
        <v>14</v>
      </c>
      <c r="D8" s="5">
        <f t="shared" ref="D8:D12" si="1">$J8*K8</f>
        <v>2500</v>
      </c>
      <c r="E8" s="5">
        <f>$J8*500</f>
        <v>10000</v>
      </c>
      <c r="F8" s="5">
        <f>$J8*750</f>
        <v>15000</v>
      </c>
      <c r="G8" s="5">
        <f>$J8*1250</f>
        <v>25000</v>
      </c>
      <c r="I8" s="6" t="s">
        <v>15</v>
      </c>
      <c r="J8" s="5">
        <v>20.0</v>
      </c>
      <c r="K8" s="3">
        <v>125.0</v>
      </c>
      <c r="L8" s="3">
        <v>500.0</v>
      </c>
      <c r="M8" s="3">
        <v>750.0</v>
      </c>
      <c r="N8" s="3">
        <v>1250.0</v>
      </c>
    </row>
    <row r="9">
      <c r="C9" s="4" t="s">
        <v>16</v>
      </c>
      <c r="D9" s="5">
        <f t="shared" si="1"/>
        <v>2500</v>
      </c>
      <c r="E9" s="5">
        <f>$J9*100</f>
        <v>10000</v>
      </c>
      <c r="F9" s="5">
        <f>$J9*150</f>
        <v>15000</v>
      </c>
      <c r="G9" s="5">
        <f>$J9*250</f>
        <v>25000</v>
      </c>
      <c r="I9" s="6" t="s">
        <v>17</v>
      </c>
      <c r="J9" s="5">
        <v>100.0</v>
      </c>
      <c r="K9" s="3">
        <v>25.0</v>
      </c>
      <c r="L9" s="3">
        <v>100.0</v>
      </c>
      <c r="M9" s="3">
        <v>150.0</v>
      </c>
      <c r="N9" s="3">
        <v>250.0</v>
      </c>
    </row>
    <row r="10">
      <c r="C10" s="4" t="s">
        <v>18</v>
      </c>
      <c r="D10" s="5">
        <f t="shared" si="1"/>
        <v>1250</v>
      </c>
      <c r="E10" s="5">
        <f>$J10*1000</f>
        <v>5000</v>
      </c>
      <c r="F10" s="5">
        <f>$J10*1500</f>
        <v>7500</v>
      </c>
      <c r="G10" s="5">
        <f>$J10*2000</f>
        <v>10000</v>
      </c>
      <c r="I10" s="6" t="s">
        <v>19</v>
      </c>
      <c r="J10" s="5">
        <v>5.0</v>
      </c>
      <c r="K10" s="3">
        <v>250.0</v>
      </c>
      <c r="L10" s="3">
        <v>1000.0</v>
      </c>
      <c r="M10" s="3">
        <v>1500.0</v>
      </c>
      <c r="N10" s="3">
        <v>2000.0</v>
      </c>
    </row>
    <row r="11">
      <c r="C11" s="4" t="s">
        <v>20</v>
      </c>
      <c r="D11" s="5">
        <f t="shared" si="1"/>
        <v>2000</v>
      </c>
      <c r="E11" s="5">
        <f t="shared" ref="E11:G11" si="2">E9/2</f>
        <v>5000</v>
      </c>
      <c r="F11" s="5">
        <f t="shared" si="2"/>
        <v>7500</v>
      </c>
      <c r="G11" s="5">
        <f t="shared" si="2"/>
        <v>12500</v>
      </c>
      <c r="I11" s="6" t="s">
        <v>21</v>
      </c>
      <c r="J11" s="5">
        <v>100.0</v>
      </c>
      <c r="K11" s="3">
        <v>20.0</v>
      </c>
      <c r="L11" s="3">
        <v>500.0</v>
      </c>
      <c r="M11" s="3">
        <v>750.0</v>
      </c>
      <c r="N11" s="3">
        <v>1000.0</v>
      </c>
    </row>
    <row r="12">
      <c r="C12" s="4" t="s">
        <v>22</v>
      </c>
      <c r="D12" s="5">
        <f t="shared" si="1"/>
        <v>1200</v>
      </c>
      <c r="E12" s="5">
        <f>$J12*200</f>
        <v>4800</v>
      </c>
      <c r="F12" s="5">
        <f>$J12*300</f>
        <v>7200</v>
      </c>
      <c r="G12" s="5">
        <f>$J12*400</f>
        <v>9600</v>
      </c>
      <c r="I12" s="6" t="s">
        <v>23</v>
      </c>
      <c r="J12" s="5">
        <v>24.0</v>
      </c>
      <c r="K12" s="3">
        <v>50.0</v>
      </c>
      <c r="L12" s="3">
        <v>200.0</v>
      </c>
      <c r="M12" s="3">
        <v>300.0</v>
      </c>
      <c r="N12" s="3">
        <v>400.0</v>
      </c>
    </row>
    <row r="13">
      <c r="C13" s="4" t="s">
        <v>24</v>
      </c>
      <c r="D13" s="5">
        <v>5000.0</v>
      </c>
      <c r="E13" s="5">
        <v>5000.0</v>
      </c>
      <c r="F13" s="5">
        <v>5000.0</v>
      </c>
      <c r="G13" s="5">
        <v>5000.0</v>
      </c>
      <c r="I13" s="3" t="s">
        <v>25</v>
      </c>
    </row>
    <row r="14">
      <c r="C14" s="4" t="s">
        <v>26</v>
      </c>
      <c r="D14" s="5">
        <f>$J14*K14</f>
        <v>0</v>
      </c>
      <c r="E14" s="5">
        <v>0.0</v>
      </c>
      <c r="F14" s="5">
        <v>0.0</v>
      </c>
      <c r="G14" s="5">
        <v>0.0</v>
      </c>
    </row>
    <row r="15">
      <c r="C15" s="7" t="s">
        <v>27</v>
      </c>
      <c r="D15" s="8">
        <f t="shared" ref="D15:G15" si="3">SUM(D8:D14)</f>
        <v>14450</v>
      </c>
      <c r="E15" s="8">
        <f t="shared" si="3"/>
        <v>39800</v>
      </c>
      <c r="F15" s="8">
        <f t="shared" si="3"/>
        <v>57200</v>
      </c>
      <c r="G15" s="8">
        <f t="shared" si="3"/>
        <v>87100</v>
      </c>
    </row>
    <row r="16">
      <c r="B16" s="3" t="s">
        <v>28</v>
      </c>
    </row>
    <row r="17">
      <c r="C17" s="4" t="s">
        <v>29</v>
      </c>
      <c r="D17" s="5">
        <v>600.0</v>
      </c>
      <c r="E17" s="5">
        <v>900.0</v>
      </c>
      <c r="F17" s="5">
        <v>1200.0</v>
      </c>
      <c r="G17" s="5">
        <v>1800.0</v>
      </c>
      <c r="I17" s="3" t="s">
        <v>30</v>
      </c>
    </row>
    <row r="18">
      <c r="C18" s="4" t="s">
        <v>31</v>
      </c>
      <c r="D18" s="5">
        <v>600.0</v>
      </c>
      <c r="E18" s="5">
        <v>900.0</v>
      </c>
      <c r="F18" s="5">
        <v>1200.0</v>
      </c>
      <c r="G18" s="5">
        <v>1800.0</v>
      </c>
      <c r="I18" s="3" t="s">
        <v>32</v>
      </c>
    </row>
    <row r="19">
      <c r="C19" s="4" t="s">
        <v>33</v>
      </c>
      <c r="D19" s="5">
        <v>300.0</v>
      </c>
      <c r="E19" s="5">
        <v>900.0</v>
      </c>
      <c r="F19" s="5">
        <v>1200.0</v>
      </c>
      <c r="G19" s="5">
        <v>1800.0</v>
      </c>
      <c r="I19" s="3" t="s">
        <v>34</v>
      </c>
    </row>
    <row r="20">
      <c r="C20" s="7" t="s">
        <v>27</v>
      </c>
      <c r="D20" s="8">
        <f t="shared" ref="D20:G20" si="4">SUM(D17:D19)</f>
        <v>1500</v>
      </c>
      <c r="E20" s="8">
        <f t="shared" si="4"/>
        <v>2700</v>
      </c>
      <c r="F20" s="8">
        <f t="shared" si="4"/>
        <v>3600</v>
      </c>
      <c r="G20" s="8">
        <f t="shared" si="4"/>
        <v>5400</v>
      </c>
    </row>
    <row r="21" ht="15.75" customHeight="1">
      <c r="B21" s="3" t="s">
        <v>35</v>
      </c>
    </row>
    <row r="22" ht="15.75" customHeight="1">
      <c r="C22" s="4" t="s">
        <v>36</v>
      </c>
      <c r="D22" s="5">
        <f>$J22*3</f>
        <v>14400</v>
      </c>
      <c r="E22" s="5">
        <f t="shared" ref="E22:G22" si="5">$J22*6</f>
        <v>28800</v>
      </c>
      <c r="F22" s="5">
        <f t="shared" si="5"/>
        <v>28800</v>
      </c>
      <c r="G22" s="5">
        <f t="shared" si="5"/>
        <v>28800</v>
      </c>
      <c r="I22" s="3" t="s">
        <v>37</v>
      </c>
      <c r="J22" s="5">
        <f>400*12</f>
        <v>4800</v>
      </c>
      <c r="K22" s="3">
        <v>12.0</v>
      </c>
      <c r="L22" s="3">
        <v>12.0</v>
      </c>
      <c r="M22" s="3">
        <v>12.0</v>
      </c>
      <c r="N22" s="3">
        <v>12.0</v>
      </c>
    </row>
    <row r="23" ht="15.75" customHeight="1">
      <c r="C23" s="3" t="s">
        <v>38</v>
      </c>
      <c r="D23" s="5">
        <f t="shared" ref="D23:G23" si="6">$J23*150</f>
        <v>750</v>
      </c>
      <c r="E23" s="5">
        <f t="shared" si="6"/>
        <v>750</v>
      </c>
      <c r="F23" s="5">
        <f t="shared" si="6"/>
        <v>750</v>
      </c>
      <c r="G23" s="5">
        <f t="shared" si="6"/>
        <v>750</v>
      </c>
      <c r="I23" s="3" t="s">
        <v>39</v>
      </c>
      <c r="J23" s="5">
        <v>5.0</v>
      </c>
      <c r="K23" s="3">
        <v>150.0</v>
      </c>
      <c r="L23" s="3">
        <v>150.0</v>
      </c>
      <c r="M23" s="3">
        <v>150.0</v>
      </c>
      <c r="N23" s="3">
        <v>150.0</v>
      </c>
    </row>
    <row r="24" ht="15.75" customHeight="1">
      <c r="C24" s="4" t="s">
        <v>40</v>
      </c>
      <c r="D24" s="5">
        <f>$J24*K24</f>
        <v>7500</v>
      </c>
      <c r="E24" s="5">
        <f t="shared" ref="E24:G24" si="7">$J24*150</f>
        <v>7500</v>
      </c>
      <c r="F24" s="5">
        <f t="shared" si="7"/>
        <v>7500</v>
      </c>
      <c r="G24" s="5">
        <f t="shared" si="7"/>
        <v>7500</v>
      </c>
      <c r="I24" s="3" t="s">
        <v>41</v>
      </c>
      <c r="J24" s="5">
        <v>50.0</v>
      </c>
      <c r="K24" s="3">
        <v>150.0</v>
      </c>
      <c r="L24" s="3">
        <v>150.0</v>
      </c>
      <c r="M24" s="3">
        <v>150.0</v>
      </c>
      <c r="N24" s="3">
        <v>150.0</v>
      </c>
    </row>
    <row r="25" ht="15.75" customHeight="1">
      <c r="C25" s="4" t="s">
        <v>42</v>
      </c>
      <c r="D25" s="5">
        <v>0.0</v>
      </c>
      <c r="E25" s="5">
        <v>0.0</v>
      </c>
      <c r="F25" s="5">
        <v>0.0</v>
      </c>
      <c r="G25" s="5">
        <v>0.0</v>
      </c>
      <c r="J25" s="5"/>
    </row>
    <row r="26" ht="15.75" customHeight="1">
      <c r="C26" s="3" t="s">
        <v>33</v>
      </c>
      <c r="D26" s="5">
        <v>0.0</v>
      </c>
      <c r="E26" s="5">
        <v>0.0</v>
      </c>
      <c r="F26" s="5">
        <v>0.0</v>
      </c>
      <c r="G26" s="5">
        <v>0.0</v>
      </c>
    </row>
    <row r="27" ht="15.75" customHeight="1">
      <c r="C27" s="7" t="s">
        <v>27</v>
      </c>
      <c r="D27" s="8">
        <f t="shared" ref="D27:G27" si="8">SUM(D22:D26)</f>
        <v>22650</v>
      </c>
      <c r="E27" s="8">
        <f t="shared" si="8"/>
        <v>37050</v>
      </c>
      <c r="F27" s="8">
        <f t="shared" si="8"/>
        <v>37050</v>
      </c>
      <c r="G27" s="8">
        <f t="shared" si="8"/>
        <v>37050</v>
      </c>
    </row>
    <row r="28" ht="15.75" customHeight="1">
      <c r="D28" s="5"/>
    </row>
    <row r="29" ht="15.75" customHeight="1">
      <c r="B29" s="9" t="s">
        <v>43</v>
      </c>
      <c r="D29" s="10">
        <f t="shared" ref="D29:G29" si="9">D15+D20+D27</f>
        <v>38600</v>
      </c>
      <c r="E29" s="10">
        <f t="shared" si="9"/>
        <v>79550</v>
      </c>
      <c r="F29" s="10">
        <f t="shared" si="9"/>
        <v>97850</v>
      </c>
      <c r="G29" s="10">
        <f t="shared" si="9"/>
        <v>129550</v>
      </c>
    </row>
    <row r="30" ht="15.75" customHeight="1"/>
    <row r="31" ht="15.75" customHeight="1">
      <c r="B31" s="2" t="s">
        <v>44</v>
      </c>
    </row>
    <row r="32" ht="15.75" customHeight="1"/>
    <row r="33" ht="15.75" customHeight="1">
      <c r="B33" s="3" t="s">
        <v>45</v>
      </c>
      <c r="K33" s="3" t="s">
        <v>46</v>
      </c>
      <c r="L33" s="3" t="s">
        <v>47</v>
      </c>
      <c r="M33" s="3" t="s">
        <v>48</v>
      </c>
      <c r="N33" s="3" t="s">
        <v>49</v>
      </c>
      <c r="P33" s="3" t="s">
        <v>50</v>
      </c>
      <c r="Q33" s="3" t="s">
        <v>51</v>
      </c>
      <c r="R33" s="3" t="s">
        <v>52</v>
      </c>
      <c r="S33" s="3" t="s">
        <v>53</v>
      </c>
    </row>
    <row r="34" ht="15.75" customHeight="1">
      <c r="C34" s="3" t="s">
        <v>54</v>
      </c>
      <c r="D34" s="5">
        <f t="shared" ref="D34:G34" si="10">K34*P34</f>
        <v>5000</v>
      </c>
      <c r="E34" s="5">
        <f t="shared" si="10"/>
        <v>10000</v>
      </c>
      <c r="F34" s="5">
        <f t="shared" si="10"/>
        <v>20000</v>
      </c>
      <c r="G34" s="5">
        <f t="shared" si="10"/>
        <v>25000</v>
      </c>
      <c r="I34" s="3" t="s">
        <v>55</v>
      </c>
      <c r="K34" s="5">
        <v>1000.0</v>
      </c>
      <c r="L34" s="5">
        <v>1000.0</v>
      </c>
      <c r="M34" s="5">
        <v>1000.0</v>
      </c>
      <c r="N34" s="5">
        <v>1000.0</v>
      </c>
      <c r="P34" s="3">
        <v>5.0</v>
      </c>
      <c r="Q34" s="3">
        <v>10.0</v>
      </c>
      <c r="R34" s="3">
        <v>20.0</v>
      </c>
      <c r="S34" s="3">
        <v>25.0</v>
      </c>
    </row>
    <row r="35" ht="15.75" customHeight="1">
      <c r="C35" s="3" t="s">
        <v>56</v>
      </c>
      <c r="D35" s="5">
        <f t="shared" ref="D35:G35" si="11">K35*P35</f>
        <v>5000</v>
      </c>
      <c r="E35" s="5">
        <f t="shared" si="11"/>
        <v>10000</v>
      </c>
      <c r="F35" s="5">
        <f t="shared" si="11"/>
        <v>20000</v>
      </c>
      <c r="G35" s="5">
        <f t="shared" si="11"/>
        <v>25000</v>
      </c>
      <c r="I35" s="3" t="s">
        <v>55</v>
      </c>
      <c r="K35" s="5">
        <v>1000.0</v>
      </c>
      <c r="L35" s="5">
        <v>1000.0</v>
      </c>
      <c r="M35" s="5">
        <v>1000.0</v>
      </c>
      <c r="N35" s="5">
        <v>1000.0</v>
      </c>
      <c r="P35" s="3">
        <v>5.0</v>
      </c>
      <c r="Q35" s="3">
        <v>10.0</v>
      </c>
      <c r="R35" s="3">
        <v>20.0</v>
      </c>
      <c r="S35" s="3">
        <v>25.0</v>
      </c>
    </row>
    <row r="36" ht="15.75" customHeight="1">
      <c r="C36" s="3" t="s">
        <v>57</v>
      </c>
      <c r="D36" s="5">
        <f t="shared" ref="D36:G36" si="12">K36*P36</f>
        <v>2000</v>
      </c>
      <c r="E36" s="5">
        <f t="shared" si="12"/>
        <v>0</v>
      </c>
      <c r="F36" s="5">
        <f t="shared" si="12"/>
        <v>2000</v>
      </c>
      <c r="G36" s="5">
        <f t="shared" si="12"/>
        <v>0</v>
      </c>
      <c r="I36" s="3" t="s">
        <v>58</v>
      </c>
      <c r="K36" s="5">
        <f t="shared" ref="K36:N36" si="13">800+700+500</f>
        <v>2000</v>
      </c>
      <c r="L36" s="5">
        <f t="shared" si="13"/>
        <v>2000</v>
      </c>
      <c r="M36" s="5">
        <f t="shared" si="13"/>
        <v>2000</v>
      </c>
      <c r="N36" s="5">
        <f t="shared" si="13"/>
        <v>2000</v>
      </c>
      <c r="P36" s="3">
        <v>1.0</v>
      </c>
      <c r="Q36" s="3">
        <v>0.0</v>
      </c>
      <c r="R36" s="3">
        <v>1.0</v>
      </c>
      <c r="S36" s="3">
        <v>0.0</v>
      </c>
    </row>
    <row r="37" ht="15.75" customHeight="1">
      <c r="C37" s="3" t="s">
        <v>59</v>
      </c>
      <c r="D37" s="5">
        <f t="shared" ref="D37:G37" si="14">K37*P37</f>
        <v>1200</v>
      </c>
      <c r="E37" s="5">
        <f t="shared" si="14"/>
        <v>2000</v>
      </c>
      <c r="F37" s="5">
        <f t="shared" si="14"/>
        <v>1000</v>
      </c>
      <c r="G37" s="5">
        <f t="shared" si="14"/>
        <v>0</v>
      </c>
      <c r="I37" s="3" t="s">
        <v>60</v>
      </c>
      <c r="K37" s="5">
        <v>1200.0</v>
      </c>
      <c r="L37" s="5">
        <v>1000.0</v>
      </c>
      <c r="M37" s="5">
        <v>500.0</v>
      </c>
      <c r="N37" s="5">
        <v>500.0</v>
      </c>
      <c r="P37" s="3">
        <v>1.0</v>
      </c>
      <c r="Q37" s="3">
        <v>2.0</v>
      </c>
      <c r="R37" s="3">
        <v>2.0</v>
      </c>
      <c r="S37" s="3">
        <v>0.0</v>
      </c>
    </row>
    <row r="38" ht="15.75" customHeight="1">
      <c r="C38" s="3" t="s">
        <v>61</v>
      </c>
      <c r="D38" s="5">
        <f t="shared" ref="D38:G38" si="15">K38*P38</f>
        <v>200</v>
      </c>
      <c r="E38" s="5">
        <f t="shared" si="15"/>
        <v>200</v>
      </c>
      <c r="F38" s="5">
        <f t="shared" si="15"/>
        <v>200</v>
      </c>
      <c r="G38" s="5">
        <f t="shared" si="15"/>
        <v>200</v>
      </c>
      <c r="I38" s="3" t="s">
        <v>62</v>
      </c>
      <c r="K38" s="5">
        <v>100.0</v>
      </c>
      <c r="L38" s="5">
        <v>100.0</v>
      </c>
      <c r="M38" s="5">
        <v>100.0</v>
      </c>
      <c r="N38" s="5">
        <v>100.0</v>
      </c>
      <c r="P38" s="3">
        <v>2.0</v>
      </c>
      <c r="Q38" s="3">
        <v>2.0</v>
      </c>
      <c r="R38" s="3">
        <v>2.0</v>
      </c>
      <c r="S38" s="3">
        <v>2.0</v>
      </c>
    </row>
    <row r="39" ht="15.75" customHeight="1">
      <c r="C39" s="3" t="s">
        <v>63</v>
      </c>
      <c r="D39" s="5">
        <f t="shared" ref="D39:G39" si="16">K39*P39</f>
        <v>84</v>
      </c>
      <c r="E39" s="5">
        <f t="shared" si="16"/>
        <v>168</v>
      </c>
      <c r="F39" s="5">
        <f t="shared" si="16"/>
        <v>168</v>
      </c>
      <c r="G39" s="5">
        <f t="shared" si="16"/>
        <v>168</v>
      </c>
      <c r="I39" s="3" t="s">
        <v>64</v>
      </c>
      <c r="K39" s="5">
        <f t="shared" ref="K39:N39" si="17">7*12</f>
        <v>84</v>
      </c>
      <c r="L39" s="5">
        <f t="shared" si="17"/>
        <v>84</v>
      </c>
      <c r="M39" s="5">
        <f t="shared" si="17"/>
        <v>84</v>
      </c>
      <c r="N39" s="5">
        <f t="shared" si="17"/>
        <v>84</v>
      </c>
      <c r="P39" s="3">
        <v>1.0</v>
      </c>
      <c r="Q39" s="3">
        <v>2.0</v>
      </c>
      <c r="R39" s="3">
        <v>2.0</v>
      </c>
      <c r="S39" s="3">
        <v>2.0</v>
      </c>
    </row>
    <row r="40" ht="15.75" customHeight="1">
      <c r="C40" s="3" t="s">
        <v>65</v>
      </c>
      <c r="D40" s="5">
        <v>2000.0</v>
      </c>
      <c r="E40" s="5">
        <v>3000.0</v>
      </c>
      <c r="F40" s="5">
        <v>2000.0</v>
      </c>
      <c r="G40" s="5">
        <v>1500.0</v>
      </c>
      <c r="I40" s="3" t="s">
        <v>66</v>
      </c>
    </row>
    <row r="41" ht="15.75" customHeight="1">
      <c r="C41" s="3" t="s">
        <v>67</v>
      </c>
      <c r="D41" s="5">
        <v>5000.0</v>
      </c>
      <c r="E41" s="5">
        <v>7000.0</v>
      </c>
      <c r="F41" s="5">
        <v>5000.0</v>
      </c>
      <c r="G41" s="5">
        <v>3000.0</v>
      </c>
      <c r="I41" s="3" t="s">
        <v>68</v>
      </c>
    </row>
    <row r="42" ht="15.75" customHeight="1">
      <c r="C42" s="11" t="s">
        <v>27</v>
      </c>
      <c r="D42" s="8">
        <f t="shared" ref="D42:G42" si="18">SUM(D34:D41)</f>
        <v>20484</v>
      </c>
      <c r="E42" s="8">
        <f t="shared" si="18"/>
        <v>32368</v>
      </c>
      <c r="F42" s="8">
        <f t="shared" si="18"/>
        <v>50368</v>
      </c>
      <c r="G42" s="8">
        <f t="shared" si="18"/>
        <v>54868</v>
      </c>
    </row>
    <row r="43" ht="15.75" customHeight="1">
      <c r="B43" s="3" t="s">
        <v>69</v>
      </c>
    </row>
    <row r="44" ht="15.75" customHeight="1">
      <c r="C44" s="3" t="s">
        <v>70</v>
      </c>
      <c r="D44" s="5">
        <f t="shared" ref="D44:G44" si="19">K44*P44</f>
        <v>7500</v>
      </c>
      <c r="E44" s="5">
        <f t="shared" si="19"/>
        <v>6000</v>
      </c>
      <c r="F44" s="5">
        <f t="shared" si="19"/>
        <v>4500</v>
      </c>
      <c r="G44" s="5">
        <f t="shared" si="19"/>
        <v>4500</v>
      </c>
      <c r="I44" s="3" t="s">
        <v>71</v>
      </c>
      <c r="K44" s="5">
        <f t="shared" ref="K44:N44" si="20">500</f>
        <v>500</v>
      </c>
      <c r="L44" s="5">
        <f t="shared" si="20"/>
        <v>500</v>
      </c>
      <c r="M44" s="5">
        <f t="shared" si="20"/>
        <v>500</v>
      </c>
      <c r="N44" s="5">
        <f t="shared" si="20"/>
        <v>500</v>
      </c>
      <c r="P44" s="3">
        <v>15.0</v>
      </c>
      <c r="Q44" s="3">
        <v>12.0</v>
      </c>
      <c r="R44" s="3">
        <v>9.0</v>
      </c>
      <c r="S44" s="3">
        <v>9.0</v>
      </c>
    </row>
    <row r="45" ht="15.75" customHeight="1">
      <c r="C45" s="3" t="s">
        <v>72</v>
      </c>
      <c r="D45" s="5">
        <f t="shared" ref="D45:G45" si="21">K45*P45</f>
        <v>2500</v>
      </c>
      <c r="E45" s="5">
        <f t="shared" si="21"/>
        <v>2000</v>
      </c>
      <c r="F45" s="5">
        <f t="shared" si="21"/>
        <v>1500</v>
      </c>
      <c r="G45" s="5">
        <f t="shared" si="21"/>
        <v>1000</v>
      </c>
      <c r="I45" s="3" t="s">
        <v>71</v>
      </c>
      <c r="K45" s="5">
        <v>250.0</v>
      </c>
      <c r="L45" s="5">
        <v>250.0</v>
      </c>
      <c r="M45" s="5">
        <v>250.0</v>
      </c>
      <c r="N45" s="5">
        <v>250.0</v>
      </c>
      <c r="P45" s="3">
        <v>10.0</v>
      </c>
      <c r="Q45" s="3">
        <v>8.0</v>
      </c>
      <c r="R45" s="3">
        <v>6.0</v>
      </c>
      <c r="S45" s="3">
        <v>4.0</v>
      </c>
    </row>
    <row r="46" ht="15.75" customHeight="1">
      <c r="C46" s="3" t="s">
        <v>73</v>
      </c>
      <c r="D46" s="5">
        <f t="shared" ref="D46:G46" si="22">K46*P46</f>
        <v>2000</v>
      </c>
      <c r="E46" s="5">
        <f t="shared" si="22"/>
        <v>2000</v>
      </c>
      <c r="F46" s="5">
        <f t="shared" si="22"/>
        <v>1000</v>
      </c>
      <c r="G46" s="5">
        <f t="shared" si="22"/>
        <v>1000</v>
      </c>
      <c r="I46" s="3" t="s">
        <v>74</v>
      </c>
      <c r="K46" s="5">
        <v>500.0</v>
      </c>
      <c r="L46" s="5">
        <v>500.0</v>
      </c>
      <c r="M46" s="5">
        <v>500.0</v>
      </c>
      <c r="N46" s="5">
        <v>500.0</v>
      </c>
      <c r="P46" s="3">
        <v>4.0</v>
      </c>
      <c r="Q46" s="3">
        <v>4.0</v>
      </c>
      <c r="R46" s="3">
        <v>2.0</v>
      </c>
      <c r="S46" s="3">
        <v>2.0</v>
      </c>
    </row>
    <row r="47" ht="15.75" customHeight="1">
      <c r="C47" s="3" t="s">
        <v>75</v>
      </c>
      <c r="D47" s="5">
        <v>5000.0</v>
      </c>
      <c r="E47" s="5">
        <v>2500.0</v>
      </c>
      <c r="F47" s="5">
        <v>1500.0</v>
      </c>
      <c r="G47" s="5">
        <v>1500.0</v>
      </c>
    </row>
    <row r="48" ht="15.75" customHeight="1">
      <c r="C48" s="11" t="s">
        <v>27</v>
      </c>
      <c r="D48" s="8">
        <f t="shared" ref="D48:G48" si="23">SUM(D44:D47)</f>
        <v>17000</v>
      </c>
      <c r="E48" s="8">
        <f t="shared" si="23"/>
        <v>12500</v>
      </c>
      <c r="F48" s="8">
        <f t="shared" si="23"/>
        <v>8500</v>
      </c>
      <c r="G48" s="8">
        <f t="shared" si="23"/>
        <v>8000</v>
      </c>
    </row>
    <row r="49" ht="15.75" customHeight="1">
      <c r="B49" s="3" t="s">
        <v>76</v>
      </c>
    </row>
    <row r="50" ht="15.75" customHeight="1">
      <c r="C50" s="3" t="s">
        <v>77</v>
      </c>
      <c r="D50" s="5">
        <f t="shared" ref="D50:G50" si="24">K50*P50</f>
        <v>1000</v>
      </c>
      <c r="E50" s="5">
        <f t="shared" si="24"/>
        <v>2000</v>
      </c>
      <c r="F50" s="5">
        <f t="shared" si="24"/>
        <v>3000</v>
      </c>
      <c r="G50" s="5">
        <f t="shared" si="24"/>
        <v>3000</v>
      </c>
      <c r="I50" s="3" t="s">
        <v>78</v>
      </c>
      <c r="K50" s="5">
        <v>1000.0</v>
      </c>
      <c r="L50" s="5">
        <v>1000.0</v>
      </c>
      <c r="M50" s="5">
        <v>1000.0</v>
      </c>
      <c r="N50" s="5">
        <v>1000.0</v>
      </c>
      <c r="P50" s="3">
        <v>1.0</v>
      </c>
      <c r="Q50" s="3">
        <v>2.0</v>
      </c>
      <c r="R50" s="3">
        <v>3.0</v>
      </c>
      <c r="S50" s="3">
        <v>3.0</v>
      </c>
    </row>
    <row r="51" ht="15.75" customHeight="1">
      <c r="C51" s="3" t="s">
        <v>79</v>
      </c>
      <c r="D51" s="5">
        <f t="shared" ref="D51:G51" si="25">K51*P51</f>
        <v>1000</v>
      </c>
      <c r="E51" s="5">
        <f t="shared" si="25"/>
        <v>2000</v>
      </c>
      <c r="F51" s="5">
        <f t="shared" si="25"/>
        <v>3000</v>
      </c>
      <c r="G51" s="5">
        <f t="shared" si="25"/>
        <v>3000</v>
      </c>
      <c r="I51" s="3" t="s">
        <v>80</v>
      </c>
      <c r="K51" s="5">
        <v>1000.0</v>
      </c>
      <c r="L51" s="5">
        <v>1000.0</v>
      </c>
      <c r="M51" s="5">
        <v>1000.0</v>
      </c>
      <c r="N51" s="5">
        <v>1000.0</v>
      </c>
      <c r="P51" s="3">
        <v>1.0</v>
      </c>
      <c r="Q51" s="3">
        <v>2.0</v>
      </c>
      <c r="R51" s="3">
        <v>3.0</v>
      </c>
      <c r="S51" s="3">
        <v>3.0</v>
      </c>
    </row>
    <row r="52" ht="15.75" customHeight="1">
      <c r="C52" s="3" t="s">
        <v>81</v>
      </c>
      <c r="D52" s="5">
        <f t="shared" ref="D52:G52" si="26">K52*P52</f>
        <v>2000</v>
      </c>
      <c r="E52" s="5">
        <f t="shared" si="26"/>
        <v>1000</v>
      </c>
      <c r="F52" s="5">
        <f t="shared" si="26"/>
        <v>1000</v>
      </c>
      <c r="G52" s="5">
        <f t="shared" si="26"/>
        <v>1000</v>
      </c>
      <c r="I52" s="3" t="s">
        <v>82</v>
      </c>
      <c r="K52" s="5">
        <v>1000.0</v>
      </c>
      <c r="L52" s="5">
        <v>1000.0</v>
      </c>
      <c r="M52" s="5">
        <v>1000.0</v>
      </c>
      <c r="N52" s="5">
        <v>1000.0</v>
      </c>
      <c r="P52" s="3">
        <v>2.0</v>
      </c>
      <c r="Q52" s="3">
        <v>1.0</v>
      </c>
      <c r="R52" s="3">
        <v>1.0</v>
      </c>
      <c r="S52" s="3">
        <v>1.0</v>
      </c>
    </row>
    <row r="53" ht="15.75" customHeight="1">
      <c r="C53" s="3" t="s">
        <v>83</v>
      </c>
      <c r="D53" s="5">
        <f t="shared" ref="D53:G53" si="27">K53*P53</f>
        <v>1000</v>
      </c>
      <c r="E53" s="5">
        <f t="shared" si="27"/>
        <v>1000</v>
      </c>
      <c r="F53" s="5">
        <f t="shared" si="27"/>
        <v>1000</v>
      </c>
      <c r="G53" s="5">
        <f t="shared" si="27"/>
        <v>1000</v>
      </c>
      <c r="I53" s="3" t="s">
        <v>84</v>
      </c>
      <c r="K53" s="5">
        <v>1000.0</v>
      </c>
      <c r="L53" s="5">
        <v>1000.0</v>
      </c>
      <c r="M53" s="5">
        <v>1000.0</v>
      </c>
      <c r="N53" s="5">
        <v>1000.0</v>
      </c>
      <c r="P53" s="3">
        <v>1.0</v>
      </c>
      <c r="Q53" s="3">
        <v>1.0</v>
      </c>
      <c r="R53" s="3">
        <v>1.0</v>
      </c>
      <c r="S53" s="3">
        <v>1.0</v>
      </c>
    </row>
    <row r="54" ht="15.75" customHeight="1">
      <c r="C54" s="11" t="s">
        <v>27</v>
      </c>
      <c r="D54" s="8">
        <f t="shared" ref="D54:G54" si="28">SUM(D50:D53)</f>
        <v>5000</v>
      </c>
      <c r="E54" s="8">
        <f t="shared" si="28"/>
        <v>6000</v>
      </c>
      <c r="F54" s="8">
        <f t="shared" si="28"/>
        <v>8000</v>
      </c>
      <c r="G54" s="8">
        <f t="shared" si="28"/>
        <v>8000</v>
      </c>
    </row>
    <row r="55" ht="15.75" customHeight="1">
      <c r="B55" s="3" t="s">
        <v>85</v>
      </c>
    </row>
    <row r="56" ht="15.75" customHeight="1">
      <c r="C56" s="3" t="s">
        <v>86</v>
      </c>
      <c r="D56" s="5">
        <f t="shared" ref="D56:G56" si="29">K56</f>
        <v>317.5625</v>
      </c>
      <c r="E56" s="5">
        <f t="shared" si="29"/>
        <v>1238.25</v>
      </c>
      <c r="F56" s="5">
        <f t="shared" si="29"/>
        <v>1623.375</v>
      </c>
      <c r="G56" s="5">
        <f t="shared" si="29"/>
        <v>2393.625</v>
      </c>
      <c r="I56" s="3" t="s">
        <v>87</v>
      </c>
      <c r="K56" s="5">
        <f>125+(0.0399*D8)+(0.99*(K8*0.75))</f>
        <v>317.5625</v>
      </c>
      <c r="L56" s="5">
        <f t="shared" ref="L56:N56" si="30">(39*12)+(0.0399*E8+((0.99*L8)*0.75))</f>
        <v>1238.25</v>
      </c>
      <c r="M56" s="5">
        <f t="shared" si="30"/>
        <v>1623.375</v>
      </c>
      <c r="N56" s="5">
        <f t="shared" si="30"/>
        <v>2393.625</v>
      </c>
    </row>
    <row r="57" ht="15.75" customHeight="1">
      <c r="C57" s="3" t="s">
        <v>88</v>
      </c>
      <c r="D57" s="5">
        <v>0.0</v>
      </c>
      <c r="E57" s="5">
        <v>2500.0</v>
      </c>
      <c r="F57" s="5">
        <v>500.0</v>
      </c>
      <c r="G57" s="5">
        <v>0.0</v>
      </c>
      <c r="I57" s="3" t="s">
        <v>89</v>
      </c>
      <c r="K57" s="5">
        <v>0.0</v>
      </c>
      <c r="L57" s="5">
        <v>2500.0</v>
      </c>
      <c r="M57" s="5">
        <v>500.0</v>
      </c>
      <c r="N57" s="5">
        <v>0.0</v>
      </c>
    </row>
    <row r="58" ht="15.75" customHeight="1">
      <c r="C58" s="3" t="s">
        <v>90</v>
      </c>
      <c r="D58" s="5">
        <v>0.0</v>
      </c>
      <c r="E58" s="5">
        <f t="shared" ref="E58:G58" si="31">0.3*E10</f>
        <v>1500</v>
      </c>
      <c r="F58" s="5">
        <f t="shared" si="31"/>
        <v>2250</v>
      </c>
      <c r="G58" s="5">
        <f t="shared" si="31"/>
        <v>3000</v>
      </c>
      <c r="I58" s="3" t="s">
        <v>91</v>
      </c>
      <c r="K58" s="5">
        <v>0.0</v>
      </c>
      <c r="L58" s="5">
        <f t="shared" ref="L58:N58" si="32">E58</f>
        <v>1500</v>
      </c>
      <c r="M58" s="5">
        <f t="shared" si="32"/>
        <v>2250</v>
      </c>
      <c r="N58" s="5">
        <f t="shared" si="32"/>
        <v>3000</v>
      </c>
    </row>
    <row r="59" ht="15.75" customHeight="1">
      <c r="C59" s="3" t="s">
        <v>92</v>
      </c>
      <c r="D59" s="5">
        <v>0.0</v>
      </c>
      <c r="I59" s="3" t="s">
        <v>93</v>
      </c>
      <c r="K59" s="5">
        <v>0.0</v>
      </c>
      <c r="L59" s="5">
        <v>4000.0</v>
      </c>
      <c r="M59" s="5">
        <v>0.0</v>
      </c>
      <c r="N59" s="5">
        <v>0.0</v>
      </c>
    </row>
    <row r="60" ht="15.75" customHeight="1">
      <c r="C60" s="3" t="s">
        <v>94</v>
      </c>
      <c r="D60" s="5">
        <f t="shared" ref="D60:G60" si="33">P60*K60</f>
        <v>3750</v>
      </c>
      <c r="E60" s="5">
        <f t="shared" si="33"/>
        <v>3750</v>
      </c>
      <c r="F60" s="5">
        <f t="shared" si="33"/>
        <v>3750</v>
      </c>
      <c r="G60" s="5">
        <f t="shared" si="33"/>
        <v>3750</v>
      </c>
      <c r="I60" s="3" t="s">
        <v>95</v>
      </c>
      <c r="K60" s="5">
        <v>25.0</v>
      </c>
      <c r="L60" s="5">
        <v>25.0</v>
      </c>
      <c r="M60" s="5">
        <v>25.0</v>
      </c>
      <c r="N60" s="5">
        <v>25.0</v>
      </c>
      <c r="P60" s="12">
        <v>150.0</v>
      </c>
      <c r="Q60" s="12">
        <v>150.0</v>
      </c>
      <c r="R60" s="12">
        <v>150.0</v>
      </c>
      <c r="S60" s="12">
        <v>150.0</v>
      </c>
    </row>
    <row r="61" ht="15.75" customHeight="1">
      <c r="C61" s="3" t="s">
        <v>96</v>
      </c>
      <c r="D61" s="5">
        <v>0.0</v>
      </c>
      <c r="E61" s="5">
        <v>2500.0</v>
      </c>
      <c r="F61" s="5">
        <v>0.0</v>
      </c>
      <c r="G61" s="5">
        <v>0.0</v>
      </c>
      <c r="I61" s="3" t="s">
        <v>97</v>
      </c>
    </row>
    <row r="62" ht="15.75" customHeight="1">
      <c r="C62" s="3" t="s">
        <v>98</v>
      </c>
      <c r="D62" s="5">
        <v>0.0</v>
      </c>
      <c r="E62" s="13" t="s">
        <v>99</v>
      </c>
      <c r="F62" s="5">
        <v>0.0</v>
      </c>
      <c r="G62" s="5">
        <v>0.0</v>
      </c>
      <c r="I62" s="3" t="s">
        <v>100</v>
      </c>
    </row>
    <row r="63" ht="15.75" customHeight="1">
      <c r="C63" s="11" t="s">
        <v>27</v>
      </c>
      <c r="D63" s="5">
        <f t="shared" ref="D63:G63" si="34">SUM(D56:D62)</f>
        <v>4067.5625</v>
      </c>
      <c r="E63" s="5">
        <f t="shared" si="34"/>
        <v>11488.25</v>
      </c>
      <c r="F63" s="5">
        <f t="shared" si="34"/>
        <v>8123.375</v>
      </c>
      <c r="G63" s="5">
        <f t="shared" si="34"/>
        <v>9143.625</v>
      </c>
    </row>
    <row r="64" ht="15.75" customHeight="1">
      <c r="B64" s="3" t="s">
        <v>101</v>
      </c>
    </row>
    <row r="65" ht="15.75" customHeight="1">
      <c r="C65" s="3" t="s">
        <v>102</v>
      </c>
      <c r="D65" s="5">
        <f>50*12</f>
        <v>600</v>
      </c>
      <c r="E65" s="5">
        <f t="shared" ref="E65:G65" si="35">D65*1.05</f>
        <v>630</v>
      </c>
      <c r="F65" s="5">
        <f t="shared" si="35"/>
        <v>661.5</v>
      </c>
      <c r="G65" s="5">
        <f t="shared" si="35"/>
        <v>694.575</v>
      </c>
      <c r="I65" s="3" t="s">
        <v>103</v>
      </c>
      <c r="K65" s="3" t="s">
        <v>104</v>
      </c>
    </row>
    <row r="66" ht="15.75" customHeight="1">
      <c r="C66" s="3" t="s">
        <v>105</v>
      </c>
      <c r="D66" s="5">
        <f>100*12</f>
        <v>1200</v>
      </c>
      <c r="E66" s="5">
        <f t="shared" ref="E66:G66" si="36">D66*1.03</f>
        <v>1236</v>
      </c>
      <c r="F66" s="5">
        <f t="shared" si="36"/>
        <v>1273.08</v>
      </c>
      <c r="G66" s="5">
        <f t="shared" si="36"/>
        <v>1311.2724</v>
      </c>
      <c r="I66" s="3" t="s">
        <v>106</v>
      </c>
      <c r="K66" s="3" t="s">
        <v>107</v>
      </c>
    </row>
    <row r="67" ht="15.75" customHeight="1">
      <c r="C67" s="3" t="s">
        <v>108</v>
      </c>
      <c r="D67" s="5">
        <f>(150*12)+(15*12)</f>
        <v>1980</v>
      </c>
      <c r="E67" s="5">
        <f t="shared" ref="E67:G67" si="37">D67*1.03</f>
        <v>2039.4</v>
      </c>
      <c r="F67" s="5">
        <f t="shared" si="37"/>
        <v>2100.582</v>
      </c>
      <c r="G67" s="5">
        <f t="shared" si="37"/>
        <v>2163.59946</v>
      </c>
      <c r="I67" s="3" t="s">
        <v>109</v>
      </c>
      <c r="K67" s="3" t="s">
        <v>107</v>
      </c>
    </row>
    <row r="68" ht="15.75" customHeight="1">
      <c r="C68" s="3" t="s">
        <v>110</v>
      </c>
      <c r="D68" s="5">
        <f t="shared" ref="D68:D69" si="39">100*12</f>
        <v>1200</v>
      </c>
      <c r="E68" s="5">
        <f t="shared" ref="E68:G68" si="38">D68*1.02</f>
        <v>1224</v>
      </c>
      <c r="F68" s="5">
        <f t="shared" si="38"/>
        <v>1248.48</v>
      </c>
      <c r="G68" s="5">
        <f t="shared" si="38"/>
        <v>1273.4496</v>
      </c>
      <c r="I68" s="3" t="s">
        <v>111</v>
      </c>
      <c r="K68" s="3" t="s">
        <v>112</v>
      </c>
    </row>
    <row r="69" ht="15.75" customHeight="1">
      <c r="C69" s="3" t="s">
        <v>113</v>
      </c>
      <c r="D69" s="5">
        <f t="shared" si="39"/>
        <v>1200</v>
      </c>
      <c r="E69" s="5">
        <f t="shared" ref="E69:G69" si="40">100*12</f>
        <v>1200</v>
      </c>
      <c r="F69" s="5">
        <f t="shared" si="40"/>
        <v>1200</v>
      </c>
      <c r="G69" s="5">
        <f t="shared" si="40"/>
        <v>1200</v>
      </c>
      <c r="I69" s="3" t="s">
        <v>114</v>
      </c>
    </row>
    <row r="70" ht="15.75" customHeight="1">
      <c r="C70" s="3" t="s">
        <v>115</v>
      </c>
      <c r="D70" s="5">
        <f t="shared" ref="D70:G70" si="41">150*12</f>
        <v>1800</v>
      </c>
      <c r="E70" s="5">
        <f t="shared" si="41"/>
        <v>1800</v>
      </c>
      <c r="F70" s="5">
        <f t="shared" si="41"/>
        <v>1800</v>
      </c>
      <c r="G70" s="5">
        <f t="shared" si="41"/>
        <v>1800</v>
      </c>
      <c r="I70" s="3" t="s">
        <v>116</v>
      </c>
    </row>
    <row r="71" ht="15.75" customHeight="1">
      <c r="C71" s="11" t="s">
        <v>27</v>
      </c>
      <c r="D71" s="8">
        <f t="shared" ref="D71:G71" si="42">SUM(D65:D70)</f>
        <v>7980</v>
      </c>
      <c r="E71" s="8">
        <f t="shared" si="42"/>
        <v>8129.4</v>
      </c>
      <c r="F71" s="8">
        <f t="shared" si="42"/>
        <v>8283.642</v>
      </c>
      <c r="G71" s="8">
        <f t="shared" si="42"/>
        <v>8442.89646</v>
      </c>
    </row>
    <row r="72" ht="15.75" customHeight="1"/>
    <row r="73" ht="15.75" customHeight="1">
      <c r="B73" s="9" t="s">
        <v>117</v>
      </c>
      <c r="C73" s="9"/>
      <c r="D73" s="10">
        <f t="shared" ref="D73:G73" si="43">D42+D48+D54+D71</f>
        <v>50464</v>
      </c>
      <c r="E73" s="10">
        <f t="shared" si="43"/>
        <v>58997.4</v>
      </c>
      <c r="F73" s="10">
        <f t="shared" si="43"/>
        <v>75151.642</v>
      </c>
      <c r="G73" s="10">
        <f t="shared" si="43"/>
        <v>79310.89646</v>
      </c>
    </row>
    <row r="74" ht="15.75" customHeight="1"/>
    <row r="75" ht="15.75" customHeight="1">
      <c r="B75" s="9" t="s">
        <v>118</v>
      </c>
      <c r="D75" s="8">
        <f t="shared" ref="D75:G75" si="44">D29-D73</f>
        <v>-11864</v>
      </c>
      <c r="E75" s="8">
        <f t="shared" si="44"/>
        <v>20552.6</v>
      </c>
      <c r="F75" s="8">
        <f t="shared" si="44"/>
        <v>22698.358</v>
      </c>
      <c r="G75" s="8">
        <f t="shared" si="44"/>
        <v>50239.10354</v>
      </c>
    </row>
    <row r="76" ht="15.75" customHeight="1"/>
    <row r="77" ht="15.75" customHeight="1">
      <c r="C77" s="3" t="s">
        <v>119</v>
      </c>
      <c r="D77" s="5">
        <f>IF(D29-D73&lt;=0,0)</f>
        <v>0</v>
      </c>
      <c r="E77" s="5">
        <f t="shared" ref="E77:G77" si="45">IF(E29-E73&lt;=0,0,E29-E73)*0.28</f>
        <v>5754.728</v>
      </c>
      <c r="F77" s="5">
        <f t="shared" si="45"/>
        <v>6355.54024</v>
      </c>
      <c r="G77" s="5">
        <f t="shared" si="45"/>
        <v>14066.94899</v>
      </c>
      <c r="I77" s="3" t="s">
        <v>120</v>
      </c>
    </row>
    <row r="78" ht="15.75" customHeight="1"/>
    <row r="79" ht="15.75" customHeight="1"/>
    <row r="80" ht="15.75" customHeight="1">
      <c r="E80" s="5"/>
    </row>
    <row r="81" ht="15.75" customHeight="1"/>
    <row r="82" ht="15.75" customHeight="1">
      <c r="E82" s="5"/>
    </row>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