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ata Analytics Boot Camp\Data Analytics Boot Camp\2018-10-06\Class 1 and 2\UTORON201809DATA3-master\UTORON201809DATA3-master\Unit 1\Homework\"/>
    </mc:Choice>
  </mc:AlternateContent>
  <xr:revisionPtr revIDLastSave="0" documentId="8_{2C34B0DA-8D2A-45D5-8DAA-015840EEBC54}" xr6:coauthVersionLast="37" xr6:coauthVersionMax="37" xr10:uidLastSave="{00000000-0000-0000-0000-000000000000}"/>
  <bookViews>
    <workbookView xWindow="0" yWindow="0" windowWidth="14376" windowHeight="12780" firstSheet="1" activeTab="1" xr2:uid="{00000000-000D-0000-FFFF-FFFF00000000}"/>
  </bookViews>
  <sheets>
    <sheet name="Sheet4" sheetId="9" r:id="rId1"/>
    <sheet name="Original-Modified" sheetId="1" r:id="rId2"/>
    <sheet name="Part 1" sheetId="2" r:id="rId3"/>
    <sheet name="Part 2" sheetId="3" r:id="rId4"/>
    <sheet name="Part 3" sheetId="4" r:id="rId5"/>
    <sheet name="Bonus" sheetId="5" r:id="rId6"/>
    <sheet name="Additional 1" sheetId="6" r:id="rId7"/>
    <sheet name="Additional 2" sheetId="7" r:id="rId8"/>
    <sheet name="Ignore - Extra" sheetId="8" r:id="rId9"/>
  </sheets>
  <calcPr calcId="179021"/>
  <pivotCaches>
    <pivotCache cacheId="0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3" i="8" l="1"/>
  <c r="J13" i="8" s="1"/>
  <c r="E13" i="8"/>
  <c r="D13" i="8"/>
  <c r="H13" i="8" s="1"/>
  <c r="C13" i="8"/>
  <c r="G13" i="8" s="1"/>
  <c r="B13" i="8"/>
  <c r="F13" i="8" s="1"/>
  <c r="I12" i="8"/>
  <c r="D12" i="8"/>
  <c r="C12" i="8"/>
  <c r="B12" i="8"/>
  <c r="I11" i="8"/>
  <c r="D11" i="8"/>
  <c r="C11" i="8"/>
  <c r="B11" i="8"/>
  <c r="I10" i="8"/>
  <c r="D10" i="8"/>
  <c r="E10" i="8" s="1"/>
  <c r="C10" i="8"/>
  <c r="G10" i="8" s="1"/>
  <c r="B10" i="8"/>
  <c r="I9" i="8"/>
  <c r="J9" i="8" s="1"/>
  <c r="E9" i="8"/>
  <c r="D9" i="8"/>
  <c r="H9" i="8" s="1"/>
  <c r="C9" i="8"/>
  <c r="G9" i="8" s="1"/>
  <c r="B9" i="8"/>
  <c r="F9" i="8" s="1"/>
  <c r="I8" i="8"/>
  <c r="D8" i="8"/>
  <c r="C8" i="8"/>
  <c r="B8" i="8"/>
  <c r="I7" i="8"/>
  <c r="J7" i="8" s="1"/>
  <c r="D7" i="8"/>
  <c r="H7" i="8" s="1"/>
  <c r="C7" i="8"/>
  <c r="E7" i="8" s="1"/>
  <c r="B7" i="8"/>
  <c r="I6" i="8"/>
  <c r="J6" i="8" s="1"/>
  <c r="D6" i="8"/>
  <c r="H6" i="8" s="1"/>
  <c r="C6" i="8"/>
  <c r="B6" i="8"/>
  <c r="E6" i="8" s="1"/>
  <c r="I5" i="8"/>
  <c r="J5" i="8" s="1"/>
  <c r="E5" i="8"/>
  <c r="D5" i="8"/>
  <c r="H5" i="8" s="1"/>
  <c r="C5" i="8"/>
  <c r="G5" i="8" s="1"/>
  <c r="B5" i="8"/>
  <c r="F5" i="8" s="1"/>
  <c r="I4" i="8"/>
  <c r="D4" i="8"/>
  <c r="C4" i="8"/>
  <c r="B4" i="8"/>
  <c r="E4" i="8" s="1"/>
  <c r="J4" i="8" s="1"/>
  <c r="I3" i="8"/>
  <c r="J3" i="8" s="1"/>
  <c r="D3" i="8"/>
  <c r="C3" i="8"/>
  <c r="E3" i="8" s="1"/>
  <c r="B3" i="8"/>
  <c r="F3" i="8" s="1"/>
  <c r="I2" i="8"/>
  <c r="D2" i="8"/>
  <c r="C2" i="8"/>
  <c r="B2" i="8"/>
  <c r="I13" i="7"/>
  <c r="J13" i="7" s="1"/>
  <c r="D13" i="7"/>
  <c r="H13" i="7" s="1"/>
  <c r="C13" i="7"/>
  <c r="E13" i="7" s="1"/>
  <c r="B13" i="7"/>
  <c r="F13" i="7" s="1"/>
  <c r="I12" i="7"/>
  <c r="D12" i="7"/>
  <c r="C12" i="7"/>
  <c r="B12" i="7"/>
  <c r="I11" i="7"/>
  <c r="J11" i="7" s="1"/>
  <c r="E11" i="7"/>
  <c r="D11" i="7"/>
  <c r="H11" i="7" s="1"/>
  <c r="C11" i="7"/>
  <c r="G11" i="7" s="1"/>
  <c r="B11" i="7"/>
  <c r="F11" i="7" s="1"/>
  <c r="I10" i="7"/>
  <c r="J10" i="7" s="1"/>
  <c r="E10" i="7"/>
  <c r="D10" i="7"/>
  <c r="H10" i="7" s="1"/>
  <c r="C10" i="7"/>
  <c r="G10" i="7" s="1"/>
  <c r="B10" i="7"/>
  <c r="F10" i="7" s="1"/>
  <c r="I9" i="7"/>
  <c r="D9" i="7"/>
  <c r="C9" i="7"/>
  <c r="B9" i="7"/>
  <c r="I8" i="7"/>
  <c r="D8" i="7"/>
  <c r="C8" i="7"/>
  <c r="B8" i="7"/>
  <c r="I7" i="7"/>
  <c r="D7" i="7"/>
  <c r="C7" i="7"/>
  <c r="B7" i="7"/>
  <c r="I6" i="7"/>
  <c r="J6" i="7" s="1"/>
  <c r="E6" i="7"/>
  <c r="D6" i="7"/>
  <c r="H6" i="7" s="1"/>
  <c r="C6" i="7"/>
  <c r="G6" i="7" s="1"/>
  <c r="B6" i="7"/>
  <c r="F6" i="7" s="1"/>
  <c r="I5" i="7"/>
  <c r="D5" i="7"/>
  <c r="C5" i="7"/>
  <c r="B5" i="7"/>
  <c r="I4" i="7"/>
  <c r="D4" i="7"/>
  <c r="C4" i="7"/>
  <c r="B4" i="7"/>
  <c r="I3" i="7"/>
  <c r="D3" i="7"/>
  <c r="C3" i="7"/>
  <c r="B3" i="7"/>
  <c r="I2" i="7"/>
  <c r="J2" i="7" s="1"/>
  <c r="E2" i="7"/>
  <c r="D2" i="7"/>
  <c r="H2" i="7" s="1"/>
  <c r="C2" i="7"/>
  <c r="G2" i="7" s="1"/>
  <c r="B2" i="7"/>
  <c r="F2" i="7" s="1"/>
  <c r="J3" i="6"/>
  <c r="J4" i="6"/>
  <c r="J5" i="6"/>
  <c r="J6" i="6"/>
  <c r="J7" i="6"/>
  <c r="J8" i="6"/>
  <c r="J9" i="6"/>
  <c r="J10" i="6"/>
  <c r="J11" i="6"/>
  <c r="J12" i="6"/>
  <c r="J13" i="6"/>
  <c r="J2" i="6"/>
  <c r="I13" i="6"/>
  <c r="I12" i="6"/>
  <c r="I11" i="6"/>
  <c r="I10" i="6"/>
  <c r="I9" i="6"/>
  <c r="I8" i="6"/>
  <c r="I7" i="6"/>
  <c r="I6" i="6"/>
  <c r="I5" i="6"/>
  <c r="I4" i="6"/>
  <c r="I3" i="6"/>
  <c r="I2" i="6"/>
  <c r="E13" i="6"/>
  <c r="D13" i="6"/>
  <c r="H13" i="6" s="1"/>
  <c r="C13" i="6"/>
  <c r="G13" i="6" s="1"/>
  <c r="B13" i="6"/>
  <c r="F13" i="6" s="1"/>
  <c r="D12" i="6"/>
  <c r="C12" i="6"/>
  <c r="B12" i="6"/>
  <c r="D11" i="6"/>
  <c r="C11" i="6"/>
  <c r="B11" i="6"/>
  <c r="D10" i="6"/>
  <c r="H10" i="6" s="1"/>
  <c r="C10" i="6"/>
  <c r="G10" i="6" s="1"/>
  <c r="B10" i="6"/>
  <c r="E10" i="6" s="1"/>
  <c r="E9" i="6"/>
  <c r="D9" i="6"/>
  <c r="H9" i="6" s="1"/>
  <c r="C9" i="6"/>
  <c r="G9" i="6" s="1"/>
  <c r="B9" i="6"/>
  <c r="F9" i="6" s="1"/>
  <c r="D8" i="6"/>
  <c r="C8" i="6"/>
  <c r="B8" i="6"/>
  <c r="D7" i="6"/>
  <c r="C7" i="6"/>
  <c r="B7" i="6"/>
  <c r="D6" i="6"/>
  <c r="H6" i="6" s="1"/>
  <c r="C6" i="6"/>
  <c r="B6" i="6"/>
  <c r="E6" i="6" s="1"/>
  <c r="E5" i="6"/>
  <c r="D5" i="6"/>
  <c r="H5" i="6" s="1"/>
  <c r="C5" i="6"/>
  <c r="G5" i="6" s="1"/>
  <c r="B5" i="6"/>
  <c r="F5" i="6" s="1"/>
  <c r="D4" i="6"/>
  <c r="C4" i="6"/>
  <c r="B4" i="6"/>
  <c r="D3" i="6"/>
  <c r="C3" i="6"/>
  <c r="B3" i="6"/>
  <c r="D2" i="6"/>
  <c r="C2" i="6"/>
  <c r="B2" i="6"/>
  <c r="E2" i="6" s="1"/>
  <c r="H12" i="8" l="1"/>
  <c r="G4" i="8"/>
  <c r="F7" i="8"/>
  <c r="J10" i="8"/>
  <c r="G12" i="8"/>
  <c r="H3" i="8"/>
  <c r="H4" i="8"/>
  <c r="G6" i="8"/>
  <c r="F10" i="8"/>
  <c r="F11" i="8"/>
  <c r="G3" i="8"/>
  <c r="G7" i="8"/>
  <c r="E2" i="8"/>
  <c r="F2" i="8" s="1"/>
  <c r="F6" i="8"/>
  <c r="E11" i="8"/>
  <c r="G11" i="8" s="1"/>
  <c r="F4" i="8"/>
  <c r="E8" i="8"/>
  <c r="J8" i="8" s="1"/>
  <c r="E12" i="8"/>
  <c r="J12" i="8" s="1"/>
  <c r="H10" i="8"/>
  <c r="G3" i="7"/>
  <c r="F8" i="7"/>
  <c r="H3" i="7"/>
  <c r="H5" i="7"/>
  <c r="G8" i="7"/>
  <c r="J12" i="7"/>
  <c r="H7" i="7"/>
  <c r="H8" i="7"/>
  <c r="F3" i="7"/>
  <c r="J8" i="7"/>
  <c r="G12" i="7"/>
  <c r="E3" i="7"/>
  <c r="J3" i="7" s="1"/>
  <c r="E7" i="7"/>
  <c r="G7" i="7" s="1"/>
  <c r="G13" i="7"/>
  <c r="E4" i="7"/>
  <c r="J4" i="7" s="1"/>
  <c r="E8" i="7"/>
  <c r="E12" i="7"/>
  <c r="H12" i="7" s="1"/>
  <c r="E5" i="7"/>
  <c r="J5" i="7" s="1"/>
  <c r="E9" i="7"/>
  <c r="J9" i="7" s="1"/>
  <c r="H11" i="6"/>
  <c r="F7" i="6"/>
  <c r="G8" i="6"/>
  <c r="G2" i="6"/>
  <c r="G7" i="6"/>
  <c r="H2" i="6"/>
  <c r="G6" i="6"/>
  <c r="H7" i="6"/>
  <c r="G11" i="6"/>
  <c r="E4" i="6"/>
  <c r="F4" i="6" s="1"/>
  <c r="E8" i="6"/>
  <c r="H8" i="6" s="1"/>
  <c r="E12" i="6"/>
  <c r="F12" i="6" s="1"/>
  <c r="F2" i="6"/>
  <c r="F6" i="6"/>
  <c r="F10" i="6"/>
  <c r="E3" i="6"/>
  <c r="F3" i="6" s="1"/>
  <c r="E7" i="6"/>
  <c r="E11" i="6"/>
  <c r="F11" i="6" s="1"/>
  <c r="G2" i="8" l="1"/>
  <c r="H8" i="8"/>
  <c r="F8" i="8"/>
  <c r="G8" i="8"/>
  <c r="H2" i="8"/>
  <c r="J2" i="8"/>
  <c r="H11" i="8"/>
  <c r="F12" i="8"/>
  <c r="J11" i="8"/>
  <c r="F4" i="7"/>
  <c r="F9" i="7"/>
  <c r="G4" i="7"/>
  <c r="G9" i="7"/>
  <c r="H4" i="7"/>
  <c r="J7" i="7"/>
  <c r="F12" i="7"/>
  <c r="F7" i="7"/>
  <c r="F5" i="7"/>
  <c r="H9" i="7"/>
  <c r="G5" i="7"/>
  <c r="G12" i="6"/>
  <c r="H3" i="6"/>
  <c r="F8" i="6"/>
  <c r="H4" i="6"/>
  <c r="G4" i="6"/>
  <c r="H12" i="6"/>
  <c r="G3" i="6"/>
  <c r="H3" i="5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B3" i="5"/>
  <c r="B4" i="5"/>
  <c r="B5" i="5"/>
  <c r="B6" i="5"/>
  <c r="B7" i="5"/>
  <c r="B8" i="5"/>
  <c r="B9" i="5"/>
  <c r="B10" i="5"/>
  <c r="B11" i="5"/>
  <c r="B12" i="5"/>
  <c r="B13" i="5"/>
  <c r="E4" i="5" l="1"/>
  <c r="E5" i="5"/>
  <c r="E6" i="5"/>
  <c r="E7" i="5"/>
  <c r="E8" i="5"/>
  <c r="E9" i="5"/>
  <c r="E10" i="5"/>
  <c r="E11" i="5"/>
  <c r="E12" i="5"/>
  <c r="E13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H2" i="5"/>
  <c r="G2" i="5"/>
  <c r="E3" i="5"/>
  <c r="D3" i="5"/>
  <c r="C3" i="5"/>
  <c r="F2" i="5"/>
  <c r="E2" i="5"/>
  <c r="D2" i="5"/>
  <c r="C2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<sst xmlns="http://schemas.openxmlformats.org/spreadsheetml/2006/main" count="33134" uniqueCount="8403">
  <si>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</si>
  <si>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</si>
  <si>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</si>
  <si>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</si>
  <si>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</si>
  <si>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</si>
  <si>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</si>
  <si>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</si>
  <si>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</si>
  <si>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</si>
  <si>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</si>
  <si>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</si>
  <si>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</si>
  <si>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</si>
  <si>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</si>
  <si>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</si>
  <si>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</si>
  <si>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</si>
  <si>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</si>
  <si>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</si>
  <si>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</si>
  <si>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</si>
  <si>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</si>
  <si>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</si>
  <si>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</si>
  <si>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</si>
  <si>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</si>
  <si>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</si>
  <si>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</si>
  <si>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</si>
  <si>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</si>
  <si>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</si>
  <si>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</si>
  <si>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</si>
  <si>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</si>
  <si>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</si>
  <si>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</si>
  <si>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</si>
  <si>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</si>
  <si>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</si>
  <si>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</si>
  <si>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</si>
  <si>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</si>
  <si>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</si>
  <si>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</si>
  <si>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</si>
  <si>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</si>
  <si>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</si>
  <si>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</si>
  <si>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</si>
  <si>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</si>
  <si>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</si>
  <si>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</si>
  <si>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</si>
  <si>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</si>
  <si>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</si>
  <si>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</si>
  <si>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</si>
  <si>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</si>
  <si>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</si>
  <si>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</si>
  <si>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</si>
  <si>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</si>
  <si>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</si>
  <si>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</si>
  <si>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</si>
  <si>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</si>
  <si>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</si>
  <si>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</si>
  <si>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</si>
  <si>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</si>
  <si>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</si>
  <si>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</si>
  <si>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</si>
  <si>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</si>
  <si>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</si>
  <si>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</si>
  <si>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</si>
  <si>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</si>
  <si>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</si>
  <si>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</si>
  <si>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</si>
  <si>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</si>
  <si>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</si>
  <si>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</si>
  <si>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</si>
  <si>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</si>
  <si>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</si>
  <si>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</si>
  <si>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</si>
  <si>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</si>
  <si>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</si>
  <si>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</si>
  <si>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</si>
  <si>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</si>
  <si>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</si>
  <si>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</si>
  <si>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</si>
  <si>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</si>
  <si>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</si>
  <si>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</si>
  <si>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</si>
  <si>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</si>
  <si>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</si>
  <si>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</si>
  <si>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</si>
  <si>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</si>
  <si>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</si>
  <si>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</si>
  <si>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</si>
  <si>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</si>
  <si>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</si>
  <si>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</si>
  <si>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</si>
  <si>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</si>
  <si>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</si>
  <si>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</si>
  <si>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</si>
  <si>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</si>
  <si>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</si>
  <si>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</si>
  <si>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</si>
  <si>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</si>
  <si>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</si>
  <si>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</si>
  <si>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</si>
  <si>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</si>
  <si>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</si>
  <si>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</si>
  <si>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</si>
  <si>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</si>
  <si>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</si>
  <si>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</si>
  <si>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</si>
  <si>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</si>
  <si>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</si>
  <si>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</si>
  <si>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</si>
  <si>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</si>
  <si>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</si>
  <si>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</si>
  <si>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</si>
  <si>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</si>
  <si>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</si>
  <si>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</si>
  <si>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</si>
  <si>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</si>
  <si>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</si>
  <si>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</si>
  <si>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</si>
  <si>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</si>
  <si>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</si>
  <si>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</si>
  <si>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</si>
  <si>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</si>
  <si>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</si>
  <si>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</si>
  <si>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</si>
  <si>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</si>
  <si>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</si>
  <si>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</si>
  <si>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</si>
  <si>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</si>
  <si>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</si>
  <si>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</si>
  <si>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</si>
  <si>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</si>
  <si>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</si>
  <si>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</si>
  <si>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</si>
  <si>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</si>
  <si>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</si>
  <si>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</si>
  <si>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</si>
  <si>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</si>
  <si>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</si>
  <si>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</si>
  <si>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</si>
  <si>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</si>
  <si>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</si>
  <si>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</si>
  <si>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</si>
  <si>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</si>
  <si>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</si>
  <si>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</si>
  <si>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</si>
  <si>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</si>
  <si>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</si>
  <si>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</si>
  <si>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</si>
  <si>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</si>
  <si>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</si>
  <si>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</si>
  <si>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</si>
  <si>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</si>
  <si>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</si>
  <si>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</si>
  <si>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</si>
  <si>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</si>
  <si>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</si>
  <si>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</si>
  <si>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</si>
  <si>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</si>
  <si>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</si>
  <si>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</si>
  <si>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</si>
  <si>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</si>
  <si>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</si>
  <si>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</si>
  <si>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</si>
  <si>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</si>
  <si>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</si>
  <si>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</si>
  <si>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</si>
  <si>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</si>
  <si>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</si>
  <si>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</si>
  <si>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</si>
  <si>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</si>
  <si>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</si>
  <si>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</si>
  <si>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</si>
  <si>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</si>
  <si>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</si>
  <si>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</si>
  <si>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</si>
  <si>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</si>
  <si>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</si>
  <si>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</si>
  <si>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</si>
  <si>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</si>
  <si>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</si>
  <si>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</si>
  <si>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</si>
  <si>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</si>
  <si>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</si>
  <si>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</si>
  <si>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</si>
  <si>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</si>
  <si>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</si>
  <si>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</si>
  <si>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</si>
  <si>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</si>
  <si>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</si>
  <si>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</si>
  <si>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</si>
  <si>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</si>
  <si>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</si>
  <si>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</si>
  <si>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</si>
  <si>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</si>
  <si>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</si>
  <si>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</si>
  <si>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</si>
  <si>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</si>
  <si>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</si>
  <si>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</si>
  <si>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</si>
  <si>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</si>
  <si>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</si>
  <si>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</si>
  <si>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</si>
  <si>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</si>
  <si>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</si>
  <si>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</si>
  <si>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</si>
  <si>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</si>
  <si>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</si>
  <si>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</si>
  <si>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</si>
  <si>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</si>
  <si>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</si>
  <si>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</si>
  <si>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</si>
  <si>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</si>
  <si>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</si>
  <si>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</si>
  <si>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</si>
  <si>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</si>
  <si>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</si>
  <si>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</si>
  <si>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</si>
  <si>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</si>
  <si>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</si>
  <si>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</si>
  <si>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</si>
  <si>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</si>
  <si>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</si>
  <si>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</si>
  <si>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</si>
  <si>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</si>
  <si>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</si>
  <si>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</si>
  <si>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</si>
  <si>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</si>
  <si>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</si>
  <si>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</si>
  <si>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</si>
  <si>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</si>
  <si>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</si>
  <si>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</si>
  <si>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</si>
  <si>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</si>
  <si>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</si>
  <si>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</si>
  <si>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</si>
  <si>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</si>
  <si>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</si>
  <si>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</si>
  <si>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</si>
  <si>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</si>
  <si>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</si>
  <si>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</si>
  <si>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</si>
  <si>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</si>
  <si>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</si>
  <si>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</si>
  <si>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</si>
  <si>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</si>
  <si>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</si>
  <si>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</si>
  <si>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</si>
  <si>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</si>
  <si>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</si>
  <si>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</si>
  <si>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</si>
  <si>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</si>
  <si>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</si>
  <si>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</si>
  <si>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</si>
  <si>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</si>
  <si>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</si>
  <si>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</si>
  <si>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</si>
  <si>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</si>
  <si>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</si>
  <si>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</si>
  <si>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</si>
  <si>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</si>
  <si>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</si>
  <si>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</si>
  <si>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</si>
  <si>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</si>
  <si>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</si>
  <si>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</si>
  <si>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</si>
  <si>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</si>
  <si>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</si>
  <si>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</si>
  <si>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</si>
  <si>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</si>
  <si>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</si>
  <si>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</si>
  <si>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</si>
  <si>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</si>
  <si>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</si>
  <si>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</si>
  <si>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</si>
  <si>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</si>
  <si>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</si>
  <si>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</si>
  <si>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</si>
  <si>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</si>
  <si>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</si>
  <si>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</si>
  <si>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</si>
  <si>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</si>
  <si>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</si>
  <si>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</si>
  <si>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</si>
  <si>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</si>
  <si>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</si>
  <si>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</si>
  <si>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</si>
  <si>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</si>
  <si>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</si>
  <si>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</si>
  <si>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</si>
  <si>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</si>
  <si>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</si>
  <si>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</si>
  <si>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</si>
  <si>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</si>
  <si>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</si>
  <si>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</si>
  <si>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</si>
  <si>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</si>
  <si>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</si>
  <si>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</si>
  <si>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</si>
  <si>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</si>
  <si>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</si>
  <si>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</si>
  <si>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</si>
  <si>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</si>
  <si>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</si>
  <si>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</si>
  <si>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</si>
  <si>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</si>
  <si>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</si>
  <si>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</si>
  <si>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</si>
  <si>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</si>
  <si>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</si>
  <si>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</si>
  <si>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</si>
  <si>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</si>
  <si>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</si>
  <si>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</si>
  <si>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</si>
  <si>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</si>
  <si>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</si>
  <si>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</si>
  <si>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</si>
  <si>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</si>
  <si>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</si>
  <si>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</si>
  <si>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</si>
  <si>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</si>
  <si>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</si>
  <si>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</si>
  <si>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</si>
  <si>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</si>
  <si>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</si>
  <si>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</si>
  <si>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</si>
  <si>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</si>
  <si>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</si>
  <si>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</si>
  <si>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</si>
  <si>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</si>
  <si>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</si>
  <si>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</si>
  <si>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</si>
  <si>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</si>
  <si>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</si>
  <si>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</si>
  <si>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</si>
  <si>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</si>
  <si>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</si>
  <si>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</si>
  <si>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</si>
  <si>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</si>
  <si>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</si>
  <si>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</si>
  <si>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</si>
  <si>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</si>
  <si>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</si>
  <si>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</si>
  <si>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</si>
  <si>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</si>
  <si>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</si>
  <si>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</si>
  <si>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</si>
  <si>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</si>
  <si>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</si>
  <si>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</si>
  <si>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</si>
  <si>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</si>
  <si>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</si>
  <si>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</si>
  <si>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</si>
  <si>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</si>
  <si>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</si>
  <si>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</si>
  <si>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</si>
  <si>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</si>
  <si>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</si>
  <si>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</si>
  <si>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</si>
  <si>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</si>
  <si>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</si>
  <si>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</si>
  <si>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</si>
  <si>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</si>
  <si>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</si>
  <si>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</si>
  <si>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</si>
  <si>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</si>
  <si>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</si>
  <si>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</si>
  <si>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</si>
  <si>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</si>
  <si>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</si>
  <si>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</si>
  <si>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</si>
  <si>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</si>
  <si>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</si>
  <si>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</si>
  <si>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</si>
  <si>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</si>
  <si>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</si>
  <si>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</si>
  <si>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</si>
  <si>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</si>
  <si>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</si>
  <si>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</si>
  <si>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</si>
  <si>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</si>
  <si>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</si>
  <si>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</si>
  <si>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</si>
  <si>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</si>
  <si>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</si>
  <si>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</si>
  <si>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</si>
  <si>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</si>
  <si>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</si>
  <si>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</si>
  <si>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</si>
  <si>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</si>
  <si>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</si>
  <si>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</si>
  <si>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</si>
  <si>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</si>
  <si>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</si>
  <si>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</si>
  <si>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</si>
  <si>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</si>
  <si>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</si>
  <si>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</si>
  <si>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</si>
  <si>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</si>
  <si>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</si>
  <si>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</si>
  <si>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</si>
  <si>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</si>
  <si>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</si>
  <si>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</si>
  <si>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</si>
  <si>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</si>
  <si>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</si>
  <si>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</si>
  <si>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</si>
  <si>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</si>
  <si>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</si>
  <si>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</si>
  <si>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</si>
  <si>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</si>
  <si>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</si>
  <si>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</si>
  <si>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</si>
  <si>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</si>
  <si>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</si>
  <si>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</si>
  <si>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</si>
  <si>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</si>
  <si>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</si>
  <si>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</si>
  <si>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</si>
  <si>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</si>
  <si>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</si>
  <si>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</si>
  <si>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</si>
  <si>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</si>
  <si>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</si>
  <si>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</si>
  <si>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</si>
  <si>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</si>
  <si>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</si>
  <si>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</si>
  <si>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</si>
  <si>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</si>
  <si>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</si>
  <si>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</si>
  <si>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</si>
  <si>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</si>
  <si>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</si>
  <si>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</si>
  <si>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</si>
  <si>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</si>
  <si>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</si>
  <si>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</si>
  <si>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</si>
  <si>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</si>
  <si>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</si>
  <si>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</si>
  <si>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</si>
  <si>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</si>
  <si>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</si>
  <si>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</si>
  <si>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</si>
  <si>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</si>
  <si>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</si>
  <si>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</si>
  <si>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</si>
  <si>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</si>
  <si>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</si>
  <si>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</si>
  <si>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</si>
  <si>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</si>
  <si>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</si>
  <si>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</si>
  <si>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</si>
  <si>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</si>
  <si>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</si>
  <si>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</si>
  <si>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</si>
  <si>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</si>
  <si>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</si>
  <si>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</si>
  <si>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</si>
  <si>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</si>
  <si>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</si>
  <si>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</si>
  <si>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</si>
  <si>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</si>
  <si>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</si>
  <si>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</si>
  <si>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</si>
  <si>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</si>
  <si>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</si>
  <si>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</si>
  <si>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</si>
  <si>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</si>
  <si>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</si>
  <si>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</si>
  <si>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</si>
  <si>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</si>
  <si>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</si>
  <si>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</si>
  <si>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</si>
  <si>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</si>
  <si>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</si>
  <si>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</si>
  <si>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</si>
  <si>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</si>
  <si>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</si>
  <si>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</si>
  <si>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</si>
  <si>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</si>
  <si>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</si>
  <si>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</si>
  <si>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</si>
  <si>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</si>
  <si>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</si>
  <si>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</si>
  <si>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</si>
  <si>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</si>
  <si>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</si>
  <si>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</si>
  <si>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</si>
  <si>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</si>
  <si>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</si>
  <si>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</si>
  <si>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</si>
  <si>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</si>
  <si>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</si>
  <si>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</si>
  <si>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</si>
  <si>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</si>
  <si>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</si>
  <si>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</si>
  <si>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</si>
  <si>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</si>
  <si>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</si>
  <si>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</si>
  <si>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</si>
  <si>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</si>
  <si>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</si>
  <si>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</si>
  <si>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</si>
  <si>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</si>
  <si>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</si>
  <si>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</si>
  <si>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</si>
  <si>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</si>
  <si>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</si>
  <si>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</si>
  <si>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</si>
  <si>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</si>
  <si>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</si>
  <si>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</si>
  <si>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</si>
  <si>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</si>
  <si>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</si>
  <si>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</si>
  <si>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</si>
  <si>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</si>
  <si>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</si>
  <si>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</si>
  <si>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</si>
  <si>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</si>
  <si>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</si>
  <si>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</si>
  <si>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</si>
  <si>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</si>
  <si>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</si>
  <si>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</si>
  <si>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</si>
  <si>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</si>
  <si>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</si>
  <si>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</si>
  <si>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</si>
  <si>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</si>
  <si>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</si>
  <si>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</si>
  <si>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</si>
  <si>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</si>
  <si>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</si>
  <si>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</si>
  <si>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</si>
  <si>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</si>
  <si>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</si>
  <si>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</si>
  <si>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</si>
  <si>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</si>
  <si>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</si>
  <si>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</si>
  <si>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</si>
  <si>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</si>
  <si>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</si>
  <si>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</si>
  <si>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</si>
  <si>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</si>
  <si>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</si>
  <si>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</si>
  <si>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</si>
  <si>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</si>
  <si>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</si>
  <si>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</si>
  <si>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</si>
  <si>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</si>
  <si>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</si>
  <si>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</si>
  <si>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</si>
  <si>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</si>
  <si>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</si>
  <si>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</si>
  <si>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</si>
  <si>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</si>
  <si>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</si>
  <si>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</si>
  <si>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</si>
  <si>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</si>
  <si>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</si>
  <si>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</si>
  <si>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</si>
  <si>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</si>
  <si>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</si>
  <si>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</si>
  <si>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</si>
  <si>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</si>
  <si>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</si>
  <si>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</si>
  <si>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</si>
  <si>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</si>
  <si>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</si>
  <si>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</si>
  <si>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</si>
  <si>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</si>
  <si>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</si>
  <si>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</si>
  <si>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</si>
  <si>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</si>
  <si>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</si>
  <si>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</si>
  <si>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</si>
  <si>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</si>
  <si>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</si>
  <si>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</si>
  <si>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</si>
  <si>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</si>
  <si>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</si>
  <si>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</si>
  <si>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</si>
  <si>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</si>
  <si>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</si>
  <si>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</si>
  <si>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</si>
  <si>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</si>
  <si>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</si>
  <si>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</si>
  <si>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</si>
  <si>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</si>
  <si>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</si>
  <si>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</si>
  <si>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</si>
  <si>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</si>
  <si>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</si>
  <si>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</si>
  <si>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</si>
  <si>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</si>
  <si>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</si>
  <si>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</si>
  <si>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</si>
  <si>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</si>
  <si>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</si>
  <si>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</si>
  <si>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</si>
  <si>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</si>
  <si>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</si>
  <si>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</si>
  <si>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</si>
  <si>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</si>
  <si>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</si>
  <si>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</si>
  <si>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</si>
  <si>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</si>
  <si>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</si>
  <si>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</si>
  <si>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</si>
  <si>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</si>
  <si>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</si>
  <si>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</si>
  <si>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</si>
  <si>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</si>
  <si>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</si>
  <si>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</si>
  <si>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</si>
  <si>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</si>
  <si>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</si>
  <si>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</si>
  <si>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</si>
  <si>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</si>
  <si>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</si>
  <si>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</si>
  <si>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</si>
  <si>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</si>
  <si>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</si>
  <si>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</si>
  <si>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</si>
  <si>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</si>
  <si>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</si>
  <si>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</si>
  <si>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</si>
  <si>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</si>
  <si>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</si>
  <si>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</si>
  <si>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</si>
  <si>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</si>
  <si>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</si>
  <si>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</si>
  <si>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</si>
  <si>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</si>
  <si>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</si>
  <si>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</si>
  <si>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</si>
  <si>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</si>
  <si>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</si>
  <si>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</si>
  <si>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</si>
  <si>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</si>
  <si>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</si>
  <si>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</si>
  <si>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</si>
  <si>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</si>
  <si>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</si>
  <si>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</si>
  <si>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</si>
  <si>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</si>
  <si>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</si>
  <si>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</si>
  <si>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</si>
  <si>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</si>
  <si>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</si>
  <si>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</si>
  <si>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</si>
  <si>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</si>
  <si>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</si>
  <si>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</si>
  <si>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</si>
  <si>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</si>
  <si>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</si>
  <si>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</si>
  <si>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</si>
  <si>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</si>
  <si>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</si>
  <si>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</si>
  <si>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</si>
  <si>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</si>
  <si>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</si>
  <si>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</si>
  <si>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</si>
  <si>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</si>
  <si>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</si>
  <si>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</si>
  <si>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</si>
  <si>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</si>
  <si>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</si>
  <si>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</si>
  <si>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</si>
  <si>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</si>
  <si>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</si>
  <si>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</si>
  <si>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</si>
  <si>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</si>
  <si>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</si>
  <si>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</si>
  <si>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</si>
  <si>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</si>
  <si>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</si>
  <si>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</si>
  <si>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</si>
  <si>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</si>
  <si>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</si>
  <si>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</si>
  <si>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</si>
  <si>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</si>
  <si>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</si>
  <si>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</si>
  <si>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</si>
  <si>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</si>
  <si>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</si>
  <si>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</si>
  <si>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</si>
  <si>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</si>
  <si>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</si>
  <si>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</si>
  <si>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</si>
  <si>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</si>
  <si>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</si>
  <si>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</si>
  <si>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</si>
  <si>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</si>
  <si>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</si>
  <si>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</si>
  <si>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</si>
  <si>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</si>
  <si>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</si>
  <si>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</si>
  <si>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</si>
  <si>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</si>
  <si>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</si>
  <si>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</si>
  <si>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</si>
  <si>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</si>
  <si>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</si>
  <si>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</si>
  <si>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</si>
  <si>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</si>
  <si>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</si>
  <si>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</si>
  <si>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</si>
  <si>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</si>
  <si>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</si>
  <si>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</si>
  <si>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</si>
  <si>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</si>
  <si>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</si>
  <si>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</si>
  <si>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</si>
  <si>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</si>
  <si>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</si>
  <si>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</si>
  <si>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</si>
  <si>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</si>
  <si>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</si>
  <si>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</si>
  <si>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</si>
  <si>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</si>
  <si>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</si>
  <si>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</si>
  <si>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</si>
  <si>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</si>
  <si>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</si>
  <si>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</si>
  <si>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</si>
  <si>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</si>
  <si>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</si>
  <si>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</si>
  <si>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</si>
  <si>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</si>
  <si>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</si>
  <si>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</si>
  <si>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</si>
  <si>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</si>
  <si>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</si>
  <si>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</si>
  <si>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</si>
  <si>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</si>
  <si>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</si>
  <si>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</si>
  <si>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</si>
  <si>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</si>
  <si>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</si>
  <si>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</si>
  <si>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</si>
  <si>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</si>
  <si>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</si>
  <si>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</si>
  <si>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</si>
  <si>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</si>
  <si>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</si>
  <si>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</si>
  <si>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</si>
  <si>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</si>
  <si>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</si>
  <si>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</si>
  <si>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</si>
  <si>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</si>
  <si>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</si>
  <si>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</si>
  <si>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</si>
  <si>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</si>
  <si>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</si>
  <si>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</si>
  <si>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</si>
  <si>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</si>
  <si>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</si>
  <si>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</si>
  <si>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</si>
  <si>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</si>
  <si>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</si>
  <si>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</si>
  <si>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</si>
  <si>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</si>
  <si>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</si>
  <si>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</si>
  <si>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</si>
  <si>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</si>
  <si>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</si>
  <si>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</si>
  <si>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</si>
  <si>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</si>
  <si>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</si>
  <si>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</si>
  <si>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</si>
  <si>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</si>
  <si>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</si>
  <si>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</si>
  <si>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</si>
  <si>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</si>
  <si>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</si>
  <si>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</si>
  <si>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</si>
  <si>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</si>
  <si>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</si>
  <si>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</si>
  <si>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</si>
  <si>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</si>
  <si>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</si>
  <si>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</si>
  <si>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</si>
  <si>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</si>
  <si>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</si>
  <si>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</si>
  <si>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</si>
  <si>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</si>
  <si>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</si>
  <si>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</si>
  <si>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</si>
  <si>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</si>
  <si>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</si>
  <si>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</si>
  <si>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</si>
  <si>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</si>
  <si>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</si>
  <si>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</si>
  <si>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</si>
  <si>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</si>
  <si>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</si>
  <si>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</si>
  <si>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</si>
  <si>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</si>
  <si>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</si>
  <si>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</si>
  <si>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</si>
  <si>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</si>
  <si>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</si>
  <si>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</si>
  <si>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</si>
  <si>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</si>
  <si>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</si>
  <si>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</si>
  <si>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</si>
  <si>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</si>
  <si>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</si>
  <si>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</si>
  <si>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</si>
  <si>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</si>
  <si>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</si>
  <si>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</si>
  <si>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</si>
  <si>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</si>
  <si>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</si>
  <si>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</si>
  <si>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</si>
  <si>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</si>
  <si>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</si>
  <si>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</si>
  <si>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</si>
  <si>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</si>
  <si>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</si>
  <si>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</si>
  <si>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</si>
  <si>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</si>
  <si>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</si>
  <si>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</si>
  <si>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</si>
  <si>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</si>
  <si>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</si>
  <si>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</si>
  <si>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</si>
  <si>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</si>
  <si>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</si>
  <si>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</si>
  <si>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</si>
  <si>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</si>
  <si>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</si>
  <si>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</si>
  <si>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</si>
  <si>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</si>
  <si>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</si>
  <si>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</si>
  <si>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</si>
  <si>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</si>
  <si>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</si>
  <si>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</si>
  <si>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</si>
  <si>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</si>
  <si>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</si>
  <si>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</si>
  <si>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</si>
  <si>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</si>
  <si>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</si>
  <si>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</si>
  <si>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</si>
  <si>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</si>
  <si>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</si>
  <si>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</si>
  <si>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</si>
  <si>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</si>
  <si>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</si>
  <si>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</si>
  <si>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</si>
  <si>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</si>
  <si>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</si>
  <si>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</si>
  <si>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</si>
  <si>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</si>
  <si>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</si>
  <si>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</si>
  <si>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</si>
  <si>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</si>
  <si>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</si>
  <si>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</si>
  <si>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</si>
  <si>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</si>
  <si>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</si>
  <si>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</si>
  <si>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</si>
  <si>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</si>
  <si>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</si>
  <si>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</si>
  <si>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</si>
  <si>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</si>
  <si>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</si>
  <si>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</si>
  <si>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</si>
  <si>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</si>
  <si>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</si>
  <si>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</si>
  <si>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</si>
  <si>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</si>
  <si>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</si>
  <si>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</si>
  <si>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</si>
  <si>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</si>
  <si>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</si>
  <si>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</si>
  <si>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</si>
  <si>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</si>
  <si>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</si>
  <si>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</si>
  <si>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</si>
  <si>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</si>
  <si>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</si>
  <si>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</si>
  <si>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</si>
  <si>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</si>
  <si>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</si>
  <si>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</si>
  <si>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</si>
  <si>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</si>
  <si>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</si>
  <si>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</si>
  <si>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</si>
  <si>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</si>
  <si>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</si>
  <si>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</si>
  <si>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</si>
  <si>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</si>
  <si>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</si>
  <si>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</si>
  <si>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</si>
  <si>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</si>
  <si>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</si>
  <si>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</si>
  <si>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</si>
  <si>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</si>
  <si>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</si>
  <si>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</si>
  <si>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</si>
  <si>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</si>
  <si>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</si>
  <si>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</si>
  <si>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</si>
  <si>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</si>
  <si>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</si>
  <si>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</si>
  <si>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</si>
  <si>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</si>
  <si>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</si>
  <si>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</si>
  <si>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</si>
  <si>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</si>
  <si>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</si>
  <si>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</si>
  <si>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</si>
  <si>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</si>
  <si>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</si>
  <si>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</si>
  <si>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</si>
  <si>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</si>
  <si>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</si>
  <si>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</si>
  <si>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</si>
  <si>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</si>
  <si>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</si>
  <si>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</si>
  <si>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</si>
  <si>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</si>
  <si>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</si>
  <si>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</si>
  <si>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</si>
  <si>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</si>
  <si>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</si>
  <si>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</si>
  <si>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</si>
  <si>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</si>
  <si>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</si>
  <si>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</si>
  <si>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</si>
  <si>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</si>
  <si>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</si>
  <si>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</si>
  <si>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</si>
  <si>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</si>
  <si>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</si>
  <si>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</si>
  <si>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</si>
  <si>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</si>
  <si>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</si>
  <si>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</si>
  <si>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</si>
  <si>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</si>
  <si>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</si>
  <si>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</si>
  <si>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</si>
  <si>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</si>
  <si>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</si>
  <si>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</si>
  <si>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</si>
  <si>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</si>
  <si>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</si>
  <si>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</si>
  <si>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</si>
  <si>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</si>
  <si>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</si>
  <si>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</si>
  <si>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</si>
  <si>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</si>
  <si>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</si>
  <si>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</si>
  <si>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</si>
  <si>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</si>
  <si>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</si>
  <si>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</si>
  <si>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</si>
  <si>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</si>
  <si>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</si>
  <si>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</si>
  <si>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</si>
  <si>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</si>
  <si>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</si>
  <si>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</si>
  <si>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</si>
  <si>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</si>
  <si>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</si>
  <si>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</si>
  <si>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</si>
  <si>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</si>
  <si>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</si>
  <si>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</si>
  <si>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</si>
  <si>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</si>
  <si>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</si>
  <si>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</si>
  <si>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</si>
  <si>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</si>
  <si>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</si>
  <si>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</si>
  <si>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</si>
  <si>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</si>
  <si>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</si>
  <si>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</si>
  <si>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</si>
  <si>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</si>
  <si>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</si>
  <si>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</si>
  <si>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</si>
  <si>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</si>
  <si>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</si>
  <si>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</si>
  <si>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</si>
  <si>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</si>
  <si>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</si>
  <si>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</si>
  <si>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</si>
  <si>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</si>
  <si>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</si>
  <si>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</si>
  <si>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</si>
  <si>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</si>
  <si>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</si>
  <si>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</si>
  <si>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</si>
  <si>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</si>
  <si>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</si>
  <si>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</si>
  <si>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</si>
  <si>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</si>
  <si>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</si>
  <si>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</si>
  <si>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</si>
  <si>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</si>
  <si>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</si>
  <si>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</si>
  <si>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</si>
  <si>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</si>
  <si>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</si>
  <si>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</si>
  <si>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</si>
  <si>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</si>
  <si>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</si>
  <si>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</si>
  <si>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</si>
  <si>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</si>
  <si>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</si>
  <si>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</si>
  <si>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</si>
  <si>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</si>
  <si>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</si>
  <si>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</si>
  <si>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</si>
  <si>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</si>
  <si>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</si>
  <si>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</si>
  <si>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</si>
  <si>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</si>
  <si>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</si>
  <si>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</si>
  <si>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</si>
  <si>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</si>
  <si>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</si>
  <si>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</si>
  <si>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</si>
  <si>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</si>
  <si>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</si>
  <si>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</si>
  <si>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</si>
  <si>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</si>
  <si>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</si>
  <si>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</si>
  <si>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</si>
  <si>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</si>
  <si>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</si>
  <si>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</si>
  <si>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</si>
  <si>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</si>
  <si>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</si>
  <si>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</si>
  <si>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</si>
  <si>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</si>
  <si>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</si>
  <si>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</si>
  <si>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</si>
  <si>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</si>
  <si>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</si>
  <si>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</si>
  <si>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</si>
  <si>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</si>
  <si>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</si>
  <si>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</si>
  <si>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</si>
  <si>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</si>
  <si>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</si>
  <si>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</si>
  <si>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</si>
  <si>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</si>
  <si>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</si>
  <si>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</si>
  <si>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</si>
  <si>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</si>
  <si>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</si>
  <si>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</si>
  <si>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</si>
  <si>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</si>
  <si>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</si>
  <si>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</si>
  <si>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</si>
  <si>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</si>
  <si>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</si>
  <si>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</si>
  <si>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</si>
  <si>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</si>
  <si>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</si>
  <si>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</si>
  <si>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</si>
  <si>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</si>
  <si>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</si>
  <si>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</si>
  <si>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</si>
  <si>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</si>
  <si>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</si>
  <si>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</si>
  <si>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</si>
  <si>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</si>
  <si>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</si>
  <si>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</si>
  <si>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</si>
  <si>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</si>
  <si>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</si>
  <si>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</si>
  <si>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</si>
  <si>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</si>
  <si>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</si>
  <si>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</si>
  <si>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</si>
  <si>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</si>
  <si>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</si>
  <si>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</si>
  <si>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</si>
  <si>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</si>
  <si>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</si>
  <si>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</si>
  <si>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</si>
  <si>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</si>
  <si>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</si>
  <si>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</si>
  <si>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</si>
  <si>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</si>
  <si>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</si>
  <si>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</si>
  <si>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</si>
  <si>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</si>
  <si>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</si>
  <si>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</si>
  <si>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</si>
  <si>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</si>
  <si>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</si>
  <si>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</si>
  <si>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</si>
  <si>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</si>
  <si>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</si>
  <si>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</si>
  <si>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</si>
  <si>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</si>
  <si>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</si>
  <si>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</si>
  <si>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</si>
  <si>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</si>
  <si>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</si>
  <si>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</si>
  <si>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</si>
  <si>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</si>
  <si>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</si>
  <si>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</si>
  <si>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</si>
  <si>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</si>
  <si>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</si>
  <si>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</si>
  <si>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</si>
  <si>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</si>
  <si>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</si>
  <si>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</si>
  <si>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</si>
  <si>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</si>
  <si>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</si>
  <si>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</si>
  <si>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</si>
  <si>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</si>
  <si>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</si>
  <si>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</si>
  <si>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</si>
  <si>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</si>
  <si>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</si>
  <si>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</si>
  <si>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</si>
  <si>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</si>
  <si>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</si>
  <si>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</si>
  <si>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</si>
  <si>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</si>
  <si>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</si>
  <si>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</si>
  <si>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</si>
  <si>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</si>
  <si>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</si>
  <si>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</si>
  <si>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</si>
  <si>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</si>
  <si>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</si>
  <si>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</si>
  <si>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</si>
  <si>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</si>
  <si>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</si>
  <si>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</si>
  <si>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</si>
  <si>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</si>
  <si>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</si>
  <si>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</si>
  <si>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</si>
  <si>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</si>
  <si>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</si>
  <si>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</si>
  <si>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</si>
  <si>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</si>
  <si>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</si>
  <si>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</si>
  <si>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</si>
  <si>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</si>
  <si>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</si>
  <si>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</si>
  <si>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</si>
  <si>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</si>
  <si>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</si>
  <si>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</si>
  <si>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</si>
  <si>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</si>
  <si>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</si>
  <si>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</si>
  <si>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</si>
  <si>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</si>
  <si>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</si>
  <si>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</si>
  <si>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</si>
  <si>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</si>
  <si>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</si>
  <si>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</si>
  <si>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</si>
  <si>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</si>
  <si>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</si>
  <si>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</si>
  <si>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</si>
  <si>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</si>
  <si>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</si>
  <si>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</si>
  <si>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</si>
  <si>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</si>
  <si>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</si>
  <si>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</si>
  <si>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</si>
  <si>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</si>
  <si>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</si>
  <si>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</si>
  <si>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</si>
  <si>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</si>
  <si>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</si>
  <si>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</si>
  <si>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</si>
  <si>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</si>
  <si>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</si>
  <si>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</si>
  <si>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</si>
  <si>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</si>
  <si>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</si>
  <si>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</si>
  <si>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</si>
  <si>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</si>
  <si>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</si>
  <si>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</si>
  <si>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</si>
  <si>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</si>
  <si>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</si>
  <si>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</si>
  <si>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</si>
  <si>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</si>
  <si>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</si>
  <si>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</si>
  <si>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</si>
  <si>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</si>
  <si>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</si>
  <si>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</si>
  <si>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</si>
  <si>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</si>
  <si>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</si>
  <si>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</si>
  <si>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</si>
  <si>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</si>
  <si>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</si>
  <si>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</si>
  <si>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</si>
  <si>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</si>
  <si>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</si>
  <si>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</si>
  <si>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</si>
  <si>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</si>
  <si>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</si>
  <si>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</si>
  <si>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</si>
  <si>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</si>
  <si>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</si>
  <si>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</si>
  <si>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</si>
  <si>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</si>
  <si>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</si>
  <si>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</si>
  <si>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</si>
  <si>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</si>
  <si>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</si>
  <si>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</si>
  <si>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</si>
  <si>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</si>
  <si>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</si>
  <si>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</si>
  <si>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</si>
  <si>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</si>
  <si>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</si>
  <si>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</si>
  <si>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</si>
  <si>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</si>
  <si>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</si>
  <si>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</si>
  <si>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</si>
  <si>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</si>
  <si>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</si>
  <si>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</si>
  <si>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</si>
  <si>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</si>
  <si>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</si>
  <si>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</si>
  <si>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</si>
  <si>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</si>
  <si>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</si>
  <si>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</si>
  <si>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</si>
  <si>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</si>
  <si>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</si>
  <si>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</si>
  <si>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</si>
  <si>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</si>
  <si>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</si>
  <si>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</si>
  <si>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</si>
  <si>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</si>
  <si>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</si>
  <si>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</si>
  <si>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</si>
  <si>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</si>
  <si>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</si>
  <si>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</si>
  <si>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</si>
  <si>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</si>
  <si>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</si>
  <si>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</si>
  <si>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</si>
  <si>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</si>
  <si>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</si>
  <si>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</si>
  <si>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</si>
  <si>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</si>
  <si>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</si>
  <si>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</si>
  <si>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</si>
  <si>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</si>
  <si>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</si>
  <si>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</si>
  <si>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</si>
  <si>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</si>
  <si>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</si>
  <si>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</si>
  <si>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</si>
  <si>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</si>
  <si>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</si>
  <si>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</si>
  <si>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</si>
  <si>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</si>
  <si>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</si>
  <si>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</si>
  <si>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</si>
  <si>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</si>
  <si>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</si>
  <si>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</si>
  <si>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</si>
  <si>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</si>
  <si>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</si>
  <si>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</si>
  <si>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</si>
  <si>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</si>
  <si>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</si>
  <si>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</si>
  <si>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</si>
  <si>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</si>
  <si>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</si>
  <si>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</si>
  <si>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</si>
  <si>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</si>
  <si>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</si>
  <si>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</si>
  <si>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</si>
  <si>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</si>
  <si>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</si>
  <si>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</si>
  <si>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</si>
  <si>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</si>
  <si>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</si>
  <si>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</si>
  <si>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</si>
  <si>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</si>
  <si>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</si>
  <si>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</si>
  <si>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</si>
  <si>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</si>
  <si>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</si>
  <si>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</si>
  <si>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</si>
  <si>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</si>
  <si>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</si>
  <si>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</si>
  <si>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</si>
  <si>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</si>
  <si>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</si>
  <si>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</si>
  <si>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</si>
  <si>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</si>
  <si>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</si>
  <si>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</si>
  <si>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</si>
  <si>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</si>
  <si>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</si>
  <si>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</si>
  <si>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</si>
  <si>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</si>
  <si>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</si>
  <si>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</si>
  <si>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</si>
  <si>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</si>
  <si>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</si>
  <si>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</si>
  <si>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</si>
  <si>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</si>
  <si>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</si>
  <si>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</si>
  <si>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</si>
  <si>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</si>
  <si>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</si>
  <si>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</si>
  <si>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</si>
  <si>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</si>
  <si>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</si>
  <si>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</si>
  <si>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</si>
  <si>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</si>
  <si>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</si>
  <si>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</si>
  <si>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</si>
  <si>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</si>
  <si>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</si>
  <si>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</si>
  <si>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</si>
  <si>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</si>
  <si>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</si>
  <si>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</si>
  <si>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</si>
  <si>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</si>
  <si>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</si>
  <si>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</si>
  <si>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</si>
  <si>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</si>
  <si>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</si>
  <si>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</si>
  <si>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</si>
  <si>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</si>
  <si>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</si>
  <si>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</si>
  <si>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</si>
  <si>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</si>
  <si>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</si>
  <si>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</si>
  <si>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</si>
  <si>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</si>
  <si>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</si>
  <si>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</si>
  <si>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</si>
  <si>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</si>
  <si>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</si>
  <si>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</si>
  <si>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</si>
  <si>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</si>
  <si>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</si>
  <si>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</si>
  <si>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</si>
  <si>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</si>
  <si>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</si>
  <si>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</si>
  <si>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</si>
  <si>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</si>
  <si>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</si>
  <si>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</si>
  <si>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</si>
  <si>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</si>
  <si>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</si>
  <si>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</si>
  <si>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</si>
  <si>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</si>
  <si>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</si>
  <si>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</si>
  <si>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</si>
  <si>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</si>
  <si>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</si>
  <si>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</si>
  <si>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</si>
  <si>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</si>
  <si>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</si>
  <si>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</si>
  <si>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</si>
  <si>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</si>
  <si>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</si>
  <si>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</si>
  <si>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</si>
  <si>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</si>
  <si>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</si>
  <si>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</si>
  <si>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</si>
  <si>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</si>
  <si>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</si>
  <si>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</si>
  <si>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</si>
  <si>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</si>
  <si>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</si>
  <si>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</si>
  <si>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</si>
  <si>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</si>
  <si>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</si>
  <si>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</si>
  <si>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</si>
  <si>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</si>
  <si>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</si>
  <si>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</si>
  <si>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</si>
  <si>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</si>
  <si>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</si>
  <si>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</si>
  <si>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</si>
  <si>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</si>
  <si>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</si>
  <si>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</si>
  <si>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</si>
  <si>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</si>
  <si>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</si>
  <si>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</si>
  <si>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</si>
  <si>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</si>
  <si>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</si>
  <si>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</si>
  <si>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</si>
  <si>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</si>
  <si>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</si>
  <si>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</si>
  <si>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</si>
  <si>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</si>
  <si>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</si>
  <si>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</si>
  <si>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</si>
  <si>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</si>
  <si>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</si>
  <si>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</si>
  <si>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</si>
  <si>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</si>
  <si>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</si>
  <si>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</si>
  <si>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</si>
  <si>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</si>
  <si>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</si>
  <si>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</si>
  <si>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</si>
  <si>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</si>
  <si>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</si>
  <si>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</si>
  <si>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</si>
  <si>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</si>
  <si>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</si>
  <si>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</si>
  <si>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</si>
  <si>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</si>
  <si>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</si>
  <si>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</si>
  <si>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</si>
  <si>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</si>
  <si>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</si>
  <si>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</si>
  <si>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</si>
  <si>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</si>
  <si>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</si>
  <si>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</si>
  <si>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</si>
  <si>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</si>
  <si>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</si>
  <si>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</si>
  <si>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</si>
  <si>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</si>
  <si>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</si>
  <si>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</si>
  <si>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</si>
  <si>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</si>
  <si>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</si>
  <si>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</si>
  <si>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</si>
  <si>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</si>
  <si>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</si>
  <si>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</si>
  <si>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</si>
  <si>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</si>
  <si>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</si>
  <si>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</si>
  <si>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</si>
  <si>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</si>
  <si>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</si>
  <si>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</si>
  <si>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</si>
  <si>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</si>
  <si>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</si>
  <si>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</si>
  <si>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</si>
  <si>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</si>
  <si>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</si>
  <si>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</si>
  <si>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</si>
  <si>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</si>
  <si>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</si>
  <si>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</si>
  <si>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</si>
  <si>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</si>
  <si>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</si>
  <si>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</si>
  <si>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</si>
  <si>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</si>
  <si>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</si>
  <si>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</si>
  <si>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</si>
  <si>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</si>
  <si>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</si>
  <si>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</si>
  <si>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</si>
  <si>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</si>
  <si>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</si>
  <si>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</si>
  <si>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</si>
  <si>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</si>
  <si>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</si>
  <si>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</si>
  <si>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</si>
  <si>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</si>
  <si>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</si>
  <si>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</si>
  <si>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</si>
  <si>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</si>
  <si>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</si>
  <si>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</si>
  <si>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</si>
  <si>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</si>
  <si>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</si>
  <si>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</si>
  <si>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</si>
  <si>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</si>
  <si>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</si>
  <si>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</si>
  <si>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</si>
  <si>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</si>
  <si>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</si>
  <si>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</si>
  <si>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</si>
  <si>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</si>
  <si>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</si>
  <si>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</si>
  <si>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</si>
  <si>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</si>
  <si>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</si>
  <si>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</si>
  <si>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</si>
  <si>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</si>
  <si>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</si>
  <si>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</si>
  <si>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</si>
  <si>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</si>
  <si>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</si>
  <si>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</si>
  <si>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</si>
  <si>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</si>
  <si>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</si>
  <si>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</si>
  <si>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</si>
  <si>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</si>
  <si>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</si>
  <si>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</si>
  <si>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</si>
  <si>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</si>
  <si>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</si>
  <si>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</si>
  <si>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</si>
  <si>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</si>
  <si>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</si>
  <si>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</si>
  <si>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</si>
  <si>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</si>
  <si>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</si>
  <si>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</si>
  <si>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</si>
  <si>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</si>
  <si>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</si>
  <si>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</si>
  <si>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</si>
  <si>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</si>
  <si>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</si>
  <si>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</si>
  <si>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</si>
  <si>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</si>
  <si>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</si>
  <si>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</si>
  <si>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</si>
  <si>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</si>
  <si>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</si>
  <si>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</si>
  <si>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</si>
  <si>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</si>
  <si>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</si>
  <si>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</si>
  <si>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</si>
  <si>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</si>
  <si>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</si>
  <si>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</si>
  <si>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</si>
  <si>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</si>
  <si>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</si>
  <si>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</si>
  <si>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</si>
  <si>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</si>
  <si>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</si>
  <si>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</si>
  <si>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</si>
  <si>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</si>
  <si>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</si>
  <si>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</si>
  <si>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</si>
  <si>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</si>
  <si>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</si>
  <si>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</si>
  <si>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</si>
  <si>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</si>
  <si>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</si>
  <si>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</si>
  <si>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</si>
  <si>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</si>
  <si>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</si>
  <si>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</si>
  <si>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</si>
  <si>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</si>
  <si>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</si>
  <si>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</si>
  <si>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</si>
  <si>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</si>
  <si>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</si>
  <si>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</si>
  <si>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</si>
  <si>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</si>
  <si>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</si>
  <si>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</si>
  <si>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</si>
  <si>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</si>
  <si>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</si>
  <si>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</si>
  <si>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</si>
  <si>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</si>
  <si>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</si>
  <si>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</si>
  <si>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</si>
  <si>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</si>
  <si>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</si>
  <si>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</si>
  <si>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</si>
  <si>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</si>
  <si>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</si>
  <si>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</si>
  <si>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</si>
  <si>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</si>
  <si>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</si>
  <si>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</si>
  <si>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</si>
  <si>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</si>
  <si>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</si>
  <si>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</si>
  <si>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</si>
  <si>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</si>
  <si>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</si>
  <si>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</si>
  <si>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</si>
  <si>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</si>
  <si>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</si>
  <si>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</si>
  <si>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</si>
  <si>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</si>
  <si>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</si>
  <si>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</si>
  <si>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</si>
  <si>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</si>
  <si>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</si>
  <si>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</si>
  <si>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</si>
  <si>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</si>
  <si>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</si>
  <si>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</si>
  <si>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</si>
  <si>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</si>
  <si>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</si>
  <si>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</si>
  <si>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</si>
  <si>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</si>
  <si>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</si>
  <si>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</si>
  <si>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</si>
  <si>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</si>
  <si>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</si>
  <si>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</si>
  <si>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</si>
  <si>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</si>
  <si>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</si>
  <si>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</si>
  <si>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</si>
  <si>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</si>
  <si>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</si>
  <si>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</si>
  <si>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</si>
  <si>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</si>
  <si>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</si>
  <si>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</si>
  <si>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</si>
  <si>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</si>
  <si>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</si>
  <si>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</si>
  <si>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</si>
  <si>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</si>
  <si>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</si>
  <si>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</si>
  <si>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</si>
  <si>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</si>
  <si>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</si>
  <si>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</si>
  <si>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</si>
  <si>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</si>
  <si>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</si>
  <si>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</si>
  <si>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</si>
  <si>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</si>
  <si>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</si>
  <si>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</si>
  <si>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</si>
  <si>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</si>
  <si>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</si>
  <si>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</si>
  <si>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</si>
  <si>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</si>
  <si>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</si>
  <si>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</si>
  <si>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</si>
  <si>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</si>
  <si>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</si>
  <si>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</si>
  <si>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</si>
  <si>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</si>
  <si>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</si>
  <si>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</si>
  <si>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</si>
  <si>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</si>
  <si>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</si>
  <si>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</si>
  <si>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</si>
  <si>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</si>
  <si>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</si>
  <si>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</si>
  <si>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</si>
  <si>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</si>
  <si>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</si>
  <si>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</si>
  <si>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</si>
  <si>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</si>
  <si>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</si>
  <si>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</si>
  <si>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</si>
  <si>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</si>
  <si>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</si>
  <si>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</si>
  <si>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</si>
  <si>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</si>
  <si>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</si>
  <si>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</si>
  <si>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</si>
  <si>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</si>
  <si>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</si>
  <si>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</si>
  <si>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</si>
  <si>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</si>
  <si>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</si>
  <si>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</si>
  <si>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</si>
  <si>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</si>
  <si>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</si>
  <si>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</si>
  <si>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</si>
  <si>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</si>
  <si>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</si>
  <si>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</si>
  <si>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</si>
  <si>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</si>
  <si>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</si>
  <si>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</si>
  <si>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</si>
  <si>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</si>
  <si>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</si>
  <si>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</si>
  <si>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</si>
  <si>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</si>
  <si>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</si>
  <si>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</si>
  <si>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</si>
  <si>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</si>
  <si>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</si>
  <si>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</si>
  <si>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</si>
  <si>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</si>
  <si>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</si>
  <si>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</si>
  <si>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</si>
  <si>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</si>
  <si>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</si>
  <si>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</si>
  <si>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</si>
  <si>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</si>
  <si>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</si>
  <si>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</si>
  <si>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</si>
  <si>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</si>
  <si>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</si>
  <si>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</si>
  <si>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</si>
  <si>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</si>
  <si>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</si>
  <si>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</si>
  <si>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</si>
  <si>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</si>
  <si>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</si>
  <si>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</si>
  <si>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</si>
  <si>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</si>
  <si>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</si>
  <si>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</si>
  <si>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</si>
  <si>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</si>
  <si>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</si>
  <si>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</si>
  <si>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</si>
  <si>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</si>
  <si>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</si>
  <si>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</si>
  <si>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</si>
  <si>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</si>
  <si>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</si>
  <si>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</si>
  <si>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</si>
  <si>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</si>
  <si>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</si>
  <si>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</si>
  <si>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</si>
  <si>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</si>
  <si>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</si>
  <si>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</si>
  <si>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</si>
  <si>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</si>
  <si>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</si>
  <si>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</si>
  <si>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</si>
  <si>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</si>
  <si>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</si>
  <si>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</si>
  <si>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</si>
  <si>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</si>
  <si>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</si>
  <si>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</si>
  <si>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</si>
  <si>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</si>
  <si>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</si>
  <si>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</si>
  <si>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</si>
  <si>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</si>
  <si>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</si>
  <si>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</si>
  <si>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</si>
  <si>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</si>
  <si>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</si>
  <si>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</si>
  <si>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</si>
  <si>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</si>
  <si>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</si>
  <si>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</si>
  <si>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</si>
  <si>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</si>
  <si>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</si>
  <si>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</si>
  <si>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</si>
  <si>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</si>
  <si>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</si>
  <si>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</si>
  <si>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</si>
  <si>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</si>
  <si>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</si>
  <si>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</si>
  <si>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</si>
  <si>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</si>
  <si>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</si>
  <si>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</si>
  <si>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</si>
  <si>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</si>
  <si>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</si>
  <si>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</si>
  <si>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</si>
  <si>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</si>
  <si>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</si>
  <si>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</si>
  <si>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</si>
  <si>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</si>
  <si>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</si>
  <si>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</si>
  <si>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</si>
  <si>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</si>
  <si>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</si>
  <si>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</si>
  <si>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</si>
  <si>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</si>
  <si>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</si>
  <si>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</si>
  <si>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</si>
  <si>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</si>
  <si>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</si>
  <si>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</si>
  <si>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</si>
  <si>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</si>
  <si>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</si>
  <si>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</si>
  <si>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</si>
  <si>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</si>
  <si>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</si>
  <si>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</si>
  <si>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</si>
  <si>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</si>
  <si>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</si>
  <si>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</si>
  <si>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</si>
  <si>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</si>
  <si>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</si>
  <si>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</si>
  <si>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</si>
  <si>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</si>
  <si>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</si>
  <si>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</si>
  <si>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</si>
  <si>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</si>
  <si>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</si>
  <si>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</si>
  <si>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</si>
  <si>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</si>
  <si>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</si>
  <si>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</si>
  <si>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</si>
  <si>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</si>
  <si>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</si>
  <si>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</si>
  <si>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</si>
  <si>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</si>
  <si>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</si>
  <si>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</si>
  <si>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</si>
  <si>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</si>
  <si>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</si>
  <si>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</si>
  <si>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</si>
  <si>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</si>
  <si>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</si>
  <si>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</si>
  <si>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</si>
  <si>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</si>
  <si>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</si>
  <si>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</si>
  <si>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</si>
  <si>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</si>
  <si>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</si>
  <si>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</si>
  <si>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</si>
  <si>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</si>
  <si>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</si>
  <si>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</si>
  <si>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</si>
  <si>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</si>
  <si>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</si>
  <si>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</si>
  <si>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</si>
  <si>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</si>
  <si>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</si>
  <si>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</si>
  <si>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</si>
  <si>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</si>
  <si>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</si>
  <si>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</si>
  <si>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</si>
  <si>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</si>
  <si>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</si>
  <si>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</si>
  <si>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</si>
  <si>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</si>
  <si>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</si>
  <si>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</si>
  <si>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</si>
  <si>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</si>
  <si>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</si>
  <si>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</si>
  <si>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</si>
  <si>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</si>
  <si>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</si>
  <si>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</si>
  <si>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</si>
  <si>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</si>
  <si>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</si>
  <si>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</si>
  <si>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</si>
  <si>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</si>
  <si>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</si>
  <si>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</si>
  <si>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</si>
  <si>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</si>
  <si>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</si>
  <si>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</si>
  <si>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</si>
  <si>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</si>
  <si>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</si>
  <si>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</si>
  <si>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</si>
  <si>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</si>
  <si>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</si>
  <si>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</si>
  <si>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</si>
  <si>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</si>
  <si>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</si>
  <si>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</si>
  <si>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</si>
  <si>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</si>
  <si>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</si>
  <si>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</si>
  <si>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</si>
  <si>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</si>
  <si>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</si>
  <si>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</si>
  <si>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</si>
  <si>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</si>
  <si>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</si>
  <si>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</si>
  <si>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</si>
  <si>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</si>
  <si>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</si>
  <si>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</si>
  <si>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</si>
  <si>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</si>
  <si>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</si>
  <si>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</si>
  <si>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</si>
  <si>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</si>
  <si>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</si>
  <si>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</si>
  <si>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</si>
  <si>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</si>
  <si>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</si>
  <si>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</si>
  <si>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</si>
  <si>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</si>
  <si>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</si>
  <si>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</si>
  <si>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</si>
  <si>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</si>
  <si>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</si>
  <si>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</si>
  <si>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</si>
  <si>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</si>
  <si>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</si>
  <si>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</si>
  <si>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</si>
  <si>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</si>
  <si>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</si>
  <si>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</si>
  <si>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</si>
  <si>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</si>
  <si>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</si>
  <si>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</si>
  <si>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</si>
  <si>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</si>
  <si>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</si>
  <si>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</si>
  <si>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</si>
  <si>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</si>
  <si>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</si>
  <si>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</si>
  <si>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</si>
  <si>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</si>
  <si>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</si>
  <si>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</si>
  <si>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</si>
  <si>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</si>
  <si>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</si>
  <si>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</si>
  <si>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</si>
  <si>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</si>
  <si>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</si>
  <si>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</si>
  <si>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</si>
  <si>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</si>
  <si>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</si>
  <si>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</si>
  <si>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</si>
  <si>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</si>
  <si>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</si>
  <si>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</si>
  <si>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</si>
  <si>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</si>
  <si>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</si>
  <si>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</si>
  <si>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</si>
  <si>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</si>
  <si>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</si>
  <si>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</si>
  <si>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</si>
  <si>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</si>
  <si>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</si>
  <si>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</si>
  <si>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</si>
  <si>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</si>
  <si>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</si>
  <si>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</si>
  <si>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</si>
  <si>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</si>
  <si>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</si>
  <si>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</si>
  <si>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</si>
  <si>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</si>
  <si>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</si>
  <si>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</si>
  <si>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</si>
  <si>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</si>
  <si>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</si>
  <si>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</si>
  <si>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</si>
  <si>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</si>
  <si>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</si>
  <si>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</si>
  <si>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</si>
  <si>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</si>
  <si>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</si>
  <si>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</si>
  <si>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</si>
  <si>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</si>
  <si>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</si>
  <si>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</si>
  <si>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</si>
  <si>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</si>
  <si>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</si>
  <si>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</si>
  <si>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</si>
  <si>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</si>
  <si>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</si>
  <si>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</si>
  <si>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</si>
  <si>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</si>
  <si>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</si>
  <si>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</si>
  <si>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</si>
  <si>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</si>
  <si>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</si>
  <si>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</si>
  <si>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</si>
  <si>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</si>
  <si>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</si>
  <si>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</si>
  <si>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</si>
  <si>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</si>
  <si>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</si>
  <si>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</si>
  <si>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</si>
  <si>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</si>
  <si>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</si>
  <si>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</si>
  <si>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</si>
  <si>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</si>
  <si>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</si>
  <si>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</si>
  <si>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</si>
  <si>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</si>
  <si>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</si>
  <si>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</si>
  <si>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</si>
  <si>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</si>
  <si>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</si>
  <si>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</si>
  <si>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</si>
  <si>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</si>
  <si>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</si>
  <si>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</si>
  <si>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</si>
  <si>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</si>
  <si>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</si>
  <si>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</si>
  <si>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</si>
  <si>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</si>
  <si>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</si>
  <si>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</si>
  <si>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</si>
  <si>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</si>
  <si>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</si>
  <si>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</si>
  <si>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</si>
  <si>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</si>
  <si>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</si>
  <si>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</si>
  <si>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</si>
  <si>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</si>
  <si>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</si>
  <si>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</si>
  <si>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</si>
  <si>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</si>
  <si>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</si>
  <si>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</si>
  <si>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</si>
  <si>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</si>
  <si>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</si>
  <si>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</si>
  <si>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</si>
  <si>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</si>
  <si>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</si>
  <si>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</si>
  <si>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</si>
  <si>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</si>
  <si>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</si>
  <si>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</si>
  <si>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</si>
  <si>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</si>
  <si>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</si>
  <si>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</si>
  <si>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</si>
  <si>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</si>
  <si>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</si>
  <si>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</si>
  <si>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</si>
  <si>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</si>
  <si>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</si>
  <si>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</si>
  <si>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</si>
  <si>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</si>
  <si>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</si>
  <si>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</si>
  <si>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</si>
  <si>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</si>
  <si>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</si>
  <si>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</si>
  <si>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</si>
  <si>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</si>
  <si>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</si>
  <si>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</si>
  <si>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</si>
  <si>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</si>
  <si>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</si>
  <si>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</si>
  <si>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</si>
  <si>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</si>
  <si>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</si>
  <si>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</si>
  <si>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</si>
  <si>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</si>
  <si>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</si>
  <si>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</si>
  <si>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</si>
  <si>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</si>
  <si>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</si>
  <si>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</si>
  <si>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</si>
  <si>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</si>
  <si>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</si>
  <si>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</si>
  <si>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</si>
  <si>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</si>
  <si>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</si>
  <si>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</si>
  <si>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</si>
  <si>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</si>
  <si>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</si>
  <si>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</si>
  <si>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</si>
  <si>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</si>
  <si>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</si>
  <si>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</si>
  <si>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</si>
  <si>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</si>
  <si>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</si>
  <si>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</si>
  <si>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</si>
  <si>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</si>
  <si>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</si>
  <si>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</si>
  <si>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</si>
  <si>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</si>
  <si>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</si>
  <si>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</si>
  <si>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</si>
  <si>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</si>
  <si>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</si>
  <si>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</si>
  <si>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</si>
  <si>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</si>
  <si>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</si>
  <si>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</si>
  <si>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</si>
  <si>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</si>
  <si>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</si>
  <si>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</si>
  <si>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</si>
  <si>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</si>
  <si>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</si>
  <si>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</si>
  <si>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</si>
  <si>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</si>
  <si>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</si>
  <si>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</si>
  <si>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</si>
  <si>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</si>
  <si>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</si>
  <si>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</si>
  <si>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</si>
  <si>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</si>
  <si>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</si>
  <si>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</si>
  <si>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</si>
  <si>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</si>
  <si>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</si>
  <si>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</si>
  <si>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</si>
  <si>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</si>
  <si>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</si>
  <si>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</si>
  <si>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</si>
  <si>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</si>
  <si>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</si>
  <si>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</si>
  <si>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</si>
  <si>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</si>
  <si>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</si>
  <si>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</si>
  <si>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</si>
  <si>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</si>
  <si>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</si>
  <si>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</si>
  <si>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</si>
  <si>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</si>
  <si>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</si>
  <si>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</si>
  <si>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</si>
  <si>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</si>
  <si>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</si>
  <si>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</si>
  <si>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</si>
  <si>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</si>
  <si>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</si>
  <si>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</si>
  <si>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</si>
  <si>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</si>
  <si>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</si>
  <si>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</si>
  <si>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</si>
  <si>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</si>
  <si>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</si>
  <si>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</si>
  <si>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</si>
  <si>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</si>
  <si>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</si>
  <si>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</si>
  <si>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</si>
  <si>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</si>
  <si>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</si>
  <si>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</si>
  <si>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</si>
  <si>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</si>
  <si>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</si>
  <si>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</si>
  <si>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</si>
  <si>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</si>
  <si>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</si>
  <si>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</si>
  <si>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</si>
  <si>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</si>
  <si>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</si>
  <si>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</si>
  <si>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</si>
  <si>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</si>
  <si>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</si>
  <si>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</si>
  <si>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</si>
  <si>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</si>
  <si>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</si>
  <si>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</si>
  <si>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</si>
  <si>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</si>
  <si>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</si>
  <si>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</si>
  <si>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</si>
  <si>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</si>
  <si>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</si>
  <si>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</si>
  <si>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</si>
  <si>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</si>
  <si>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</si>
  <si>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</si>
  <si>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</si>
  <si>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</si>
  <si>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</si>
  <si>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</si>
  <si>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</si>
  <si>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</si>
  <si>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</si>
  <si>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</si>
  <si>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</si>
  <si>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</si>
  <si>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</si>
  <si>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</si>
  <si>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</si>
  <si>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</si>
  <si>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</si>
  <si>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</si>
  <si>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</si>
  <si>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</si>
  <si>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</si>
  <si>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</si>
  <si>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</si>
  <si>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</si>
  <si>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</si>
  <si>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</si>
  <si>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</si>
  <si>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</si>
  <si>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</si>
  <si>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</si>
  <si>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</si>
  <si>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</si>
  <si>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</si>
  <si>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</si>
  <si>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</si>
  <si>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</si>
  <si>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</si>
  <si>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</si>
  <si>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</si>
  <si>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</si>
  <si>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</si>
  <si>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</si>
  <si>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</si>
  <si>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</si>
  <si>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</si>
  <si>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</si>
  <si>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</si>
  <si>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</si>
  <si>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</si>
  <si>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</si>
  <si>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</si>
  <si>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</si>
  <si>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</si>
  <si>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</si>
  <si>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</si>
  <si>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</si>
  <si>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</si>
  <si>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</si>
  <si>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</si>
  <si>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</si>
  <si>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</si>
  <si>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</si>
  <si>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</si>
  <si>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</si>
  <si>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</si>
  <si>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</si>
  <si>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</si>
  <si>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</si>
  <si>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</si>
  <si>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</si>
  <si>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</si>
  <si>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</si>
  <si>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</si>
  <si>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</si>
  <si>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</si>
  <si>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</si>
  <si>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</si>
  <si>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</si>
  <si>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</si>
  <si>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</si>
  <si>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</si>
  <si>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</si>
  <si>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</si>
  <si>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</si>
  <si>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</si>
  <si>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</si>
  <si>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</si>
  <si>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</si>
  <si>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</si>
  <si>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</si>
  <si>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</si>
  <si>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</si>
  <si>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</si>
  <si>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</si>
  <si>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</si>
  <si>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</si>
  <si>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</si>
  <si>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</si>
  <si>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</si>
  <si>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</si>
  <si>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</si>
  <si>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</si>
  <si>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</si>
  <si>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</si>
  <si>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</si>
  <si>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</si>
  <si>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</si>
  <si>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</si>
  <si>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</si>
  <si>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</si>
  <si>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</si>
  <si>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</si>
  <si>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</si>
  <si>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</si>
  <si>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</si>
  <si>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</si>
  <si>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</si>
  <si>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</si>
  <si>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</si>
  <si>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</si>
  <si>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</si>
  <si>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</si>
  <si>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</si>
  <si>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</si>
  <si>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</si>
  <si>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</si>
  <si>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</si>
  <si>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</si>
  <si>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</si>
  <si>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</si>
  <si>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</si>
  <si>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</si>
  <si>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</si>
  <si>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</si>
  <si>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</si>
  <si>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</si>
  <si>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</si>
  <si>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</si>
  <si>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</si>
  <si>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</si>
  <si>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</si>
  <si>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</si>
  <si>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</si>
  <si>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</si>
  <si>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</si>
  <si>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</si>
  <si>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</si>
  <si>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</si>
  <si>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</si>
  <si>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</si>
  <si>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</si>
  <si>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</si>
  <si>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</si>
  <si>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</si>
  <si>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</si>
  <si>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</si>
  <si>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</si>
  <si>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</si>
  <si>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</si>
  <si>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</si>
  <si>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</si>
  <si>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</si>
  <si>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</si>
  <si>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</si>
  <si>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</si>
  <si>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</si>
  <si>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</si>
  <si>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</si>
  <si>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</si>
  <si>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</si>
  <si>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</si>
  <si>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</si>
  <si>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</si>
  <si>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</si>
  <si>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</si>
  <si>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</si>
  <si>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</si>
  <si>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</si>
  <si>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</si>
  <si>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</si>
  <si>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</si>
  <si>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</si>
  <si>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</si>
  <si>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</si>
  <si>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</si>
  <si>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</si>
  <si>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</si>
  <si>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</si>
  <si>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</si>
  <si>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</si>
  <si>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</si>
  <si>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</si>
  <si>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</si>
  <si>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</si>
  <si>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</si>
  <si>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</si>
  <si>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</si>
  <si>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</si>
  <si>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</si>
  <si>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</si>
  <si>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</si>
  <si>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</si>
  <si>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</si>
  <si>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</si>
  <si>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</si>
  <si>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</si>
  <si>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</si>
  <si>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</si>
  <si>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</si>
  <si>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</si>
  <si>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</si>
  <si>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</si>
  <si>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</si>
  <si>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</si>
  <si>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</si>
  <si>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</si>
  <si>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</si>
  <si>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</si>
  <si>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</si>
  <si>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</si>
  <si>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</si>
  <si>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</si>
  <si>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</si>
  <si>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</si>
  <si>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</si>
  <si>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</si>
  <si>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</si>
  <si>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</si>
  <si>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</si>
  <si>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</si>
  <si>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</si>
  <si>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</si>
  <si>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</si>
  <si>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</si>
  <si>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</si>
  <si>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</si>
  <si>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</si>
  <si>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</si>
  <si>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</si>
  <si>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</si>
  <si>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</si>
  <si>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</si>
  <si>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</si>
  <si>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</si>
  <si>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</si>
  <si>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</si>
  <si>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</si>
  <si>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</si>
  <si>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</si>
  <si>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</si>
  <si>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</si>
  <si>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</si>
  <si>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</si>
  <si>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</si>
  <si>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</si>
  <si>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</si>
  <si>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</si>
  <si>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</si>
  <si>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</si>
  <si>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</si>
  <si>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</si>
  <si>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</si>
  <si>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</si>
  <si>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</si>
  <si>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</si>
  <si>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</si>
  <si>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</si>
  <si>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</si>
  <si>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</si>
  <si>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</si>
  <si>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</si>
  <si>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</si>
  <si>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</si>
  <si>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</si>
  <si>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</si>
  <si>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</si>
  <si>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</si>
  <si>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</si>
  <si>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</si>
  <si>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</si>
  <si>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</si>
  <si>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</si>
  <si>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</si>
  <si>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</si>
  <si>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</si>
  <si>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</si>
  <si>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</si>
  <si>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</si>
  <si>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</si>
  <si>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</si>
  <si>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</si>
  <si>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</si>
  <si>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</si>
  <si>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</si>
  <si>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</si>
  <si>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</si>
  <si>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</si>
  <si>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</si>
  <si>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</si>
  <si>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</si>
  <si>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</si>
  <si>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</si>
  <si>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</si>
  <si>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</si>
  <si>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</si>
  <si>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</si>
  <si>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</si>
  <si>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</si>
  <si>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</si>
  <si>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</si>
  <si>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</si>
  <si>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</si>
  <si>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</si>
  <si>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</si>
  <si>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</si>
  <si>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</si>
  <si>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</si>
  <si>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</si>
  <si>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</si>
  <si>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</si>
  <si>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</si>
  <si>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</si>
  <si>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</si>
  <si>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</si>
  <si>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</si>
  <si>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</si>
  <si>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</si>
  <si>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</si>
  <si>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</si>
  <si>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</si>
  <si>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</si>
  <si>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</si>
  <si>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</si>
  <si>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</si>
  <si>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</si>
  <si>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</si>
  <si>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</si>
  <si>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</si>
  <si>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</si>
  <si>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</si>
  <si>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</si>
  <si>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</si>
  <si>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</si>
  <si>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</si>
  <si>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</si>
  <si>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</si>
  <si>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</si>
  <si>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</si>
  <si>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</si>
  <si>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</si>
  <si>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</si>
  <si>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</si>
  <si>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</si>
  <si>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</si>
  <si>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</si>
  <si>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</si>
  <si>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</si>
  <si>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</si>
  <si>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</si>
  <si>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</si>
  <si>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</si>
  <si>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</si>
  <si>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</si>
  <si>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</si>
  <si>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</si>
  <si>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</si>
  <si>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</si>
  <si>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</si>
  <si>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</si>
  <si>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</si>
  <si>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</si>
  <si>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</si>
  <si>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</si>
  <si>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</si>
  <si>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</si>
  <si>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</si>
  <si>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</si>
  <si>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</si>
  <si>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</si>
  <si>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</si>
  <si>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</si>
  <si>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</si>
  <si>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</si>
  <si>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</si>
  <si>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</si>
  <si>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</si>
  <si>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</si>
  <si>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</si>
  <si>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</si>
  <si>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</si>
  <si>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</si>
  <si>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</si>
  <si>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</si>
  <si>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</si>
  <si>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</si>
  <si>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</si>
  <si>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</si>
  <si>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</si>
  <si>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</si>
  <si>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</si>
  <si>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</si>
  <si>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</si>
  <si>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</si>
  <si>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</si>
  <si>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</si>
  <si>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</si>
  <si>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</si>
  <si>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</si>
  <si>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</si>
  <si>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</si>
  <si>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</si>
  <si>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</si>
  <si>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</si>
  <si>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</si>
  <si>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</si>
  <si>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</si>
  <si>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</si>
  <si>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</si>
  <si>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</si>
  <si>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</si>
  <si>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</si>
  <si>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</si>
  <si>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</si>
  <si>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</si>
  <si>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</si>
  <si>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</si>
  <si>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</si>
  <si>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</si>
  <si>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</si>
  <si>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</si>
  <si>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</si>
  <si>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</si>
  <si>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</si>
  <si>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</si>
  <si>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</si>
  <si>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</si>
  <si>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</si>
  <si>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</si>
  <si>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</si>
  <si>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</si>
  <si>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</si>
  <si>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</si>
  <si>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</si>
  <si>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</si>
  <si>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</si>
  <si>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</si>
  <si>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</si>
  <si>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</si>
  <si>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</si>
  <si>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</si>
  <si>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</si>
  <si>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</si>
  <si>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</si>
  <si>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</si>
  <si>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</si>
  <si>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</si>
  <si>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</si>
  <si>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</si>
  <si>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</si>
  <si>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</si>
  <si>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</si>
  <si>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</si>
  <si>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</si>
  <si>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</si>
  <si>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</si>
  <si>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</si>
  <si>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</si>
  <si>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</si>
  <si>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</si>
  <si>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</si>
  <si>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</si>
  <si>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</si>
  <si>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</si>
  <si>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</si>
  <si>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</si>
  <si>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</si>
  <si>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</si>
  <si>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</si>
  <si>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</si>
  <si>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</si>
  <si>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</si>
  <si>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</si>
  <si>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</si>
  <si>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</si>
  <si>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</si>
  <si>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</si>
  <si>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</si>
  <si>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</si>
  <si>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</si>
  <si>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</si>
  <si>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</si>
  <si>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</si>
  <si>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</si>
  <si>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</si>
  <si>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</si>
  <si>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</si>
  <si>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</si>
  <si>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</si>
  <si>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</si>
  <si>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</si>
  <si>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</si>
  <si>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</si>
  <si>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</si>
  <si>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</si>
  <si>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</si>
  <si>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</si>
  <si>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</si>
  <si>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</si>
  <si>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</si>
  <si>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</si>
  <si>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</si>
  <si>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</si>
  <si>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</si>
  <si>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</si>
  <si>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</si>
  <si>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</si>
  <si>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</si>
  <si>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</si>
  <si>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</si>
  <si>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</si>
  <si>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</si>
  <si>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</si>
  <si>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</si>
  <si>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</si>
  <si>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</si>
  <si>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</si>
  <si>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</si>
  <si>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</si>
  <si>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</si>
  <si>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</si>
  <si>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</si>
  <si>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</si>
  <si>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</si>
  <si>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</si>
  <si>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</si>
  <si>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</si>
  <si>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</si>
  <si>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</si>
  <si>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</si>
  <si>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</si>
  <si>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</si>
  <si>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</si>
  <si>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</si>
  <si>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</si>
  <si>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</si>
  <si>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</si>
  <si>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</si>
  <si>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</si>
  <si>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</si>
  <si>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</si>
  <si>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</si>
  <si>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</si>
  <si>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</si>
  <si>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</si>
  <si>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</si>
  <si>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</si>
  <si>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</si>
  <si>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</si>
  <si>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</si>
  <si>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</si>
  <si>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</si>
  <si>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</si>
  <si>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</si>
  <si>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</si>
  <si>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</si>
  <si>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</si>
  <si>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</si>
  <si>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</si>
  <si>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</si>
  <si>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</si>
  <si>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</si>
  <si>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</si>
  <si>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</si>
  <si>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</si>
  <si>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</si>
  <si>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</si>
  <si>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</si>
  <si>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</si>
  <si>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</si>
  <si>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</si>
  <si>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</si>
  <si>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</si>
  <si>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</si>
  <si>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</si>
  <si>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</si>
  <si>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</si>
  <si>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</si>
  <si>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</si>
  <si>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</si>
  <si>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</si>
  <si>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</si>
  <si>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</si>
  <si>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</si>
  <si>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</si>
  <si>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</si>
  <si>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</si>
  <si>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</si>
  <si>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</si>
  <si>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</si>
  <si>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</si>
  <si>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</si>
  <si>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</si>
  <si>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</si>
  <si>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</si>
  <si>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</si>
  <si>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</si>
  <si>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</si>
  <si>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</si>
  <si>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</si>
  <si>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</si>
  <si>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</si>
  <si>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</si>
  <si>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</si>
  <si>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</si>
  <si>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</si>
  <si>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</si>
  <si>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</si>
  <si>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</si>
  <si>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</si>
  <si>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</si>
  <si>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</si>
  <si>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</si>
  <si>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</si>
  <si>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</si>
  <si>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</si>
  <si>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</si>
  <si>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</si>
  <si>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</si>
  <si>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</si>
  <si>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</si>
  <si>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</si>
  <si>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</si>
  <si>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</si>
  <si>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</si>
  <si>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</si>
  <si>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</si>
  <si>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</si>
  <si>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</si>
  <si>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</si>
  <si>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</si>
  <si>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</si>
  <si>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</si>
  <si>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</si>
  <si>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</si>
  <si>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</si>
  <si>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</si>
  <si>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</si>
  <si>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</si>
  <si>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</si>
  <si>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</si>
  <si>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</si>
  <si>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</si>
  <si>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</si>
  <si>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</si>
  <si>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</si>
  <si>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</si>
  <si>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</si>
  <si>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</si>
  <si>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</si>
  <si>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</si>
  <si>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</si>
  <si>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</si>
  <si>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</si>
  <si>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</si>
  <si>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</si>
  <si>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</si>
  <si>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</si>
  <si>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</si>
  <si>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</si>
  <si>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</si>
  <si>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</si>
  <si>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</si>
  <si>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</si>
  <si>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</si>
  <si>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</si>
  <si>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</si>
  <si>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</si>
  <si>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</si>
  <si>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</si>
  <si>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</si>
  <si>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</si>
  <si>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</si>
  <si>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</si>
  <si>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</si>
  <si>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</si>
  <si>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</si>
  <si>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</si>
  <si>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</si>
  <si>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</si>
  <si>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</si>
  <si>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</si>
  <si>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</si>
  <si>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</si>
  <si>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</si>
  <si>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</si>
  <si>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</si>
  <si>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</si>
  <si>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</si>
  <si>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</si>
  <si>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</si>
  <si>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</si>
  <si>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</si>
  <si>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</si>
  <si>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</si>
  <si>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</si>
  <si>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</si>
  <si>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</si>
  <si>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</si>
  <si>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</si>
  <si>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</si>
  <si>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</si>
  <si>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</si>
  <si>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</si>
  <si>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</si>
  <si>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</si>
  <si>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</si>
  <si>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</si>
  <si>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</si>
  <si>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</si>
  <si>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</si>
  <si>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</si>
  <si>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</si>
  <si>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</si>
  <si>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</si>
  <si>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</si>
  <si>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</si>
  <si>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</si>
  <si>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</si>
  <si>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</si>
  <si>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</si>
  <si>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</si>
  <si>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</si>
  <si>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</si>
  <si>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</si>
  <si>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</si>
  <si>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</si>
  <si>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</si>
  <si>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</si>
  <si>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</si>
  <si>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</si>
  <si>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</si>
  <si>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</si>
  <si>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</si>
  <si>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</si>
  <si>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</si>
  <si>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</si>
  <si>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</si>
  <si>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</si>
  <si>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</si>
  <si>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</si>
  <si>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</si>
  <si>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</si>
  <si>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</si>
  <si>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</si>
  <si>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</si>
  <si>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</si>
  <si>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</si>
  <si>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</si>
  <si>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</si>
  <si>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</si>
  <si>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</si>
  <si>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</si>
  <si>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</si>
  <si>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</si>
  <si>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</si>
  <si>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</si>
  <si>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</si>
  <si>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</si>
  <si>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</si>
  <si>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</si>
  <si>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</si>
  <si>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</si>
  <si>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</si>
  <si>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</si>
  <si>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</si>
  <si>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</si>
  <si>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</si>
  <si>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</si>
  <si>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</si>
  <si>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</si>
  <si>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</si>
  <si>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</si>
  <si>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</si>
  <si>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</si>
  <si>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</si>
  <si>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</si>
  <si>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</si>
  <si>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</si>
  <si>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</si>
  <si>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</si>
  <si>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</si>
  <si>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</si>
  <si>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</si>
  <si>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</si>
  <si>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</si>
  <si>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</si>
  <si>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</si>
  <si>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</si>
  <si>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</si>
  <si>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</si>
  <si>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</si>
  <si>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</si>
  <si>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</si>
  <si>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</si>
  <si>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</si>
  <si>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</si>
  <si>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</si>
  <si>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</si>
  <si>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</si>
  <si>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</si>
  <si>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</si>
  <si>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</si>
  <si>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</si>
  <si>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</si>
  <si>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</si>
  <si>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</si>
  <si>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</si>
  <si>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</si>
  <si>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</si>
  <si>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</si>
  <si>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</si>
  <si>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</si>
  <si>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</si>
  <si>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</si>
  <si>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</si>
  <si>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</si>
  <si>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</si>
  <si>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</si>
  <si>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</si>
  <si>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</si>
  <si>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</si>
  <si>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</si>
  <si>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</si>
  <si>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</si>
  <si>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</si>
  <si>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</si>
  <si>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</si>
  <si>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</si>
  <si>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</si>
  <si>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</si>
  <si>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</si>
  <si>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</si>
  <si>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</si>
  <si>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</si>
  <si>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</si>
  <si>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</si>
  <si>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</si>
  <si>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</si>
  <si>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</si>
  <si>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</si>
  <si>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</si>
  <si>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</si>
  <si>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</si>
  <si>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</si>
  <si>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</si>
  <si>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</si>
  <si>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</si>
  <si>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</si>
  <si>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</si>
  <si>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</si>
  <si>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</si>
  <si>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</si>
  <si>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</si>
  <si>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</si>
  <si>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</si>
  <si>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</si>
  <si>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</si>
  <si>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</si>
  <si>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</si>
  <si>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</si>
  <si>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</si>
  <si>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</si>
  <si>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</si>
  <si>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</si>
  <si>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</si>
  <si>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</si>
  <si>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</si>
  <si>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</si>
  <si>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</si>
  <si>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</si>
  <si>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</si>
  <si>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</si>
  <si>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</si>
  <si>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</si>
  <si>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</si>
  <si>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</si>
  <si>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</si>
  <si>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</si>
  <si>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</si>
  <si>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</si>
  <si>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</si>
  <si>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</si>
  <si>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</si>
  <si>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</si>
  <si>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</si>
  <si>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</si>
  <si>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</si>
  <si>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</si>
  <si>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</si>
  <si>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</si>
  <si>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</si>
  <si>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</si>
  <si>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</si>
  <si>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</si>
  <si>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</si>
  <si>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</si>
  <si>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</si>
  <si>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</si>
  <si>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</si>
  <si>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</si>
  <si>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</si>
  <si>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</si>
  <si>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</si>
  <si>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</si>
  <si>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</si>
  <si>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</si>
  <si>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</si>
  <si>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</si>
  <si>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</si>
  <si>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</si>
  <si>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</si>
  <si>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</si>
  <si>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</si>
  <si>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</si>
  <si>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</si>
  <si>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</si>
  <si>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</si>
  <si>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</si>
  <si>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</si>
  <si>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</si>
  <si>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</si>
  <si>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</si>
  <si>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</si>
  <si>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</si>
  <si>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</si>
  <si>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</si>
  <si>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</si>
  <si>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</si>
  <si>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</si>
  <si>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</si>
  <si>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</si>
  <si>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</si>
  <si>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</si>
  <si>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</si>
  <si>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</si>
  <si>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</si>
  <si>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</si>
  <si>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</si>
  <si>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</si>
  <si>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</si>
  <si>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</si>
  <si>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</si>
  <si>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</si>
  <si>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</si>
  <si>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</si>
  <si>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</si>
  <si>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</si>
  <si>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</si>
  <si>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</si>
  <si>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</si>
  <si>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</si>
  <si>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</si>
  <si>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</si>
  <si>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</si>
  <si>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</si>
  <si>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</si>
  <si>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</si>
  <si>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</si>
  <si>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</si>
  <si>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</si>
  <si>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</si>
  <si>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</si>
  <si>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</si>
  <si>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</si>
  <si>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</si>
  <si>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</si>
  <si>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</si>
  <si>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</si>
  <si>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</si>
  <si>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</si>
  <si>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</si>
  <si>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</si>
  <si>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</si>
  <si>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</si>
  <si>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</si>
  <si>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</si>
  <si>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</si>
  <si>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</si>
  <si>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</si>
  <si>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</si>
  <si>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</si>
  <si>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</si>
  <si>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</si>
  <si>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</si>
  <si>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</si>
  <si>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</si>
  <si>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</si>
  <si>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</si>
  <si>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</si>
  <si>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</si>
  <si>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</si>
  <si>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</si>
  <si>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</si>
  <si>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</si>
  <si>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</si>
  <si>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</si>
  <si>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</si>
  <si>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</si>
  <si>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</si>
  <si>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</si>
  <si>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</si>
  <si>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</si>
  <si>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</si>
  <si>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</si>
  <si>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</si>
  <si>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</si>
  <si>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</si>
  <si>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</si>
  <si>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</si>
  <si>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</si>
  <si>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</si>
  <si>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</si>
  <si>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</si>
  <si>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</si>
  <si>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</si>
  <si>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</si>
  <si>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</si>
  <si>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</si>
  <si>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</si>
  <si>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</si>
  <si>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</si>
  <si>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</si>
  <si>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</si>
  <si>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</si>
  <si>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</si>
  <si>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</si>
  <si>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</si>
  <si>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</si>
  <si>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</si>
  <si>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</si>
  <si>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</si>
  <si>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</si>
  <si>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</si>
  <si>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</si>
  <si>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</si>
  <si>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</si>
  <si>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</si>
  <si>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</si>
  <si>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</si>
  <si>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</si>
  <si>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</si>
  <si>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</si>
  <si>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</si>
  <si>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</si>
  <si>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</si>
  <si>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</si>
  <si>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</si>
  <si>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</si>
  <si>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</si>
  <si>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</si>
  <si>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</si>
  <si>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</si>
  <si>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</si>
  <si>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</si>
  <si>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</si>
  <si>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</si>
  <si>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</si>
  <si>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</si>
  <si>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</si>
  <si>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</si>
  <si>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</si>
  <si>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</si>
  <si>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</si>
  <si>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</si>
  <si>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</si>
  <si>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</si>
  <si>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</si>
  <si>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</si>
  <si>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</si>
  <si>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</si>
  <si>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</si>
  <si>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</si>
  <si>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</si>
  <si>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</si>
  <si>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</si>
  <si>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</si>
  <si>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</si>
  <si>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</si>
  <si>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</si>
  <si>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</si>
  <si>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</si>
  <si>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</si>
  <si>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</si>
  <si>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</si>
  <si>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</si>
  <si>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</si>
  <si>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</si>
  <si>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</si>
  <si>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</si>
  <si>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</si>
  <si>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</si>
  <si>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</si>
  <si>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</si>
  <si>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</si>
  <si>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</si>
  <si>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</si>
  <si>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</si>
  <si>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</si>
  <si>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</si>
  <si>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</si>
  <si>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</si>
  <si>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</si>
  <si>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</si>
  <si>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</si>
  <si>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</si>
  <si>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</si>
  <si>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</si>
  <si>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</si>
  <si>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</si>
  <si>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</si>
  <si>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</si>
  <si>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</si>
  <si>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</si>
  <si>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</si>
  <si>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</si>
  <si>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</si>
  <si>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</si>
  <si>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</si>
  <si>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</si>
  <si>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</si>
  <si>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</si>
  <si>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</si>
  <si>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</si>
  <si>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</si>
  <si>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</si>
  <si>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</si>
  <si>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</si>
  <si>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</si>
  <si>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</si>
  <si>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</si>
  <si>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</si>
  <si>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</si>
  <si>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</si>
  <si>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</si>
  <si>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</si>
  <si>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</si>
  <si>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</si>
  <si>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</si>
  <si>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</si>
  <si>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</si>
  <si>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</si>
  <si>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</si>
  <si>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</si>
  <si>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</si>
  <si>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</si>
  <si>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</si>
  <si>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</si>
  <si>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</si>
  <si>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</si>
  <si>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</si>
  <si>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</si>
  <si>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</si>
  <si>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</si>
  <si>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</si>
  <si>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</si>
  <si>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</si>
  <si>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</si>
  <si>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</si>
  <si>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</si>
  <si>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</si>
  <si>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</si>
  <si>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</si>
  <si>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</si>
  <si>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</si>
  <si>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</si>
  <si>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</si>
  <si>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</si>
  <si>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</si>
  <si>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</si>
  <si>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</si>
  <si>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</si>
  <si>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</si>
  <si>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</si>
  <si>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</si>
  <si>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</si>
  <si>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</si>
  <si>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</si>
  <si>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</si>
  <si>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</si>
  <si>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</si>
  <si>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</si>
  <si>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</si>
  <si>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</si>
  <si>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</si>
  <si>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</si>
  <si>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</si>
  <si>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</si>
  <si>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</si>
  <si>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</si>
  <si>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</si>
  <si>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</si>
  <si>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</si>
  <si>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</si>
  <si>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</si>
  <si>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</si>
  <si>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</si>
  <si>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</si>
  <si>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</si>
  <si>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</si>
  <si>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</si>
  <si>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</si>
  <si>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</si>
  <si>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</si>
  <si>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</si>
  <si>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</si>
  <si>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</si>
  <si>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</si>
  <si>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</si>
  <si>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</si>
  <si>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</si>
  <si>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</si>
  <si>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</si>
  <si>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</si>
  <si>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</si>
  <si>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</si>
  <si>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</si>
  <si>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</si>
  <si>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</si>
  <si>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</si>
  <si>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</si>
  <si>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</si>
  <si>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</si>
  <si>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</si>
  <si>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</si>
  <si>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</si>
  <si>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</si>
  <si>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</si>
  <si>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</si>
  <si>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</si>
  <si>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</si>
  <si>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</si>
  <si>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</si>
  <si>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</si>
  <si>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</si>
  <si>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</si>
  <si>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</si>
  <si>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</si>
  <si>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</si>
  <si>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</si>
  <si>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</si>
  <si>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</si>
  <si>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</si>
  <si>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</si>
  <si>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</si>
  <si>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</si>
  <si>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</si>
  <si>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</si>
  <si>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</si>
  <si>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</si>
  <si>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</si>
  <si>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</si>
  <si>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</si>
  <si>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</si>
  <si>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</si>
  <si>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</si>
  <si>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</si>
  <si>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</si>
  <si>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</si>
  <si>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</si>
  <si>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</si>
  <si>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</si>
  <si>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</si>
  <si>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</si>
  <si>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</si>
  <si>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</si>
  <si>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</si>
  <si>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</si>
  <si>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</si>
  <si>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</si>
  <si>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</si>
  <si>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</si>
  <si>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</si>
  <si>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</si>
  <si>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</si>
  <si>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</si>
  <si>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</si>
  <si>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</si>
  <si>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</si>
  <si>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</si>
  <si>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</si>
  <si>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</si>
  <si>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</si>
  <si>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</si>
  <si>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</si>
  <si>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</si>
  <si>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</si>
  <si>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</si>
  <si>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</si>
  <si>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</si>
  <si>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</si>
  <si>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</si>
  <si>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</si>
  <si>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</si>
  <si>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</si>
  <si>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</si>
  <si>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</si>
  <si>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</si>
  <si>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</si>
  <si>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</si>
  <si>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</si>
  <si>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</si>
  <si>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</si>
  <si>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</si>
  <si>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</si>
  <si>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</si>
  <si>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</si>
  <si>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</si>
  <si>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</si>
  <si>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</si>
  <si>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</si>
  <si>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</si>
  <si>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</si>
  <si>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</si>
  <si>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</si>
  <si>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</si>
  <si>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</si>
  <si>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</si>
  <si>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</si>
  <si>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</si>
  <si>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</si>
  <si>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</si>
  <si>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</si>
  <si>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</si>
  <si>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</si>
  <si>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</si>
  <si>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</si>
  <si>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</si>
  <si>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</si>
  <si>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</si>
  <si>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</si>
  <si>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</si>
  <si>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</si>
  <si>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</si>
  <si>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</si>
  <si>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</si>
  <si>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</si>
  <si>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</si>
  <si>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</si>
  <si>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</si>
  <si>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</si>
  <si>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</si>
  <si>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</si>
  <si>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</si>
  <si>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</si>
  <si>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</si>
  <si>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</si>
  <si>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</si>
  <si>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</si>
  <si>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</si>
  <si>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</si>
  <si>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</si>
  <si>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</si>
  <si>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</si>
  <si>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</si>
  <si>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</si>
  <si>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</si>
  <si>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</si>
  <si>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</si>
  <si>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</si>
  <si>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</si>
  <si>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</si>
  <si>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</si>
  <si>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</si>
  <si>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</si>
  <si>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</si>
  <si>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</si>
  <si>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</si>
  <si>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</si>
  <si>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</si>
  <si>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</si>
  <si>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</si>
  <si>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</si>
  <si>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</si>
  <si>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</si>
  <si>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</si>
  <si>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</si>
  <si>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</si>
  <si>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</si>
  <si>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</si>
  <si>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</si>
  <si>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</si>
  <si>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</si>
  <si>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</si>
  <si>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</si>
  <si>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</si>
  <si>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</si>
  <si>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</si>
  <si>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</si>
  <si>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</si>
  <si>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</si>
  <si>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</si>
  <si>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</si>
  <si>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</si>
  <si>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</si>
  <si>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</si>
  <si>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</si>
  <si>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</si>
  <si>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</si>
  <si>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</si>
  <si>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</si>
  <si>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</si>
  <si>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</si>
  <si>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</si>
  <si>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</si>
  <si>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</si>
  <si>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</si>
  <si>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</si>
  <si>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</si>
  <si>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</si>
  <si>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</si>
  <si>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</si>
  <si>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</si>
  <si>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</si>
  <si>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</si>
  <si>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</si>
  <si>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</si>
  <si>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</si>
  <si>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</si>
  <si>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</si>
  <si>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</si>
  <si>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</si>
  <si>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</si>
  <si>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</si>
  <si>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</si>
  <si>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</si>
  <si>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</si>
  <si>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</si>
  <si>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</si>
  <si>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</si>
  <si>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</si>
  <si>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</si>
  <si>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</si>
  <si>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</si>
  <si>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</si>
  <si>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</si>
  <si>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</si>
  <si>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</si>
  <si>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</si>
  <si>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</si>
  <si>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</si>
  <si>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</si>
  <si>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</si>
  <si>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</si>
  <si>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</si>
  <si>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</si>
  <si>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</si>
  <si>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</si>
  <si>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</si>
  <si>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</si>
  <si>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</si>
  <si>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</si>
  <si>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</si>
  <si>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</si>
  <si>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</si>
  <si>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</si>
  <si>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</si>
  <si>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</si>
  <si>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</si>
  <si>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</si>
  <si>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</si>
  <si>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</si>
  <si>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</si>
  <si>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</si>
  <si>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</si>
  <si>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</si>
  <si>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</si>
  <si>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</si>
  <si>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</si>
  <si>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</si>
  <si>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</si>
  <si>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</si>
  <si>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</si>
  <si>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</si>
  <si>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</si>
  <si>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</si>
  <si>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</si>
  <si>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</si>
  <si>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</si>
  <si>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</si>
  <si>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</si>
  <si>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</si>
  <si>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</si>
  <si>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</si>
  <si>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</si>
  <si>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</si>
  <si>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</si>
  <si>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</si>
  <si>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</si>
  <si>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</si>
  <si>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</si>
  <si>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</si>
  <si>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</si>
  <si>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</si>
  <si>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</si>
  <si>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</si>
  <si>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</si>
  <si>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</si>
  <si>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</si>
  <si>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</si>
  <si>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</si>
  <si>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</si>
  <si>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</si>
  <si>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</si>
  <si>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</si>
  <si>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</si>
  <si>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</si>
  <si>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</si>
  <si>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</si>
  <si>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</si>
  <si>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</si>
  <si>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</si>
  <si>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</si>
  <si>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</si>
  <si>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</si>
  <si>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</si>
  <si>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</si>
  <si>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</si>
  <si>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</si>
  <si>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</si>
  <si>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</si>
  <si>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</si>
  <si>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</si>
  <si>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</si>
  <si>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</si>
  <si>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</si>
  <si>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</si>
  <si>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</si>
  <si>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</si>
  <si>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</si>
  <si>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</si>
  <si>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</si>
  <si>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</si>
  <si>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</si>
  <si>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</si>
  <si>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</si>
  <si>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</si>
  <si>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</si>
  <si>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</si>
  <si>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</si>
  <si>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</si>
  <si>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</si>
  <si>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</si>
  <si>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</si>
  <si>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</si>
  <si>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</si>
  <si>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</si>
  <si>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</si>
  <si>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</si>
  <si>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</si>
  <si>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</si>
  <si>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</si>
  <si>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</si>
  <si>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</si>
  <si>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</si>
  <si>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</si>
  <si>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</si>
  <si>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</si>
  <si>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</si>
  <si>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</si>
  <si>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</si>
  <si>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</si>
  <si>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</si>
  <si>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</si>
  <si>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</si>
  <si>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</si>
  <si>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</si>
  <si>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</si>
  <si>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</si>
  <si>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</si>
  <si>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</si>
  <si>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</si>
  <si>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</si>
  <si>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</si>
  <si>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</si>
  <si>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</si>
  <si>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</si>
  <si>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</si>
  <si>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</si>
  <si>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</si>
  <si>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</si>
  <si>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</si>
  <si>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</si>
  <si>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</si>
  <si>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</si>
  <si>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</si>
  <si>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</si>
  <si>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</si>
  <si>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</si>
  <si>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</si>
  <si>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</si>
  <si>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</si>
  <si>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</si>
  <si>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</si>
  <si>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</si>
  <si>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</si>
  <si>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</si>
  <si>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</si>
  <si>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</si>
  <si>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</si>
  <si>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</si>
  <si>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</si>
  <si>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</si>
  <si>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</si>
  <si>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</si>
  <si>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</si>
  <si>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</si>
  <si>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</si>
  <si>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</si>
  <si>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</si>
  <si>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</si>
  <si>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</si>
  <si>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</si>
  <si>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</si>
  <si>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</si>
  <si>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</si>
  <si>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</si>
  <si>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</si>
  <si>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</si>
  <si>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</si>
  <si>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</si>
  <si>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</si>
  <si>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</si>
  <si>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</si>
  <si>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</si>
  <si>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</si>
  <si>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</si>
  <si>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</si>
  <si>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</si>
  <si>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</si>
  <si>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</si>
  <si>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</si>
  <si>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</si>
  <si>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</si>
  <si>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</si>
  <si>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</si>
  <si>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</si>
  <si>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</si>
  <si>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</si>
  <si>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</si>
  <si>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</si>
  <si>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</si>
  <si>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</si>
  <si>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</si>
  <si>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</si>
  <si>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</si>
  <si>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</si>
  <si>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</si>
  <si>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</si>
  <si>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</si>
  <si>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</si>
  <si>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</si>
  <si>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</si>
  <si>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</si>
  <si>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</si>
  <si>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</si>
  <si>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</si>
  <si>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</si>
  <si>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</si>
  <si>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</si>
  <si>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</si>
  <si>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</si>
  <si>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</si>
  <si>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</si>
  <si>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</si>
  <si>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</si>
  <si>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</si>
  <si>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</si>
  <si>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</si>
  <si>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</si>
  <si>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</si>
  <si>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</si>
  <si>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</si>
  <si>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</si>
  <si>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</si>
  <si>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</si>
  <si>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</si>
  <si>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</si>
  <si>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</si>
  <si>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</si>
  <si>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</si>
  <si>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</si>
  <si>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</si>
  <si>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</si>
  <si>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</si>
  <si>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</si>
  <si>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</si>
  <si>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</si>
  <si>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</si>
  <si>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</si>
  <si>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</si>
  <si>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</si>
  <si>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</si>
  <si>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</si>
  <si>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</si>
  <si>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</si>
  <si>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</si>
  <si>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</si>
  <si>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</si>
  <si>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</si>
  <si>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</si>
  <si>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</si>
  <si>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</si>
  <si>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</si>
  <si>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</si>
  <si>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</si>
  <si>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</si>
  <si>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</si>
  <si>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</si>
  <si>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</si>
  <si>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</si>
  <si>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</si>
  <si>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</si>
  <si>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</si>
  <si>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</si>
  <si>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</si>
  <si>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</si>
  <si>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</si>
  <si>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</si>
  <si>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</si>
  <si>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</si>
  <si>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</si>
  <si>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</si>
  <si>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</si>
  <si>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</si>
  <si>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</si>
  <si>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</si>
  <si>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</si>
  <si>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</si>
  <si>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</si>
  <si>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</si>
  <si>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</si>
  <si>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</si>
  <si>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</si>
  <si>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</si>
  <si>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</si>
  <si>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</si>
  <si>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</si>
  <si>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</si>
  <si>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</si>
  <si>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</si>
  <si>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</si>
  <si>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</si>
  <si>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</si>
  <si>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</si>
  <si>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</si>
  <si>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</si>
  <si>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</si>
  <si>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</si>
  <si>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</si>
  <si>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</si>
  <si>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</si>
  <si>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</si>
  <si>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</si>
  <si>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</si>
  <si>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</si>
  <si>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</si>
  <si>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</si>
  <si>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</si>
  <si>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</si>
  <si>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</si>
  <si>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</si>
  <si>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</si>
  <si>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</si>
  <si>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</si>
  <si>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</si>
  <si>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</si>
  <si>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</si>
  <si>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</si>
  <si>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</si>
  <si>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</si>
  <si>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</si>
  <si>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</si>
  <si>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</si>
  <si>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</si>
  <si>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</si>
  <si>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</si>
  <si>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</si>
  <si>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</si>
  <si>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</si>
  <si>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</si>
  <si>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</si>
  <si>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</si>
  <si>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</si>
  <si>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</si>
  <si>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</si>
  <si>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</si>
  <si>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</si>
  <si>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</si>
  <si>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</si>
  <si>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</si>
  <si>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</si>
  <si>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</si>
  <si>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</si>
  <si>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</si>
  <si>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</si>
  <si>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</si>
  <si>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</si>
  <si>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</si>
  <si>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</si>
  <si>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</si>
  <si>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</si>
  <si>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</si>
  <si>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</si>
  <si>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</si>
  <si>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</si>
  <si>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</si>
  <si>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</si>
  <si>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</si>
  <si>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</si>
  <si>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</si>
  <si>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</si>
  <si>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</si>
  <si>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</si>
  <si>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</si>
  <si>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</si>
  <si>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</si>
  <si>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</si>
  <si>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</si>
  <si>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</si>
  <si>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</si>
  <si>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</si>
  <si>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</si>
  <si>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</si>
  <si>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</si>
  <si>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</si>
  <si>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</si>
  <si>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</si>
  <si>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</si>
  <si>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</si>
  <si>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</si>
  <si>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</si>
  <si>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</si>
  <si>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</si>
  <si>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</si>
  <si>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</si>
  <si>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</si>
  <si>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</si>
  <si>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</si>
  <si>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</si>
  <si>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</si>
  <si>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</si>
  <si>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</si>
  <si>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</si>
  <si>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</si>
  <si>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</si>
  <si>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</si>
  <si>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</si>
  <si>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</si>
  <si>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</si>
  <si>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</si>
  <si>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</si>
  <si>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</si>
  <si>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</si>
  <si>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</si>
  <si>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</si>
  <si>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</si>
  <si>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</si>
  <si>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</si>
  <si>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</si>
  <si>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</si>
  <si>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</si>
  <si>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</si>
  <si>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</si>
  <si>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</si>
  <si>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</si>
  <si>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</si>
  <si>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</si>
  <si>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</si>
  <si>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</si>
  <si>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</si>
  <si>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</si>
  <si>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</si>
  <si>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</si>
  <si>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</si>
  <si>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</si>
  <si>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</si>
  <si>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</si>
  <si>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</si>
  <si>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</si>
  <si>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</si>
  <si>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</si>
  <si>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</si>
  <si>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</si>
  <si>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</si>
  <si>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</si>
  <si>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</si>
  <si>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</si>
  <si>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</si>
  <si>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</si>
  <si>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</si>
  <si>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</si>
  <si>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</si>
  <si>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</si>
  <si>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</si>
  <si>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</si>
  <si>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</si>
  <si>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</si>
  <si>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</si>
  <si>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</si>
  <si>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</si>
  <si>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</si>
  <si>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</si>
  <si>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</si>
  <si>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</si>
  <si>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</si>
  <si>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</si>
  <si>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</si>
  <si>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</si>
  <si>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</si>
  <si>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</si>
  <si>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</si>
  <si>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</si>
  <si>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</si>
  <si>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</si>
  <si>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</si>
  <si>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</si>
  <si>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</si>
  <si>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</si>
  <si>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</si>
  <si>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</si>
  <si>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</si>
  <si>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</si>
  <si>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</si>
  <si>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</si>
  <si>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</si>
  <si>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</si>
  <si>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</si>
  <si>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</si>
  <si>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</si>
  <si>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</si>
  <si>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</si>
  <si>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</si>
  <si>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</si>
  <si>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</si>
  <si>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</si>
  <si>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</si>
  <si>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</si>
  <si>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</si>
  <si>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</si>
  <si>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</si>
  <si>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</si>
  <si>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</si>
  <si>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</si>
  <si>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</si>
  <si>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</si>
  <si>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</si>
  <si>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</si>
  <si>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</si>
  <si>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</si>
  <si>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</si>
  <si>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</si>
  <si>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</si>
  <si>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</si>
  <si>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</si>
  <si>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</si>
  <si>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</si>
  <si>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</si>
  <si>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</si>
  <si>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</si>
  <si>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</si>
  <si>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</si>
  <si>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</si>
  <si>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</si>
  <si>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</si>
  <si>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</si>
  <si>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</si>
  <si>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</si>
  <si>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</si>
  <si>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</si>
  <si>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</si>
  <si>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</si>
  <si>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</si>
  <si>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</si>
  <si>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</si>
  <si>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</si>
  <si>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</si>
  <si>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</si>
  <si>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</si>
  <si>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</si>
  <si>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</si>
  <si>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</si>
  <si>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</si>
  <si>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</si>
  <si>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</si>
  <si>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</si>
  <si>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</si>
  <si>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</si>
  <si>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</si>
  <si>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</si>
  <si>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</si>
  <si>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</si>
  <si>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</si>
  <si>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</si>
  <si>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</si>
  <si>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</si>
  <si>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</si>
  <si>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</si>
  <si>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</si>
  <si>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</si>
  <si>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</si>
  <si>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</si>
  <si>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</si>
  <si>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</si>
  <si>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</si>
  <si>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</si>
  <si>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</si>
  <si>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</si>
  <si>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</si>
  <si>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</si>
  <si>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</si>
  <si>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</si>
  <si>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</si>
  <si>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</si>
  <si>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</si>
  <si>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</si>
  <si>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</si>
  <si>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</si>
  <si>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</si>
  <si>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</si>
  <si>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</si>
  <si>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</si>
  <si>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</si>
  <si>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</si>
  <si>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</si>
  <si>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</si>
  <si>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</si>
  <si>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</si>
  <si>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</si>
  <si>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</si>
  <si>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</si>
  <si>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</si>
  <si>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</si>
  <si>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</si>
  <si>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</si>
  <si>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</si>
  <si>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</si>
  <si>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</si>
  <si>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</si>
  <si>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</si>
  <si>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</si>
  <si>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</si>
  <si>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</si>
  <si>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</si>
  <si>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</si>
  <si>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</si>
  <si>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</si>
  <si>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</si>
  <si>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</si>
  <si>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</si>
  <si>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</si>
  <si>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</si>
  <si>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</si>
  <si>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</si>
  <si>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</si>
  <si>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</si>
  <si>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</si>
  <si>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</si>
  <si>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</si>
  <si>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</si>
  <si>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</si>
  <si>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</si>
  <si>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</si>
  <si>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</si>
  <si>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</si>
  <si>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</si>
  <si>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</si>
  <si>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</si>
  <si>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</si>
  <si>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</si>
  <si>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</si>
  <si>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</si>
  <si>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</si>
  <si>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</si>
  <si>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</si>
  <si>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</si>
  <si>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</si>
  <si>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</si>
  <si>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</si>
  <si>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</si>
  <si>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</si>
  <si>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</si>
  <si>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</si>
  <si>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</si>
  <si>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</si>
  <si>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</si>
  <si>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</si>
  <si>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</si>
  <si>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</si>
  <si>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</si>
  <si>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</si>
  <si>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</si>
  <si>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</si>
  <si>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</si>
  <si>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</si>
  <si>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</si>
  <si>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</si>
  <si>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</si>
  <si>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</si>
  <si>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</si>
  <si>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</si>
  <si>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</si>
  <si>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</si>
  <si>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</si>
  <si>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</si>
  <si>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</si>
  <si>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</si>
  <si>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</si>
  <si>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</si>
  <si>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</si>
  <si>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</si>
  <si>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</si>
  <si>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</si>
  <si>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</si>
  <si>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</si>
  <si>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</si>
  <si>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</si>
  <si>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</si>
  <si>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</si>
  <si>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</si>
  <si>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</si>
  <si>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</si>
  <si>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</si>
  <si>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</si>
  <si>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</si>
  <si>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</si>
  <si>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</si>
  <si>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</si>
  <si>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</si>
  <si>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</si>
  <si>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</si>
  <si>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</si>
  <si>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</si>
  <si>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</si>
  <si>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</si>
  <si>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</si>
  <si>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</si>
  <si>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</si>
  <si>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</si>
  <si>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</si>
  <si>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</si>
  <si>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</si>
  <si>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</si>
  <si>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</si>
  <si>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</si>
  <si>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</si>
  <si>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</si>
  <si>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</si>
  <si>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</si>
  <si>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</si>
  <si>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</si>
  <si>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</si>
  <si>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</si>
  <si>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</si>
  <si>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</si>
  <si>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</si>
  <si>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</si>
  <si>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</si>
  <si>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</si>
  <si>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</si>
  <si>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</si>
  <si>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</si>
  <si>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</si>
  <si>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</si>
  <si>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</si>
  <si>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</si>
  <si>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</si>
  <si>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</si>
  <si>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</si>
  <si>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</si>
  <si>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</si>
  <si>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</si>
  <si>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</si>
  <si>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</si>
  <si>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</si>
  <si>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</si>
  <si>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</si>
  <si>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</si>
  <si>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</si>
  <si>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</si>
  <si>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</si>
  <si>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</si>
  <si>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</si>
  <si>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</si>
  <si>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</si>
  <si>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</si>
  <si>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</si>
  <si>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</si>
  <si>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</si>
  <si>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</si>
  <si>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</si>
  <si>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</si>
  <si>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</si>
  <si>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</si>
  <si>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</si>
  <si>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</si>
  <si>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</si>
  <si>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</si>
  <si>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</si>
  <si>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</si>
  <si>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</si>
  <si>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</si>
  <si>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</si>
  <si>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</si>
  <si>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</si>
  <si>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</si>
  <si>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</si>
  <si>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</si>
  <si>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</si>
  <si>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</si>
  <si>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</si>
  <si>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</si>
  <si>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</si>
  <si>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</si>
  <si>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</si>
  <si>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</si>
  <si>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</si>
  <si>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</si>
  <si>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</si>
  <si>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</si>
  <si>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</si>
  <si>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</si>
  <si>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</si>
  <si>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</si>
  <si>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</si>
  <si>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</si>
  <si>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</si>
  <si>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</si>
  <si>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</si>
  <si>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</si>
  <si>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</si>
  <si>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</si>
  <si>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</si>
  <si>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</si>
  <si>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</si>
  <si>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</si>
  <si>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</si>
  <si>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</si>
  <si>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</si>
  <si>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</si>
  <si>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</si>
  <si>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</si>
  <si>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</si>
  <si>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</si>
  <si>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</si>
  <si>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</si>
  <si>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</si>
  <si>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</si>
  <si>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</si>
  <si>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</si>
  <si>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</si>
  <si>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</si>
  <si>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</si>
  <si>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</si>
  <si>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</si>
  <si>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</si>
  <si>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</si>
  <si>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</si>
  <si>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</si>
  <si>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</si>
  <si>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</si>
  <si>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</si>
  <si>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</si>
  <si>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</si>
  <si>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</si>
  <si>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</si>
  <si>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</si>
  <si>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</si>
  <si>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</si>
  <si>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</si>
  <si>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</si>
  <si>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</si>
  <si>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</si>
  <si>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</si>
  <si>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</si>
  <si>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</si>
  <si>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</si>
  <si>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</si>
  <si>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</si>
  <si>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</si>
  <si>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</si>
  <si>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</si>
  <si>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</si>
  <si>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</si>
  <si>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</si>
  <si>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</si>
  <si>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</si>
  <si>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</si>
  <si>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</si>
  <si>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</si>
  <si>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</si>
  <si>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</si>
  <si>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</si>
  <si>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</si>
  <si>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</si>
  <si>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</si>
  <si>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</si>
  <si>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</si>
  <si>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</si>
  <si>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</si>
  <si>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</si>
  <si>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</si>
  <si>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</si>
  <si>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</si>
  <si>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</si>
  <si>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</si>
  <si>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</si>
  <si>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</si>
  <si>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</si>
  <si>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</si>
  <si>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</si>
  <si>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</si>
  <si>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</si>
  <si>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</si>
  <si>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</si>
  <si>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</si>
  <si>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</si>
  <si>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</si>
  <si>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</si>
  <si>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</si>
  <si>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</si>
  <si>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</si>
  <si>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</si>
  <si>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</si>
  <si>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</si>
  <si>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</si>
  <si>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</si>
  <si>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</si>
  <si>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</si>
  <si>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</si>
  <si>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</si>
  <si>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</si>
  <si>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</si>
  <si>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</si>
  <si>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</si>
  <si>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</si>
  <si>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</si>
  <si>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</si>
  <si>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</si>
  <si>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</si>
  <si>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</si>
  <si>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</si>
  <si>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</si>
  <si>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</si>
  <si>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</si>
  <si>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</si>
  <si>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</si>
  <si>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</si>
  <si>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</si>
  <si>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</si>
  <si>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</si>
  <si>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</si>
  <si>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</si>
  <si>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</si>
  <si>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</si>
  <si>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</si>
  <si>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</si>
  <si>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</si>
  <si>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</si>
  <si>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</si>
  <si>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</si>
  <si>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</si>
  <si>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</si>
  <si>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</si>
  <si>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</si>
  <si>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</si>
  <si>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</si>
  <si>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</si>
  <si>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</si>
  <si>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</si>
  <si>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</si>
  <si>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</si>
  <si>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</si>
  <si>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</si>
  <si>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</si>
  <si>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</si>
  <si>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</si>
  <si>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</si>
  <si>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</si>
  <si>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</si>
  <si>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</si>
  <si>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</si>
  <si>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</si>
  <si>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</si>
  <si>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</si>
  <si>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</si>
  <si>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</si>
  <si>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</si>
  <si>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</si>
  <si>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</si>
  <si>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</si>
  <si>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</si>
  <si>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</si>
  <si>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</si>
  <si>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</si>
  <si>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</si>
  <si>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</si>
  <si>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</si>
  <si>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</si>
  <si>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</si>
  <si>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</si>
  <si>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</si>
  <si>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</si>
  <si>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</si>
  <si>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</si>
  <si>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</si>
  <si>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</si>
  <si>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</si>
  <si>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</si>
  <si>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</si>
  <si>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</si>
  <si>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</si>
  <si>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</si>
  <si>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</si>
  <si>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</si>
  <si>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</si>
  <si>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</si>
  <si>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</si>
  <si>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</si>
  <si>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</si>
  <si>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</si>
  <si>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</si>
  <si>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</si>
  <si>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</si>
  <si>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</si>
  <si>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</si>
  <si>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</si>
  <si>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</si>
  <si>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</si>
  <si>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</si>
  <si>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</si>
  <si>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</si>
  <si>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</si>
  <si>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</si>
  <si>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</si>
  <si>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</si>
  <si>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</si>
  <si>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</si>
  <si>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</si>
  <si>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</si>
  <si>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</si>
  <si>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</si>
  <si>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</si>
  <si>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</si>
  <si>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</si>
  <si>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</si>
  <si>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</si>
  <si>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</si>
  <si>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</si>
  <si>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</si>
  <si>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</si>
  <si>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</si>
  <si>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</si>
  <si>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</si>
  <si>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</si>
  <si>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</si>
  <si>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</si>
  <si>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</si>
  <si>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</si>
  <si>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</si>
  <si>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</si>
  <si>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</si>
  <si>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</si>
  <si>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</si>
  <si>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</si>
  <si>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</si>
  <si>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</si>
  <si>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</si>
  <si>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</si>
  <si>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</si>
  <si>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</si>
  <si>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</si>
  <si>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</si>
  <si>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</si>
  <si>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</si>
  <si>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</si>
  <si>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</si>
  <si>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</si>
  <si>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</si>
  <si>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</si>
  <si>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</si>
  <si>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</si>
  <si>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</si>
  <si>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</si>
  <si>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</si>
  <si>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</si>
  <si>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</si>
  <si>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</si>
  <si>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</si>
  <si>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</si>
  <si>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</si>
  <si>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</si>
  <si>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</si>
  <si>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</si>
  <si>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</si>
  <si>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</si>
  <si>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</si>
  <si>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</si>
  <si>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</si>
  <si>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</si>
  <si>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</si>
  <si>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</si>
  <si>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</si>
  <si>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</si>
  <si>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</si>
  <si>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</si>
  <si>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</si>
  <si>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</si>
  <si>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</si>
  <si>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</si>
  <si>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</si>
  <si>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</si>
  <si>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</si>
  <si>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</si>
  <si>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</si>
  <si>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</si>
  <si>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</si>
  <si>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</si>
  <si>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</si>
  <si>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</si>
  <si>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</si>
  <si>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</si>
  <si>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</si>
  <si>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</si>
  <si>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</si>
  <si>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</si>
  <si>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</si>
  <si>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</si>
  <si>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</si>
  <si>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</si>
  <si>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</si>
  <si>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</si>
  <si>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</si>
  <si>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</si>
  <si>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</si>
  <si>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</si>
  <si>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</si>
  <si>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</si>
  <si>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</si>
  <si>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</si>
  <si>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</si>
  <si>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</si>
  <si>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</si>
  <si>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</si>
  <si>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</si>
  <si>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</si>
  <si>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</si>
  <si>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</si>
  <si>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</si>
  <si>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</si>
  <si>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</si>
  <si>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</si>
  <si>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</si>
  <si>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</si>
  <si>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</si>
  <si>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</si>
  <si>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</si>
  <si>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</si>
  <si>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</si>
  <si>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</si>
  <si>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</si>
  <si>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</si>
  <si>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</si>
  <si>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</si>
  <si>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</si>
  <si>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</si>
  <si>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</si>
  <si>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</si>
  <si>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</si>
  <si>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</si>
  <si>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</si>
  <si>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</si>
  <si>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</si>
  <si>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</si>
  <si>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</si>
  <si>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</si>
  <si>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</si>
  <si>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</si>
  <si>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</si>
  <si>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</si>
  <si>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</si>
  <si>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</si>
  <si>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</si>
  <si>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</si>
  <si>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</si>
  <si>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</si>
  <si>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</si>
  <si>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</si>
  <si>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</si>
  <si>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</si>
  <si>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</si>
  <si>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</si>
  <si>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</si>
  <si>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</si>
  <si>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</si>
  <si>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</si>
  <si>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</si>
  <si>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</si>
  <si>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</si>
  <si>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</si>
  <si>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</si>
  <si>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</si>
  <si>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</si>
  <si>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</si>
  <si>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</si>
  <si>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</si>
  <si>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</si>
  <si>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</si>
  <si>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</si>
  <si>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</si>
  <si>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</si>
  <si>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</si>
  <si>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</si>
  <si>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</si>
  <si>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</si>
  <si>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</si>
  <si>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</si>
  <si>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</si>
  <si>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</si>
  <si>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</si>
  <si>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</si>
  <si>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</si>
  <si>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</si>
  <si>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</si>
  <si>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</si>
  <si>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</si>
  <si>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</si>
  <si>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</si>
  <si>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</si>
  <si>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</si>
  <si>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</si>
  <si>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</si>
  <si>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</si>
  <si>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</si>
  <si>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</si>
  <si>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</si>
  <si>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</si>
  <si>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</si>
  <si>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</si>
  <si>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</si>
  <si>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</si>
  <si>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</si>
  <si>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</si>
  <si>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</si>
  <si>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</si>
  <si>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</si>
  <si>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</si>
  <si>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</si>
  <si>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</si>
  <si>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</si>
  <si>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</si>
  <si>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</si>
  <si>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</si>
  <si>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</si>
  <si>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</si>
  <si>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</si>
  <si>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</si>
  <si>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</si>
  <si>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</si>
  <si>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</si>
  <si>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</si>
  <si>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</si>
  <si>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</si>
  <si>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</si>
  <si>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</si>
  <si>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</si>
  <si>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</si>
  <si>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</si>
  <si>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</si>
  <si>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</si>
  <si>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</si>
  <si>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</si>
  <si>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</si>
  <si>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</si>
  <si>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</si>
  <si>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</si>
  <si>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</si>
  <si>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</si>
  <si>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</si>
  <si>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</si>
  <si>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</si>
  <si>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</si>
  <si>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</si>
  <si>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</si>
  <si>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</si>
  <si>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</si>
  <si>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</si>
  <si>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</si>
  <si>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</si>
  <si>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</si>
  <si>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</si>
  <si>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</si>
  <si>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</si>
  <si>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</si>
  <si>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</si>
  <si>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</si>
  <si>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</si>
  <si>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</si>
  <si>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</si>
  <si>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</si>
  <si>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</si>
  <si>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</si>
  <si>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</si>
  <si>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</si>
  <si>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</si>
  <si>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</si>
  <si>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</si>
  <si>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</si>
  <si>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</si>
  <si>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</si>
  <si>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</si>
  <si>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</si>
  <si>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</si>
  <si>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</si>
  <si>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</si>
  <si>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</si>
  <si>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</si>
  <si>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</si>
  <si>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</si>
  <si>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</si>
  <si>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</si>
  <si>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</si>
  <si>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</si>
  <si>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</si>
  <si>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</si>
  <si>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</si>
  <si>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</si>
  <si>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</si>
  <si>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</si>
  <si>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</si>
  <si>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</si>
  <si>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</si>
  <si>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</si>
  <si>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</si>
  <si>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</si>
  <si>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</si>
  <si>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</si>
  <si>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</si>
  <si>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</si>
  <si>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</si>
  <si>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</si>
  <si>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</si>
  <si>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</si>
  <si>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</si>
  <si>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</si>
  <si>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</si>
  <si>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</si>
  <si>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</si>
  <si>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</si>
  <si>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</si>
  <si>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</si>
  <si>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</si>
  <si>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</si>
  <si>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</si>
  <si>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</si>
  <si>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</si>
  <si>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</si>
  <si>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</si>
  <si>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</si>
  <si>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</si>
  <si>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</si>
  <si>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</si>
  <si>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</si>
  <si>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</si>
  <si>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</si>
  <si>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</si>
  <si>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</si>
  <si>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</si>
  <si>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</si>
  <si>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</si>
  <si>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</si>
  <si>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</si>
  <si>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</si>
  <si>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</si>
  <si>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</si>
  <si>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</si>
  <si>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</si>
  <si>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</si>
  <si>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</si>
  <si>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</si>
  <si>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</si>
  <si>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</si>
  <si>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</si>
  <si>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</si>
  <si>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</si>
  <si>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</si>
  <si>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</si>
  <si>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</si>
  <si>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</si>
  <si>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</si>
  <si>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</si>
  <si>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</si>
  <si>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</si>
  <si>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</si>
  <si>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</si>
  <si>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</si>
  <si>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</si>
  <si>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</si>
  <si>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</si>
  <si>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</si>
  <si>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</si>
  <si>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</si>
  <si>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</si>
  <si>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</si>
  <si>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</si>
  <si>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</si>
  <si>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</si>
  <si>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</si>
  <si>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</si>
  <si>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</si>
  <si>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</si>
  <si>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</si>
  <si>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</si>
  <si>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</si>
  <si>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</si>
  <si>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</si>
  <si>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</si>
  <si>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</si>
  <si>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</si>
  <si>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</si>
  <si>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</si>
  <si>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</si>
  <si>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</si>
  <si>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</si>
  <si>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</si>
  <si>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</si>
  <si>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</si>
  <si>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</si>
  <si>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</si>
  <si>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</si>
  <si>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</si>
  <si>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</si>
  <si>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</si>
  <si>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</si>
  <si>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</si>
  <si>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</si>
  <si>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</si>
  <si>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</si>
  <si>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</si>
  <si>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</si>
  <si>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</si>
  <si>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</si>
  <si>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</si>
  <si>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</si>
  <si>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</si>
  <si>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</si>
  <si>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</si>
  <si>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</si>
  <si>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</si>
  <si>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</si>
  <si>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</si>
  <si>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</si>
  <si>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</si>
  <si>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</si>
  <si>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</si>
  <si>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</si>
  <si>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</si>
  <si>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</si>
  <si>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</si>
  <si>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</si>
  <si>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</si>
  <si>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</si>
  <si>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</si>
  <si>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</si>
  <si>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</si>
  <si>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</si>
  <si>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</si>
  <si>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</si>
  <si>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</si>
  <si>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</si>
  <si>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</si>
  <si>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</si>
  <si>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</si>
  <si>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</si>
  <si>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</si>
  <si>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</si>
  <si>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</si>
  <si>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</si>
  <si>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</si>
  <si>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</si>
  <si>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</si>
  <si>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</si>
  <si>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</si>
  <si>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</si>
  <si>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</si>
  <si>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</si>
  <si>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</si>
  <si>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</si>
  <si>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</si>
  <si>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</si>
  <si>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</si>
  <si>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</si>
  <si>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</si>
  <si>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</si>
  <si>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</si>
  <si>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</si>
  <si>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</si>
  <si>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</si>
  <si>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</si>
  <si>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</si>
  <si>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</si>
  <si>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</si>
  <si>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</si>
  <si>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</si>
  <si>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</si>
  <si>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</si>
  <si>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</si>
  <si>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</si>
  <si>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</si>
  <si>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</si>
  <si>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</si>
  <si>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</si>
  <si>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</si>
  <si>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</si>
  <si>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</si>
  <si>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</si>
  <si>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</si>
  <si>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</si>
  <si>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</si>
  <si>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</si>
  <si>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</si>
  <si>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</si>
  <si>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</si>
  <si>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</si>
  <si>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</si>
  <si>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</si>
  <si>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</si>
  <si>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</si>
  <si>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</si>
  <si>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</si>
  <si>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</si>
  <si>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</si>
  <si>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</si>
  <si>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</si>
  <si>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</si>
  <si>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</si>
  <si>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</si>
  <si>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</si>
  <si>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</si>
  <si>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</si>
  <si>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</si>
  <si>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</si>
  <si>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</si>
  <si>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</si>
  <si>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</si>
  <si>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</si>
  <si>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</si>
  <si>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</si>
  <si>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</si>
  <si>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</si>
  <si>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</si>
  <si>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</si>
  <si>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</si>
  <si>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</si>
  <si>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</si>
  <si>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</si>
  <si>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</si>
  <si>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</si>
  <si>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</si>
  <si>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</si>
  <si>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</si>
  <si>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</si>
  <si>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</si>
  <si>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</si>
  <si>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</si>
  <si>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</si>
  <si>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</si>
  <si>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</si>
  <si>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</si>
  <si>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</si>
  <si>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</si>
  <si>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</si>
  <si>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</si>
  <si>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</si>
  <si>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</si>
  <si>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</si>
  <si>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</si>
  <si>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</si>
  <si>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</si>
  <si>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</si>
  <si>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</si>
  <si>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</si>
  <si>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</si>
  <si>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</si>
  <si>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</si>
  <si>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</si>
  <si>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</si>
  <si>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</si>
  <si>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</si>
  <si>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</si>
  <si>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</si>
  <si>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</si>
  <si>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</si>
  <si>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</si>
  <si>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</si>
  <si>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</si>
  <si>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</si>
  <si>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</si>
  <si>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</si>
  <si>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</si>
  <si>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</si>
  <si>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</si>
  <si>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</si>
  <si>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</si>
  <si>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</si>
  <si>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</si>
  <si>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</si>
  <si>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</si>
  <si>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</si>
  <si>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</si>
  <si>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</si>
  <si>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</si>
  <si>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</si>
  <si>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</si>
  <si>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</si>
  <si>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</si>
  <si>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</si>
  <si>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</si>
  <si>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</si>
  <si>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</si>
  <si>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</si>
  <si>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</si>
  <si>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</si>
  <si>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</si>
  <si>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</si>
  <si>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</si>
  <si>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</si>
  <si>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</si>
  <si>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</si>
  <si>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</si>
  <si>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</si>
  <si>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</si>
  <si>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</si>
  <si>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</si>
  <si>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</si>
  <si>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</si>
  <si>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</si>
  <si>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</si>
  <si>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</si>
  <si>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</si>
  <si>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</si>
  <si>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</si>
  <si>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</si>
  <si>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</si>
  <si>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</si>
  <si>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</si>
  <si>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</si>
  <si>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</si>
  <si>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</si>
  <si>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</si>
  <si>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</si>
  <si>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</si>
  <si>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</si>
  <si>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</si>
  <si>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</si>
  <si>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</si>
  <si>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</si>
  <si>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</si>
  <si>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</si>
  <si>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</si>
  <si>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</si>
  <si>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</si>
  <si>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</si>
  <si>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</si>
  <si>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</si>
  <si>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</si>
  <si>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</si>
  <si>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</si>
  <si>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</si>
  <si>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</si>
  <si>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</si>
  <si>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</si>
  <si>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</si>
  <si>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</si>
  <si>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</si>
  <si>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</si>
  <si>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</si>
  <si>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</si>
  <si>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</si>
  <si>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</si>
  <si>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</si>
  <si>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</si>
  <si>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</si>
  <si>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</si>
  <si>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</si>
  <si>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</si>
  <si>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</si>
  <si>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</si>
  <si>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</si>
  <si>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</si>
  <si>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</si>
  <si>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</si>
  <si>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</si>
  <si>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</si>
  <si>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</si>
  <si>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</si>
  <si>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</si>
  <si>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</si>
  <si>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</si>
  <si>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</si>
  <si>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</si>
  <si>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</si>
  <si>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</si>
  <si>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</si>
  <si>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</si>
  <si>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</si>
  <si>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</si>
  <si>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</si>
  <si>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</si>
  <si>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</si>
  <si>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</si>
  <si>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</si>
  <si>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</si>
  <si>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</si>
  <si>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</si>
  <si>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</si>
  <si>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</si>
  <si>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</si>
  <si>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</si>
  <si>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</si>
  <si>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</si>
  <si>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</si>
  <si>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</si>
  <si>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</si>
  <si>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</si>
  <si>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</si>
  <si>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</si>
  <si>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</si>
  <si>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</si>
  <si>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</si>
  <si>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</si>
  <si>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</si>
  <si>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</si>
  <si>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</si>
  <si>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</si>
  <si>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</si>
  <si>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</si>
  <si>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</si>
  <si>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</si>
  <si>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</si>
  <si>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</si>
  <si>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</si>
  <si>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</si>
  <si>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</si>
  <si>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</si>
  <si>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</si>
  <si>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</si>
  <si>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</si>
  <si>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</si>
  <si>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</si>
  <si>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</si>
  <si>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</si>
  <si>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</si>
  <si>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</si>
  <si>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</si>
  <si>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</si>
  <si>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</si>
  <si>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</si>
  <si>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</si>
  <si>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</si>
  <si>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</si>
  <si>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</si>
  <si>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</si>
  <si>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</si>
  <si>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</si>
  <si>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</si>
  <si>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</si>
  <si>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</si>
  <si>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</si>
  <si>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</si>
  <si>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</si>
  <si>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</si>
  <si>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</si>
  <si>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</si>
  <si>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</si>
  <si>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</si>
  <si>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</si>
  <si>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</si>
  <si>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</si>
  <si>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</si>
  <si>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</si>
  <si>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</si>
  <si>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</si>
  <si>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</si>
  <si>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</si>
  <si>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</si>
  <si>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</si>
  <si>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</si>
  <si>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</si>
  <si>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</si>
  <si>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</si>
  <si>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</si>
  <si>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</si>
  <si>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</si>
  <si>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</si>
  <si>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</si>
  <si>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</si>
  <si>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</si>
  <si>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</si>
  <si>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</si>
  <si>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</si>
  <si>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</si>
  <si>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</si>
  <si>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</si>
  <si>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</si>
  <si>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</si>
  <si>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</si>
  <si>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</si>
  <si>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</si>
  <si>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</si>
  <si>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</si>
  <si>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</si>
  <si>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</si>
  <si>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</si>
  <si>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</si>
  <si>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</si>
  <si>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</si>
  <si>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</si>
  <si>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</si>
  <si>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</si>
  <si>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</si>
  <si>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</si>
  <si>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</si>
  <si>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</si>
  <si>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</si>
  <si>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</si>
  <si>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</si>
  <si>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</si>
  <si>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</si>
  <si>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</si>
  <si>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</si>
  <si>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</si>
  <si>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</si>
  <si>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</si>
  <si>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</si>
  <si>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</si>
  <si>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</si>
  <si>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</si>
  <si>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</si>
  <si>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</si>
  <si>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</si>
  <si>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</si>
  <si>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</si>
  <si>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</si>
  <si>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</si>
  <si>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</si>
  <si>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</si>
  <si>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</si>
  <si>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</si>
  <si>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</si>
  <si>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</si>
  <si>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</si>
  <si>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</si>
  <si>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</si>
  <si>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</si>
  <si>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</si>
  <si>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</si>
  <si>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</si>
  <si>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</si>
  <si>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</si>
  <si>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</si>
  <si>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</si>
  <si>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</si>
  <si>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</si>
  <si>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</si>
  <si>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</si>
  <si>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</si>
  <si>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</si>
  <si>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</si>
  <si>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</si>
  <si>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</si>
  <si>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</si>
  <si>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</si>
  <si>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</si>
  <si>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</si>
  <si>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</si>
  <si>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</si>
  <si>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</si>
  <si>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</si>
  <si>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</si>
  <si>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</si>
  <si>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</si>
  <si>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</si>
  <si>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</si>
  <si>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</si>
  <si>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</si>
  <si>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</si>
  <si>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</si>
  <si>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</si>
  <si>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</si>
  <si>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</si>
  <si>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</si>
  <si>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</si>
  <si>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</si>
  <si>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</si>
  <si>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</si>
  <si>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</si>
  <si>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</si>
  <si>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</si>
  <si>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</si>
  <si>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</si>
  <si>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</si>
  <si>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</si>
  <si>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</si>
  <si>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</si>
  <si>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</si>
  <si>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</si>
  <si>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</si>
  <si>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</si>
  <si>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</si>
  <si>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</si>
  <si>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</si>
  <si>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</si>
  <si>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</si>
  <si>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</si>
  <si>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</si>
  <si>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</si>
  <si>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</si>
  <si>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</si>
  <si>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</si>
  <si>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</si>
  <si>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</si>
  <si>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</si>
  <si>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</si>
  <si>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</si>
  <si>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</si>
  <si>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</si>
  <si>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</si>
  <si>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</si>
  <si>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</si>
  <si>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</si>
  <si>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</si>
  <si>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</si>
  <si>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</si>
  <si>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</si>
  <si>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</si>
  <si>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</si>
  <si>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</si>
  <si>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</si>
  <si>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</si>
  <si>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</si>
  <si>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</si>
  <si>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</si>
  <si>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</si>
  <si>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</si>
  <si>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</si>
  <si>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</si>
  <si>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</si>
  <si>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</si>
  <si>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</si>
  <si>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</si>
  <si>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</si>
  <si>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</si>
  <si>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</si>
  <si>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</si>
  <si>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</si>
  <si>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</si>
  <si>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</si>
  <si>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</si>
  <si>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</si>
  <si>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</si>
  <si>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</si>
  <si>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</si>
  <si>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</si>
  <si>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</si>
  <si>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</si>
  <si>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</si>
  <si>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</si>
  <si>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</si>
  <si>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</si>
  <si>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</si>
  <si>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</si>
  <si>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</si>
  <si>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</si>
  <si>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</si>
  <si>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</si>
  <si>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</si>
  <si>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</si>
  <si>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</si>
  <si>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</si>
  <si>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</si>
  <si>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</si>
  <si>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</si>
  <si>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</si>
  <si>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</si>
  <si>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</si>
  <si>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</si>
  <si>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</si>
  <si>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</si>
  <si>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</si>
  <si>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</si>
  <si>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</si>
  <si>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</si>
  <si>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</si>
  <si>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</si>
  <si>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</si>
  <si>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</si>
  <si>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</si>
  <si>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</si>
  <si>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</si>
  <si>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</si>
  <si>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</si>
  <si>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</si>
  <si>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</si>
  <si>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</si>
  <si>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</si>
  <si>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</si>
  <si>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</si>
  <si>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</si>
  <si>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</si>
  <si>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</si>
  <si>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</si>
  <si>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</si>
  <si>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</si>
  <si>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</si>
  <si>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</si>
  <si>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</si>
  <si>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</si>
  <si>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</si>
  <si>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</si>
  <si>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</si>
  <si>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</si>
  <si>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</si>
  <si>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</si>
  <si>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</si>
  <si>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</si>
  <si>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</si>
  <si>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</si>
  <si>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</si>
  <si>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</si>
  <si>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</si>
  <si>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</si>
  <si>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</si>
  <si>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</si>
  <si>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</si>
  <si>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</si>
  <si>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</si>
  <si>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</si>
  <si>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</si>
  <si>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</si>
  <si>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</si>
  <si>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</si>
  <si>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</si>
  <si>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</si>
  <si>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</si>
  <si>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</si>
  <si>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</si>
  <si>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</si>
  <si>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</si>
  <si>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</si>
  <si>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</si>
  <si>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</si>
  <si>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</si>
  <si>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</si>
  <si>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</si>
  <si>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</si>
  <si>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</si>
  <si>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</si>
  <si>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</si>
  <si>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</si>
  <si>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</si>
  <si>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</si>
  <si>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</si>
  <si>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</si>
  <si>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</si>
  <si>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</si>
  <si>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</si>
  <si>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</si>
  <si>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</si>
  <si>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</si>
  <si>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</si>
  <si>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</si>
  <si>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</si>
  <si>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</si>
  <si>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</si>
  <si>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</si>
  <si>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</si>
  <si>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</si>
  <si>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</si>
  <si>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</si>
  <si>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</si>
  <si>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</si>
  <si>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</si>
  <si>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</si>
  <si>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</si>
  <si>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</si>
  <si>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</si>
  <si>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</si>
  <si>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</si>
  <si>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</si>
  <si>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</si>
  <si>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</si>
  <si>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</si>
  <si>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</si>
  <si>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</si>
  <si>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</si>
  <si>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</si>
  <si>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</si>
  <si>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</si>
  <si>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</si>
  <si>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</si>
  <si>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</si>
  <si>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</si>
  <si>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</si>
  <si>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</si>
  <si>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</si>
  <si>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</si>
  <si>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</si>
  <si>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</si>
  <si>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</si>
  <si>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</si>
  <si>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</si>
  <si>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</si>
  <si>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</si>
  <si>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</si>
  <si>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</si>
  <si>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</si>
  <si>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</si>
  <si>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</si>
  <si>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</si>
  <si>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</si>
  <si>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</si>
  <si>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</si>
  <si>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</si>
  <si>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</si>
  <si>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</si>
  <si>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</si>
  <si>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</si>
  <si>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</si>
  <si>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</si>
  <si>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</si>
  <si>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</si>
  <si>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</si>
  <si>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</si>
  <si>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</si>
  <si>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</si>
  <si>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</si>
  <si>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</si>
  <si>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</si>
  <si>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</si>
  <si>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</si>
  <si>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</si>
  <si>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</si>
  <si>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</si>
  <si>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</si>
  <si>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</si>
  <si>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</si>
  <si>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</si>
  <si>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</si>
  <si>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</si>
  <si>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</si>
  <si>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</si>
  <si>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</si>
  <si>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</si>
  <si>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</si>
  <si>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</si>
  <si>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</si>
  <si>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</si>
  <si>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</si>
  <si>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</si>
  <si>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</si>
  <si>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</si>
  <si>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</si>
  <si>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</si>
  <si>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</si>
  <si>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</si>
  <si>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</si>
  <si>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</si>
  <si>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</si>
  <si>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</si>
  <si>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</si>
  <si>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</si>
  <si>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</si>
  <si>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</si>
  <si>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</si>
  <si>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</si>
  <si>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</si>
  <si>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</si>
  <si>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</si>
  <si>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</si>
  <si>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</si>
  <si>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</si>
  <si>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</si>
  <si>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</si>
  <si>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</si>
  <si>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</si>
  <si>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</si>
  <si>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</si>
  <si>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</si>
  <si>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</si>
  <si>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</si>
  <si>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</si>
  <si>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</si>
  <si>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</si>
  <si>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</si>
  <si>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</si>
  <si>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</si>
  <si>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</si>
  <si>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</si>
  <si>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</si>
  <si>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</si>
  <si>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</si>
  <si>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</si>
  <si>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</si>
  <si>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</si>
  <si>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</si>
  <si>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</si>
  <si>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</si>
  <si>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</si>
  <si>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</si>
  <si>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</si>
  <si>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</si>
  <si>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</si>
  <si>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</si>
  <si>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</si>
  <si>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</si>
  <si>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</si>
  <si>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</si>
  <si>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</si>
  <si>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</si>
  <si>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</si>
  <si>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</si>
  <si>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</si>
  <si>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</si>
  <si>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</si>
  <si>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</si>
  <si>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</si>
  <si>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</si>
  <si>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</si>
  <si>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</si>
  <si>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</si>
  <si>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</si>
  <si>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</si>
  <si>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</si>
  <si>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</si>
  <si>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</si>
  <si>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</si>
  <si>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</si>
  <si>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</si>
  <si>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</si>
  <si>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</si>
  <si>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</si>
  <si>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</si>
  <si>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</si>
  <si>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</si>
  <si>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</si>
  <si>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</si>
  <si>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</si>
  <si>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</si>
  <si>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</si>
  <si>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</si>
  <si>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</si>
  <si>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</si>
  <si>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</si>
  <si>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</si>
  <si>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</si>
  <si>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</si>
  <si>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</si>
  <si>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</si>
  <si>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</si>
  <si>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</si>
  <si>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</si>
  <si>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</si>
  <si>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</si>
  <si>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</si>
  <si>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</si>
  <si>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</si>
  <si>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</si>
  <si>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</si>
  <si>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</si>
  <si>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</si>
  <si>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</si>
  <si>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</si>
  <si>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</si>
  <si>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</si>
  <si>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</si>
  <si>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</si>
  <si>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</si>
  <si>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</si>
  <si>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</si>
  <si>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</si>
  <si>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</si>
  <si>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</si>
  <si>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</si>
  <si>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</si>
  <si>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</si>
  <si>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</si>
  <si>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</si>
  <si>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</si>
  <si>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</si>
  <si>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</si>
  <si>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</si>
  <si>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</si>
  <si>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</si>
  <si>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</si>
  <si>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</si>
  <si>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</si>
  <si>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</si>
  <si>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</si>
  <si>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</si>
  <si>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</si>
  <si>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</si>
  <si>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</si>
  <si>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</si>
  <si>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</si>
  <si>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</si>
  <si>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</si>
  <si>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</si>
  <si>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</si>
  <si>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</si>
  <si>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</si>
  <si>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</si>
  <si>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</si>
  <si>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</si>
  <si>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</si>
  <si>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</si>
  <si>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</si>
  <si>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</si>
  <si>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</si>
  <si>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</si>
  <si>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</si>
  <si>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</si>
  <si>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</si>
  <si>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</si>
  <si>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</si>
  <si>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</si>
  <si>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</si>
  <si>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</si>
  <si>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</si>
  <si>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</si>
  <si>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</si>
  <si>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</si>
  <si>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</si>
  <si>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</si>
  <si>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</si>
  <si>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</si>
  <si>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</si>
  <si>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</si>
  <si>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</si>
  <si>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</si>
  <si>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</si>
  <si>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</si>
  <si>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</si>
  <si>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</si>
  <si>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</si>
  <si>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</si>
  <si>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</si>
  <si>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</si>
  <si>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</si>
  <si>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</si>
  <si>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</si>
  <si>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</si>
  <si>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</si>
  <si>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</si>
  <si>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</si>
  <si>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</si>
  <si>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</si>
  <si>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</si>
  <si>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</si>
  <si>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</si>
  <si>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</si>
  <si>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</si>
  <si>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</si>
  <si>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</si>
  <si>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</si>
  <si>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</si>
  <si>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</si>
  <si>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</si>
  <si>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</si>
  <si>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</si>
  <si>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</si>
  <si>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</si>
  <si>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</si>
  <si>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</si>
  <si>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</si>
  <si>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</si>
  <si>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</si>
  <si>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</si>
  <si>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</si>
  <si>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</si>
  <si>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</si>
  <si>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</si>
  <si>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</si>
  <si>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</si>
  <si>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</si>
  <si>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</si>
  <si>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</si>
  <si>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</si>
  <si>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</si>
  <si>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</si>
  <si>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</si>
  <si>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</si>
  <si>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</si>
  <si>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</si>
  <si>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</si>
  <si>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</si>
  <si>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</si>
  <si>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</si>
  <si>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</si>
  <si>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</si>
  <si>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</si>
  <si>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</si>
  <si>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</si>
  <si>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</si>
  <si>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</si>
  <si>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</si>
  <si>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</si>
  <si>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</si>
  <si>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</si>
  <si>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</si>
  <si>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</si>
  <si>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</si>
  <si>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</si>
  <si>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</si>
  <si>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</si>
  <si>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</si>
  <si>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</si>
  <si>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</si>
  <si>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</si>
  <si>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</si>
  <si>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</si>
  <si>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</si>
  <si>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</si>
  <si>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</si>
  <si>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</si>
  <si>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</si>
  <si>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</si>
  <si>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</si>
  <si>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</si>
  <si>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</si>
  <si>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</si>
  <si>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</si>
  <si>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</si>
  <si>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</si>
  <si>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</si>
  <si>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</si>
  <si>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</si>
  <si>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</si>
  <si>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</si>
  <si>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</si>
  <si>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</si>
  <si>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</si>
  <si>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</si>
  <si>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</si>
  <si>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</si>
  <si>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</si>
  <si>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</si>
  <si>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</si>
  <si>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</si>
  <si>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</si>
  <si>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</si>
  <si>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</si>
  <si>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</si>
  <si>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</si>
  <si>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</si>
  <si>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</si>
  <si>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</si>
  <si>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</si>
  <si>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</si>
  <si>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</si>
  <si>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</si>
  <si>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</si>
  <si>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</si>
  <si>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</si>
  <si>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</si>
  <si>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</si>
  <si>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</si>
  <si>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</si>
  <si>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</si>
  <si>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</si>
  <si>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</si>
  <si>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</si>
  <si>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</si>
  <si>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</si>
  <si>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</si>
  <si>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</si>
  <si>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</si>
  <si>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</si>
  <si>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</si>
  <si>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</si>
  <si>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</si>
  <si>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</si>
  <si>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</si>
  <si>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</si>
  <si>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</si>
  <si>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</si>
  <si>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</si>
  <si>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</si>
  <si>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</si>
  <si>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</si>
  <si>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</si>
  <si>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</si>
  <si>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</si>
  <si>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</si>
  <si>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</si>
  <si>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</si>
  <si>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</si>
  <si>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</si>
  <si>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</si>
  <si>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</si>
  <si>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</si>
  <si>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</si>
  <si>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</si>
  <si>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</si>
  <si>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</si>
  <si>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</si>
  <si>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</si>
  <si>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</si>
  <si>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</si>
  <si>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</si>
  <si>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</si>
  <si>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</si>
  <si>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</si>
  <si>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</si>
  <si>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</si>
  <si>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</si>
  <si>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</si>
  <si>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</si>
  <si>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</si>
  <si>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</si>
  <si>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</si>
  <si>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</si>
  <si>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</si>
  <si>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</si>
  <si>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</si>
  <si>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</si>
  <si>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</si>
  <si>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</si>
  <si>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</si>
  <si>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</si>
  <si>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</si>
  <si>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</si>
  <si>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</si>
  <si>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</si>
  <si>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</si>
  <si>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</si>
  <si>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</si>
  <si>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</si>
  <si>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</si>
  <si>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</si>
  <si>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</si>
  <si>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</si>
  <si>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</si>
  <si>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</si>
  <si>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</si>
  <si>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</si>
  <si>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</si>
  <si>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</si>
  <si>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</si>
  <si>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</si>
  <si>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</si>
  <si>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</si>
  <si>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</si>
  <si>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</si>
  <si>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</si>
  <si>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</si>
  <si>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</si>
  <si>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</si>
  <si>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</si>
  <si>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</si>
  <si>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</si>
  <si>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</si>
  <si>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</si>
  <si>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</si>
  <si>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</si>
  <si>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</si>
  <si>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</si>
  <si>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</si>
  <si>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</si>
  <si>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</si>
  <si>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</si>
  <si>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</si>
  <si>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</si>
  <si>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</si>
  <si>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</si>
  <si>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</si>
  <si>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</si>
  <si>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</si>
  <si>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</si>
  <si>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</si>
  <si>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</si>
  <si>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</si>
  <si>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</si>
  <si>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</si>
  <si>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</si>
  <si>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</si>
  <si>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</si>
  <si>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</si>
  <si>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</si>
  <si>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</si>
  <si>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</si>
  <si>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</si>
  <si>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</si>
  <si>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</si>
  <si>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</si>
  <si>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</si>
  <si>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</si>
  <si>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</si>
  <si>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</si>
  <si>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</si>
  <si>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</si>
  <si>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</si>
  <si>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</si>
  <si>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</si>
  <si>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</si>
  <si>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</si>
  <si>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</si>
  <si>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</si>
  <si>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</si>
  <si>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</si>
  <si>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</si>
  <si>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</si>
  <si>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</si>
  <si>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</si>
  <si>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</si>
  <si>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</si>
  <si>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</si>
  <si>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</si>
  <si>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</si>
  <si>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</si>
  <si>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</si>
  <si>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</si>
  <si>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</si>
  <si>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</si>
  <si>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</si>
  <si>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</si>
  <si>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</si>
  <si>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</si>
  <si>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</si>
  <si>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</si>
  <si>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</si>
  <si>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</si>
  <si>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</si>
  <si>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</si>
  <si>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</si>
  <si>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</si>
  <si>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</si>
  <si>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</si>
  <si>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</si>
  <si>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</si>
  <si>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</si>
  <si>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</si>
  <si>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</si>
  <si>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</si>
  <si>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</si>
  <si>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</si>
  <si>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</si>
  <si>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</si>
  <si>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</si>
  <si>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</si>
  <si>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</si>
  <si>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</si>
  <si>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</si>
  <si>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</si>
  <si>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</si>
  <si>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</si>
  <si>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</si>
  <si>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</si>
  <si>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</si>
  <si>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</si>
  <si>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</si>
  <si>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</si>
  <si>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</si>
  <si>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</si>
  <si>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</si>
  <si>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</si>
  <si>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</si>
  <si>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</si>
  <si>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</si>
  <si>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</si>
  <si>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</si>
  <si>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</si>
  <si>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</si>
  <si>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</si>
  <si>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</si>
  <si>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</si>
  <si>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</si>
  <si>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</si>
  <si>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</si>
  <si>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</si>
  <si>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</si>
  <si>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</si>
  <si>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</si>
  <si>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</si>
  <si>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</si>
  <si>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</si>
  <si>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</si>
  <si>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</si>
  <si>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</si>
  <si>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</si>
  <si>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</si>
  <si>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</si>
  <si>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</si>
  <si>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</si>
  <si>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</si>
  <si>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</si>
  <si>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</si>
  <si>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</si>
  <si>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</si>
  <si>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</si>
  <si>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</si>
  <si>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</si>
  <si>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</si>
  <si>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</si>
  <si>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</si>
  <si>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</si>
  <si>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</si>
  <si>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</si>
  <si>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</si>
  <si>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</si>
  <si>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</si>
  <si>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</si>
  <si>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</si>
  <si>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</si>
  <si>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</si>
  <si>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</si>
  <si>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</si>
  <si>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</si>
  <si>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</si>
  <si>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</si>
  <si>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</si>
  <si>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</si>
  <si>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</si>
  <si>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</si>
  <si>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</si>
  <si>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</si>
  <si>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</si>
  <si>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</si>
  <si>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</si>
  <si>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</si>
  <si>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</si>
  <si>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</si>
  <si>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</si>
  <si>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</si>
  <si>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</si>
  <si>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</si>
  <si>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</si>
  <si>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</si>
  <si>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</si>
  <si>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</si>
  <si>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</si>
  <si>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</si>
  <si>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</si>
  <si>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</si>
  <si>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</si>
  <si>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</si>
  <si>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</si>
  <si>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</si>
  <si>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</si>
  <si>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</si>
  <si>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</si>
  <si>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</si>
  <si>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</si>
  <si>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</si>
  <si>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</si>
  <si>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</si>
  <si>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</si>
  <si>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</si>
  <si>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</si>
  <si>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</si>
  <si>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</si>
  <si>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</si>
  <si>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</si>
  <si>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</si>
  <si>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</si>
  <si>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</si>
  <si>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</si>
  <si>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</si>
  <si>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</si>
  <si>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</si>
  <si>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</si>
  <si>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</si>
  <si>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</si>
  <si>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</si>
  <si>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</si>
  <si>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</si>
  <si>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</si>
  <si>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</si>
  <si>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</si>
  <si>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</si>
  <si>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</si>
  <si>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</si>
  <si>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</si>
  <si>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</si>
  <si>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</si>
  <si>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</si>
  <si>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</si>
  <si>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</si>
  <si>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</si>
  <si>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</si>
  <si>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</si>
  <si>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</si>
  <si>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</si>
  <si>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</si>
  <si>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</si>
  <si>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</si>
  <si>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</si>
  <si>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</si>
  <si>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</si>
  <si>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</si>
  <si>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</si>
  <si>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</si>
  <si>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</si>
  <si>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</si>
  <si>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</si>
  <si>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</si>
  <si>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</si>
  <si>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</si>
  <si>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</si>
  <si>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</si>
  <si>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</si>
  <si>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</si>
  <si>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</si>
  <si>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</si>
  <si>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</si>
  <si>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</si>
  <si>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</si>
  <si>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</si>
  <si>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</si>
  <si>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</si>
  <si>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</si>
  <si>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</si>
  <si>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</si>
  <si>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</si>
  <si>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</si>
  <si>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</si>
  <si>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</si>
  <si>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</si>
  <si>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</si>
  <si>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</si>
  <si>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</si>
  <si>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</si>
  <si>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</si>
  <si>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</si>
  <si>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</si>
  <si>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</si>
  <si>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</si>
  <si>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</si>
  <si>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</si>
  <si>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</si>
  <si>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</si>
  <si>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</si>
  <si>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</si>
  <si>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</si>
  <si>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</si>
  <si>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</si>
  <si>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</si>
  <si>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</si>
  <si>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</si>
  <si>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</si>
  <si>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</si>
  <si>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</si>
  <si>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</si>
  <si>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</si>
  <si>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</si>
  <si>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</si>
  <si>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</si>
  <si>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</si>
  <si>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</si>
  <si>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</si>
  <si>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</si>
  <si>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</si>
  <si>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</si>
  <si>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</si>
  <si>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</si>
  <si>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</si>
  <si>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</si>
  <si>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</si>
  <si>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</si>
  <si>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</si>
  <si>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</si>
  <si>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</si>
  <si>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</si>
  <si>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</si>
  <si>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</si>
  <si>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</si>
  <si>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</si>
  <si>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</si>
  <si>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</si>
  <si>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</si>
  <si>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</si>
  <si>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</si>
  <si>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</si>
  <si>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</si>
  <si>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</si>
  <si>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</si>
  <si>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</si>
  <si>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</si>
  <si>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</si>
  <si>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</si>
  <si>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</si>
  <si>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</si>
  <si>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</si>
  <si>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</si>
  <si>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</si>
  <si>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</si>
  <si>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</si>
  <si>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</si>
  <si>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</si>
  <si>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</si>
  <si>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</si>
  <si>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</si>
  <si>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</si>
  <si>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</si>
  <si>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</si>
  <si>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</si>
  <si>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</si>
  <si>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</si>
  <si>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</si>
  <si>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</si>
  <si>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</si>
  <si>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</si>
  <si>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</si>
  <si>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</si>
  <si>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</si>
  <si>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</si>
  <si>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</si>
  <si>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</si>
  <si>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</si>
  <si>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</si>
  <si>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</si>
  <si>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</si>
  <si>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</si>
  <si>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</si>
  <si>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</si>
  <si>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</si>
  <si>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</si>
  <si>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</si>
  <si>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</si>
  <si>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</si>
  <si>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</si>
  <si>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</si>
  <si>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</si>
  <si>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</si>
  <si>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</si>
  <si>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</si>
  <si>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</si>
  <si>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</si>
  <si>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</si>
  <si>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</si>
  <si>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</si>
  <si>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</si>
  <si>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</si>
  <si>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</si>
  <si>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</si>
  <si>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</si>
  <si>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</si>
  <si>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</si>
  <si>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</si>
  <si>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</si>
  <si>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</si>
  <si>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</si>
  <si>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</si>
  <si>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</si>
  <si>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</si>
  <si>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</si>
  <si>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</si>
  <si>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</si>
  <si>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</si>
  <si>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</si>
  <si>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</si>
  <si>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</si>
  <si>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</si>
  <si>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</si>
  <si>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</si>
  <si>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</si>
  <si>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</si>
  <si>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</si>
  <si>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</si>
  <si>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</si>
  <si>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</si>
  <si>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</si>
  <si>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</si>
  <si>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</si>
  <si>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</si>
  <si>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</si>
  <si>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</si>
  <si>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</si>
  <si>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</si>
  <si>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</si>
  <si>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</si>
  <si>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</si>
  <si>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</si>
  <si>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</si>
  <si>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</si>
  <si>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</si>
  <si>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</si>
  <si>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</si>
  <si>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</si>
  <si>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</si>
  <si>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</si>
  <si>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</si>
  <si>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</si>
  <si>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</si>
  <si>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</si>
  <si>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</si>
  <si>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</si>
  <si>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</si>
  <si>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</si>
  <si>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</si>
  <si>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</si>
  <si>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</si>
  <si>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</si>
  <si>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</si>
  <si>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</si>
  <si>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</si>
  <si>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</si>
  <si>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</si>
  <si>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</si>
  <si>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</si>
  <si>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</si>
  <si>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</si>
  <si>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</si>
  <si>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</si>
  <si>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</si>
  <si>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</si>
  <si>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</si>
  <si>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</si>
  <si>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</si>
  <si>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</si>
  <si>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</si>
  <si>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</si>
  <si>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</si>
  <si>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</si>
  <si>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</si>
  <si>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</si>
  <si>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</si>
  <si>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</si>
  <si>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</si>
  <si>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</si>
  <si>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</si>
  <si>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</si>
  <si>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</si>
  <si>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</si>
  <si>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</si>
  <si>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</si>
  <si>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</si>
  <si>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</si>
  <si>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</si>
  <si>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</si>
  <si>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</si>
  <si>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</si>
  <si>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</si>
  <si>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</si>
  <si>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</si>
  <si>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</si>
  <si>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</si>
  <si>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</si>
  <si>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</si>
  <si>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</si>
  <si>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</si>
  <si>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</si>
  <si>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</si>
  <si>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</si>
  <si>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</si>
  <si>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</si>
  <si>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</si>
  <si>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</si>
  <si>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</si>
  <si>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</si>
  <si>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</si>
  <si>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</si>
  <si>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</si>
  <si>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</si>
  <si>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</si>
  <si>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</si>
  <si>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</si>
  <si>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</si>
  <si>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</si>
  <si>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</si>
  <si>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</si>
  <si>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</si>
  <si>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</si>
  <si>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</si>
  <si>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</si>
  <si>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</si>
  <si>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</si>
  <si>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</si>
  <si>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</si>
  <si>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</si>
  <si>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</si>
  <si>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</si>
  <si>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</si>
  <si>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</si>
  <si>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</si>
  <si>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</si>
  <si>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</si>
  <si>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</si>
  <si>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</si>
  <si>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</si>
  <si>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</si>
  <si>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</si>
  <si>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</si>
  <si>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</si>
  <si>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</si>
  <si>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</si>
  <si>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</si>
  <si>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</si>
  <si>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</si>
  <si>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</si>
  <si>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</si>
  <si>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</si>
  <si>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</si>
  <si>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</si>
  <si>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</si>
  <si>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</si>
  <si>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</si>
  <si>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</si>
  <si>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</si>
  <si>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</si>
  <si>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</si>
  <si>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</si>
  <si>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</si>
  <si>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</si>
  <si>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</si>
  <si>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</si>
  <si>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</si>
  <si>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</si>
  <si>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</si>
  <si>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</si>
  <si>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</si>
  <si>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</si>
  <si>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</si>
  <si>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</si>
  <si>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</si>
  <si>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</si>
  <si>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</si>
  <si>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</si>
  <si>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</si>
  <si>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</si>
  <si>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</si>
  <si>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</si>
  <si>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</si>
  <si>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</si>
  <si>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</si>
  <si>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</si>
  <si>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</si>
  <si>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</si>
  <si>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</si>
  <si>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</si>
  <si>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</si>
  <si>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</si>
  <si>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</si>
  <si>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</si>
  <si>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</si>
  <si>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</si>
  <si>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</si>
  <si>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</si>
  <si>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</si>
  <si>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</si>
  <si>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</si>
  <si>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</si>
  <si>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</si>
  <si>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</si>
  <si>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</si>
  <si>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</si>
  <si>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</si>
  <si>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</si>
  <si>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</si>
  <si>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</si>
  <si>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</si>
  <si>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</si>
  <si>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</si>
  <si>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</si>
  <si>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</si>
  <si>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</si>
  <si>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</si>
  <si>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</si>
  <si>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</si>
  <si>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</si>
  <si>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</si>
  <si>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</si>
  <si>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</si>
  <si>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</si>
  <si>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</si>
  <si>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</si>
  <si>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</si>
  <si>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</si>
  <si>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</si>
  <si>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</si>
  <si>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</si>
  <si>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</si>
  <si>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</si>
  <si>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</si>
  <si>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</si>
  <si>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</si>
  <si>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</si>
  <si>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</si>
  <si>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</si>
  <si>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</si>
  <si>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</si>
  <si>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</si>
  <si>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</si>
  <si>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</si>
  <si>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</si>
  <si>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</si>
  <si>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</si>
  <si>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</si>
  <si>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</si>
  <si>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</si>
  <si>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</si>
  <si>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</si>
  <si>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</si>
  <si>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</si>
  <si>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</si>
  <si>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</si>
  <si>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</si>
  <si>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</si>
  <si>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</si>
  <si>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</si>
  <si>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</si>
  <si>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</si>
  <si>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</si>
  <si>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</si>
  <si>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</si>
  <si>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</si>
  <si>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</si>
  <si>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</si>
  <si>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</si>
  <si>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</si>
  <si>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</si>
  <si>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</si>
  <si>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</si>
  <si>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</si>
  <si>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</si>
  <si>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</si>
  <si>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</si>
  <si>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</si>
  <si>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</si>
  <si>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</si>
  <si>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</si>
  <si>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</si>
  <si>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</si>
  <si>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</si>
  <si>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</si>
  <si>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</si>
  <si>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</si>
  <si>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</si>
  <si>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</si>
  <si>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</si>
  <si>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</si>
  <si>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</si>
  <si>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</si>
  <si>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</si>
  <si>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</si>
  <si>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</si>
  <si>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</si>
  <si>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</si>
  <si>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</si>
  <si>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</si>
  <si>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</si>
  <si>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</si>
  <si>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</si>
  <si>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</si>
  <si>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</si>
  <si>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</si>
  <si>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</si>
  <si>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</si>
  <si>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</si>
  <si>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</si>
  <si>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</si>
  <si>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</si>
  <si>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</si>
  <si>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</si>
  <si>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</si>
  <si>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</si>
  <si>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</si>
  <si>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</si>
  <si>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</si>
  <si>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</si>
  <si>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</si>
  <si>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</si>
  <si>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</si>
  <si>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</si>
  <si>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</si>
  <si>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</si>
  <si>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</si>
  <si>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</si>
  <si>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</si>
  <si>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</si>
  <si>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</si>
  <si>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</si>
  <si>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</si>
  <si>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</si>
  <si>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</si>
  <si>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</si>
  <si>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</si>
  <si>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</si>
  <si>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</si>
  <si>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</si>
  <si>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</si>
  <si>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</si>
  <si>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</si>
  <si>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</si>
  <si>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</si>
  <si>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</si>
  <si>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</si>
  <si>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</si>
  <si>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</si>
  <si>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</si>
  <si>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</si>
  <si>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</si>
  <si>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</si>
  <si>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</si>
  <si>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</si>
  <si>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</si>
  <si>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</si>
  <si>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</si>
  <si>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</si>
  <si>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</si>
  <si>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</si>
  <si>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</si>
  <si>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</si>
  <si>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</si>
  <si>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</si>
  <si>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</si>
  <si>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</si>
  <si>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</si>
  <si>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</si>
  <si>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</si>
  <si>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</si>
  <si>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</si>
  <si>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</si>
  <si>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</si>
  <si>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</si>
  <si>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</si>
  <si>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</si>
  <si>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</si>
  <si>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</si>
  <si>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</si>
  <si>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</si>
  <si>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</si>
  <si>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</si>
  <si>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</si>
  <si>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</si>
  <si>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</si>
  <si>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</si>
  <si>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</si>
  <si>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</si>
  <si>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</si>
  <si>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</si>
  <si>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</si>
  <si>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</si>
  <si>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</si>
  <si>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</si>
  <si>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</si>
  <si>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</si>
  <si>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</si>
  <si>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</si>
  <si>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</si>
  <si>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</si>
  <si>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</si>
  <si>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</si>
  <si>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</si>
  <si>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</si>
  <si>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</si>
  <si>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</si>
  <si>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</si>
  <si>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</si>
  <si>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</si>
  <si>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</si>
  <si>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</si>
  <si>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</si>
  <si>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</si>
  <si>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</si>
  <si>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</si>
  <si>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</si>
  <si>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</si>
  <si>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</si>
  <si>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</si>
  <si>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</si>
  <si>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</si>
  <si>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</si>
  <si>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</si>
  <si>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</si>
  <si>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</si>
  <si>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</si>
  <si>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</si>
  <si>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</si>
  <si>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</si>
  <si>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</si>
  <si>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</si>
  <si>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</si>
  <si>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</si>
  <si>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</si>
  <si>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</si>
  <si>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</si>
  <si>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</si>
  <si>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</si>
  <si>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</si>
  <si>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</si>
  <si>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</si>
  <si>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</si>
  <si>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</si>
  <si>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</si>
  <si>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</si>
  <si>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</si>
  <si>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</si>
  <si>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</si>
  <si>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</si>
  <si>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</si>
  <si>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</si>
  <si>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</si>
  <si>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</si>
  <si>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</si>
  <si>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</si>
  <si>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</si>
  <si>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</si>
  <si>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</si>
  <si>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</si>
  <si>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</si>
  <si>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</si>
  <si>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</si>
  <si>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</si>
  <si>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</si>
  <si>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</si>
  <si>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</si>
  <si>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</si>
  <si>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</si>
  <si>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</si>
  <si>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</si>
  <si>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</si>
  <si>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</si>
  <si>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</si>
  <si>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</si>
  <si>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</si>
  <si>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</si>
  <si>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</si>
  <si>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</si>
  <si>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</si>
  <si>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</si>
  <si>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</si>
  <si>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</si>
  <si>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</si>
  <si>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</si>
  <si>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</si>
  <si>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</si>
  <si>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</si>
  <si>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</si>
  <si>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</si>
  <si>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</si>
  <si>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</si>
  <si>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</si>
  <si>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</si>
  <si>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</si>
  <si>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</si>
  <si>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</si>
  <si>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</si>
  <si>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</si>
  <si>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</si>
  <si>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</si>
  <si>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</si>
  <si>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</si>
  <si>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</si>
  <si>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</si>
  <si>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</si>
  <si>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</si>
  <si>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</si>
  <si>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</si>
  <si>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</si>
  <si>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</si>
  <si>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</si>
  <si>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</si>
  <si>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</si>
  <si>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</si>
  <si>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</si>
  <si>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</si>
  <si>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</si>
  <si>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</si>
  <si>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</si>
  <si>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</si>
  <si>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</si>
  <si>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</si>
  <si>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</si>
  <si>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</si>
  <si>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</si>
  <si>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</si>
  <si>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</si>
  <si>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</si>
  <si>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</si>
  <si>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</si>
  <si>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</si>
  <si>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</si>
  <si>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</si>
  <si>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</si>
  <si>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</si>
  <si>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</si>
  <si>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</si>
  <si>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</si>
  <si>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</si>
  <si>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</si>
  <si>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</si>
  <si>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</si>
  <si>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</si>
  <si>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</si>
  <si>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</si>
  <si>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</si>
  <si>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</si>
  <si>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</si>
  <si>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</si>
  <si>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</si>
  <si>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</si>
  <si>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</si>
  <si>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</si>
  <si>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</si>
  <si>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</si>
  <si>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</si>
  <si>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</si>
  <si>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</si>
  <si>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</si>
  <si>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</si>
  <si>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</si>
  <si>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</si>
  <si>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</si>
  <si>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</si>
  <si>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</si>
  <si>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</si>
  <si>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</si>
  <si>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</si>
  <si>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</si>
  <si>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</si>
  <si>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</si>
  <si>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</si>
  <si>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</si>
  <si>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</si>
  <si>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</si>
  <si>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</si>
  <si>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</si>
  <si>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</si>
  <si>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</si>
  <si>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</si>
  <si>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</si>
  <si>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</si>
  <si>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</si>
  <si>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</si>
  <si>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</si>
  <si>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</si>
  <si>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</si>
  <si>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</si>
  <si>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</si>
  <si>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</si>
  <si>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</si>
  <si>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</si>
  <si>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</si>
  <si>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</si>
  <si>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</si>
  <si>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</si>
  <si>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</si>
  <si>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</si>
  <si>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</si>
  <si>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</si>
  <si>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</si>
  <si>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</si>
  <si>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</si>
  <si>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</si>
  <si>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</si>
  <si>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</si>
  <si>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</si>
  <si>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</si>
  <si>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</si>
  <si>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</si>
  <si>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</si>
  <si>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</si>
  <si>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</si>
  <si>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</si>
  <si>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</si>
  <si>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</si>
  <si>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</si>
  <si>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</si>
  <si>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</si>
  <si>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</si>
  <si>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</si>
  <si>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</si>
  <si>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</si>
  <si>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</si>
  <si>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</si>
  <si>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</si>
  <si>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</si>
  <si>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</si>
  <si>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</si>
  <si>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</si>
  <si>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</si>
  <si>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</si>
  <si>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</si>
  <si>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</si>
  <si>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</si>
  <si>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</si>
  <si>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</si>
  <si>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</si>
  <si>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</si>
  <si>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</si>
  <si>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</si>
  <si>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</si>
  <si>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</si>
  <si>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</si>
  <si>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</si>
  <si>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</si>
  <si>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</si>
  <si>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</si>
  <si>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</si>
  <si>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</si>
  <si>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</si>
  <si>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</si>
  <si>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</si>
  <si>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</si>
  <si>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</si>
  <si>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</si>
  <si>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</si>
  <si>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</si>
  <si>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</si>
  <si>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</si>
  <si>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</si>
  <si>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</si>
  <si>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</si>
  <si>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</si>
  <si>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</si>
  <si>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</si>
  <si>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</si>
  <si>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</si>
  <si>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</si>
  <si>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</si>
  <si>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</si>
  <si>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</si>
  <si>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</si>
  <si>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</si>
  <si>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</si>
  <si>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</si>
  <si>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</si>
  <si>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</si>
  <si>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</si>
  <si>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</si>
  <si>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</si>
  <si>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</si>
  <si>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</si>
  <si>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</si>
  <si>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</si>
  <si>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</si>
  <si>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</si>
  <si>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</si>
  <si>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</si>
  <si>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</si>
  <si>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</si>
  <si>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</si>
  <si>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</si>
  <si>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</si>
  <si>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</si>
  <si>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</si>
  <si>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</si>
  <si>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</si>
  <si>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</si>
  <si>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</si>
  <si>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</si>
  <si>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</si>
  <si>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</si>
  <si>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</si>
  <si>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</si>
  <si>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</si>
  <si>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</si>
  <si>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</si>
  <si>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</si>
  <si>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</si>
  <si>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</si>
  <si>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</si>
  <si>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</si>
  <si>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</si>
  <si>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</si>
  <si>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</si>
  <si>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</si>
  <si>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</si>
  <si>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</si>
  <si>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</si>
  <si>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</si>
  <si>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</si>
  <si>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</si>
  <si>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</si>
  <si>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</si>
  <si>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</si>
  <si>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</si>
  <si>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</si>
  <si>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</si>
  <si>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</si>
  <si>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</si>
  <si>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</si>
  <si>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</si>
  <si>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</si>
  <si>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</si>
  <si>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</si>
  <si>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</si>
  <si>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</si>
  <si>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</si>
  <si>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</si>
  <si>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</si>
  <si>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</si>
  <si>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</si>
  <si>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</si>
  <si>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</si>
  <si>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</si>
  <si>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</si>
  <si>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</si>
  <si>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</si>
  <si>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</si>
  <si>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</si>
  <si>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</si>
  <si>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</si>
  <si>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</si>
  <si>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</si>
  <si>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</si>
  <si>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</si>
  <si>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</si>
  <si>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</si>
  <si>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</si>
  <si>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</si>
  <si>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</si>
  <si>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</si>
  <si>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</si>
  <si>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</si>
  <si>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</si>
  <si>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</si>
  <si>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</si>
  <si>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</si>
  <si>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</si>
  <si>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</si>
  <si>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</si>
  <si>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</si>
  <si>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</si>
  <si>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</si>
  <si>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</si>
  <si>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</si>
  <si>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</si>
  <si>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</si>
  <si>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</si>
  <si>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</si>
  <si>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</si>
  <si>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</si>
  <si>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</si>
  <si>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</si>
  <si>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</si>
  <si>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</si>
  <si>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</si>
  <si>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</si>
  <si>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</si>
  <si>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</si>
  <si>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</si>
  <si>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</si>
  <si>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</si>
  <si>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</si>
  <si>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</si>
  <si>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</si>
  <si>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</si>
  <si>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</si>
  <si>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</si>
  <si>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</si>
  <si>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</si>
  <si>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</si>
  <si>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</si>
  <si>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</si>
  <si>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</si>
  <si>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</si>
  <si>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</si>
  <si>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</si>
  <si>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</si>
  <si>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</si>
  <si>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</si>
  <si>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</si>
  <si>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</si>
  <si>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</si>
  <si>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</si>
  <si>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</si>
  <si>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</si>
  <si>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</si>
  <si>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</si>
  <si>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</si>
  <si>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</si>
  <si>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</si>
  <si>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</si>
  <si>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</si>
  <si>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</si>
  <si>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</si>
  <si>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</si>
  <si>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</si>
  <si>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</si>
  <si>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</si>
  <si>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</si>
  <si>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</si>
  <si>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</si>
  <si>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</si>
  <si>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</si>
  <si>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</si>
  <si>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</si>
  <si>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</si>
  <si>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</si>
  <si>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</si>
  <si>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</si>
  <si>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</si>
  <si>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</si>
  <si>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</si>
  <si>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</si>
  <si>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</si>
  <si>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</si>
  <si>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</si>
  <si>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</si>
  <si>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</si>
  <si>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</si>
  <si>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</si>
  <si>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</si>
  <si>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</si>
  <si>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</si>
  <si>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</si>
  <si>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</si>
  <si>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</si>
  <si>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</si>
  <si>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</si>
  <si>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</si>
  <si>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</si>
  <si>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</si>
  <si>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</si>
  <si>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</si>
  <si>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</si>
  <si>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</si>
  <si>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</si>
  <si>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</si>
  <si>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</si>
  <si>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</si>
  <si>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</si>
  <si>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</si>
  <si>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</si>
  <si>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</si>
  <si>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</si>
  <si>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</si>
  <si>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</si>
  <si>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</si>
  <si>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</si>
  <si>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</si>
  <si>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</si>
  <si>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</si>
  <si>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</si>
  <si>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</si>
  <si>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</si>
  <si>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</si>
  <si>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</si>
  <si>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</si>
  <si>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</si>
  <si>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</si>
  <si>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</si>
  <si>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</si>
  <si>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</si>
  <si>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</si>
  <si>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</si>
  <si>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</si>
  <si>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</si>
  <si>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</si>
  <si>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</si>
  <si>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</si>
  <si>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</si>
  <si>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</si>
  <si>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</si>
  <si>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</si>
  <si>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</si>
  <si>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</si>
  <si>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</si>
  <si>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</si>
  <si>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</si>
  <si>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</si>
  <si>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</si>
  <si>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</si>
  <si>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</si>
  <si>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</si>
  <si>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</si>
  <si>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</si>
  <si>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</si>
  <si>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</si>
  <si>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</si>
  <si>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</si>
  <si>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</si>
  <si>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</si>
  <si>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</si>
  <si>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</si>
  <si>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</si>
  <si>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</si>
  <si>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</si>
  <si>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</si>
  <si>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</si>
  <si>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</si>
  <si>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</si>
  <si>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</si>
  <si>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</si>
  <si>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</si>
  <si>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</si>
  <si>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</si>
  <si>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</si>
  <si>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</si>
  <si>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</si>
  <si>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</si>
  <si>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</si>
  <si>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</si>
  <si>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</si>
  <si>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</si>
  <si>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</si>
  <si>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</si>
  <si>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</si>
  <si>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</si>
  <si>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</si>
  <si>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</si>
  <si>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</si>
  <si>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</si>
  <si>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</si>
  <si>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</si>
  <si>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</si>
  <si>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</si>
  <si>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</si>
  <si>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</si>
  <si>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</si>
  <si>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</si>
  <si>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</si>
  <si>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</si>
  <si>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</si>
  <si>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</si>
  <si>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</si>
  <si>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</si>
  <si>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</si>
  <si>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</si>
  <si>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</si>
  <si>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</si>
  <si>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</si>
  <si>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</si>
  <si>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</si>
  <si>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</si>
  <si>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</si>
  <si>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</si>
  <si>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</si>
  <si>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</si>
  <si>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</si>
  <si>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</si>
  <si>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</si>
  <si>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</si>
  <si>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</si>
  <si>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</si>
  <si>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</si>
  <si>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</si>
  <si>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</si>
  <si>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</si>
  <si>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</si>
  <si>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</si>
  <si>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</si>
  <si>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</si>
  <si>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</si>
  <si>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</si>
  <si>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</si>
  <si>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</si>
  <si>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</si>
  <si>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</si>
  <si>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</si>
  <si>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</si>
  <si>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</si>
  <si>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</si>
  <si>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</si>
  <si>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</si>
  <si>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</si>
  <si>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</si>
  <si>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</si>
  <si>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</si>
  <si>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</si>
  <si>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</si>
  <si>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</si>
  <si>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</si>
  <si>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</si>
  <si>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</si>
  <si>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</si>
  <si>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</si>
  <si>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</si>
  <si>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</si>
  <si>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</si>
  <si>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</si>
  <si>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</si>
  <si>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</si>
  <si>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</si>
  <si>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</si>
  <si>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</si>
  <si>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</si>
  <si>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</si>
  <si>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</si>
  <si>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</si>
  <si>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</si>
  <si>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</si>
  <si>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</si>
  <si>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</si>
  <si>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</si>
  <si>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</si>
  <si>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</si>
  <si>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</si>
  <si>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</si>
  <si>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</si>
  <si>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</si>
  <si>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</si>
  <si>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</si>
  <si>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</si>
  <si>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</si>
  <si>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</si>
  <si>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</si>
  <si>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</si>
  <si>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</si>
  <si>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</si>
  <si>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</si>
  <si>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</si>
  <si>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</si>
  <si>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</si>
  <si>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</si>
  <si>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</si>
  <si>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</si>
  <si>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</si>
  <si>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</si>
  <si>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</si>
  <si>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</si>
  <si>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</si>
  <si>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</si>
  <si>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</si>
  <si>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</si>
  <si>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</si>
  <si>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</si>
  <si>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</si>
  <si>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</si>
  <si>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</si>
  <si>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</si>
  <si>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</si>
  <si>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</si>
  <si>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</si>
  <si>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</si>
  <si>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</si>
  <si>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</si>
  <si>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</si>
  <si>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</si>
  <si>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</si>
  <si>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</si>
  <si>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</si>
  <si>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</si>
  <si>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</si>
  <si>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</si>
  <si>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</si>
  <si>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</si>
  <si>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</si>
  <si>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</si>
  <si>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</si>
  <si>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</si>
  <si>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</si>
  <si>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</si>
  <si>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</si>
  <si>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</si>
  <si>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</si>
  <si>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</si>
  <si>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</si>
  <si>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</si>
  <si>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</si>
  <si>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</si>
  <si>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</si>
  <si>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</si>
  <si>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</si>
  <si>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</si>
  <si>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</si>
  <si>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</si>
  <si>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</si>
  <si>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</si>
  <si>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</si>
  <si>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</si>
  <si>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</si>
  <si>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</si>
  <si>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</si>
  <si>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</si>
  <si>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</si>
  <si>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</si>
  <si>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</si>
  <si>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</si>
  <si>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</si>
  <si>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</si>
  <si>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</si>
  <si>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</si>
  <si>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</si>
  <si>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</si>
  <si>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</si>
  <si>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</si>
  <si>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</si>
  <si>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</si>
  <si>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</si>
  <si>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</si>
  <si>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</si>
  <si>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</si>
  <si>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</si>
  <si>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</si>
  <si>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</si>
  <si>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</si>
  <si>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</si>
  <si>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</si>
  <si>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</si>
  <si>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</si>
  <si>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</si>
  <si>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</si>
  <si>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</si>
  <si>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</si>
  <si>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</si>
  <si>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</si>
  <si>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</si>
  <si>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</si>
  <si>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</si>
  <si>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</si>
  <si>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</si>
  <si>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</si>
  <si>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</si>
  <si>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</si>
  <si>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</si>
  <si>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</si>
  <si>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</si>
  <si>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</si>
  <si>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</si>
  <si>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</si>
  <si>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</si>
  <si>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</si>
  <si>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</si>
  <si>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</si>
  <si>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</si>
  <si>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</si>
  <si>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</si>
  <si>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</si>
  <si>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</si>
  <si>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</si>
  <si>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</si>
  <si>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</si>
  <si>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</si>
  <si>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</si>
  <si>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</si>
  <si>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</si>
  <si>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</si>
  <si>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</si>
  <si>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</si>
  <si>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</si>
  <si>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</si>
  <si>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Eneded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</si>
  <si>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</si>
  <si>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</si>
  <si>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</si>
  <si>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</si>
  <si>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</si>
  <si>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</si>
  <si>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</si>
  <si>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</si>
  <si>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</si>
  <si>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</si>
  <si>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</si>
  <si>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</si>
  <si>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</si>
  <si>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</si>
  <si>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</si>
  <si>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</si>
  <si>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</si>
  <si>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</si>
  <si>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</si>
  <si>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</si>
  <si>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</si>
  <si>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</si>
  <si>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</si>
  <si>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</si>
  <si>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</si>
  <si>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</si>
  <si>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</si>
  <si>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</si>
  <si>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</si>
  <si>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</si>
  <si>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</si>
  <si>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</si>
  <si>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</si>
  <si>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pledged</t>
  </si>
  <si>
    <t>Percentage Reached Goal</t>
  </si>
  <si>
    <t>Number Reached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</si>
</sst>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A9A9A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  <border>
        <left/>
        <right/>
        <top/>
        <bottom/>
        <vertical/>
        <horizontal/>
      </border>
    </dxf>
  </dxfs>
  <tableStyles count="0" defaultTableStyle="TableStyleMedium2" defaultPivotStyle="PivotStyleLight16"/>
  <colors>
    <mruColors>
      <color rgb="FFA9A9A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[StarterBook_SolvedFinal.xlsx]Sheet4!PivotTable9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Sheet4!$B$6:$B$15</c:f>
              <c:numCache>
                <c:formatCode>General</c:formatCode>
                <c:ptCount val="9"/>
                <c:pt idx="0">
                  <c:v>53469</c:v>
                </c:pt>
                <c:pt idx="1">
                  <c:v>1127</c:v>
                </c:pt>
                <c:pt idx="3">
                  <c:v>9537</c:v>
                </c:pt>
                <c:pt idx="4">
                  <c:v>9637</c:v>
                </c:pt>
                <c:pt idx="6">
                  <c:v>18781</c:v>
                </c:pt>
                <c:pt idx="7">
                  <c:v>2352021.5099999998</c:v>
                </c:pt>
                <c:pt idx="8">
                  <c:v>98359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9-4EC5-8DB5-43CD349E270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Sheet4!$C$6:$C$15</c:f>
              <c:numCache>
                <c:formatCode>General</c:formatCode>
                <c:ptCount val="9"/>
                <c:pt idx="0">
                  <c:v>337771.78</c:v>
                </c:pt>
                <c:pt idx="1">
                  <c:v>80300.509999999995</c:v>
                </c:pt>
                <c:pt idx="2">
                  <c:v>260905.32999999996</c:v>
                </c:pt>
                <c:pt idx="4">
                  <c:v>66175.320000000007</c:v>
                </c:pt>
                <c:pt idx="5">
                  <c:v>223920.30999999997</c:v>
                </c:pt>
                <c:pt idx="6">
                  <c:v>49591.25</c:v>
                </c:pt>
                <c:pt idx="7">
                  <c:v>1386682.01</c:v>
                </c:pt>
                <c:pt idx="8">
                  <c:v>433620.89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69-4EC5-8DB5-43CD349E270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Sheet4!$D$6:$D$15</c:f>
              <c:numCache>
                <c:formatCode>General</c:formatCode>
                <c:ptCount val="9"/>
                <c:pt idx="1">
                  <c:v>6078</c:v>
                </c:pt>
                <c:pt idx="4">
                  <c:v>105800.38</c:v>
                </c:pt>
                <c:pt idx="8">
                  <c:v>84231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69-4EC5-8DB5-43CD349E270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Sheet4!$E$6:$E$15</c:f>
              <c:numCache>
                <c:formatCode>General</c:formatCode>
                <c:ptCount val="9"/>
                <c:pt idx="0">
                  <c:v>5313576.17</c:v>
                </c:pt>
                <c:pt idx="1">
                  <c:v>849487.14</c:v>
                </c:pt>
                <c:pt idx="2">
                  <c:v>2791408.56</c:v>
                </c:pt>
                <c:pt idx="4">
                  <c:v>3147611.6399999997</c:v>
                </c:pt>
                <c:pt idx="5">
                  <c:v>2177693.4200000004</c:v>
                </c:pt>
                <c:pt idx="6">
                  <c:v>1535350.9</c:v>
                </c:pt>
                <c:pt idx="7">
                  <c:v>19665020.160000008</c:v>
                </c:pt>
                <c:pt idx="8">
                  <c:v>5115585.3800000018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69-4EC5-8DB5-43CD349E2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9886320"/>
        <c:axId val="589886648"/>
      </c:barChart>
      <c:catAx>
        <c:axId val="58988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86648"/>
        <c:crosses val="autoZero"/>
        <c:auto val="1"/>
        <c:lblAlgn val="ctr"/>
        <c:lblOffset val="100"/>
        <c:noMultiLvlLbl val="0"/>
      </c:catAx>
      <c:valAx>
        <c:axId val="58988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8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[StarterBook_SolvedFinal.xlsx]Part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A9A9A9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rgbClr val="00B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47-48E5-879B-7D905C1D99AB}"/>
            </c:ext>
          </c:extLst>
        </c:ser>
        <c:ser>
          <c:idx val="1"/>
          <c:order val="1"/>
          <c:tx>
            <c:strRef>
              <c:f>'Part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447-48E5-879B-7D905C1D99AB}"/>
            </c:ext>
          </c:extLst>
        </c:ser>
        <c:ser>
          <c:idx val="2"/>
          <c:order val="2"/>
          <c:tx>
            <c:strRef>
              <c:f>'Part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A9A9A9"/>
            </a:solidFill>
            <a:ln>
              <a:noFill/>
            </a:ln>
            <a:effectLst/>
          </c:spPr>
          <c:invertIfNegative val="0"/>
          <c:cat>
            <c:strRef>
              <c:f>'Part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447-48E5-879B-7D905C1D99AB}"/>
            </c:ext>
          </c:extLst>
        </c:ser>
        <c:ser>
          <c:idx val="3"/>
          <c:order val="3"/>
          <c:tx>
            <c:strRef>
              <c:f>'Part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447-48E5-879B-7D905C1D9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2448536"/>
        <c:axId val="512445912"/>
      </c:barChart>
      <c:catAx>
        <c:axId val="51244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45912"/>
        <c:crosses val="autoZero"/>
        <c:auto val="1"/>
        <c:lblAlgn val="ctr"/>
        <c:lblOffset val="100"/>
        <c:noMultiLvlLbl val="0"/>
      </c:catAx>
      <c:valAx>
        <c:axId val="51244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4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[StarterBook_SolvedFinal.xlsx]Part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A9A9A9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1B-4E49-BEB7-463E35D5BAE5}"/>
            </c:ext>
          </c:extLst>
        </c:ser>
        <c:ser>
          <c:idx val="1"/>
          <c:order val="1"/>
          <c:tx>
            <c:strRef>
              <c:f>'Part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'Part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1B-4E49-BEB7-463E35D5BAE5}"/>
            </c:ext>
          </c:extLst>
        </c:ser>
        <c:ser>
          <c:idx val="2"/>
          <c:order val="2"/>
          <c:tx>
            <c:strRef>
              <c:f>'Part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'Part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1B-4E49-BEB7-463E35D5BAE5}"/>
            </c:ext>
          </c:extLst>
        </c:ser>
        <c:ser>
          <c:idx val="3"/>
          <c:order val="3"/>
          <c:tx>
            <c:strRef>
              <c:f>'Part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A9A9A9"/>
            </a:solidFill>
            <a:ln>
              <a:noFill/>
            </a:ln>
            <a:effectLst/>
          </c:spPr>
          <c:invertIfNegative val="0"/>
          <c:cat>
            <c:strRef>
              <c:f>'Part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'Part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1B-4E49-BEB7-463E35D5B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244944"/>
        <c:axId val="567250520"/>
      </c:barChart>
      <c:catAx>
        <c:axId val="56724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50520"/>
        <c:crosses val="autoZero"/>
        <c:auto val="1"/>
        <c:lblAlgn val="ctr"/>
        <c:lblOffset val="100"/>
        <c:noMultiLvlLbl val="0"/>
      </c:catAx>
      <c:valAx>
        <c:axId val="56725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4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[StarterBook_SolvedFinal.xlsx]Part 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C-469F-A0E8-458B709631BE}"/>
            </c:ext>
          </c:extLst>
        </c:ser>
        <c:ser>
          <c:idx val="1"/>
          <c:order val="1"/>
          <c:tx>
            <c:strRef>
              <c:f>'Part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DCC-469F-A0E8-458B709631BE}"/>
            </c:ext>
          </c:extLst>
        </c:ser>
        <c:ser>
          <c:idx val="3"/>
          <c:order val="2"/>
          <c:tx>
            <c:strRef>
              <c:f>'Part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'Part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DCC-469F-A0E8-458B70963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846456"/>
        <c:axId val="453847440"/>
      </c:lineChart>
      <c:catAx>
        <c:axId val="45384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47440"/>
        <c:crosses val="autoZero"/>
        <c:auto val="1"/>
        <c:lblAlgn val="ctr"/>
        <c:lblOffset val="100"/>
        <c:noMultiLvlLbl val="0"/>
      </c:catAx>
      <c:valAx>
        <c:axId val="45384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0F-4016-9061-43D45E25685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0F-4016-9061-43D45E25685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0F-4016-9061-43D45E256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133592"/>
        <c:axId val="5731267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F0F-4016-9061-43D45E25685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F0F-4016-9061-43D45E25685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F0F-4016-9061-43D45E25685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F0F-4016-9061-43D45E25685B}"/>
                  </c:ext>
                </c:extLst>
              </c15:ser>
            </c15:filteredLineSeries>
          </c:ext>
        </c:extLst>
      </c:lineChart>
      <c:catAx>
        <c:axId val="573133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26704"/>
        <c:crosses val="autoZero"/>
        <c:auto val="1"/>
        <c:lblAlgn val="ctr"/>
        <c:lblOffset val="100"/>
        <c:noMultiLvlLbl val="0"/>
      </c:catAx>
      <c:valAx>
        <c:axId val="57312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3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Reached Goal VS Stated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1'!$B$1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'Additional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1'!$B$2:$B$13</c:f>
            </c:numRef>
          </c:val>
          <c:extLst>
            <c:ext xmlns:c16="http://schemas.microsoft.com/office/drawing/2014/chart" uri="{C3380CC4-5D6E-409C-BE32-E72D297353CC}">
              <c16:uniqueId val="{00000000-FD6C-47E5-97A5-04C28A9A9E0C}"/>
            </c:ext>
          </c:extLst>
        </c:ser>
        <c:ser>
          <c:idx val="1"/>
          <c:order val="1"/>
          <c:tx>
            <c:strRef>
              <c:f>'Additional 1'!$C$1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'Additional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1'!$C$2:$C$13</c:f>
            </c:numRef>
          </c:val>
          <c:extLst>
            <c:ext xmlns:c16="http://schemas.microsoft.com/office/drawing/2014/chart" uri="{C3380CC4-5D6E-409C-BE32-E72D297353CC}">
              <c16:uniqueId val="{00000001-FD6C-47E5-97A5-04C28A9A9E0C}"/>
            </c:ext>
          </c:extLst>
        </c:ser>
        <c:ser>
          <c:idx val="2"/>
          <c:order val="2"/>
          <c:tx>
            <c:strRef>
              <c:f>'Additional 1'!$D$1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'Additional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1'!$D$2:$D$13</c:f>
            </c:numRef>
          </c:val>
          <c:extLst>
            <c:ext xmlns:c16="http://schemas.microsoft.com/office/drawing/2014/chart" uri="{C3380CC4-5D6E-409C-BE32-E72D297353CC}">
              <c16:uniqueId val="{00000002-FD6C-47E5-97A5-04C28A9A9E0C}"/>
            </c:ext>
          </c:extLst>
        </c:ser>
        <c:ser>
          <c:idx val="4"/>
          <c:order val="4"/>
          <c:tx>
            <c:strRef>
              <c:f>'Additional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'Additional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1'!$F$2:$F$13</c:f>
            </c:numRef>
          </c:val>
          <c:extLst>
            <c:ext xmlns:c16="http://schemas.microsoft.com/office/drawing/2014/chart" uri="{C3380CC4-5D6E-409C-BE32-E72D297353CC}">
              <c16:uniqueId val="{00000004-FD6C-47E5-97A5-04C28A9A9E0C}"/>
            </c:ext>
          </c:extLst>
        </c:ser>
        <c:ser>
          <c:idx val="5"/>
          <c:order val="5"/>
          <c:tx>
            <c:strRef>
              <c:f>'Additional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'Additional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1'!$G$2:$G$13</c:f>
            </c:numRef>
          </c:val>
          <c:extLst>
            <c:ext xmlns:c16="http://schemas.microsoft.com/office/drawing/2014/chart" uri="{C3380CC4-5D6E-409C-BE32-E72D297353CC}">
              <c16:uniqueId val="{00000005-FD6C-47E5-97A5-04C28A9A9E0C}"/>
            </c:ext>
          </c:extLst>
        </c:ser>
        <c:ser>
          <c:idx val="6"/>
          <c:order val="6"/>
          <c:tx>
            <c:strRef>
              <c:f>'Additional 1'!$H$1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'Additional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1'!$H$2:$H$13</c:f>
            </c:numRef>
          </c:val>
          <c:extLst>
            <c:ext xmlns:c16="http://schemas.microsoft.com/office/drawing/2014/chart" uri="{C3380CC4-5D6E-409C-BE32-E72D297353CC}">
              <c16:uniqueId val="{00000006-FD6C-47E5-97A5-04C28A9A9E0C}"/>
            </c:ext>
          </c:extLst>
        </c:ser>
        <c:ser>
          <c:idx val="8"/>
          <c:order val="8"/>
          <c:tx>
            <c:strRef>
              <c:f>'Additional 1'!$J$1</c:f>
              <c:strCache>
                <c:ptCount val="1"/>
                <c:pt idx="0">
                  <c:v>Percentage Reached Goal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'Additional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1'!$J$2:$J$13</c:f>
              <c:numCache>
                <c:formatCode>0%</c:formatCode>
                <c:ptCount val="12"/>
                <c:pt idx="0">
                  <c:v>0.7196467991169978</c:v>
                </c:pt>
                <c:pt idx="1">
                  <c:v>0.66076487252124649</c:v>
                </c:pt>
                <c:pt idx="2">
                  <c:v>0.53631284916201116</c:v>
                </c:pt>
                <c:pt idx="3">
                  <c:v>0.48011363636363635</c:v>
                </c:pt>
                <c:pt idx="4">
                  <c:v>0.47263681592039802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0.51162790697674421</c:v>
                </c:pt>
                <c:pt idx="10">
                  <c:v>0.2857142857142857</c:v>
                </c:pt>
                <c:pt idx="11">
                  <c:v>0.1981981981981982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6C-47E5-97A5-04C28A9A9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818608"/>
        <c:axId val="542824512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'Additional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'Additional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'Additional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D6C-47E5-97A5-04C28A9A9E0C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'Additional 1'!$I$1</c15:sqref>
                        </c15:formulaRef>
                      </c:ext>
                    </c:extLst>
                    <c:strCache>
                      <c:ptCount val="1"/>
                      <c:pt idx="0">
                        <c:v>Number Reached Goal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'Additional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'Additional 1'!$I$2:$I$13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326</c:v>
                      </c:pt>
                      <c:pt idx="1">
                        <c:v>933</c:v>
                      </c:pt>
                      <c:pt idx="2">
                        <c:v>384</c:v>
                      </c:pt>
                      <c:pt idx="3">
                        <c:v>169</c:v>
                      </c:pt>
                      <c:pt idx="4">
                        <c:v>95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22</c:v>
                      </c:pt>
                      <c:pt idx="10">
                        <c:v>6</c:v>
                      </c:pt>
                      <c:pt idx="11">
                        <c:v>88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FD6C-47E5-97A5-04C28A9A9E0C}"/>
                  </c:ext>
                </c:extLst>
              </c15:ser>
            </c15:filteredBarSeries>
          </c:ext>
        </c:extLst>
      </c:barChart>
      <c:catAx>
        <c:axId val="54281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24512"/>
        <c:crosses val="autoZero"/>
        <c:auto val="1"/>
        <c:lblAlgn val="ctr"/>
        <c:lblOffset val="100"/>
        <c:noMultiLvlLbl val="0"/>
      </c:catAx>
      <c:valAx>
        <c:axId val="54282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1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aseline="0"/>
              <a:t>Percentage Reached Goal vs Percentage Successful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'Additional 2'!$B$1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'Additional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2'!$B$2:$B$13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6685-4277-BBEE-84247E81921C}"/>
            </c:ext>
          </c:extLst>
        </c:ser>
        <c:ser>
          <c:idx val="1"/>
          <c:order val="1"/>
          <c:tx>
            <c:strRef>
              <c:f>'Additional 2'!$C$1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'Additional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2'!$C$2:$C$13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6685-4277-BBEE-84247E81921C}"/>
            </c:ext>
          </c:extLst>
        </c:ser>
        <c:ser>
          <c:idx val="2"/>
          <c:order val="2"/>
          <c:tx>
            <c:strRef>
              <c:f>'Additional 2'!$D$1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'Additional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2'!$D$2:$D$13</c:f>
            </c:numRef>
          </c:val>
          <c:smooth val="0"/>
          <c:extLst>
            <c:ext xmlns:c16="http://schemas.microsoft.com/office/drawing/2014/chart" uri="{C3380CC4-5D6E-409C-BE32-E72D297353CC}">
              <c16:uniqueId val="{00000002-6685-4277-BBEE-84247E81921C}"/>
            </c:ext>
          </c:extLst>
        </c:ser>
        <c:ser>
          <c:idx val="3"/>
          <c:order val="3"/>
          <c:tx>
            <c:strRef>
              <c:f>'Additional 2'!$E$1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'Additional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2'!$E$2:$E$13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3-6685-4277-BBEE-84247E81921C}"/>
            </c:ext>
          </c:extLst>
        </c:ser>
        <c:ser>
          <c:idx val="4"/>
          <c:order val="4"/>
          <c:tx>
            <c:strRef>
              <c:f>'Additional 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'Additional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2'!$F$2:$F$13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85-4277-BBEE-84247E81921C}"/>
            </c:ext>
          </c:extLst>
        </c:ser>
        <c:ser>
          <c:idx val="5"/>
          <c:order val="5"/>
          <c:tx>
            <c:strRef>
              <c:f>'Additional 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'Additional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2'!$G$2:$G$13</c:f>
            </c:numRef>
          </c:val>
          <c:smooth val="0"/>
          <c:extLst>
            <c:ext xmlns:c16="http://schemas.microsoft.com/office/drawing/2014/chart" uri="{C3380CC4-5D6E-409C-BE32-E72D297353CC}">
              <c16:uniqueId val="{00000005-6685-4277-BBEE-84247E81921C}"/>
            </c:ext>
          </c:extLst>
        </c:ser>
        <c:ser>
          <c:idx val="6"/>
          <c:order val="6"/>
          <c:tx>
            <c:strRef>
              <c:f>'Additional 2'!$H$1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'Additional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2'!$H$2:$H$13</c:f>
            </c:numRef>
          </c:val>
          <c:smooth val="0"/>
          <c:extLst>
            <c:ext xmlns:c16="http://schemas.microsoft.com/office/drawing/2014/chart" uri="{C3380CC4-5D6E-409C-BE32-E72D297353CC}">
              <c16:uniqueId val="{00000006-6685-4277-BBEE-84247E81921C}"/>
            </c:ext>
          </c:extLst>
        </c:ser>
        <c:ser>
          <c:idx val="7"/>
          <c:order val="7"/>
          <c:tx>
            <c:strRef>
              <c:f>'Additional 2'!$I$1</c:f>
              <c:strCache>
                <c:ptCount val="1"/>
                <c:pt idx="0">
                  <c:v>Number Reached Goal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'Additional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2'!$I$2:$I$13</c:f>
            </c:numRef>
          </c:val>
          <c:smooth val="0"/>
          <c:extLst>
            <c:ext xmlns:c16="http://schemas.microsoft.com/office/drawing/2014/chart" uri="{C3380CC4-5D6E-409C-BE32-E72D297353CC}">
              <c16:uniqueId val="{00000007-6685-4277-BBEE-84247E81921C}"/>
            </c:ext>
          </c:extLst>
        </c:ser>
        <c:ser>
          <c:idx val="8"/>
          <c:order val="8"/>
          <c:tx>
            <c:strRef>
              <c:f>'Additional 2'!$J$1</c:f>
              <c:strCache>
                <c:ptCount val="1"/>
                <c:pt idx="0">
                  <c:v>Percentage Reached Goal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'Additional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2'!$J$2:$J$13</c:f>
              <c:numCache>
                <c:formatCode>0%</c:formatCode>
                <c:ptCount val="12"/>
                <c:pt idx="0">
                  <c:v>0.7196467991169978</c:v>
                </c:pt>
                <c:pt idx="1">
                  <c:v>0.66076487252124649</c:v>
                </c:pt>
                <c:pt idx="2">
                  <c:v>0.53631284916201116</c:v>
                </c:pt>
                <c:pt idx="3">
                  <c:v>0.48011363636363635</c:v>
                </c:pt>
                <c:pt idx="4">
                  <c:v>0.47263681592039802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0.51162790697674421</c:v>
                </c:pt>
                <c:pt idx="10">
                  <c:v>0.2857142857142857</c:v>
                </c:pt>
                <c:pt idx="11">
                  <c:v>0.1981981981981982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85-4277-BBEE-84247E819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82056"/>
        <c:axId val="589876808"/>
      </c:lineChart>
      <c:catAx>
        <c:axId val="58988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6808"/>
        <c:crosses val="autoZero"/>
        <c:auto val="1"/>
        <c:lblAlgn val="ctr"/>
        <c:lblOffset val="100"/>
        <c:noMultiLvlLbl val="0"/>
      </c:catAx>
      <c:valAx>
        <c:axId val="58987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8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10</xdr:row>
      <xdr:rowOff>15240</xdr:rowOff>
    </xdr:from>
    <xdr:to>
      <xdr:col>13</xdr:col>
      <xdr:colOff>190500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C1828-5902-4D4F-8894-1A7D2302E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3</xdr:row>
      <xdr:rowOff>99060</xdr:rowOff>
    </xdr:from>
    <xdr:to>
      <xdr:col>16</xdr:col>
      <xdr:colOff>304800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04C600-7F28-4742-ACC5-317F76201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60960</xdr:rowOff>
    </xdr:from>
    <xdr:to>
      <xdr:col>18</xdr:col>
      <xdr:colOff>228600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2FF7B-0D7D-4BF0-84C5-5A45E918E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5</xdr:row>
      <xdr:rowOff>45720</xdr:rowOff>
    </xdr:from>
    <xdr:to>
      <xdr:col>21</xdr:col>
      <xdr:colOff>213360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0EAAFF-BE86-4F13-AF27-C95E00FF9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784860</xdr:colOff>
      <xdr:row>14</xdr:row>
      <xdr:rowOff>148590</xdr:rowOff>
    </xdr:from>
    <xdr:to>
      <xdr:col>10</xdr:col>
      <xdr:colOff>144780</xdr:colOff>
      <xdr:row>33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81C83-AA23-419D-8119-B7FBD0609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434340</xdr:colOff>
      <xdr:row>1</xdr:row>
      <xdr:rowOff>45720</xdr:rowOff>
    </xdr:from>
    <xdr:to>
      <xdr:col>20</xdr:col>
      <xdr:colOff>182880</xdr:colOff>
      <xdr:row>19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B2E802-19D0-48E9-B654-23E1344B5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13</xdr:row>
      <xdr:rowOff>53340</xdr:rowOff>
    </xdr:from>
    <xdr:to>
      <xdr:col>16</xdr:col>
      <xdr:colOff>304800</xdr:colOff>
      <xdr:row>35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27B433-9377-4EE8-89CC-8AD51FF32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bind Singh" refreshedDate="43379.676219675923" createdVersion="6" refreshedVersion="6" minRefreshableVersion="3" recordCount="4114" xr:uid="{00000000-000A-0000-FFFF-FFFF00000000}">
  <cacheSource type="worksheet">
    <worksheetSource ref="A1:R4115" sheet="Original-Modified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bind Singh" refreshedDate="43387.819638425928" createdVersion="6" refreshedVersion="6" minRefreshableVersion="3" recordCount="4114" xr:uid="{00000000-000A-0000-FFFF-FFFF01000000}">
  <cacheSource type="worksheet">
    <worksheetSource ref="A1:T4115" sheet="Original-Modifie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e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n v="1.074090909090909"/>
    <n v="39.383333333333333"/>
    <x v="0"/>
    <s v="shorts"/>
    <x v="105"/>
    <d v="2016-05-13T19:00:00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n v="0"/>
    <e v="#DIV/0!"/>
    <x v="0"/>
    <s v="science fiction"/>
    <x v="130"/>
    <d v="2014-06-16T15:16:00"/>
  </r>
  <r>
    <n v="131"/>
    <s v="I (Canceled)"/>
    <s v="I"/>
    <x v="38"/>
    <x v="117"/>
    <x v="1"/>
    <x v="0"/>
    <s v="USD"/>
    <n v="1467763200"/>
    <n v="1466453161"/>
    <b v="0"/>
    <n v="0"/>
    <b v="0"/>
    <x v="2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n v="0"/>
    <e v="#DIV/0!"/>
    <x v="0"/>
    <s v="drama"/>
    <x v="182"/>
    <d v="2017-01-06T19:17:1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n v="3.4000000000000002E-2"/>
    <n v="25.5"/>
    <x v="0"/>
    <s v="drama"/>
    <x v="184"/>
    <d v="2014-08-31T22:59:00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n v="6.8999999999999997E-4"/>
    <n v="69"/>
    <x v="0"/>
    <s v="drama"/>
    <x v="189"/>
    <d v="2016-09-03T11:34:37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n v="0.58461538461538465"/>
    <n v="54.285714285714285"/>
    <x v="0"/>
    <s v="drama"/>
    <x v="201"/>
    <d v="2015-02-08T14:38:49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n v="0.55698440000000005"/>
    <n v="331.53833333333336"/>
    <x v="0"/>
    <s v="drama"/>
    <x v="216"/>
    <d v="2015-04-22T17:00:37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n v="7.1999999999999998E-3"/>
    <n v="120"/>
    <x v="0"/>
    <s v="drama"/>
    <x v="220"/>
    <d v="2015-08-20T15:06:0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n v="0"/>
    <e v="#DIV/0!"/>
    <x v="0"/>
    <s v="drama"/>
    <x v="236"/>
    <d v="2016-01-04T19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n v="2.9289999999999998"/>
    <n v="36.612499999999997"/>
    <x v="0"/>
    <s v="documentary"/>
    <x v="306"/>
    <d v="2013-03-20T14:05:33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n v="0"/>
    <e v="#DIV/0!"/>
    <x v="0"/>
    <s v="animation"/>
    <x v="441"/>
    <d v="2013-11-02T14:03:16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n v="2.8667813379201833E-3"/>
    <n v="71.666666666666671"/>
    <x v="0"/>
    <s v="animation"/>
    <x v="489"/>
    <d v="2012-01-05T06:33:00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n v="1.6666666666666667E-5"/>
    <n v="1"/>
    <x v="0"/>
    <s v="animation"/>
    <x v="496"/>
    <d v="2014-02-10T17:21:1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n v="1.0085"/>
    <n v="63.829113924050631"/>
    <x v="1"/>
    <s v="plays"/>
    <x v="527"/>
    <d v="2017-02-17T11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n v="2E-3"/>
    <n v="10"/>
    <x v="2"/>
    <s v="web"/>
    <x v="577"/>
    <d v="2016-05-20T09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n v="0.01"/>
    <n v="5"/>
    <x v="2"/>
    <s v="web"/>
    <x v="584"/>
    <d v="2015-03-16T11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n v="3.3444444444444443E-2"/>
    <n v="150.5"/>
    <x v="2"/>
    <s v="web"/>
    <x v="588"/>
    <d v="2016-11-17T14:28:06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n v="0"/>
    <e v="#DIV/0!"/>
    <x v="2"/>
    <s v="web"/>
    <x v="637"/>
    <d v="2017-02-25T18:04:00"/>
  </r>
  <r>
    <n v="638"/>
    <s v="W (Canceled)"/>
    <s v="O0"/>
    <x v="61"/>
    <x v="461"/>
    <x v="1"/>
    <x v="12"/>
    <s v="EUR"/>
    <n v="1490447662"/>
    <n v="1485267262"/>
    <b v="0"/>
    <n v="6"/>
    <b v="0"/>
    <x v="7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n v="1.0446206037108834"/>
    <n v="109.33695652173913"/>
    <x v="2"/>
    <s v="wearables"/>
    <x v="658"/>
    <d v="2015-07-26T13:00:00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n v="0.10214285714285715"/>
    <n v="44.6875"/>
    <x v="2"/>
    <s v="wearables"/>
    <x v="716"/>
    <d v="2014-11-30T19:00:00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n v="1.3065"/>
    <n v="43.55"/>
    <x v="3"/>
    <s v="nonfiction"/>
    <x v="729"/>
    <d v="2012-09-18T23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n v="1.05"/>
    <n v="58.333333333333336"/>
    <x v="4"/>
    <s v="rock"/>
    <x v="805"/>
    <d v="2011-07-16T18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n v="1.5571428571428572"/>
    <n v="28.684210526315791"/>
    <x v="4"/>
    <s v="rock"/>
    <x v="818"/>
    <d v="2012-08-07T12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n v="1.0060706666666666"/>
    <n v="97.993896103896105"/>
    <x v="4"/>
    <s v="rock"/>
    <x v="832"/>
    <d v="2012-01-21T03:13:00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n v="1.1725000000000001"/>
    <n v="58.625"/>
    <x v="4"/>
    <s v="rock"/>
    <x v="835"/>
    <d v="2012-05-18T22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n v="1.2200090909090908"/>
    <n v="28.553404255319148"/>
    <x v="4"/>
    <s v="metal"/>
    <x v="846"/>
    <d v="2014-03-10T09:00:00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n v="0"/>
    <e v="#DIV/0!"/>
    <x v="4"/>
    <s v="jazz"/>
    <x v="875"/>
    <d v="2015-09-21T12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n v="5.0256410256410255E-2"/>
    <n v="19.600000000000001"/>
    <x v="4"/>
    <s v="jazz"/>
    <x v="918"/>
    <d v="2014-12-01T17:59:21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n v="0.28039999999999998"/>
    <n v="58.416666666666664"/>
    <x v="2"/>
    <s v="wearables"/>
    <x v="950"/>
    <d v="2016-01-17T13:01:01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n v="0"/>
    <e v="#DIV/0!"/>
    <x v="2"/>
    <s v="wearables"/>
    <x v="988"/>
    <d v="2016-10-01T03:33:45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n v="1.4133333333333333E-2"/>
    <n v="53"/>
    <x v="5"/>
    <s v="audio"/>
    <x v="1048"/>
    <d v="2016-09-24T20:16:29"/>
  </r>
  <r>
    <n v="1049"/>
    <s v="J1 (Canceled)"/>
    <s v="------"/>
    <x v="14"/>
    <x v="117"/>
    <x v="1"/>
    <x v="0"/>
    <s v="USD"/>
    <n v="1455272445"/>
    <n v="1452680445"/>
    <b v="0"/>
    <n v="0"/>
    <b v="0"/>
    <x v="16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n v="0"/>
    <e v="#DIV/0!"/>
    <x v="5"/>
    <s v="audio"/>
    <x v="1058"/>
    <d v="2015-03-25T19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n v="0"/>
    <e v="#DIV/0!"/>
    <x v="5"/>
    <s v="audio"/>
    <x v="1061"/>
    <d v="2016-05-01T20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n v="8.2000000000000007E-3"/>
    <n v="410"/>
    <x v="6"/>
    <s v="video games"/>
    <x v="1083"/>
    <d v="2014-08-02T10:49:4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n v="3.4200000000000001E-2"/>
    <n v="114"/>
    <x v="6"/>
    <s v="video games"/>
    <x v="1085"/>
    <d v="2016-03-14T10:06:1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n v="1.6714285714285713E-2"/>
    <n v="25.434782608695652"/>
    <x v="6"/>
    <s v="mobile games"/>
    <x v="1127"/>
    <d v="2014-11-14T16:30:00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n v="0"/>
    <e v="#DIV/0!"/>
    <x v="6"/>
    <s v="mobile games"/>
    <x v="1140"/>
    <d v="2015-08-06T06:05:21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n v="0"/>
    <e v="#DIV/0!"/>
    <x v="7"/>
    <s v="food trucks"/>
    <x v="1151"/>
    <d v="2015-09-06T21:27:43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n v="1E-3"/>
    <n v="25"/>
    <x v="7"/>
    <s v="food trucks"/>
    <x v="1171"/>
    <d v="2014-11-13T15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n v="1"/>
    <n v="50"/>
    <x v="1"/>
    <s v="plays"/>
    <x v="1302"/>
    <d v="2016-11-30T21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n v="1.1615384615384616"/>
    <n v="48.70967741935484"/>
    <x v="4"/>
    <s v="rock"/>
    <x v="1377"/>
    <d v="2017-02-02T23:11:00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n v="0.105"/>
    <n v="225"/>
    <x v="3"/>
    <s v="translations"/>
    <x v="1455"/>
    <d v="2014-09-05T08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n v="1.4766666666666666"/>
    <n v="35.44"/>
    <x v="3"/>
    <s v="radio &amp; podcasts"/>
    <x v="1463"/>
    <d v="2013-04-07T15:52:18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08:01:4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n v="7.1428571428571426E-3"/>
    <n v="25"/>
    <x v="3"/>
    <s v="fiction"/>
    <x v="1483"/>
    <d v="2016-07-21T23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n v="0.13639999999999999"/>
    <n v="155"/>
    <x v="3"/>
    <s v="art books"/>
    <x v="1568"/>
    <d v="2014-12-23T20:29:45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n v="0"/>
    <e v="#DIV/0!"/>
    <x v="8"/>
    <s v="places"/>
    <x v="1589"/>
    <d v="2015-10-09T18:38:0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n v="0.443"/>
    <n v="253.14285714285714"/>
    <x v="4"/>
    <s v="faith"/>
    <x v="1688"/>
    <d v="2017-04-09T06:49:54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n v="0.42725880551301687"/>
    <n v="34.024390243902438"/>
    <x v="4"/>
    <s v="faith"/>
    <x v="1717"/>
    <d v="2016-04-20T23:00:00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n v="1.147"/>
    <n v="42.481481481481481"/>
    <x v="8"/>
    <s v="photobooks"/>
    <x v="1758"/>
    <d v="2016-07-14T17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n v="1.1585714285714286"/>
    <n v="24.575757575757574"/>
    <x v="4"/>
    <s v="rock"/>
    <x v="1823"/>
    <d v="2012-10-24T11:26:16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n v="2.625"/>
    <n v="42"/>
    <x v="4"/>
    <s v="rock"/>
    <x v="1833"/>
    <d v="2013-03-02T02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n v="1.04"/>
    <n v="47.272727272727273"/>
    <x v="4"/>
    <s v="rock"/>
    <x v="1835"/>
    <d v="2016-03-31T10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n v="0.42472727272727273"/>
    <n v="83.428571428571431"/>
    <x v="8"/>
    <s v="people"/>
    <x v="1987"/>
    <d v="2015-03-01T10:21:1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n v="1.0033333333333334"/>
    <n v="188.125"/>
    <x v="4"/>
    <s v="indie rock"/>
    <x v="2098"/>
    <d v="2012-03-07T21:43:5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n v="2.0000000000000001E-4"/>
    <n v="1"/>
    <x v="6"/>
    <s v="video games"/>
    <x v="2146"/>
    <d v="2016-02-11T11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n v="0"/>
    <e v="#DIV/0!"/>
    <x v="6"/>
    <s v="video games"/>
    <x v="2149"/>
    <d v="2010-07-30T19:00:00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n v="0"/>
    <e v="#DIV/0!"/>
    <x v="7"/>
    <s v="food trucks"/>
    <x v="2417"/>
    <d v="2014-08-10T16:13:07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n v="2E-3"/>
    <n v="5"/>
    <x v="7"/>
    <s v="food trucks"/>
    <x v="2440"/>
    <d v="2016-02-13T16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n v="1.05"/>
    <n v="150"/>
    <x v="4"/>
    <s v="classical music"/>
    <x v="2534"/>
    <d v="2010-01-01T01:00:00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n v="0.106"/>
    <n v="48.18181818181818"/>
    <x v="7"/>
    <s v="food trucks"/>
    <x v="2581"/>
    <d v="2015-11-16T11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n v="5.1000000000000004E-4"/>
    <n v="8.5"/>
    <x v="2"/>
    <s v="space exploration"/>
    <x v="2654"/>
    <d v="2015-04-21T08:25:2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n v="9.2857142857142856E-4"/>
    <n v="22.75"/>
    <x v="2"/>
    <s v="space exploration"/>
    <x v="2658"/>
    <d v="2016-07-30T16:13:14"/>
  </r>
  <r>
    <n v="2659"/>
    <s v="test (Canceled)"/>
    <s v="test"/>
    <x v="197"/>
    <x v="1819"/>
    <x v="1"/>
    <x v="0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n v="3.3E-3"/>
    <n v="44"/>
    <x v="2"/>
    <s v="makerspaces"/>
    <x v="2679"/>
    <d v="2015-02-27T19:01:34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n v="0"/>
    <e v="#DIV/0!"/>
    <x v="7"/>
    <s v="food trucks"/>
    <x v="2687"/>
    <d v="2015-06-29T10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n v="1.121"/>
    <n v="44.25"/>
    <x v="1"/>
    <s v="plays"/>
    <x v="2806"/>
    <d v="2015-08-05T06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n v="1.1471959999999999"/>
    <n v="30.189368421052631"/>
    <x v="1"/>
    <s v="plays"/>
    <x v="2832"/>
    <d v="2014-11-23T17:00:00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n v="4.0000000000000002E-4"/>
    <n v="20"/>
    <x v="1"/>
    <s v="plays"/>
    <x v="2863"/>
    <d v="2014-09-09T11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n v="1"/>
    <n v="35.714285714285715"/>
    <x v="1"/>
    <s v="spaces"/>
    <x v="2988"/>
    <d v="2016-06-20T03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n v="1.0449999999999999"/>
    <n v="48.984375"/>
    <x v="1"/>
    <s v="spaces"/>
    <x v="2992"/>
    <d v="2016-10-09T13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n v="1.5227272727272728E-3"/>
    <n v="55.833333333333336"/>
    <x v="1"/>
    <s v="spaces"/>
    <x v="3060"/>
    <d v="2015-09-28T01:35:34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n v="6.6666666666666671E-3"/>
    <n v="10"/>
    <x v="1"/>
    <s v="spaces"/>
    <x v="3121"/>
    <d v="2014-09-26T11:18:5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n v="3.2499999999999997E-5"/>
    <n v="6.5"/>
    <x v="1"/>
    <s v="spaces"/>
    <x v="3124"/>
    <d v="2015-02-02T13:43:21"/>
  </r>
  <r>
    <n v="3125"/>
    <s v="N/A (Canceled)"/>
    <s v="N/A"/>
    <x v="86"/>
    <x v="117"/>
    <x v="1"/>
    <x v="0"/>
    <s v="USD"/>
    <n v="1452142672"/>
    <n v="1449550672"/>
    <b v="0"/>
    <n v="0"/>
    <b v="0"/>
    <x v="38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n v="1.01"/>
    <n v="98.536585365853654"/>
    <x v="1"/>
    <s v="plays"/>
    <x v="3157"/>
    <d v="2014-07-19T00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n v="1.25"/>
    <n v="50"/>
    <x v="1"/>
    <s v="plays"/>
    <x v="3227"/>
    <d v="2017-01-17T16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n v="1.016"/>
    <n v="203.2"/>
    <x v="1"/>
    <s v="plays"/>
    <x v="3284"/>
    <d v="2016-01-29T00:59:00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n v="1.3346666666666667"/>
    <n v="57.2"/>
    <x v="1"/>
    <s v="plays"/>
    <x v="3301"/>
    <d v="2016-08-01T01:59:00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n v="1.2714285714285714"/>
    <n v="72.950819672131146"/>
    <x v="1"/>
    <s v="plays"/>
    <x v="3466"/>
    <d v="2016-04-19T18:27:30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n v="1"/>
    <n v="125"/>
    <x v="1"/>
    <s v="plays"/>
    <x v="3530"/>
    <d v="2016-04-10T15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n v="2.02"/>
    <n v="59.411764705882355"/>
    <x v="1"/>
    <s v="plays"/>
    <x v="3599"/>
    <d v="2015-08-29T19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n v="1.008"/>
    <n v="63"/>
    <x v="1"/>
    <s v="plays"/>
    <x v="3699"/>
    <d v="2014-10-15T09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n v="1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n v="0.17666666666666667"/>
    <n v="81.538461538461533"/>
    <x v="1"/>
    <s v="plays"/>
    <x v="3860"/>
    <d v="2014-08-12T10:51:50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n v="0.05"/>
    <n v="100"/>
    <x v="1"/>
    <s v="plays"/>
    <x v="3861"/>
    <d v="2014-11-12T16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n v="0.1255"/>
    <n v="50.2"/>
    <x v="1"/>
    <s v="plays"/>
    <x v="3867"/>
    <d v="2016-06-18T14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n v="0"/>
    <e v="#DIV/0!"/>
    <x v="1"/>
    <s v="musical"/>
    <x v="3885"/>
    <d v="2016-05-09T17:49:51"/>
  </r>
  <r>
    <n v="3886"/>
    <s v="a (Canceled)"/>
    <n v="1"/>
    <x v="3"/>
    <x v="117"/>
    <x v="1"/>
    <x v="2"/>
    <s v="AUD"/>
    <n v="1418275702"/>
    <n v="1415683702"/>
    <b v="0"/>
    <n v="0"/>
    <b v="0"/>
    <x v="40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n v="0.16514285714285715"/>
    <n v="82.571428571428569"/>
    <x v="1"/>
    <s v="plays"/>
    <x v="3999"/>
    <d v="2014-08-31T14:51:4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n v="0.10050000000000001"/>
    <n v="100.5"/>
    <x v="1"/>
    <s v="plays"/>
    <x v="4003"/>
    <d v="2015-02-15T09:05:47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n v="4.7E-2"/>
    <n v="9.4"/>
    <x v="1"/>
    <s v="plays"/>
    <x v="4086"/>
    <d v="2015-11-20T23:00:00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16ACBA-E7C0-4515-B769-54A474E28C24}" name="PivotTable9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pledged" fld="4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2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92F52-6A1A-41F1-97EE-3D3BCFD1BEA0}">
  <dimension ref="A2:F15"/>
  <sheetViews>
    <sheetView workbookViewId="0">
      <selection activeCell="A3" sqref="A3"/>
    </sheetView>
  </sheetViews>
  <sheetFormatPr defaultRowHeight="14.4"/>
  <cols>
    <col min="1" max="1" width="14.33203125" bestFit="1" customWidth="1"/>
    <col min="2" max="2" width="15.5546875" bestFit="1" customWidth="1"/>
    <col min="3" max="3" width="11" bestFit="1" customWidth="1"/>
    <col min="4" max="4" width="10" bestFit="1" customWidth="1"/>
    <col min="5" max="6" width="12" bestFit="1" customWidth="1"/>
    <col min="7" max="9" width="2" bestFit="1" customWidth="1"/>
    <col min="10" max="36" width="3" bestFit="1" customWidth="1"/>
    <col min="37" max="67" width="4" bestFit="1" customWidth="1"/>
    <col min="68" max="68" width="7" bestFit="1" customWidth="1"/>
    <col min="69" max="82" width="4" bestFit="1" customWidth="1"/>
    <col min="83" max="83" width="7" bestFit="1" customWidth="1"/>
    <col min="84" max="94" width="4" bestFit="1" customWidth="1"/>
    <col min="95" max="144" width="5" bestFit="1" customWidth="1"/>
    <col min="145" max="145" width="8" bestFit="1" customWidth="1"/>
    <col min="146" max="156" width="5" bestFit="1" customWidth="1"/>
    <col min="157" max="171" width="6" bestFit="1" customWidth="1"/>
    <col min="172" max="172" width="9" bestFit="1" customWidth="1"/>
    <col min="173" max="178" width="6" bestFit="1" customWidth="1"/>
    <col min="179" max="179" width="7" bestFit="1" customWidth="1"/>
    <col min="180" max="180" width="10" bestFit="1" customWidth="1"/>
    <col min="181" max="181" width="11" bestFit="1" customWidth="1"/>
    <col min="182" max="182" width="13.21875" bestFit="1" customWidth="1"/>
    <col min="183" max="183" width="7.6640625" bestFit="1" customWidth="1"/>
    <col min="184" max="192" width="2" bestFit="1" customWidth="1"/>
    <col min="193" max="196" width="3" bestFit="1" customWidth="1"/>
    <col min="197" max="197" width="5" bestFit="1" customWidth="1"/>
    <col min="198" max="208" width="3" bestFit="1" customWidth="1"/>
    <col min="209" max="209" width="6" bestFit="1" customWidth="1"/>
    <col min="210" max="215" width="3" bestFit="1" customWidth="1"/>
    <col min="216" max="216" width="6" bestFit="1" customWidth="1"/>
    <col min="217" max="224" width="3" bestFit="1" customWidth="1"/>
    <col min="225" max="225" width="6" bestFit="1" customWidth="1"/>
    <col min="226" max="227" width="3" bestFit="1" customWidth="1"/>
    <col min="228" max="228" width="6" bestFit="1" customWidth="1"/>
    <col min="229" max="244" width="3" bestFit="1" customWidth="1"/>
    <col min="245" max="245" width="6" bestFit="1" customWidth="1"/>
    <col min="246" max="257" width="3" bestFit="1" customWidth="1"/>
    <col min="258" max="258" width="6" bestFit="1" customWidth="1"/>
    <col min="259" max="265" width="3" bestFit="1" customWidth="1"/>
    <col min="266" max="308" width="4" bestFit="1" customWidth="1"/>
    <col min="309" max="309" width="7" bestFit="1" customWidth="1"/>
    <col min="310" max="322" width="4" bestFit="1" customWidth="1"/>
    <col min="323" max="323" width="6" bestFit="1" customWidth="1"/>
    <col min="324" max="483" width="4" bestFit="1" customWidth="1"/>
    <col min="484" max="484" width="6" bestFit="1" customWidth="1"/>
    <col min="485" max="526" width="4" bestFit="1" customWidth="1"/>
    <col min="527" max="554" width="5" bestFit="1" customWidth="1"/>
    <col min="555" max="555" width="8" bestFit="1" customWidth="1"/>
    <col min="556" max="599" width="5" bestFit="1" customWidth="1"/>
    <col min="600" max="600" width="8" bestFit="1" customWidth="1"/>
    <col min="601" max="642" width="5" bestFit="1" customWidth="1"/>
    <col min="643" max="643" width="7" bestFit="1" customWidth="1"/>
    <col min="644" max="644" width="8" bestFit="1" customWidth="1"/>
    <col min="645" max="645" width="5" bestFit="1" customWidth="1"/>
    <col min="646" max="646" width="8" bestFit="1" customWidth="1"/>
    <col min="647" max="665" width="5" bestFit="1" customWidth="1"/>
    <col min="666" max="666" width="8" bestFit="1" customWidth="1"/>
    <col min="667" max="704" width="5" bestFit="1" customWidth="1"/>
    <col min="705" max="705" width="8" bestFit="1" customWidth="1"/>
    <col min="706" max="728" width="5" bestFit="1" customWidth="1"/>
    <col min="729" max="729" width="8" bestFit="1" customWidth="1"/>
    <col min="730" max="734" width="5" bestFit="1" customWidth="1"/>
    <col min="735" max="735" width="8" bestFit="1" customWidth="1"/>
    <col min="736" max="751" width="5" bestFit="1" customWidth="1"/>
    <col min="752" max="752" width="8" bestFit="1" customWidth="1"/>
    <col min="753" max="753" width="5" bestFit="1" customWidth="1"/>
    <col min="754" max="755" width="8" bestFit="1" customWidth="1"/>
    <col min="756" max="768" width="5" bestFit="1" customWidth="1"/>
    <col min="769" max="769" width="8" bestFit="1" customWidth="1"/>
    <col min="770" max="779" width="5" bestFit="1" customWidth="1"/>
    <col min="780" max="780" width="8" bestFit="1" customWidth="1"/>
    <col min="781" max="790" width="5" bestFit="1" customWidth="1"/>
    <col min="791" max="816" width="6" bestFit="1" customWidth="1"/>
    <col min="817" max="817" width="9" bestFit="1" customWidth="1"/>
    <col min="818" max="826" width="6" bestFit="1" customWidth="1"/>
    <col min="827" max="828" width="9" bestFit="1" customWidth="1"/>
    <col min="829" max="829" width="6" bestFit="1" customWidth="1"/>
    <col min="830" max="830" width="9" bestFit="1" customWidth="1"/>
    <col min="831" max="839" width="6" bestFit="1" customWidth="1"/>
    <col min="840" max="840" width="8" bestFit="1" customWidth="1"/>
    <col min="841" max="841" width="6" bestFit="1" customWidth="1"/>
    <col min="842" max="842" width="10" bestFit="1" customWidth="1"/>
    <col min="843" max="843" width="9" bestFit="1" customWidth="1"/>
    <col min="844" max="845" width="7" bestFit="1" customWidth="1"/>
    <col min="846" max="846" width="10.33203125" bestFit="1" customWidth="1"/>
    <col min="847" max="847" width="5.88671875" bestFit="1" customWidth="1"/>
    <col min="848" max="848" width="2" bestFit="1" customWidth="1"/>
    <col min="849" max="855" width="3" bestFit="1" customWidth="1"/>
    <col min="856" max="869" width="4" bestFit="1" customWidth="1"/>
    <col min="870" max="886" width="5" bestFit="1" customWidth="1"/>
    <col min="887" max="889" width="6" bestFit="1" customWidth="1"/>
    <col min="890" max="890" width="9" bestFit="1" customWidth="1"/>
    <col min="891" max="891" width="8.5546875" bestFit="1" customWidth="1"/>
    <col min="892" max="892" width="11.44140625" bestFit="1" customWidth="1"/>
    <col min="893" max="899" width="3" bestFit="1" customWidth="1"/>
    <col min="900" max="944" width="4" bestFit="1" customWidth="1"/>
    <col min="945" max="946" width="7" bestFit="1" customWidth="1"/>
    <col min="947" max="949" width="4" bestFit="1" customWidth="1"/>
    <col min="950" max="950" width="7" bestFit="1" customWidth="1"/>
    <col min="951" max="958" width="4" bestFit="1" customWidth="1"/>
    <col min="959" max="959" width="6" bestFit="1" customWidth="1"/>
    <col min="960" max="964" width="4" bestFit="1" customWidth="1"/>
    <col min="965" max="965" width="7" bestFit="1" customWidth="1"/>
    <col min="966" max="971" width="4" bestFit="1" customWidth="1"/>
    <col min="972" max="972" width="7" bestFit="1" customWidth="1"/>
    <col min="973" max="973" width="4" bestFit="1" customWidth="1"/>
    <col min="974" max="974" width="7" bestFit="1" customWidth="1"/>
    <col min="975" max="984" width="4" bestFit="1" customWidth="1"/>
    <col min="985" max="985" width="7" bestFit="1" customWidth="1"/>
    <col min="986" max="1003" width="4" bestFit="1" customWidth="1"/>
    <col min="1004" max="1004" width="7" bestFit="1" customWidth="1"/>
    <col min="1005" max="1013" width="4" bestFit="1" customWidth="1"/>
    <col min="1014" max="1014" width="7" bestFit="1" customWidth="1"/>
    <col min="1015" max="1016" width="4" bestFit="1" customWidth="1"/>
    <col min="1017" max="1017" width="7" bestFit="1" customWidth="1"/>
    <col min="1018" max="1028" width="4" bestFit="1" customWidth="1"/>
    <col min="1029" max="1029" width="7" bestFit="1" customWidth="1"/>
    <col min="1030" max="1050" width="4" bestFit="1" customWidth="1"/>
    <col min="1051" max="1051" width="7" bestFit="1" customWidth="1"/>
    <col min="1052" max="1071" width="4" bestFit="1" customWidth="1"/>
    <col min="1072" max="1072" width="7" bestFit="1" customWidth="1"/>
    <col min="1073" max="1084" width="4" bestFit="1" customWidth="1"/>
    <col min="1085" max="1085" width="5" bestFit="1" customWidth="1"/>
    <col min="1086" max="1087" width="8" bestFit="1" customWidth="1"/>
    <col min="1088" max="1088" width="5" bestFit="1" customWidth="1"/>
    <col min="1089" max="1089" width="8" bestFit="1" customWidth="1"/>
    <col min="1090" max="1101" width="5" bestFit="1" customWidth="1"/>
    <col min="1102" max="1102" width="8" bestFit="1" customWidth="1"/>
    <col min="1103" max="1105" width="5" bestFit="1" customWidth="1"/>
    <col min="1106" max="1106" width="8" bestFit="1" customWidth="1"/>
    <col min="1107" max="1110" width="5" bestFit="1" customWidth="1"/>
    <col min="1111" max="1111" width="7" bestFit="1" customWidth="1"/>
    <col min="1112" max="1112" width="5" bestFit="1" customWidth="1"/>
    <col min="1113" max="1113" width="8" bestFit="1" customWidth="1"/>
    <col min="1114" max="1116" width="5" bestFit="1" customWidth="1"/>
    <col min="1117" max="1117" width="8" bestFit="1" customWidth="1"/>
    <col min="1118" max="1118" width="5" bestFit="1" customWidth="1"/>
    <col min="1119" max="1119" width="7" bestFit="1" customWidth="1"/>
    <col min="1120" max="1124" width="5" bestFit="1" customWidth="1"/>
    <col min="1125" max="1125" width="7" bestFit="1" customWidth="1"/>
    <col min="1126" max="1137" width="5" bestFit="1" customWidth="1"/>
    <col min="1138" max="1138" width="8" bestFit="1" customWidth="1"/>
    <col min="1139" max="1152" width="5" bestFit="1" customWidth="1"/>
    <col min="1153" max="1153" width="8" bestFit="1" customWidth="1"/>
    <col min="1154" max="1185" width="5" bestFit="1" customWidth="1"/>
    <col min="1186" max="1187" width="8" bestFit="1" customWidth="1"/>
    <col min="1188" max="1195" width="5" bestFit="1" customWidth="1"/>
    <col min="1196" max="1197" width="8" bestFit="1" customWidth="1"/>
    <col min="1198" max="1203" width="5" bestFit="1" customWidth="1"/>
    <col min="1204" max="1204" width="8" bestFit="1" customWidth="1"/>
    <col min="1205" max="1213" width="5" bestFit="1" customWidth="1"/>
    <col min="1214" max="1214" width="7" bestFit="1" customWidth="1"/>
    <col min="1215" max="1215" width="8" bestFit="1" customWidth="1"/>
    <col min="1216" max="1216" width="5" bestFit="1" customWidth="1"/>
    <col min="1217" max="1217" width="7" bestFit="1" customWidth="1"/>
    <col min="1218" max="1222" width="5" bestFit="1" customWidth="1"/>
    <col min="1223" max="1223" width="8" bestFit="1" customWidth="1"/>
    <col min="1224" max="1226" width="5" bestFit="1" customWidth="1"/>
    <col min="1227" max="1227" width="7" bestFit="1" customWidth="1"/>
    <col min="1228" max="1246" width="5" bestFit="1" customWidth="1"/>
    <col min="1247" max="1247" width="8" bestFit="1" customWidth="1"/>
    <col min="1248" max="1254" width="5" bestFit="1" customWidth="1"/>
    <col min="1255" max="1255" width="8" bestFit="1" customWidth="1"/>
    <col min="1256" max="1260" width="5" bestFit="1" customWidth="1"/>
    <col min="1261" max="1261" width="8" bestFit="1" customWidth="1"/>
    <col min="1262" max="1272" width="5" bestFit="1" customWidth="1"/>
    <col min="1273" max="1273" width="8" bestFit="1" customWidth="1"/>
    <col min="1274" max="1276" width="5" bestFit="1" customWidth="1"/>
    <col min="1277" max="1277" width="8" bestFit="1" customWidth="1"/>
    <col min="1278" max="1278" width="5" bestFit="1" customWidth="1"/>
    <col min="1279" max="1279" width="8" bestFit="1" customWidth="1"/>
    <col min="1280" max="1284" width="5" bestFit="1" customWidth="1"/>
    <col min="1285" max="1285" width="8" bestFit="1" customWidth="1"/>
    <col min="1286" max="1287" width="5" bestFit="1" customWidth="1"/>
    <col min="1288" max="1288" width="8" bestFit="1" customWidth="1"/>
    <col min="1289" max="1299" width="5" bestFit="1" customWidth="1"/>
    <col min="1300" max="1300" width="8" bestFit="1" customWidth="1"/>
    <col min="1301" max="1303" width="5" bestFit="1" customWidth="1"/>
    <col min="1304" max="1304" width="8" bestFit="1" customWidth="1"/>
    <col min="1305" max="1305" width="5" bestFit="1" customWidth="1"/>
    <col min="1306" max="1306" width="8" bestFit="1" customWidth="1"/>
    <col min="1307" max="1312" width="5" bestFit="1" customWidth="1"/>
    <col min="1313" max="1313" width="8" bestFit="1" customWidth="1"/>
    <col min="1314" max="1315" width="5" bestFit="1" customWidth="1"/>
    <col min="1316" max="1316" width="8" bestFit="1" customWidth="1"/>
    <col min="1317" max="1317" width="5" bestFit="1" customWidth="1"/>
    <col min="1318" max="1318" width="8" bestFit="1" customWidth="1"/>
    <col min="1319" max="1322" width="5" bestFit="1" customWidth="1"/>
    <col min="1323" max="1323" width="8" bestFit="1" customWidth="1"/>
    <col min="1324" max="1331" width="5" bestFit="1" customWidth="1"/>
    <col min="1332" max="1332" width="8" bestFit="1" customWidth="1"/>
    <col min="1333" max="1339" width="5" bestFit="1" customWidth="1"/>
    <col min="1340" max="1340" width="8" bestFit="1" customWidth="1"/>
    <col min="1341" max="1351" width="5" bestFit="1" customWidth="1"/>
    <col min="1352" max="1352" width="8" bestFit="1" customWidth="1"/>
    <col min="1353" max="1357" width="5" bestFit="1" customWidth="1"/>
    <col min="1358" max="1358" width="7" bestFit="1" customWidth="1"/>
    <col min="1359" max="1360" width="8" bestFit="1" customWidth="1"/>
    <col min="1361" max="1366" width="5" bestFit="1" customWidth="1"/>
    <col min="1367" max="1367" width="8" bestFit="1" customWidth="1"/>
    <col min="1368" max="1368" width="5" bestFit="1" customWidth="1"/>
    <col min="1369" max="1369" width="8" bestFit="1" customWidth="1"/>
    <col min="1370" max="1370" width="5" bestFit="1" customWidth="1"/>
    <col min="1371" max="1371" width="7" bestFit="1" customWidth="1"/>
    <col min="1372" max="1372" width="5" bestFit="1" customWidth="1"/>
    <col min="1373" max="1373" width="8" bestFit="1" customWidth="1"/>
    <col min="1374" max="1377" width="5" bestFit="1" customWidth="1"/>
    <col min="1378" max="1378" width="8" bestFit="1" customWidth="1"/>
    <col min="1379" max="1390" width="5" bestFit="1" customWidth="1"/>
    <col min="1391" max="1391" width="8" bestFit="1" customWidth="1"/>
    <col min="1392" max="1395" width="5" bestFit="1" customWidth="1"/>
    <col min="1396" max="1396" width="8" bestFit="1" customWidth="1"/>
    <col min="1397" max="1418" width="5" bestFit="1" customWidth="1"/>
    <col min="1419" max="1419" width="8" bestFit="1" customWidth="1"/>
    <col min="1420" max="1422" width="5" bestFit="1" customWidth="1"/>
    <col min="1423" max="1423" width="8" bestFit="1" customWidth="1"/>
    <col min="1424" max="1424" width="5" bestFit="1" customWidth="1"/>
    <col min="1425" max="1426" width="8" bestFit="1" customWidth="1"/>
    <col min="1427" max="1427" width="5" bestFit="1" customWidth="1"/>
    <col min="1428" max="1428" width="8" bestFit="1" customWidth="1"/>
    <col min="1429" max="1432" width="5" bestFit="1" customWidth="1"/>
    <col min="1433" max="1433" width="8" bestFit="1" customWidth="1"/>
    <col min="1434" max="1440" width="5" bestFit="1" customWidth="1"/>
    <col min="1441" max="1441" width="8" bestFit="1" customWidth="1"/>
    <col min="1442" max="1466" width="5" bestFit="1" customWidth="1"/>
    <col min="1467" max="1467" width="7" bestFit="1" customWidth="1"/>
    <col min="1468" max="1468" width="5" bestFit="1" customWidth="1"/>
    <col min="1469" max="1469" width="7" bestFit="1" customWidth="1"/>
    <col min="1470" max="1478" width="5" bestFit="1" customWidth="1"/>
    <col min="1479" max="1479" width="8" bestFit="1" customWidth="1"/>
    <col min="1480" max="1483" width="5" bestFit="1" customWidth="1"/>
    <col min="1484" max="1484" width="8" bestFit="1" customWidth="1"/>
    <col min="1485" max="1492" width="5" bestFit="1" customWidth="1"/>
    <col min="1493" max="1494" width="8" bestFit="1" customWidth="1"/>
    <col min="1495" max="1502" width="5" bestFit="1" customWidth="1"/>
    <col min="1503" max="1503" width="8" bestFit="1" customWidth="1"/>
    <col min="1504" max="1513" width="5" bestFit="1" customWidth="1"/>
    <col min="1514" max="1514" width="8" bestFit="1" customWidth="1"/>
    <col min="1515" max="1524" width="5" bestFit="1" customWidth="1"/>
    <col min="1525" max="1525" width="8" bestFit="1" customWidth="1"/>
    <col min="1526" max="1528" width="5" bestFit="1" customWidth="1"/>
    <col min="1529" max="1529" width="8" bestFit="1" customWidth="1"/>
    <col min="1530" max="1531" width="5" bestFit="1" customWidth="1"/>
    <col min="1532" max="1532" width="8" bestFit="1" customWidth="1"/>
    <col min="1533" max="1535" width="5" bestFit="1" customWidth="1"/>
    <col min="1536" max="1536" width="8" bestFit="1" customWidth="1"/>
    <col min="1537" max="1542" width="5" bestFit="1" customWidth="1"/>
    <col min="1543" max="1543" width="8" bestFit="1" customWidth="1"/>
    <col min="1544" max="1549" width="5" bestFit="1" customWidth="1"/>
    <col min="1550" max="1550" width="8" bestFit="1" customWidth="1"/>
    <col min="1551" max="1554" width="5" bestFit="1" customWidth="1"/>
    <col min="1555" max="1555" width="8" bestFit="1" customWidth="1"/>
    <col min="1556" max="1595" width="5" bestFit="1" customWidth="1"/>
    <col min="1596" max="1596" width="8" bestFit="1" customWidth="1"/>
    <col min="1597" max="1600" width="5" bestFit="1" customWidth="1"/>
    <col min="1601" max="1601" width="8" bestFit="1" customWidth="1"/>
    <col min="1602" max="1604" width="5" bestFit="1" customWidth="1"/>
    <col min="1605" max="1605" width="8" bestFit="1" customWidth="1"/>
    <col min="1606" max="1611" width="5" bestFit="1" customWidth="1"/>
    <col min="1612" max="1612" width="7" bestFit="1" customWidth="1"/>
    <col min="1613" max="1618" width="5" bestFit="1" customWidth="1"/>
    <col min="1619" max="1619" width="8" bestFit="1" customWidth="1"/>
    <col min="1620" max="1621" width="5" bestFit="1" customWidth="1"/>
    <col min="1622" max="1622" width="8" bestFit="1" customWidth="1"/>
    <col min="1623" max="1628" width="5" bestFit="1" customWidth="1"/>
    <col min="1629" max="1629" width="8" bestFit="1" customWidth="1"/>
    <col min="1630" max="1640" width="5" bestFit="1" customWidth="1"/>
    <col min="1641" max="1641" width="8" bestFit="1" customWidth="1"/>
    <col min="1642" max="1658" width="5" bestFit="1" customWidth="1"/>
    <col min="1659" max="1659" width="8" bestFit="1" customWidth="1"/>
    <col min="1660" max="1664" width="5" bestFit="1" customWidth="1"/>
    <col min="1665" max="1665" width="7" bestFit="1" customWidth="1"/>
    <col min="1666" max="1669" width="5" bestFit="1" customWidth="1"/>
    <col min="1670" max="1671" width="8" bestFit="1" customWidth="1"/>
    <col min="1672" max="1672" width="7" bestFit="1" customWidth="1"/>
    <col min="1673" max="1673" width="8" bestFit="1" customWidth="1"/>
    <col min="1674" max="1675" width="5" bestFit="1" customWidth="1"/>
    <col min="1676" max="1676" width="7" bestFit="1" customWidth="1"/>
    <col min="1677" max="1686" width="5" bestFit="1" customWidth="1"/>
    <col min="1687" max="1687" width="7" bestFit="1" customWidth="1"/>
    <col min="1688" max="1688" width="5" bestFit="1" customWidth="1"/>
    <col min="1689" max="1689" width="8" bestFit="1" customWidth="1"/>
    <col min="1690" max="1690" width="7" bestFit="1" customWidth="1"/>
    <col min="1691" max="1694" width="5" bestFit="1" customWidth="1"/>
    <col min="1695" max="1695" width="8" bestFit="1" customWidth="1"/>
    <col min="1696" max="1703" width="5" bestFit="1" customWidth="1"/>
    <col min="1704" max="1704" width="8" bestFit="1" customWidth="1"/>
    <col min="1705" max="1705" width="5" bestFit="1" customWidth="1"/>
    <col min="1706" max="1706" width="8" bestFit="1" customWidth="1"/>
    <col min="1707" max="1724" width="5" bestFit="1" customWidth="1"/>
    <col min="1725" max="1725" width="8" bestFit="1" customWidth="1"/>
    <col min="1726" max="1726" width="5" bestFit="1" customWidth="1"/>
    <col min="1727" max="1727" width="8" bestFit="1" customWidth="1"/>
    <col min="1728" max="1740" width="5" bestFit="1" customWidth="1"/>
    <col min="1741" max="1741" width="8" bestFit="1" customWidth="1"/>
    <col min="1742" max="1742" width="5" bestFit="1" customWidth="1"/>
    <col min="1743" max="1743" width="8" bestFit="1" customWidth="1"/>
    <col min="1744" max="1748" width="5" bestFit="1" customWidth="1"/>
    <col min="1749" max="1749" width="7" bestFit="1" customWidth="1"/>
    <col min="1750" max="1757" width="5" bestFit="1" customWidth="1"/>
    <col min="1758" max="1759" width="8" bestFit="1" customWidth="1"/>
    <col min="1760" max="1764" width="5" bestFit="1" customWidth="1"/>
    <col min="1765" max="1765" width="8" bestFit="1" customWidth="1"/>
    <col min="1766" max="1766" width="5" bestFit="1" customWidth="1"/>
    <col min="1767" max="1767" width="8" bestFit="1" customWidth="1"/>
    <col min="1768" max="1768" width="5" bestFit="1" customWidth="1"/>
    <col min="1769" max="1770" width="8" bestFit="1" customWidth="1"/>
    <col min="1771" max="1775" width="5" bestFit="1" customWidth="1"/>
    <col min="1776" max="1776" width="8" bestFit="1" customWidth="1"/>
    <col min="1777" max="1783" width="5" bestFit="1" customWidth="1"/>
    <col min="1784" max="1784" width="8" bestFit="1" customWidth="1"/>
    <col min="1785" max="1787" width="5" bestFit="1" customWidth="1"/>
    <col min="1788" max="1788" width="7" bestFit="1" customWidth="1"/>
    <col min="1789" max="1791" width="5" bestFit="1" customWidth="1"/>
    <col min="1792" max="1792" width="8" bestFit="1" customWidth="1"/>
    <col min="1793" max="1793" width="5" bestFit="1" customWidth="1"/>
    <col min="1794" max="1794" width="7" bestFit="1" customWidth="1"/>
    <col min="1795" max="1803" width="5" bestFit="1" customWidth="1"/>
    <col min="1804" max="1804" width="8" bestFit="1" customWidth="1"/>
    <col min="1805" max="1806" width="5" bestFit="1" customWidth="1"/>
    <col min="1807" max="1807" width="8" bestFit="1" customWidth="1"/>
    <col min="1808" max="1810" width="5" bestFit="1" customWidth="1"/>
    <col min="1811" max="1811" width="8" bestFit="1" customWidth="1"/>
    <col min="1812" max="1814" width="5" bestFit="1" customWidth="1"/>
    <col min="1815" max="1815" width="8" bestFit="1" customWidth="1"/>
    <col min="1816" max="1816" width="5" bestFit="1" customWidth="1"/>
    <col min="1817" max="1817" width="8" bestFit="1" customWidth="1"/>
    <col min="1818" max="1820" width="5" bestFit="1" customWidth="1"/>
    <col min="1821" max="1821" width="8" bestFit="1" customWidth="1"/>
    <col min="1822" max="1832" width="5" bestFit="1" customWidth="1"/>
    <col min="1833" max="1833" width="8" bestFit="1" customWidth="1"/>
    <col min="1834" max="1842" width="5" bestFit="1" customWidth="1"/>
    <col min="1843" max="1843" width="7" bestFit="1" customWidth="1"/>
    <col min="1844" max="1854" width="5" bestFit="1" customWidth="1"/>
    <col min="1855" max="1855" width="8" bestFit="1" customWidth="1"/>
    <col min="1856" max="1862" width="5" bestFit="1" customWidth="1"/>
    <col min="1863" max="1863" width="8" bestFit="1" customWidth="1"/>
    <col min="1864" max="1864" width="5" bestFit="1" customWidth="1"/>
    <col min="1865" max="1865" width="8" bestFit="1" customWidth="1"/>
    <col min="1866" max="1870" width="5" bestFit="1" customWidth="1"/>
    <col min="1871" max="1871" width="8" bestFit="1" customWidth="1"/>
    <col min="1872" max="1874" width="5" bestFit="1" customWidth="1"/>
    <col min="1875" max="1876" width="8" bestFit="1" customWidth="1"/>
    <col min="1877" max="1877" width="5" bestFit="1" customWidth="1"/>
    <col min="1878" max="1878" width="8" bestFit="1" customWidth="1"/>
    <col min="1879" max="1913" width="5" bestFit="1" customWidth="1"/>
    <col min="1914" max="1914" width="8" bestFit="1" customWidth="1"/>
    <col min="1915" max="1915" width="7" bestFit="1" customWidth="1"/>
    <col min="1916" max="1918" width="5" bestFit="1" customWidth="1"/>
    <col min="1919" max="1919" width="8" bestFit="1" customWidth="1"/>
    <col min="1920" max="1928" width="5" bestFit="1" customWidth="1"/>
    <col min="1929" max="1930" width="8" bestFit="1" customWidth="1"/>
    <col min="1931" max="1931" width="5" bestFit="1" customWidth="1"/>
    <col min="1932" max="1932" width="8" bestFit="1" customWidth="1"/>
    <col min="1933" max="1939" width="5" bestFit="1" customWidth="1"/>
    <col min="1940" max="1940" width="8" bestFit="1" customWidth="1"/>
    <col min="1941" max="1942" width="5" bestFit="1" customWidth="1"/>
    <col min="1943" max="1943" width="8" bestFit="1" customWidth="1"/>
    <col min="1944" max="1949" width="5" bestFit="1" customWidth="1"/>
    <col min="1950" max="1950" width="8" bestFit="1" customWidth="1"/>
    <col min="1951" max="1951" width="7" bestFit="1" customWidth="1"/>
    <col min="1952" max="1952" width="8" bestFit="1" customWidth="1"/>
    <col min="1953" max="1958" width="5" bestFit="1" customWidth="1"/>
    <col min="1959" max="1959" width="8" bestFit="1" customWidth="1"/>
    <col min="1960" max="1963" width="5" bestFit="1" customWidth="1"/>
    <col min="1964" max="1964" width="8" bestFit="1" customWidth="1"/>
    <col min="1965" max="1967" width="5" bestFit="1" customWidth="1"/>
    <col min="1968" max="1968" width="8" bestFit="1" customWidth="1"/>
    <col min="1969" max="1970" width="5" bestFit="1" customWidth="1"/>
    <col min="1971" max="1971" width="8" bestFit="1" customWidth="1"/>
    <col min="1972" max="1979" width="5" bestFit="1" customWidth="1"/>
    <col min="1980" max="1980" width="8" bestFit="1" customWidth="1"/>
    <col min="1981" max="1982" width="5" bestFit="1" customWidth="1"/>
    <col min="1983" max="1983" width="8" bestFit="1" customWidth="1"/>
    <col min="1984" max="1986" width="5" bestFit="1" customWidth="1"/>
    <col min="1987" max="1987" width="8" bestFit="1" customWidth="1"/>
    <col min="1988" max="1994" width="5" bestFit="1" customWidth="1"/>
    <col min="1995" max="1995" width="8" bestFit="1" customWidth="1"/>
    <col min="1996" max="1998" width="5" bestFit="1" customWidth="1"/>
    <col min="1999" max="1999" width="8" bestFit="1" customWidth="1"/>
    <col min="2000" max="2001" width="5" bestFit="1" customWidth="1"/>
    <col min="2002" max="2002" width="8" bestFit="1" customWidth="1"/>
    <col min="2003" max="2006" width="5" bestFit="1" customWidth="1"/>
    <col min="2007" max="2007" width="8" bestFit="1" customWidth="1"/>
    <col min="2008" max="2013" width="5" bestFit="1" customWidth="1"/>
    <col min="2014" max="2014" width="8" bestFit="1" customWidth="1"/>
    <col min="2015" max="2016" width="5" bestFit="1" customWidth="1"/>
    <col min="2017" max="2017" width="8" bestFit="1" customWidth="1"/>
    <col min="2018" max="2023" width="5" bestFit="1" customWidth="1"/>
    <col min="2024" max="2026" width="8" bestFit="1" customWidth="1"/>
    <col min="2027" max="2028" width="5" bestFit="1" customWidth="1"/>
    <col min="2029" max="2029" width="8" bestFit="1" customWidth="1"/>
    <col min="2030" max="2032" width="5" bestFit="1" customWidth="1"/>
    <col min="2033" max="2033" width="8" bestFit="1" customWidth="1"/>
    <col min="2034" max="2036" width="5" bestFit="1" customWidth="1"/>
    <col min="2037" max="2037" width="8" bestFit="1" customWidth="1"/>
    <col min="2038" max="2041" width="5" bestFit="1" customWidth="1"/>
    <col min="2042" max="2042" width="8" bestFit="1" customWidth="1"/>
    <col min="2043" max="2048" width="5" bestFit="1" customWidth="1"/>
    <col min="2049" max="2049" width="8" bestFit="1" customWidth="1"/>
    <col min="2050" max="2050" width="7" bestFit="1" customWidth="1"/>
    <col min="2051" max="2062" width="5" bestFit="1" customWidth="1"/>
    <col min="2063" max="2063" width="8" bestFit="1" customWidth="1"/>
    <col min="2064" max="2074" width="5" bestFit="1" customWidth="1"/>
    <col min="2075" max="2075" width="8" bestFit="1" customWidth="1"/>
    <col min="2076" max="2076" width="5" bestFit="1" customWidth="1"/>
    <col min="2077" max="2078" width="8" bestFit="1" customWidth="1"/>
    <col min="2079" max="2087" width="5" bestFit="1" customWidth="1"/>
    <col min="2088" max="2088" width="8" bestFit="1" customWidth="1"/>
    <col min="2089" max="2090" width="5" bestFit="1" customWidth="1"/>
    <col min="2091" max="2091" width="8" bestFit="1" customWidth="1"/>
    <col min="2092" max="2094" width="5" bestFit="1" customWidth="1"/>
    <col min="2095" max="2095" width="8" bestFit="1" customWidth="1"/>
    <col min="2096" max="2101" width="5" bestFit="1" customWidth="1"/>
    <col min="2102" max="2102" width="8" bestFit="1" customWidth="1"/>
    <col min="2103" max="2113" width="5" bestFit="1" customWidth="1"/>
    <col min="2114" max="2114" width="8" bestFit="1" customWidth="1"/>
    <col min="2115" max="2121" width="5" bestFit="1" customWidth="1"/>
    <col min="2122" max="2122" width="8" bestFit="1" customWidth="1"/>
    <col min="2123" max="2124" width="5" bestFit="1" customWidth="1"/>
    <col min="2125" max="2125" width="8" bestFit="1" customWidth="1"/>
    <col min="2126" max="2128" width="5" bestFit="1" customWidth="1"/>
    <col min="2129" max="2129" width="8" bestFit="1" customWidth="1"/>
    <col min="2130" max="2130" width="5" bestFit="1" customWidth="1"/>
    <col min="2131" max="2131" width="8" bestFit="1" customWidth="1"/>
    <col min="2132" max="2142" width="5" bestFit="1" customWidth="1"/>
    <col min="2143" max="2143" width="8" bestFit="1" customWidth="1"/>
    <col min="2144" max="2144" width="5" bestFit="1" customWidth="1"/>
    <col min="2145" max="2145" width="7" bestFit="1" customWidth="1"/>
    <col min="2146" max="2146" width="8" bestFit="1" customWidth="1"/>
    <col min="2147" max="2150" width="5" bestFit="1" customWidth="1"/>
    <col min="2151" max="2151" width="8" bestFit="1" customWidth="1"/>
    <col min="2152" max="2152" width="5" bestFit="1" customWidth="1"/>
    <col min="2153" max="2153" width="8" bestFit="1" customWidth="1"/>
    <col min="2154" max="2162" width="5" bestFit="1" customWidth="1"/>
    <col min="2163" max="2166" width="6" bestFit="1" customWidth="1"/>
    <col min="2167" max="2167" width="9" bestFit="1" customWidth="1"/>
    <col min="2168" max="2173" width="6" bestFit="1" customWidth="1"/>
    <col min="2174" max="2174" width="8" bestFit="1" customWidth="1"/>
    <col min="2175" max="2186" width="6" bestFit="1" customWidth="1"/>
    <col min="2187" max="2187" width="9" bestFit="1" customWidth="1"/>
    <col min="2188" max="2190" width="6" bestFit="1" customWidth="1"/>
    <col min="2191" max="2191" width="9" bestFit="1" customWidth="1"/>
    <col min="2192" max="2195" width="6" bestFit="1" customWidth="1"/>
    <col min="2196" max="2196" width="9" bestFit="1" customWidth="1"/>
    <col min="2197" max="2207" width="6" bestFit="1" customWidth="1"/>
    <col min="2208" max="2208" width="9" bestFit="1" customWidth="1"/>
    <col min="2209" max="2222" width="6" bestFit="1" customWidth="1"/>
    <col min="2223" max="2223" width="9" bestFit="1" customWidth="1"/>
    <col min="2224" max="2227" width="6" bestFit="1" customWidth="1"/>
    <col min="2228" max="2228" width="9" bestFit="1" customWidth="1"/>
    <col min="2229" max="2230" width="6" bestFit="1" customWidth="1"/>
    <col min="2231" max="2231" width="9" bestFit="1" customWidth="1"/>
    <col min="2232" max="2235" width="6" bestFit="1" customWidth="1"/>
    <col min="2236" max="2236" width="9" bestFit="1" customWidth="1"/>
    <col min="2237" max="2239" width="6" bestFit="1" customWidth="1"/>
    <col min="2240" max="2240" width="8" bestFit="1" customWidth="1"/>
    <col min="2241" max="2245" width="6" bestFit="1" customWidth="1"/>
    <col min="2246" max="2246" width="9" bestFit="1" customWidth="1"/>
    <col min="2247" max="2251" width="6" bestFit="1" customWidth="1"/>
    <col min="2252" max="2252" width="8" bestFit="1" customWidth="1"/>
    <col min="2253" max="2253" width="9" bestFit="1" customWidth="1"/>
    <col min="2254" max="2258" width="6" bestFit="1" customWidth="1"/>
    <col min="2259" max="2259" width="8" bestFit="1" customWidth="1"/>
    <col min="2260" max="2260" width="6" bestFit="1" customWidth="1"/>
    <col min="2261" max="2261" width="9" bestFit="1" customWidth="1"/>
    <col min="2262" max="2265" width="6" bestFit="1" customWidth="1"/>
    <col min="2266" max="2266" width="9" bestFit="1" customWidth="1"/>
    <col min="2267" max="2267" width="6" bestFit="1" customWidth="1"/>
    <col min="2268" max="2268" width="8" bestFit="1" customWidth="1"/>
    <col min="2269" max="2269" width="9" bestFit="1" customWidth="1"/>
    <col min="2270" max="2270" width="6" bestFit="1" customWidth="1"/>
    <col min="2271" max="2271" width="9" bestFit="1" customWidth="1"/>
    <col min="2272" max="2282" width="6" bestFit="1" customWidth="1"/>
    <col min="2283" max="2283" width="8" bestFit="1" customWidth="1"/>
    <col min="2284" max="2284" width="6" bestFit="1" customWidth="1"/>
    <col min="2285" max="2285" width="9" bestFit="1" customWidth="1"/>
    <col min="2286" max="2286" width="8" bestFit="1" customWidth="1"/>
    <col min="2287" max="2291" width="6" bestFit="1" customWidth="1"/>
    <col min="2292" max="2292" width="9" bestFit="1" customWidth="1"/>
    <col min="2293" max="2293" width="8" bestFit="1" customWidth="1"/>
    <col min="2294" max="2297" width="6" bestFit="1" customWidth="1"/>
    <col min="2298" max="2299" width="9" bestFit="1" customWidth="1"/>
    <col min="2300" max="2303" width="6" bestFit="1" customWidth="1"/>
    <col min="2304" max="2304" width="8" bestFit="1" customWidth="1"/>
    <col min="2305" max="2307" width="6" bestFit="1" customWidth="1"/>
    <col min="2308" max="2308" width="8" bestFit="1" customWidth="1"/>
    <col min="2309" max="2311" width="6" bestFit="1" customWidth="1"/>
    <col min="2312" max="2312" width="9" bestFit="1" customWidth="1"/>
    <col min="2313" max="2316" width="6" bestFit="1" customWidth="1"/>
    <col min="2317" max="2318" width="9" bestFit="1" customWidth="1"/>
    <col min="2319" max="2320" width="6" bestFit="1" customWidth="1"/>
    <col min="2321" max="2321" width="9" bestFit="1" customWidth="1"/>
    <col min="2322" max="2326" width="6" bestFit="1" customWidth="1"/>
    <col min="2327" max="2327" width="9" bestFit="1" customWidth="1"/>
    <col min="2328" max="2333" width="6" bestFit="1" customWidth="1"/>
    <col min="2334" max="2334" width="9" bestFit="1" customWidth="1"/>
    <col min="2335" max="2336" width="6" bestFit="1" customWidth="1"/>
    <col min="2337" max="2337" width="8" bestFit="1" customWidth="1"/>
    <col min="2338" max="2338" width="9" bestFit="1" customWidth="1"/>
    <col min="2339" max="2339" width="6" bestFit="1" customWidth="1"/>
    <col min="2340" max="2340" width="9" bestFit="1" customWidth="1"/>
    <col min="2341" max="2344" width="6" bestFit="1" customWidth="1"/>
    <col min="2345" max="2345" width="9" bestFit="1" customWidth="1"/>
    <col min="2346" max="2347" width="6" bestFit="1" customWidth="1"/>
    <col min="2348" max="2348" width="9" bestFit="1" customWidth="1"/>
    <col min="2349" max="2357" width="6" bestFit="1" customWidth="1"/>
    <col min="2358" max="2358" width="8" bestFit="1" customWidth="1"/>
    <col min="2359" max="2360" width="6" bestFit="1" customWidth="1"/>
    <col min="2361" max="2361" width="9" bestFit="1" customWidth="1"/>
    <col min="2362" max="2362" width="8" bestFit="1" customWidth="1"/>
    <col min="2363" max="2369" width="6" bestFit="1" customWidth="1"/>
    <col min="2370" max="2370" width="8" bestFit="1" customWidth="1"/>
    <col min="2371" max="2372" width="9" bestFit="1" customWidth="1"/>
    <col min="2373" max="2374" width="6" bestFit="1" customWidth="1"/>
    <col min="2375" max="2375" width="9" bestFit="1" customWidth="1"/>
    <col min="2376" max="2376" width="8" bestFit="1" customWidth="1"/>
    <col min="2377" max="2382" width="6" bestFit="1" customWidth="1"/>
    <col min="2383" max="2383" width="9" bestFit="1" customWidth="1"/>
    <col min="2384" max="2384" width="6" bestFit="1" customWidth="1"/>
    <col min="2385" max="2385" width="9" bestFit="1" customWidth="1"/>
    <col min="2386" max="2388" width="6" bestFit="1" customWidth="1"/>
    <col min="2389" max="2389" width="9" bestFit="1" customWidth="1"/>
    <col min="2390" max="2391" width="6" bestFit="1" customWidth="1"/>
    <col min="2392" max="2393" width="9" bestFit="1" customWidth="1"/>
    <col min="2394" max="2394" width="6" bestFit="1" customWidth="1"/>
    <col min="2395" max="2395" width="9" bestFit="1" customWidth="1"/>
    <col min="2396" max="2405" width="6" bestFit="1" customWidth="1"/>
    <col min="2406" max="2406" width="9" bestFit="1" customWidth="1"/>
    <col min="2407" max="2422" width="6" bestFit="1" customWidth="1"/>
    <col min="2423" max="2423" width="8" bestFit="1" customWidth="1"/>
    <col min="2424" max="2424" width="6" bestFit="1" customWidth="1"/>
    <col min="2425" max="2425" width="9" bestFit="1" customWidth="1"/>
    <col min="2426" max="2429" width="6" bestFit="1" customWidth="1"/>
    <col min="2430" max="2430" width="9" bestFit="1" customWidth="1"/>
    <col min="2431" max="2437" width="6" bestFit="1" customWidth="1"/>
    <col min="2438" max="2438" width="9" bestFit="1" customWidth="1"/>
    <col min="2439" max="2443" width="6" bestFit="1" customWidth="1"/>
    <col min="2444" max="2444" width="9" bestFit="1" customWidth="1"/>
    <col min="2445" max="2447" width="6" bestFit="1" customWidth="1"/>
    <col min="2448" max="2448" width="9" bestFit="1" customWidth="1"/>
    <col min="2449" max="2449" width="8" bestFit="1" customWidth="1"/>
    <col min="2450" max="2450" width="9" bestFit="1" customWidth="1"/>
    <col min="2451" max="2457" width="6" bestFit="1" customWidth="1"/>
    <col min="2458" max="2458" width="9" bestFit="1" customWidth="1"/>
    <col min="2459" max="2459" width="6" bestFit="1" customWidth="1"/>
    <col min="2460" max="2460" width="8" bestFit="1" customWidth="1"/>
    <col min="2461" max="2461" width="9" bestFit="1" customWidth="1"/>
    <col min="2462" max="2463" width="6" bestFit="1" customWidth="1"/>
    <col min="2464" max="2464" width="9" bestFit="1" customWidth="1"/>
    <col min="2465" max="2476" width="6" bestFit="1" customWidth="1"/>
    <col min="2477" max="2478" width="9" bestFit="1" customWidth="1"/>
    <col min="2479" max="2484" width="6" bestFit="1" customWidth="1"/>
    <col min="2485" max="2485" width="9" bestFit="1" customWidth="1"/>
    <col min="2486" max="2489" width="6" bestFit="1" customWidth="1"/>
    <col min="2490" max="2491" width="8" bestFit="1" customWidth="1"/>
    <col min="2492" max="2499" width="6" bestFit="1" customWidth="1"/>
    <col min="2500" max="2500" width="9" bestFit="1" customWidth="1"/>
    <col min="2501" max="2502" width="6" bestFit="1" customWidth="1"/>
    <col min="2503" max="2503" width="9" bestFit="1" customWidth="1"/>
    <col min="2504" max="2508" width="6" bestFit="1" customWidth="1"/>
    <col min="2509" max="2509" width="8" bestFit="1" customWidth="1"/>
    <col min="2510" max="2510" width="9" bestFit="1" customWidth="1"/>
    <col min="2511" max="2511" width="6" bestFit="1" customWidth="1"/>
    <col min="2512" max="2512" width="9" bestFit="1" customWidth="1"/>
    <col min="2513" max="2517" width="6" bestFit="1" customWidth="1"/>
    <col min="2518" max="2518" width="8" bestFit="1" customWidth="1"/>
    <col min="2519" max="2520" width="6" bestFit="1" customWidth="1"/>
    <col min="2521" max="2521" width="9" bestFit="1" customWidth="1"/>
    <col min="2522" max="2523" width="6" bestFit="1" customWidth="1"/>
    <col min="2524" max="2525" width="9" bestFit="1" customWidth="1"/>
    <col min="2526" max="2526" width="6" bestFit="1" customWidth="1"/>
    <col min="2527" max="2527" width="8" bestFit="1" customWidth="1"/>
    <col min="2528" max="2528" width="6" bestFit="1" customWidth="1"/>
    <col min="2529" max="2531" width="9" bestFit="1" customWidth="1"/>
    <col min="2532" max="2532" width="6" bestFit="1" customWidth="1"/>
    <col min="2533" max="2533" width="9" bestFit="1" customWidth="1"/>
    <col min="2534" max="2535" width="6" bestFit="1" customWidth="1"/>
    <col min="2536" max="2536" width="8" bestFit="1" customWidth="1"/>
    <col min="2537" max="2540" width="6" bestFit="1" customWidth="1"/>
    <col min="2541" max="2542" width="9" bestFit="1" customWidth="1"/>
    <col min="2543" max="2543" width="6" bestFit="1" customWidth="1"/>
    <col min="2544" max="2544" width="9" bestFit="1" customWidth="1"/>
    <col min="2545" max="2546" width="6" bestFit="1" customWidth="1"/>
    <col min="2547" max="2548" width="9" bestFit="1" customWidth="1"/>
    <col min="2549" max="2552" width="6" bestFit="1" customWidth="1"/>
    <col min="2553" max="2553" width="9" bestFit="1" customWidth="1"/>
    <col min="2554" max="2554" width="6" bestFit="1" customWidth="1"/>
    <col min="2555" max="2556" width="9" bestFit="1" customWidth="1"/>
    <col min="2557" max="2557" width="6" bestFit="1" customWidth="1"/>
    <col min="2558" max="2558" width="9" bestFit="1" customWidth="1"/>
    <col min="2559" max="2562" width="6" bestFit="1" customWidth="1"/>
    <col min="2563" max="2564" width="8" bestFit="1" customWidth="1"/>
    <col min="2565" max="2570" width="6" bestFit="1" customWidth="1"/>
    <col min="2571" max="2571" width="9" bestFit="1" customWidth="1"/>
    <col min="2572" max="2572" width="8" bestFit="1" customWidth="1"/>
    <col min="2573" max="2575" width="9" bestFit="1" customWidth="1"/>
    <col min="2576" max="2576" width="6" bestFit="1" customWidth="1"/>
    <col min="2577" max="2577" width="9" bestFit="1" customWidth="1"/>
    <col min="2578" max="2579" width="6" bestFit="1" customWidth="1"/>
    <col min="2580" max="2580" width="8" bestFit="1" customWidth="1"/>
    <col min="2581" max="2583" width="6" bestFit="1" customWidth="1"/>
    <col min="2584" max="2584" width="9" bestFit="1" customWidth="1"/>
    <col min="2585" max="2585" width="6" bestFit="1" customWidth="1"/>
    <col min="2586" max="2586" width="9" bestFit="1" customWidth="1"/>
    <col min="2587" max="2588" width="6" bestFit="1" customWidth="1"/>
    <col min="2589" max="2589" width="9" bestFit="1" customWidth="1"/>
    <col min="2590" max="2594" width="6" bestFit="1" customWidth="1"/>
    <col min="2595" max="2595" width="9" bestFit="1" customWidth="1"/>
    <col min="2596" max="2597" width="6" bestFit="1" customWidth="1"/>
    <col min="2598" max="2598" width="9" bestFit="1" customWidth="1"/>
    <col min="2599" max="2602" width="6" bestFit="1" customWidth="1"/>
    <col min="2603" max="2604" width="9" bestFit="1" customWidth="1"/>
    <col min="2605" max="2605" width="6" bestFit="1" customWidth="1"/>
    <col min="2606" max="2606" width="9" bestFit="1" customWidth="1"/>
    <col min="2607" max="2607" width="6" bestFit="1" customWidth="1"/>
    <col min="2608" max="2609" width="9" bestFit="1" customWidth="1"/>
    <col min="2610" max="2612" width="6" bestFit="1" customWidth="1"/>
    <col min="2613" max="2613" width="9" bestFit="1" customWidth="1"/>
    <col min="2614" max="2615" width="8" bestFit="1" customWidth="1"/>
    <col min="2616" max="2616" width="9" bestFit="1" customWidth="1"/>
    <col min="2617" max="2617" width="6" bestFit="1" customWidth="1"/>
    <col min="2618" max="2618" width="9" bestFit="1" customWidth="1"/>
    <col min="2619" max="2619" width="6" bestFit="1" customWidth="1"/>
    <col min="2620" max="2620" width="9" bestFit="1" customWidth="1"/>
    <col min="2621" max="2623" width="6" bestFit="1" customWidth="1"/>
    <col min="2624" max="2624" width="9" bestFit="1" customWidth="1"/>
    <col min="2625" max="2627" width="6" bestFit="1" customWidth="1"/>
    <col min="2628" max="2628" width="9" bestFit="1" customWidth="1"/>
    <col min="2629" max="2634" width="6" bestFit="1" customWidth="1"/>
    <col min="2635" max="2635" width="8" bestFit="1" customWidth="1"/>
    <col min="2636" max="2639" width="6" bestFit="1" customWidth="1"/>
    <col min="2640" max="2640" width="9" bestFit="1" customWidth="1"/>
    <col min="2641" max="2641" width="6" bestFit="1" customWidth="1"/>
    <col min="2642" max="2643" width="9" bestFit="1" customWidth="1"/>
    <col min="2644" max="2654" width="6" bestFit="1" customWidth="1"/>
    <col min="2655" max="2656" width="9" bestFit="1" customWidth="1"/>
    <col min="2657" max="2659" width="6" bestFit="1" customWidth="1"/>
    <col min="2660" max="2660" width="8" bestFit="1" customWidth="1"/>
    <col min="2661" max="2661" width="6" bestFit="1" customWidth="1"/>
    <col min="2662" max="2662" width="9" bestFit="1" customWidth="1"/>
    <col min="2663" max="2665" width="6" bestFit="1" customWidth="1"/>
    <col min="2666" max="2666" width="8" bestFit="1" customWidth="1"/>
    <col min="2667" max="2670" width="6" bestFit="1" customWidth="1"/>
    <col min="2671" max="2672" width="9" bestFit="1" customWidth="1"/>
    <col min="2673" max="2673" width="6" bestFit="1" customWidth="1"/>
    <col min="2674" max="2674" width="9" bestFit="1" customWidth="1"/>
    <col min="2675" max="2680" width="6" bestFit="1" customWidth="1"/>
    <col min="2681" max="2681" width="8" bestFit="1" customWidth="1"/>
    <col min="2682" max="2682" width="6" bestFit="1" customWidth="1"/>
    <col min="2683" max="2683" width="9" bestFit="1" customWidth="1"/>
    <col min="2684" max="2685" width="6" bestFit="1" customWidth="1"/>
    <col min="2686" max="2686" width="8" bestFit="1" customWidth="1"/>
    <col min="2687" max="2687" width="9" bestFit="1" customWidth="1"/>
    <col min="2688" max="2688" width="6" bestFit="1" customWidth="1"/>
    <col min="2689" max="2689" width="9" bestFit="1" customWidth="1"/>
    <col min="2690" max="2691" width="6" bestFit="1" customWidth="1"/>
    <col min="2692" max="2693" width="9" bestFit="1" customWidth="1"/>
    <col min="2694" max="2694" width="6" bestFit="1" customWidth="1"/>
    <col min="2695" max="2695" width="9" bestFit="1" customWidth="1"/>
    <col min="2696" max="2697" width="6" bestFit="1" customWidth="1"/>
    <col min="2698" max="2698" width="9" bestFit="1" customWidth="1"/>
    <col min="2699" max="2700" width="6" bestFit="1" customWidth="1"/>
    <col min="2701" max="2701" width="9" bestFit="1" customWidth="1"/>
    <col min="2702" max="2702" width="8" bestFit="1" customWidth="1"/>
    <col min="2703" max="2704" width="6" bestFit="1" customWidth="1"/>
    <col min="2705" max="2705" width="8" bestFit="1" customWidth="1"/>
    <col min="2706" max="2706" width="6" bestFit="1" customWidth="1"/>
    <col min="2707" max="2707" width="9" bestFit="1" customWidth="1"/>
    <col min="2708" max="2708" width="8" bestFit="1" customWidth="1"/>
    <col min="2709" max="2709" width="6" bestFit="1" customWidth="1"/>
    <col min="2710" max="2711" width="9" bestFit="1" customWidth="1"/>
    <col min="2712" max="2715" width="6" bestFit="1" customWidth="1"/>
    <col min="2716" max="2717" width="9" bestFit="1" customWidth="1"/>
    <col min="2718" max="2718" width="8" bestFit="1" customWidth="1"/>
    <col min="2719" max="2719" width="6" bestFit="1" customWidth="1"/>
    <col min="2720" max="2720" width="8" bestFit="1" customWidth="1"/>
    <col min="2721" max="2722" width="9" bestFit="1" customWidth="1"/>
    <col min="2723" max="2723" width="7" bestFit="1" customWidth="1"/>
    <col min="2724" max="2724" width="10" bestFit="1" customWidth="1"/>
    <col min="2725" max="2726" width="7" bestFit="1" customWidth="1"/>
    <col min="2727" max="2727" width="10" bestFit="1" customWidth="1"/>
    <col min="2728" max="2729" width="7" bestFit="1" customWidth="1"/>
    <col min="2730" max="2730" width="9" bestFit="1" customWidth="1"/>
    <col min="2731" max="2731" width="7" bestFit="1" customWidth="1"/>
    <col min="2732" max="2736" width="10" bestFit="1" customWidth="1"/>
    <col min="2737" max="2741" width="7" bestFit="1" customWidth="1"/>
    <col min="2742" max="2742" width="10" bestFit="1" customWidth="1"/>
    <col min="2743" max="2743" width="7" bestFit="1" customWidth="1"/>
    <col min="2744" max="2744" width="10" bestFit="1" customWidth="1"/>
    <col min="2745" max="2746" width="7" bestFit="1" customWidth="1"/>
    <col min="2747" max="2751" width="10" bestFit="1" customWidth="1"/>
    <col min="2752" max="2752" width="7" bestFit="1" customWidth="1"/>
    <col min="2753" max="2753" width="10" bestFit="1" customWidth="1"/>
    <col min="2754" max="2754" width="7" bestFit="1" customWidth="1"/>
    <col min="2755" max="2755" width="9" bestFit="1" customWidth="1"/>
    <col min="2756" max="2758" width="7" bestFit="1" customWidth="1"/>
    <col min="2759" max="2759" width="10" bestFit="1" customWidth="1"/>
    <col min="2760" max="2760" width="9" bestFit="1" customWidth="1"/>
    <col min="2761" max="2761" width="10" bestFit="1" customWidth="1"/>
    <col min="2762" max="2762" width="9" bestFit="1" customWidth="1"/>
    <col min="2763" max="2763" width="10" bestFit="1" customWidth="1"/>
    <col min="2764" max="2768" width="7" bestFit="1" customWidth="1"/>
    <col min="2769" max="2769" width="10" bestFit="1" customWidth="1"/>
    <col min="2770" max="2770" width="7" bestFit="1" customWidth="1"/>
    <col min="2771" max="2771" width="10" bestFit="1" customWidth="1"/>
    <col min="2772" max="2772" width="9" bestFit="1" customWidth="1"/>
    <col min="2773" max="2773" width="10" bestFit="1" customWidth="1"/>
    <col min="2774" max="2774" width="7" bestFit="1" customWidth="1"/>
    <col min="2775" max="2775" width="9" bestFit="1" customWidth="1"/>
    <col min="2776" max="2776" width="10" bestFit="1" customWidth="1"/>
    <col min="2777" max="2777" width="7" bestFit="1" customWidth="1"/>
    <col min="2778" max="2779" width="10" bestFit="1" customWidth="1"/>
    <col min="2780" max="2780" width="7" bestFit="1" customWidth="1"/>
    <col min="2781" max="2781" width="10" bestFit="1" customWidth="1"/>
    <col min="2782" max="2782" width="7" bestFit="1" customWidth="1"/>
    <col min="2783" max="2783" width="10" bestFit="1" customWidth="1"/>
    <col min="2784" max="2784" width="7" bestFit="1" customWidth="1"/>
    <col min="2785" max="2785" width="9" bestFit="1" customWidth="1"/>
    <col min="2786" max="2786" width="10" bestFit="1" customWidth="1"/>
    <col min="2787" max="2791" width="7" bestFit="1" customWidth="1"/>
    <col min="2792" max="2795" width="10" bestFit="1" customWidth="1"/>
    <col min="2796" max="2797" width="7" bestFit="1" customWidth="1"/>
    <col min="2798" max="2798" width="10" bestFit="1" customWidth="1"/>
    <col min="2799" max="2800" width="11" bestFit="1" customWidth="1"/>
    <col min="2801" max="2801" width="14.21875" bestFit="1" customWidth="1"/>
    <col min="2802" max="2802" width="10.77734375" bestFit="1" customWidth="1"/>
  </cols>
  <sheetData>
    <row r="2" spans="1:6">
      <c r="A2" s="8" t="s">
        <v>8223</v>
      </c>
      <c r="B2" t="s">
        <v>8360</v>
      </c>
    </row>
    <row r="4" spans="1:6">
      <c r="A4" s="8" t="s">
        <v>8400</v>
      </c>
      <c r="B4" s="8" t="s">
        <v>8363</v>
      </c>
    </row>
    <row r="5" spans="1:6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9" t="s">
        <v>8310</v>
      </c>
      <c r="B6" s="10">
        <v>53469</v>
      </c>
      <c r="C6" s="10">
        <v>337771.78</v>
      </c>
      <c r="D6" s="10"/>
      <c r="E6" s="10">
        <v>5313576.17</v>
      </c>
      <c r="F6" s="10">
        <v>5704816.9500000002</v>
      </c>
    </row>
    <row r="7" spans="1:6">
      <c r="A7" s="9" t="s">
        <v>8336</v>
      </c>
      <c r="B7" s="10">
        <v>1127</v>
      </c>
      <c r="C7" s="10">
        <v>80300.509999999995</v>
      </c>
      <c r="D7" s="10">
        <v>6078</v>
      </c>
      <c r="E7" s="10">
        <v>849487.14</v>
      </c>
      <c r="F7" s="10">
        <v>936992.65</v>
      </c>
    </row>
    <row r="8" spans="1:6">
      <c r="A8" s="9" t="s">
        <v>8333</v>
      </c>
      <c r="B8" s="10"/>
      <c r="C8" s="10">
        <v>260905.32999999996</v>
      </c>
      <c r="D8" s="10"/>
      <c r="E8" s="10">
        <v>2791408.56</v>
      </c>
      <c r="F8" s="10">
        <v>3052313.89</v>
      </c>
    </row>
    <row r="9" spans="1:6">
      <c r="A9" s="9" t="s">
        <v>8331</v>
      </c>
      <c r="B9" s="10">
        <v>9537</v>
      </c>
      <c r="C9" s="10"/>
      <c r="D9" s="10"/>
      <c r="E9" s="10"/>
      <c r="F9" s="10">
        <v>9537</v>
      </c>
    </row>
    <row r="10" spans="1:6">
      <c r="A10" s="9" t="s">
        <v>8325</v>
      </c>
      <c r="B10" s="10">
        <v>9637</v>
      </c>
      <c r="C10" s="10">
        <v>66175.320000000007</v>
      </c>
      <c r="D10" s="10">
        <v>105800.38</v>
      </c>
      <c r="E10" s="10">
        <v>3147611.6399999997</v>
      </c>
      <c r="F10" s="10">
        <v>3329224.34</v>
      </c>
    </row>
    <row r="11" spans="1:6">
      <c r="A11" s="9" t="s">
        <v>8338</v>
      </c>
      <c r="B11" s="10"/>
      <c r="C11" s="10">
        <v>223920.30999999997</v>
      </c>
      <c r="D11" s="10"/>
      <c r="E11" s="10">
        <v>2177693.4200000004</v>
      </c>
      <c r="F11" s="10">
        <v>2401613.7300000004</v>
      </c>
    </row>
    <row r="12" spans="1:6">
      <c r="A12" s="9" t="s">
        <v>8322</v>
      </c>
      <c r="B12" s="10">
        <v>18781</v>
      </c>
      <c r="C12" s="10">
        <v>49591.25</v>
      </c>
      <c r="D12" s="10"/>
      <c r="E12" s="10">
        <v>1535350.9</v>
      </c>
      <c r="F12" s="10">
        <v>1603723.15</v>
      </c>
    </row>
    <row r="13" spans="1:6">
      <c r="A13" s="9" t="s">
        <v>8319</v>
      </c>
      <c r="B13" s="10">
        <v>2352021.5099999998</v>
      </c>
      <c r="C13" s="10">
        <v>1386682.01</v>
      </c>
      <c r="D13" s="10"/>
      <c r="E13" s="10">
        <v>19665020.160000008</v>
      </c>
      <c r="F13" s="10">
        <v>23403723.680000007</v>
      </c>
    </row>
    <row r="14" spans="1:6">
      <c r="A14" s="9" t="s">
        <v>8317</v>
      </c>
      <c r="B14" s="10">
        <v>98359</v>
      </c>
      <c r="C14" s="10">
        <v>433620.89</v>
      </c>
      <c r="D14" s="10">
        <v>84231</v>
      </c>
      <c r="E14" s="10">
        <v>5115585.3800000018</v>
      </c>
      <c r="F14" s="10">
        <v>5731796.2700000014</v>
      </c>
    </row>
    <row r="15" spans="1:6">
      <c r="A15" s="9" t="s">
        <v>8362</v>
      </c>
      <c r="B15" s="10">
        <v>2542931.5099999998</v>
      </c>
      <c r="C15" s="10">
        <v>2838967.4</v>
      </c>
      <c r="D15" s="10">
        <v>196109.38</v>
      </c>
      <c r="E15" s="10">
        <v>40595733.370000012</v>
      </c>
      <c r="F15" s="10">
        <v>46173741.660000011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T4115"/>
  <sheetViews>
    <sheetView tabSelected="1" topLeftCell="C2739" zoomScale="55" zoomScaleNormal="55" workbookViewId="0">
      <selection activeCell="K412" sqref="K412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2.77734375" customWidth="1"/>
    <col min="16" max="16" width="27.109375" customWidth="1"/>
    <col min="17" max="17" width="28.6640625" customWidth="1"/>
    <col min="18" max="18" width="27.6640625" customWidth="1"/>
    <col min="19" max="19" width="28.109375" customWidth="1"/>
    <col min="20" max="20" width="30.10937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7">
        <f>(E2/L2)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11">
        <f>(I2/86400)+25569+(-5/24)</f>
        <v>42207.916666666664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7">
        <f t="shared" ref="P3:P66" si="1">(E3/L3)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11">
        <f t="shared" si="3"/>
        <v>42555.838738425919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11">
        <f t="shared" si="3"/>
        <v>41899.333981481475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11">
        <f t="shared" si="3"/>
        <v>42260.549907407403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42262.610416666663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42316.494224537033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11">
        <f t="shared" si="3"/>
        <v>41404.84888888889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11">
        <f t="shared" si="3"/>
        <v>41918.890474537031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11">
        <f t="shared" si="3"/>
        <v>42353.756643518514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11">
        <f t="shared" si="3"/>
        <v>42226.72033564814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11">
        <f t="shared" si="3"/>
        <v>42163.458333333336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11">
        <f t="shared" si="3"/>
        <v>42261.666666666664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41701.693483796298</v>
      </c>
      <c r="T62" s="11">
        <f t="shared" si="3"/>
        <v>41720.791666666664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41409.605983796289</v>
      </c>
      <c r="T63" s="11">
        <f t="shared" si="3"/>
        <v>41431.605983796289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7">
        <f t="shared" ref="P67:P130" si="5">(E67/L67)</f>
        <v>132.05263157894737</v>
      </c>
      <c r="Q67" t="s">
        <v>8310</v>
      </c>
      <c r="R67" t="s">
        <v>8312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41207.801863425928</v>
      </c>
      <c r="T74" s="11">
        <f t="shared" si="7"/>
        <v>41227.791666666664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40996.936539351846</v>
      </c>
      <c r="T79" s="11">
        <f t="shared" si="7"/>
        <v>41049.915972222218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41099.950543981475</v>
      </c>
      <c r="T83" s="11">
        <f t="shared" si="7"/>
        <v>41103.918055555558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40322.331053240741</v>
      </c>
      <c r="T89" s="11">
        <f t="shared" si="7"/>
        <v>40331.861805555549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41402.543888888882</v>
      </c>
      <c r="T91" s="11">
        <f t="shared" si="7"/>
        <v>41427.543888888882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41214.586504629631</v>
      </c>
      <c r="T100" s="11">
        <f t="shared" si="7"/>
        <v>41250.770833333328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40987.568298611106</v>
      </c>
      <c r="T108" s="11">
        <f t="shared" si="7"/>
        <v>41001.568298611106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41717.834699074076</v>
      </c>
      <c r="T114" s="11">
        <f t="shared" si="7"/>
        <v>41741.875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40918.530601851853</v>
      </c>
      <c r="T117" s="11">
        <f t="shared" si="7"/>
        <v>40943.530601851853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7" t="e">
        <f t="shared" ref="P131:P194" si="9">(E131/L131)</f>
        <v>#DIV/0!</v>
      </c>
      <c r="Q131" t="s">
        <v>8310</v>
      </c>
      <c r="R131" t="s">
        <v>8313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41778.707083333335</v>
      </c>
      <c r="T132" s="11">
        <f t="shared" si="11"/>
        <v>41806.636111111111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42558.855810185181</v>
      </c>
      <c r="T145" s="11">
        <f t="shared" si="11"/>
        <v>42616.038194444445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41874.869212962956</v>
      </c>
      <c r="T154" s="11">
        <f t="shared" si="11"/>
        <v>41904.869212962956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42171.70475694444</v>
      </c>
      <c r="T162" s="11">
        <f t="shared" si="11"/>
        <v>42231.70475694444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42082.144942129627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7" t="e">
        <f t="shared" ref="P195:P258" si="13">(E195/L195)</f>
        <v>#DIV/0!</v>
      </c>
      <c r="Q195" t="s">
        <v>8310</v>
      </c>
      <c r="R195" t="s">
        <v>8314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41866.875034722216</v>
      </c>
      <c r="T202" s="11">
        <f t="shared" si="15"/>
        <v>41896.875034722216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42235.951585648145</v>
      </c>
      <c r="T213" s="11">
        <f t="shared" si="15"/>
        <v>42265.951585648145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42236.629166666666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42129.568877314814</v>
      </c>
      <c r="T232" s="11">
        <f t="shared" si="15"/>
        <v>42159.568877314814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42341.75059027777</v>
      </c>
      <c r="T233" s="11">
        <f t="shared" si="15"/>
        <v>42371.75059027777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42320.876145833332</v>
      </c>
      <c r="T238" s="11">
        <f t="shared" si="15"/>
        <v>42373.791666666664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42713.754166666666</v>
      </c>
      <c r="T240" s="11">
        <f t="shared" si="15"/>
        <v>42734.166666666664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40253.087500000001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40266.454374999994</v>
      </c>
      <c r="T254" s="11">
        <f t="shared" si="15"/>
        <v>40329.957638888889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42263.744328703702</v>
      </c>
      <c r="T256" s="11">
        <f t="shared" si="15"/>
        <v>42293.874999999993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7">
        <f t="shared" ref="P259:P322" si="17">(E259/L259)</f>
        <v>66.70405357142856</v>
      </c>
      <c r="Q259" t="s">
        <v>8310</v>
      </c>
      <c r="R259" t="s">
        <v>8315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40267.03738425926</v>
      </c>
      <c r="T267" s="11">
        <f t="shared" si="19"/>
        <v>40308.636111111111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40637.658217592594</v>
      </c>
      <c r="T272" s="11">
        <f t="shared" si="19"/>
        <v>40687.958333333328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41611.891909722217</v>
      </c>
      <c r="T273" s="11">
        <f t="shared" si="19"/>
        <v>41641.125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40966.873541666668</v>
      </c>
      <c r="T278" s="11">
        <f t="shared" si="19"/>
        <v>41026.831874999996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41744.382349537038</v>
      </c>
      <c r="T282" s="11">
        <f t="shared" si="19"/>
        <v>41789.382349537038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41313.607916666668</v>
      </c>
      <c r="T288" s="11">
        <f t="shared" si="19"/>
        <v>41358.566249999996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42089.519687499997</v>
      </c>
      <c r="T299" s="11">
        <f t="shared" si="19"/>
        <v>42124.957638888889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41031.862800925919</v>
      </c>
      <c r="T305" s="11">
        <f t="shared" si="19"/>
        <v>41061.862800925919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41353.587187499994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41282.736122685186</v>
      </c>
      <c r="T309" s="11">
        <f t="shared" si="19"/>
        <v>41312.736122685186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7">
        <f t="shared" ref="P323:P386" si="21">(E323/L323)</f>
        <v>106.62314540059347</v>
      </c>
      <c r="Q323" t="s">
        <v>8310</v>
      </c>
      <c r="R323" t="s">
        <v>8315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42261.291909722218</v>
      </c>
      <c r="T348" s="11">
        <f t="shared" si="23"/>
        <v>42291.291909722218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41934.86215277778</v>
      </c>
      <c r="T361" s="11">
        <f t="shared" si="23"/>
        <v>41957.008333333331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41019.584699074076</v>
      </c>
      <c r="T368" s="11">
        <f t="shared" si="23"/>
        <v>41049.584699074076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7">
        <f t="shared" ref="P387:P450" si="25">(E387/L387)</f>
        <v>111.79535864978902</v>
      </c>
      <c r="Q387" t="s">
        <v>8310</v>
      </c>
      <c r="R387" t="s">
        <v>8315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42548.86782407407</v>
      </c>
      <c r="T390" s="11">
        <f t="shared" si="27"/>
        <v>42578.86782407407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41673.854745370372</v>
      </c>
      <c r="T391" s="11">
        <f t="shared" si="27"/>
        <v>41705.749305555553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40864.833923611106</v>
      </c>
      <c r="T393" s="11">
        <f t="shared" si="27"/>
        <v>40894.832638888889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41082.356550925928</v>
      </c>
      <c r="T398" s="11">
        <f t="shared" si="27"/>
        <v>41097.356550925928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41646.419699074067</v>
      </c>
      <c r="T406" s="11">
        <f t="shared" si="27"/>
        <v>41675.75277777778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42113.773113425923</v>
      </c>
      <c r="T412" s="11">
        <f t="shared" si="27"/>
        <v>42173.773113425923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41360.762268518512</v>
      </c>
      <c r="T419" s="11">
        <f t="shared" si="27"/>
        <v>41371.981249999997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41863.052048611113</v>
      </c>
      <c r="T424" s="11">
        <f t="shared" si="27"/>
        <v>41893.052048611113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42285.700694444444</v>
      </c>
      <c r="T429" s="11">
        <f t="shared" si="27"/>
        <v>42299.582638888889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42526.662997685184</v>
      </c>
      <c r="T433" s="11">
        <f t="shared" si="27"/>
        <v>42556.662997685184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42228.421550925923</v>
      </c>
      <c r="T435" s="11">
        <f t="shared" si="27"/>
        <v>42288.421550925923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41919.553449074076</v>
      </c>
      <c r="T441" s="11">
        <f t="shared" si="27"/>
        <v>41929.553449074076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7">
        <f t="shared" ref="P451:P514" si="29">(E451/L451)</f>
        <v>9</v>
      </c>
      <c r="Q451" t="s">
        <v>8310</v>
      </c>
      <c r="R451" t="s">
        <v>8316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42107.49554398148</v>
      </c>
      <c r="T454" s="11">
        <f t="shared" si="31"/>
        <v>42137.49554398148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40970.794236111113</v>
      </c>
      <c r="T457" s="11">
        <f t="shared" si="31"/>
        <v>41015.813194444439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41547.486122685186</v>
      </c>
      <c r="T458" s="11">
        <f t="shared" si="31"/>
        <v>41568.957638888889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40704.918298611105</v>
      </c>
      <c r="T464" s="11">
        <f t="shared" si="31"/>
        <v>40764.918298611105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42488.640451388885</v>
      </c>
      <c r="T466" s="11">
        <f t="shared" si="31"/>
        <v>42508.640451388885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41040.959293981483</v>
      </c>
      <c r="T470" s="11">
        <f t="shared" si="31"/>
        <v>41100.952141203699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41465.29184027778</v>
      </c>
      <c r="T482" s="11">
        <f t="shared" si="31"/>
        <v>41495.29184027778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42447.688541666663</v>
      </c>
      <c r="T484" s="11">
        <f t="shared" si="31"/>
        <v>42474.398611111108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41381.297442129631</v>
      </c>
      <c r="T487" s="11">
        <f t="shared" si="31"/>
        <v>41411.297442129631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41113.760243055549</v>
      </c>
      <c r="T492" s="11">
        <f t="shared" si="31"/>
        <v>41143.760243055549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42366.774293981478</v>
      </c>
      <c r="T493" s="11">
        <f t="shared" si="31"/>
        <v>42396.774293981478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42114.517800925925</v>
      </c>
      <c r="T495" s="11">
        <f t="shared" si="31"/>
        <v>42144.517800925925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40247.677673611106</v>
      </c>
      <c r="T502" s="11">
        <f t="shared" si="31"/>
        <v>40306.719444444439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7">
        <f t="shared" ref="P515:P578" si="33">(E515/L515)</f>
        <v>102.38235294117646</v>
      </c>
      <c r="Q515" t="s">
        <v>8310</v>
      </c>
      <c r="R515" t="s">
        <v>8316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41218.183113425919</v>
      </c>
      <c r="T521" s="11">
        <f t="shared" si="35"/>
        <v>41248.183113425919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42711.336863425924</v>
      </c>
      <c r="T537" s="11">
        <f t="shared" si="35"/>
        <v>42741.336863425924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42179.136655092589</v>
      </c>
      <c r="T538" s="11">
        <f t="shared" si="35"/>
        <v>42219.541666666664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42692.180729166663</v>
      </c>
      <c r="T564" s="11">
        <f t="shared" si="35"/>
        <v>42722.180729166663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42165.576956018514</v>
      </c>
      <c r="T567" s="11">
        <f t="shared" si="35"/>
        <v>42195.576956018514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42388.589918981474</v>
      </c>
      <c r="T572" s="11">
        <f t="shared" si="35"/>
        <v>42418.589918981474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42282.507962962962</v>
      </c>
      <c r="T574" s="11">
        <f t="shared" si="35"/>
        <v>42312.549629629626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7">
        <f t="shared" ref="P579:P642" si="37">(E579/L579)</f>
        <v>10</v>
      </c>
      <c r="Q579" t="s">
        <v>8319</v>
      </c>
      <c r="R579" t="s">
        <v>8320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42631.561180555553</v>
      </c>
      <c r="T590" s="11">
        <f t="shared" si="39"/>
        <v>42691.602847222217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42082.861550925925</v>
      </c>
      <c r="T597" s="11">
        <f t="shared" si="39"/>
        <v>42127.861550925925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42194.149398148147</v>
      </c>
      <c r="T607" s="11">
        <f t="shared" si="39"/>
        <v>42239.149398148147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42584.823449074072</v>
      </c>
      <c r="T614" s="11">
        <f t="shared" si="39"/>
        <v>42614.823449074072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42761.167905092589</v>
      </c>
      <c r="T618" s="11">
        <f t="shared" si="39"/>
        <v>42791.167905092589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42507.090995370367</v>
      </c>
      <c r="T635" s="11">
        <f t="shared" si="39"/>
        <v>42538.749999999993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42683.211979166663</v>
      </c>
      <c r="T642" s="11">
        <f t="shared" si="39"/>
        <v>42698.749999999993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7">
        <f t="shared" ref="P643:P706" si="41">(E643/L643)</f>
        <v>151.31746031746033</v>
      </c>
      <c r="Q643" t="s">
        <v>8319</v>
      </c>
      <c r="R643" t="s">
        <v>8321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42477.554618055554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41838.623819444438</v>
      </c>
      <c r="T668" s="11">
        <f t="shared" si="43"/>
        <v>41868.623819444438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42012.559965277775</v>
      </c>
      <c r="T678" s="11">
        <f t="shared" si="43"/>
        <v>42042.559965277775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42808.515300925923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41866.722743055558</v>
      </c>
      <c r="T700" s="11">
        <f t="shared" si="43"/>
        <v>41899.875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42698.560034722221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7">
        <f t="shared" ref="P707:P770" si="45">(E707/L707)</f>
        <v>195.4</v>
      </c>
      <c r="Q707" t="s">
        <v>8319</v>
      </c>
      <c r="R707" t="s">
        <v>8321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42384.472592592589</v>
      </c>
      <c r="T714" s="11">
        <f t="shared" si="47"/>
        <v>42414.472592592589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41857.645856481475</v>
      </c>
      <c r="T719" s="11">
        <f t="shared" si="47"/>
        <v>41887.645856481475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42184.608206018514</v>
      </c>
      <c r="T725" s="11">
        <f t="shared" si="47"/>
        <v>42214.957638888889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41246.811909722222</v>
      </c>
      <c r="T729" s="11">
        <f t="shared" si="47"/>
        <v>41288.680555555555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41943.39576388889</v>
      </c>
      <c r="T740" s="11">
        <f t="shared" si="47"/>
        <v>41973.999305555553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42700.597372685188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41471.238518518519</v>
      </c>
      <c r="T765" s="11">
        <f t="shared" si="47"/>
        <v>41501.238518518519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7">
        <f t="shared" ref="P771:P834" si="49">(E771/L771)</f>
        <v>31.846153846153847</v>
      </c>
      <c r="Q771" t="s">
        <v>8322</v>
      </c>
      <c r="R771" t="s">
        <v>8324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41289.791307870364</v>
      </c>
      <c r="T772" s="11">
        <f t="shared" si="51"/>
        <v>41329.791307870364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42100.527604166666</v>
      </c>
      <c r="T775" s="11">
        <f t="shared" si="51"/>
        <v>42134.750694444439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41402.792523148142</v>
      </c>
      <c r="T783" s="11">
        <f t="shared" si="51"/>
        <v>41432.792523148142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41303.38559027778</v>
      </c>
      <c r="T787" s="11">
        <f t="shared" si="51"/>
        <v>41333.38559027778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41040.449305555558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41276.977777777771</v>
      </c>
      <c r="T791" s="11">
        <f t="shared" si="51"/>
        <v>41295.124305555553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41555.665312499994</v>
      </c>
      <c r="T794" s="11">
        <f t="shared" si="51"/>
        <v>41585.706979166665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41122.813935185179</v>
      </c>
      <c r="T804" s="11">
        <f t="shared" si="51"/>
        <v>41168.961805555555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40729.897291666661</v>
      </c>
      <c r="T806" s="11">
        <f t="shared" si="51"/>
        <v>40746.957638888889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41072.842384259253</v>
      </c>
      <c r="T830" s="11">
        <f t="shared" si="51"/>
        <v>41085.474999999999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40929.134027777771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7">
        <f t="shared" ref="P835:P898" si="53">(E835/L835)</f>
        <v>148.78048780487805</v>
      </c>
      <c r="Q835" t="s">
        <v>8325</v>
      </c>
      <c r="R835" t="s">
        <v>8326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41923.630358796298</v>
      </c>
      <c r="T843" s="11">
        <f t="shared" si="55"/>
        <v>41953.672025462962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41526.384062499994</v>
      </c>
      <c r="T844" s="11">
        <f t="shared" si="55"/>
        <v>41560.957638888889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42165.59</v>
      </c>
      <c r="T849" s="11">
        <f t="shared" si="55"/>
        <v>42195.59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42544.916863425919</v>
      </c>
      <c r="T857" s="11">
        <f t="shared" si="55"/>
        <v>42574.916863425919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41230.564780092587</v>
      </c>
      <c r="T867" s="11">
        <f t="shared" si="55"/>
        <v>41290.564780092587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41342.637233796289</v>
      </c>
      <c r="T871" s="11">
        <f t="shared" si="55"/>
        <v>41372.595567129625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41607.394618055558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41183.958796296291</v>
      </c>
      <c r="T875" s="11">
        <f t="shared" si="55"/>
        <v>41224.000462962962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41597.580555555549</v>
      </c>
      <c r="T879" s="11">
        <f t="shared" si="55"/>
        <v>41627.580555555549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40981.594282407408</v>
      </c>
      <c r="T886" s="11">
        <f t="shared" si="55"/>
        <v>41040.896527777775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42496.773263888885</v>
      </c>
      <c r="T896" s="11">
        <f t="shared" si="55"/>
        <v>42526.773263888885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42218.66465277777</v>
      </c>
      <c r="T898" s="11">
        <f t="shared" si="55"/>
        <v>42243.958333333336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7" t="e">
        <f t="shared" ref="P899:P962" si="57">(E899/L899)</f>
        <v>#DIV/0!</v>
      </c>
      <c r="Q899" t="s">
        <v>8325</v>
      </c>
      <c r="R899" t="s">
        <v>8329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41253.942673611113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41116.554942129624</v>
      </c>
      <c r="T916" s="11">
        <f t="shared" si="59"/>
        <v>41146.554942129624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41562.463217592587</v>
      </c>
      <c r="T922" s="11">
        <f t="shared" si="59"/>
        <v>41592.504884259259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40846.962685185186</v>
      </c>
      <c r="T923" s="11">
        <f t="shared" si="59"/>
        <v>40889.004351851851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41288.734594907401</v>
      </c>
      <c r="T926" s="11">
        <f t="shared" si="59"/>
        <v>41318.734594907401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41710.960752314808</v>
      </c>
      <c r="T935" s="11">
        <f t="shared" si="59"/>
        <v>41770.960752314808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41581.631446759253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42382.634953703702</v>
      </c>
      <c r="T944" s="11">
        <f t="shared" si="59"/>
        <v>42418.634953703702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42732.66465277777</v>
      </c>
      <c r="T947" s="11">
        <f t="shared" si="59"/>
        <v>42784.790972222218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42480.445277777777</v>
      </c>
      <c r="T953" s="11">
        <f t="shared" si="59"/>
        <v>42525.445277777777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7">
        <f t="shared" ref="P963:P1026" si="61">(E963/L963)</f>
        <v>364.35454545454547</v>
      </c>
      <c r="Q963" t="s">
        <v>8319</v>
      </c>
      <c r="R963" t="s">
        <v>8321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42506.208657407406</v>
      </c>
      <c r="T981" s="11">
        <f t="shared" si="63"/>
        <v>42541.582638888889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42574.459317129622</v>
      </c>
      <c r="T985" s="11">
        <f t="shared" si="63"/>
        <v>42605.662499999999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42748.851388888885</v>
      </c>
      <c r="T1002" s="11">
        <f t="shared" si="63"/>
        <v>42808.80972222222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42276.41646990741</v>
      </c>
      <c r="T1007" s="11">
        <f t="shared" si="63"/>
        <v>42307.41646990741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42466.857129629629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42111.438391203701</v>
      </c>
      <c r="T1024" s="11">
        <f t="shared" si="63"/>
        <v>42141.438391203701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7">
        <f t="shared" ref="P1027:P1090" si="65">(E1027/L1027)</f>
        <v>71.848571428571432</v>
      </c>
      <c r="Q1027" t="s">
        <v>8325</v>
      </c>
      <c r="R1027" t="s">
        <v>8330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</v>
      </c>
      <c r="T1035" s="11">
        <f t="shared" si="67"/>
        <v>42716.52407407407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41830.851759259254</v>
      </c>
      <c r="T1043" s="11">
        <f t="shared" si="67"/>
        <v>41850.851759259254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41844.666087962956</v>
      </c>
      <c r="T1047" s="11">
        <f t="shared" si="67"/>
        <v>41874.666087962956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41918.610127314816</v>
      </c>
      <c r="T1049" s="11">
        <f t="shared" si="67"/>
        <v>41948.65179398148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42118.469641203701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42678.662997685184</v>
      </c>
      <c r="T1059" s="11">
        <f t="shared" si="67"/>
        <v>42708.704664351848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41445.754421296289</v>
      </c>
      <c r="T1068" s="11">
        <f t="shared" si="67"/>
        <v>41490.754421296289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42440.162777777776</v>
      </c>
      <c r="T1070" s="11">
        <f t="shared" si="67"/>
        <v>42470.121111111112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42479.358055555553</v>
      </c>
      <c r="T1081" s="11">
        <f t="shared" si="67"/>
        <v>42504.358055555553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41101.697777777772</v>
      </c>
      <c r="T1084" s="11">
        <f t="shared" si="67"/>
        <v>41131.697777777772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41775.505636574067</v>
      </c>
      <c r="T1089" s="11">
        <f t="shared" si="67"/>
        <v>41805.505636574067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7">
        <f t="shared" ref="P1091:P1154" si="69">(E1091/L1091)</f>
        <v>23.959183673469386</v>
      </c>
      <c r="Q1091" t="s">
        <v>8333</v>
      </c>
      <c r="R1091" t="s">
        <v>8334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42470.570277777777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40795.505011574074</v>
      </c>
      <c r="T1096" s="11">
        <f t="shared" si="71"/>
        <v>40825.505011574074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42346.995254629626</v>
      </c>
      <c r="T1113" s="11">
        <f t="shared" si="71"/>
        <v>42376.995254629626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41009.638981481483</v>
      </c>
      <c r="T1118" s="11">
        <f t="shared" si="71"/>
        <v>41069.638981481483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42535.119143518517</v>
      </c>
      <c r="T1128" s="11">
        <f t="shared" si="71"/>
        <v>42565.119143518517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42558.781180555554</v>
      </c>
      <c r="T1137" s="11">
        <f t="shared" si="71"/>
        <v>42588.781180555554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42327.46329861111</v>
      </c>
      <c r="T1138" s="11">
        <f t="shared" si="71"/>
        <v>42357.46329861111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41975.139189814814</v>
      </c>
      <c r="T1141" s="11">
        <f t="shared" si="71"/>
        <v>42005.139189814814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42021.797766203701</v>
      </c>
      <c r="T1144" s="11">
        <f t="shared" si="71"/>
        <v>42051.797766203701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41854.539259259254</v>
      </c>
      <c r="T1147" s="11">
        <f t="shared" si="71"/>
        <v>41914.539259259254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42223.894247685188</v>
      </c>
      <c r="T1153" s="11">
        <f t="shared" si="71"/>
        <v>42253.894247685188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7">
        <f t="shared" ref="P1155:P1218" si="73">(E1155/L1155)</f>
        <v>50</v>
      </c>
      <c r="Q1155" t="s">
        <v>8336</v>
      </c>
      <c r="R1155" t="s">
        <v>8337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42090.904930555553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41792.00613425926</v>
      </c>
      <c r="T1167" s="11">
        <f t="shared" si="75"/>
        <v>41826.00613425926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41841.473981481475</v>
      </c>
      <c r="T1174" s="11">
        <f t="shared" si="75"/>
        <v>41871.473981481475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42449.353703703702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42409.567743055552</v>
      </c>
      <c r="T1195" s="11">
        <f t="shared" si="75"/>
        <v>42469.526076388887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42152.08048611111</v>
      </c>
      <c r="T1204" s="11">
        <f t="shared" si="75"/>
        <v>42182.08048611111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42772.567743055552</v>
      </c>
      <c r="T1208" s="11">
        <f t="shared" si="75"/>
        <v>42805.353472222218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7">
        <f t="shared" ref="P1219:P1282" si="77">(E1219/L1219)</f>
        <v>148.57377049180329</v>
      </c>
      <c r="Q1219" t="s">
        <v>8338</v>
      </c>
      <c r="R1219" t="s">
        <v>8339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42633.253622685188</v>
      </c>
      <c r="T1221" s="11">
        <f t="shared" si="79"/>
        <v>42663.253622685188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41506.639699074069</v>
      </c>
      <c r="T1234" s="11">
        <f t="shared" si="79"/>
        <v>41553.639699074069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41355.617164351854</v>
      </c>
      <c r="T1246" s="11">
        <f t="shared" si="79"/>
        <v>41386.666666666664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41774.391597222224</v>
      </c>
      <c r="T1247" s="11">
        <f t="shared" si="79"/>
        <v>41804.391597222224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41067.532534722217</v>
      </c>
      <c r="T1251" s="11">
        <f t="shared" si="79"/>
        <v>41097.532534722217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40921.711006944439</v>
      </c>
      <c r="T1258" s="11">
        <f t="shared" si="79"/>
        <v>40951.711006944439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42445.614722222221</v>
      </c>
      <c r="T1271" s="11">
        <f t="shared" si="79"/>
        <v>42475.791666666664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40933.648634259254</v>
      </c>
      <c r="T1272" s="11">
        <f t="shared" si="79"/>
        <v>40993.60696759259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7">
        <f t="shared" ref="P1283:P1346" si="81">(E1283/L1283)</f>
        <v>104.72972972972973</v>
      </c>
      <c r="Q1283" t="s">
        <v>8325</v>
      </c>
      <c r="R1283" t="s">
        <v>8326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41586.266840277771</v>
      </c>
      <c r="T1284" s="11">
        <f t="shared" si="83"/>
        <v>41616.999305555553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42708.926446759258</v>
      </c>
      <c r="T1291" s="11">
        <f t="shared" si="83"/>
        <v>42738.926446759258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42322.534386574072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42458.472592592589</v>
      </c>
      <c r="T1300" s="11">
        <f t="shared" si="83"/>
        <v>42488.472592592589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42387.294895833336</v>
      </c>
      <c r="T1309" s="11">
        <f t="shared" si="83"/>
        <v>42417.294895833336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42393.753576388888</v>
      </c>
      <c r="T1318" s="11">
        <f t="shared" si="83"/>
        <v>42428.753576388888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41974.583657407406</v>
      </c>
      <c r="T1328" s="11">
        <f t="shared" si="83"/>
        <v>42019.583657407406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42172.608090277776</v>
      </c>
      <c r="T1344" s="11">
        <f t="shared" si="83"/>
        <v>42202.608090277776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7">
        <f t="shared" ref="P1347:P1410" si="85">(E1347/L1347)</f>
        <v>53.571428571428569</v>
      </c>
      <c r="Q1347" t="s">
        <v>8322</v>
      </c>
      <c r="R1347" t="s">
        <v>8323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41963.297835648147</v>
      </c>
      <c r="T1350" s="11">
        <f t="shared" si="87"/>
        <v>41991.297835648147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41429.830555555549</v>
      </c>
      <c r="T1358" s="11">
        <f t="shared" si="87"/>
        <v>41459.830555555549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41951.487337962964</v>
      </c>
      <c r="T1366" s="11">
        <f t="shared" si="87"/>
        <v>42011.487337962964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42568.551041666666</v>
      </c>
      <c r="T1380" s="11">
        <f t="shared" si="87"/>
        <v>42583.551041666666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42130.283287037033</v>
      </c>
      <c r="T1381" s="11">
        <f t="shared" si="87"/>
        <v>42160.283287037033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42087.594976851855</v>
      </c>
      <c r="T1392" s="11">
        <f t="shared" si="87"/>
        <v>42121.508333333331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42124.803368055553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7" t="e">
        <f t="shared" ref="P1411:P1474" si="89">(E1411/L1411)</f>
        <v>#DIV/0!</v>
      </c>
      <c r="Q1411" t="s">
        <v>8322</v>
      </c>
      <c r="R1411" t="s">
        <v>8341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42262.257638888885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42073.852337962962</v>
      </c>
      <c r="T1431" s="11">
        <f t="shared" si="91"/>
        <v>42103.852337962962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41961.605185185188</v>
      </c>
      <c r="T1432" s="11">
        <f t="shared" si="91"/>
        <v>41992.605185185188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42040.621539351851</v>
      </c>
      <c r="T1441" s="11">
        <f t="shared" si="91"/>
        <v>42070.621539351851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40645.806122685179</v>
      </c>
      <c r="T1470" s="11">
        <f t="shared" si="91"/>
        <v>40705.806122685179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7">
        <f t="shared" ref="P1475:P1538" si="93">(E1475/L1475)</f>
        <v>38.462553191489363</v>
      </c>
      <c r="Q1475" t="s">
        <v>8322</v>
      </c>
      <c r="R1475" t="s">
        <v>8342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41500.519583333335</v>
      </c>
      <c r="T1476" s="11">
        <f t="shared" si="95"/>
        <v>41530.519583333335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41136.649722222217</v>
      </c>
      <c r="T1484" s="11">
        <f t="shared" si="95"/>
        <v>41159.118750000001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41411.658275462956</v>
      </c>
      <c r="T1495" s="11">
        <f t="shared" si="95"/>
        <v>41441.658275462956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40254.242002314808</v>
      </c>
      <c r="T1509" s="11">
        <f t="shared" si="95"/>
        <v>40313.131944444445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41809.176828703705</v>
      </c>
      <c r="T1512" s="11">
        <f t="shared" si="95"/>
        <v>41839.176828703705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42808.350532407407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42275.558969907404</v>
      </c>
      <c r="T1532" s="11">
        <f t="shared" si="95"/>
        <v>42300.558969907404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42221.465995370367</v>
      </c>
      <c r="T1536" s="11">
        <f t="shared" si="95"/>
        <v>42251.465995370367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7">
        <f t="shared" ref="P1539:P1602" si="97">(E1539/L1539)</f>
        <v>96.375</v>
      </c>
      <c r="Q1539" t="s">
        <v>8338</v>
      </c>
      <c r="R1539" t="s">
        <v>8339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42705.710868055554</v>
      </c>
      <c r="T1541" s="11">
        <f t="shared" si="99"/>
        <v>42738.710868055554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42316.715509259258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42107.844895833332</v>
      </c>
      <c r="T1561" s="11">
        <f t="shared" si="99"/>
        <v>42122.844895833332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41584.875034722216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41671.728530092594</v>
      </c>
      <c r="T1569" s="11">
        <f t="shared" si="99"/>
        <v>41686.791666666664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42144.56114583333</v>
      </c>
      <c r="T1573" s="11">
        <f t="shared" si="99"/>
        <v>42174.56114583333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41799.315925925919</v>
      </c>
      <c r="T1577" s="11">
        <f t="shared" si="99"/>
        <v>41829.315925925919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41054.639444444438</v>
      </c>
      <c r="T1579" s="11">
        <f t="shared" si="99"/>
        <v>41114.639444444438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40989.841736111106</v>
      </c>
      <c r="T1582" s="11">
        <f t="shared" si="99"/>
        <v>41049.841736111106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42068.896087962959</v>
      </c>
      <c r="T1588" s="11">
        <f t="shared" si="99"/>
        <v>42098.854421296295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42505.472916666666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41808.634027777771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41790.848981481475</v>
      </c>
      <c r="T1602" s="11">
        <f t="shared" si="99"/>
        <v>41835.007638888885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7">
        <f t="shared" ref="P1603:P1666" si="101">(E1603/L1603)</f>
        <v>48.325535714285714</v>
      </c>
      <c r="Q1603" t="s">
        <v>8325</v>
      </c>
      <c r="R1603" t="s">
        <v>8326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40985.595312500001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41640.018055555549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41794.772789351853</v>
      </c>
      <c r="T1616" s="11">
        <f t="shared" si="103"/>
        <v>41854.5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41875.977847222217</v>
      </c>
      <c r="T1621" s="11">
        <f t="shared" si="103"/>
        <v>41896.977847222217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41950.086504629631</v>
      </c>
      <c r="T1624" s="11">
        <f t="shared" si="103"/>
        <v>41990.124305555553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41579.639664351846</v>
      </c>
      <c r="T1628" s="11">
        <f t="shared" si="103"/>
        <v>41609.681331018517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40750.132569444446</v>
      </c>
      <c r="T1634" s="11">
        <f t="shared" si="103"/>
        <v>40810.132569444446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40178.777083333327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41234.893055555549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41521.40902777778</v>
      </c>
      <c r="T1647" s="11">
        <f t="shared" si="103"/>
        <v>41535.40902777778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41865.549305555549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40939.553449074076</v>
      </c>
      <c r="T1666" s="11">
        <f t="shared" si="103"/>
        <v>40983.957638888889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7">
        <f t="shared" ref="P1667:P1730" si="105">(E1667/L1667)</f>
        <v>44.956989247311824</v>
      </c>
      <c r="Q1667" t="s">
        <v>8325</v>
      </c>
      <c r="R1667" t="s">
        <v>8346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40844.941423611112</v>
      </c>
      <c r="T1670" s="11">
        <f t="shared" si="107"/>
        <v>40874.983090277776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40313.722210648142</v>
      </c>
      <c r="T1672" s="11">
        <f t="shared" si="107"/>
        <v>40363.958333333328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40973.517905092587</v>
      </c>
      <c r="T1678" s="11">
        <f t="shared" si="107"/>
        <v>41019.957638888889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42795.493148148147</v>
      </c>
      <c r="T1693" s="11">
        <f t="shared" si="107"/>
        <v>42827.833333333336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42804.824629629627</v>
      </c>
      <c r="T1699" s="11">
        <f t="shared" si="107"/>
        <v>42834.782962962963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42187.073344907403</v>
      </c>
      <c r="T1705" s="11">
        <f t="shared" si="107"/>
        <v>42247.073344907403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41841.355486111112</v>
      </c>
      <c r="T1711" s="11">
        <f t="shared" si="107"/>
        <v>41882.610416666663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42341.382962962962</v>
      </c>
      <c r="T1712" s="11">
        <f t="shared" si="107"/>
        <v>42387.333333333336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42713.410868055558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42460.773587962962</v>
      </c>
      <c r="T1719" s="11">
        <f t="shared" si="107"/>
        <v>42480.958333333336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42044.719641203701</v>
      </c>
      <c r="T1729" s="11">
        <f t="shared" si="107"/>
        <v>42099.249999999993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7" t="e">
        <f t="shared" ref="P1731:P1794" si="109">(E1731/L1731)</f>
        <v>#DIV/0!</v>
      </c>
      <c r="Q1731" t="s">
        <v>8325</v>
      </c>
      <c r="R1731" t="s">
        <v>8347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42271.879432870366</v>
      </c>
      <c r="T1732" s="11">
        <f t="shared" si="111"/>
        <v>42301.879432870366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42559.605844907404</v>
      </c>
      <c r="T1737" s="11">
        <f t="shared" si="111"/>
        <v>42589.605844907404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42175.740648148145</v>
      </c>
      <c r="T1739" s="11">
        <f t="shared" si="111"/>
        <v>42205.740648148145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42171.609050925923</v>
      </c>
      <c r="T1742" s="11">
        <f t="shared" si="111"/>
        <v>42201.609050925923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42710.668634259258</v>
      </c>
      <c r="T1744" s="11">
        <f t="shared" si="111"/>
        <v>42742.666666666664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</v>
      </c>
      <c r="T1749" s="11">
        <f t="shared" si="111"/>
        <v>42321.416666666664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41905.771296296291</v>
      </c>
      <c r="T1773" s="11">
        <f t="shared" si="111"/>
        <v>41935.771296296291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41891.768055555549</v>
      </c>
      <c r="T1777" s="11">
        <f t="shared" si="111"/>
        <v>41936.768055555549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42493.392476851848</v>
      </c>
      <c r="T1782" s="11">
        <f t="shared" si="111"/>
        <v>42553.392476851848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42010.466180555552</v>
      </c>
      <c r="T1792" s="11">
        <f t="shared" si="111"/>
        <v>42040.466180555552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7">
        <f t="shared" ref="P1795:P1858" si="113">(E1795/L1795)</f>
        <v>20</v>
      </c>
      <c r="Q1795" t="s">
        <v>8338</v>
      </c>
      <c r="R1795" t="s">
        <v>8339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42017.863217592589</v>
      </c>
      <c r="T1805" s="11">
        <f t="shared" si="115"/>
        <v>42048.863217592589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42172.698344907403</v>
      </c>
      <c r="T1817" s="11">
        <f t="shared" si="115"/>
        <v>42186.698344907403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42064.876041666663</v>
      </c>
      <c r="T1822" s="11">
        <f t="shared" si="115"/>
        <v>42094.834374999999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41634.588680555556</v>
      </c>
      <c r="T1824" s="11">
        <f t="shared" si="115"/>
        <v>41670.584027777775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41626.707951388882</v>
      </c>
      <c r="T1826" s="11">
        <f t="shared" si="115"/>
        <v>41646.880555555552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7">
        <f t="shared" ref="P1859:P1922" si="117">(E1859/L1859)</f>
        <v>136.36363636363637</v>
      </c>
      <c r="Q1859" t="s">
        <v>8325</v>
      </c>
      <c r="R1859" t="s">
        <v>8326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41655.500972222224</v>
      </c>
      <c r="T1862" s="11">
        <f t="shared" si="119"/>
        <v>41676.500972222224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42755.284421296295</v>
      </c>
      <c r="T1864" s="11">
        <f t="shared" si="119"/>
        <v>42802.104166666664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42680.200775462959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41776.07644675926</v>
      </c>
      <c r="T1878" s="11">
        <f t="shared" si="119"/>
        <v>41806.07644675926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40920.696562499994</v>
      </c>
      <c r="T1896" s="11">
        <f t="shared" si="119"/>
        <v>40951.696562499994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41680.375069444439</v>
      </c>
      <c r="T1899" s="11">
        <f t="shared" si="119"/>
        <v>41702.666666666664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42113.667233796295</v>
      </c>
      <c r="T1921" s="11">
        <f t="shared" si="119"/>
        <v>42143.667233796295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7">
        <f t="shared" ref="P1923:P1986" si="121">(E1923/L1923)</f>
        <v>54</v>
      </c>
      <c r="Q1923" t="s">
        <v>8325</v>
      </c>
      <c r="R1923" t="s">
        <v>8329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41371.439745370364</v>
      </c>
      <c r="T1930" s="11">
        <f t="shared" si="123"/>
        <v>41401.439745370364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40911.601539351854</v>
      </c>
      <c r="T1934" s="11">
        <f t="shared" si="123"/>
        <v>40932.601539351854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41773.724201388883</v>
      </c>
      <c r="T1937" s="11">
        <f t="shared" si="123"/>
        <v>41810.999305555553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42157.043495370366</v>
      </c>
      <c r="T1947" s="11">
        <f t="shared" si="123"/>
        <v>42197.043495370366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41688.941678240742</v>
      </c>
      <c r="T1948" s="11">
        <f t="shared" si="123"/>
        <v>41748.900011574071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41800.21471064815</v>
      </c>
      <c r="T1951" s="11">
        <f t="shared" si="123"/>
        <v>41830.21471064815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41178.890196759261</v>
      </c>
      <c r="T1959" s="11">
        <f t="shared" si="123"/>
        <v>41208.890196759261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41871.637268518512</v>
      </c>
      <c r="T1961" s="11">
        <f t="shared" si="123"/>
        <v>41912.791666666664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41383.943298611106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7">
        <f t="shared" ref="P1987:P2050" si="125">(E1987/L1987)</f>
        <v>12.75</v>
      </c>
      <c r="Q1987" t="s">
        <v>8338</v>
      </c>
      <c r="R1987" t="s">
        <v>8350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42413.225497685184</v>
      </c>
      <c r="T1988" s="11">
        <f t="shared" si="127"/>
        <v>42443.183831018519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42329.380057870367</v>
      </c>
      <c r="T1995" s="11">
        <f t="shared" si="127"/>
        <v>42359.380057870367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41312.672442129631</v>
      </c>
      <c r="T2018" s="11">
        <f t="shared" si="127"/>
        <v>41342.672442129631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41736.889166666668</v>
      </c>
      <c r="T2022" s="11">
        <f t="shared" si="127"/>
        <v>41773.75277777778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42048.605543981474</v>
      </c>
      <c r="T2029" s="11">
        <f t="shared" si="127"/>
        <v>42093.563877314817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41738.656469907401</v>
      </c>
      <c r="T2038" s="11">
        <f t="shared" si="127"/>
        <v>41768.656469907401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41578.718784722216</v>
      </c>
      <c r="T2042" s="11">
        <f t="shared" si="127"/>
        <v>41593.760451388887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41068.880173611113</v>
      </c>
      <c r="T2047" s="11">
        <f t="shared" si="127"/>
        <v>41098.880173611113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7">
        <f t="shared" ref="P2051:P2114" si="129">(E2051/L2051)</f>
        <v>80.991037735849048</v>
      </c>
      <c r="Q2051" t="s">
        <v>8319</v>
      </c>
      <c r="R2051" t="s">
        <v>8349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41003.948553240734</v>
      </c>
      <c r="T2083" s="11">
        <f t="shared" si="131"/>
        <v>41044.999305555553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40870.953657407408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40395.506388888891</v>
      </c>
      <c r="T2090" s="11">
        <f t="shared" si="131"/>
        <v>40431.957638888889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41299.173090277771</v>
      </c>
      <c r="T2092" s="11">
        <f t="shared" si="131"/>
        <v>41329.173090277771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40555.114328703705</v>
      </c>
      <c r="T2093" s="11">
        <f t="shared" si="131"/>
        <v>40603.625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40758.525150462963</v>
      </c>
      <c r="T2097" s="11">
        <f t="shared" si="131"/>
        <v>40818.525150462963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40818.376562500001</v>
      </c>
      <c r="T2099" s="11">
        <f t="shared" si="131"/>
        <v>40878.418229166666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7">
        <f t="shared" ref="P2115:P2178" si="133">(E2115/L2115)</f>
        <v>68.598130841121488</v>
      </c>
      <c r="Q2115" t="s">
        <v>8325</v>
      </c>
      <c r="R2115" t="s">
        <v>8329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40463.819849537038</v>
      </c>
      <c r="T2126" s="11">
        <f t="shared" si="135"/>
        <v>40512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42045.297025462962</v>
      </c>
      <c r="T2129" s="11">
        <f t="shared" si="135"/>
        <v>42075.255358796298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41156.755011574074</v>
      </c>
      <c r="T2137" s="11">
        <f t="shared" si="135"/>
        <v>41186.755011574074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42520.639050925922</v>
      </c>
      <c r="T2153" s="11">
        <f t="shared" si="135"/>
        <v>42550.639050925922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40710.522847222222</v>
      </c>
      <c r="T2161" s="11">
        <f t="shared" si="135"/>
        <v>40740.522847222222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42240.644201388888</v>
      </c>
      <c r="T2163" s="11">
        <f t="shared" si="135"/>
        <v>42270.644201388888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42082.371759259258</v>
      </c>
      <c r="T2174" s="11">
        <f t="shared" si="135"/>
        <v>42112.371759259258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7">
        <f t="shared" ref="P2179:P2242" si="137">(E2179/L2179)</f>
        <v>65.868421052631575</v>
      </c>
      <c r="Q2179" t="s">
        <v>8325</v>
      </c>
      <c r="R2179" t="s">
        <v>8326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42745.157141203701</v>
      </c>
      <c r="T2185" s="11">
        <f t="shared" si="139"/>
        <v>42774.999999999993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41319.141655092586</v>
      </c>
      <c r="T2187" s="11">
        <f t="shared" si="139"/>
        <v>41359.141655092586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41276.638483796291</v>
      </c>
      <c r="T2203" s="11">
        <f t="shared" si="139"/>
        <v>41290.638483796291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41031.613298611112</v>
      </c>
      <c r="T2207" s="11">
        <f t="shared" si="139"/>
        <v>41061.613298611112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41013.525000000001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42194.543344907404</v>
      </c>
      <c r="T2218" s="11">
        <f t="shared" si="139"/>
        <v>42208.543344907404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42331.170590277776</v>
      </c>
      <c r="T2235" s="11">
        <f t="shared" si="139"/>
        <v>42351.791666666664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42091.772118055553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7">
        <f t="shared" ref="P2243:P2306" si="141">(E2243/L2243)</f>
        <v>49.472392638036808</v>
      </c>
      <c r="Q2243" t="s">
        <v>8333</v>
      </c>
      <c r="R2243" t="s">
        <v>8351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41604.918055555558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41660.500196759254</v>
      </c>
      <c r="T2247" s="11">
        <f t="shared" si="143"/>
        <v>41691.541666666664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41336.49496527778</v>
      </c>
      <c r="T2251" s="11">
        <f t="shared" si="143"/>
        <v>41366.453298611108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42775.874016203707</v>
      </c>
      <c r="T2270" s="11">
        <f t="shared" si="143"/>
        <v>42805.874016203707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42315.491157407407</v>
      </c>
      <c r="T2274" s="11">
        <f t="shared" si="143"/>
        <v>42345.491157407407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41965.408321759256</v>
      </c>
      <c r="T2277" s="11">
        <f t="shared" si="143"/>
        <v>41995.408321759256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42338.500775462962</v>
      </c>
      <c r="T2280" s="11">
        <f t="shared" si="143"/>
        <v>42372.749305555553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42020.598368055558</v>
      </c>
      <c r="T2281" s="11">
        <f t="shared" si="143"/>
        <v>42038.958333333336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41058.977349537039</v>
      </c>
      <c r="T2287" s="11">
        <f t="shared" si="143"/>
        <v>41088.977349537039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7">
        <f t="shared" ref="P2307:P2370" si="145">(E2307/L2307)</f>
        <v>109.10778443113773</v>
      </c>
      <c r="Q2307" t="s">
        <v>8325</v>
      </c>
      <c r="R2307" t="s">
        <v>8329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41004.594131944446</v>
      </c>
      <c r="T2309" s="11">
        <f t="shared" si="147"/>
        <v>41034.59407407407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40156.558333333327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42804.6871412037</v>
      </c>
      <c r="T2324" s="11">
        <f t="shared" si="147"/>
        <v>42834.645474537036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42807.546840277777</v>
      </c>
      <c r="T2325" s="11">
        <f t="shared" si="147"/>
        <v>42814.546840277777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41842.708796296291</v>
      </c>
      <c r="T2329" s="11">
        <f t="shared" si="147"/>
        <v>41877.708796296291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42139.573344907403</v>
      </c>
      <c r="T2330" s="11">
        <f t="shared" si="147"/>
        <v>42169.573344907403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41789.688472222224</v>
      </c>
      <c r="T2340" s="11">
        <f t="shared" si="147"/>
        <v>41819.688472222224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42577.39902777777</v>
      </c>
      <c r="T2349" s="11">
        <f t="shared" si="147"/>
        <v>42607.39902777777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42096.709907407407</v>
      </c>
      <c r="T2357" s="11">
        <f t="shared" si="147"/>
        <v>42126.709907407407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42264.411782407406</v>
      </c>
      <c r="T2359" s="11">
        <f t="shared" si="147"/>
        <v>42294.411782407406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42108.471817129626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7" t="e">
        <f t="shared" ref="P2371:P2434" si="149">(E2371/L2371)</f>
        <v>#DIV/0!</v>
      </c>
      <c r="Q2371" t="s">
        <v>8319</v>
      </c>
      <c r="R2371" t="s">
        <v>8320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42215.453981481478</v>
      </c>
      <c r="T2375" s="11">
        <f t="shared" si="151"/>
        <v>42245.453981481478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42017.634953703702</v>
      </c>
      <c r="T2376" s="11">
        <f t="shared" si="151"/>
        <v>42047.634953703702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42399.67428240741</v>
      </c>
      <c r="T2405" s="11">
        <f t="shared" si="151"/>
        <v>42459.632615740738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41993.529965277776</v>
      </c>
      <c r="T2421" s="11">
        <f t="shared" si="151"/>
        <v>42053.529965277776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42163.961712962962</v>
      </c>
      <c r="T2428" s="11">
        <f t="shared" si="151"/>
        <v>42223.961712962962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42412.110335648147</v>
      </c>
      <c r="T2429" s="11">
        <f t="shared" si="151"/>
        <v>42452.068668981483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7" t="e">
        <f t="shared" ref="P2435:P2498" si="153">(E2435/L2435)</f>
        <v>#DIV/0!</v>
      </c>
      <c r="Q2435" t="s">
        <v>8336</v>
      </c>
      <c r="R2435" t="s">
        <v>8337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42179.977708333332</v>
      </c>
      <c r="T2436" s="11">
        <f t="shared" si="155"/>
        <v>42219.977708333332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42252.069282407407</v>
      </c>
      <c r="T2437" s="11">
        <f t="shared" si="155"/>
        <v>42282.069282407407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42383.691122685188</v>
      </c>
      <c r="T2442" s="11">
        <f t="shared" si="155"/>
        <v>42413.691122685188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42052.458657407406</v>
      </c>
      <c r="T2444" s="11">
        <f t="shared" si="155"/>
        <v>42082.416990740741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41939.924305555549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42769.993148148147</v>
      </c>
      <c r="T2456" s="11">
        <f t="shared" si="155"/>
        <v>42804.993148148147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41173.945844907408</v>
      </c>
      <c r="T2470" s="11">
        <f t="shared" si="155"/>
        <v>41210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40310.079340277771</v>
      </c>
      <c r="T2477" s="11">
        <f t="shared" si="155"/>
        <v>40369.708333333328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41030.500034722216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41023.01939814815</v>
      </c>
      <c r="T2492" s="11">
        <f t="shared" si="155"/>
        <v>41083.01939814815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40558.868750000001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41022.436851851853</v>
      </c>
      <c r="T2496" s="11">
        <f t="shared" si="155"/>
        <v>41052.436851851853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41327.788101851846</v>
      </c>
      <c r="T2498" s="11">
        <f t="shared" si="155"/>
        <v>41362.746435185181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7">
        <f t="shared" ref="P2499:P2562" si="157">(E2499/L2499)</f>
        <v>80.551071428571419</v>
      </c>
      <c r="Q2499" t="s">
        <v>8325</v>
      </c>
      <c r="R2499" t="s">
        <v>8329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41226.440243055556</v>
      </c>
      <c r="T2501" s="11">
        <f t="shared" si="159"/>
        <v>41274.541666666664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41053.564525462956</v>
      </c>
      <c r="T2502" s="11">
        <f t="shared" si="159"/>
        <v>41083.564525462956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42244.568333333336</v>
      </c>
      <c r="T2503" s="11">
        <f t="shared" si="159"/>
        <v>42274.568333333336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42078.789027777777</v>
      </c>
      <c r="T2512" s="11">
        <f t="shared" si="159"/>
        <v>42138.789027777777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42658.597916666666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41960.808935185181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41058.636238425919</v>
      </c>
      <c r="T2527" s="11">
        <f t="shared" si="159"/>
        <v>41088.636238425919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40127.492037037031</v>
      </c>
      <c r="T2536" s="11">
        <f t="shared" si="159"/>
        <v>40179.041666666664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41483.240949074076</v>
      </c>
      <c r="T2543" s="11">
        <f t="shared" si="159"/>
        <v>41543.240949074076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42026.929837962962</v>
      </c>
      <c r="T2547" s="11">
        <f t="shared" si="159"/>
        <v>42061.812499999993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41524.650219907409</v>
      </c>
      <c r="T2548" s="11">
        <f t="shared" si="159"/>
        <v>41552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42618.417094907403</v>
      </c>
      <c r="T2550" s="11">
        <f t="shared" si="159"/>
        <v>42642.977083333331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41112.990821759253</v>
      </c>
      <c r="T2555" s="11">
        <f t="shared" si="159"/>
        <v>41172.990821759253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42093.651689814811</v>
      </c>
      <c r="T2560" s="11">
        <f t="shared" si="159"/>
        <v>42125.374305555553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7" t="e">
        <f t="shared" ref="P2563:P2626" si="161">(E2563/L2563)</f>
        <v>#DIV/0!</v>
      </c>
      <c r="Q2563" t="s">
        <v>8336</v>
      </c>
      <c r="R2563" t="s">
        <v>8337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41985.900393518517</v>
      </c>
      <c r="T2577" s="11">
        <f t="shared" si="163"/>
        <v>42015.900393518517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42237.814571759256</v>
      </c>
      <c r="T2580" s="11">
        <f t="shared" si="163"/>
        <v>42286.499999999993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42139.964918981474</v>
      </c>
      <c r="T2586" s="11">
        <f t="shared" si="163"/>
        <v>42169.964918981474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42089.636874999997</v>
      </c>
      <c r="T2595" s="11">
        <f t="shared" si="163"/>
        <v>42119.636874999997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41150.693854166668</v>
      </c>
      <c r="T2603" s="11">
        <f t="shared" si="163"/>
        <v>41164.957638888889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41726.504421296289</v>
      </c>
      <c r="T2608" s="11">
        <f t="shared" si="163"/>
        <v>41758.504421296289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42115.539212962962</v>
      </c>
      <c r="T2623" s="11">
        <f t="shared" si="163"/>
        <v>42145.539212962962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41144.213217592587</v>
      </c>
      <c r="T2626" s="11">
        <f t="shared" si="163"/>
        <v>41165.213217592587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7">
        <f t="shared" ref="P2627:P2690" si="165">(E2627/L2627)</f>
        <v>27.576923076923077</v>
      </c>
      <c r="Q2627" t="s">
        <v>8319</v>
      </c>
      <c r="R2627" t="s">
        <v>8355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42334.662743055553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42612.448159722218</v>
      </c>
      <c r="T2636" s="11">
        <f t="shared" si="167"/>
        <v>42642.448159722218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42689.374016203707</v>
      </c>
      <c r="T2645" s="11">
        <f t="shared" si="167"/>
        <v>42725.124305555553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42327.597326388888</v>
      </c>
      <c r="T2653" s="11">
        <f t="shared" si="167"/>
        <v>42355.597326388888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42055.392662037033</v>
      </c>
      <c r="T2656" s="11">
        <f t="shared" si="167"/>
        <v>42115.350995370369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42767.480185185188</v>
      </c>
      <c r="T2658" s="11">
        <f t="shared" si="167"/>
        <v>42806.583333333336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42551.675856481474</v>
      </c>
      <c r="T2660" s="11">
        <f t="shared" si="167"/>
        <v>42581.675856481474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42081.861226851848</v>
      </c>
      <c r="T2661" s="11">
        <f t="shared" si="167"/>
        <v>42111.861226851848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42275.380381944444</v>
      </c>
      <c r="T2670" s="11">
        <f t="shared" si="167"/>
        <v>42317.397222222215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42318.827499999992</v>
      </c>
      <c r="T2671" s="11">
        <f t="shared" si="167"/>
        <v>42378.827499999992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</v>
      </c>
      <c r="T2673" s="11">
        <f t="shared" si="167"/>
        <v>41992.609722222223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41792.821099537039</v>
      </c>
      <c r="T2679" s="11">
        <f t="shared" si="167"/>
        <v>41822.821099537039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41820.706307870372</v>
      </c>
      <c r="T2686" s="11">
        <f t="shared" si="167"/>
        <v>41860.706307870372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42027.910532407404</v>
      </c>
      <c r="T2690" s="11">
        <f t="shared" si="167"/>
        <v>42058.916666666664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7">
        <f t="shared" ref="P2691:P2754" si="169">(E2691/L2691)</f>
        <v>1</v>
      </c>
      <c r="Q2691" t="s">
        <v>8336</v>
      </c>
      <c r="R2691" t="s">
        <v>8337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41870.666342592587</v>
      </c>
      <c r="T2702" s="11">
        <f t="shared" si="171"/>
        <v>41900.666342592587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41780.536921296291</v>
      </c>
      <c r="T2713" s="11">
        <f t="shared" si="171"/>
        <v>41810.709027777775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41934.706585648142</v>
      </c>
      <c r="T2719" s="11">
        <f t="shared" si="171"/>
        <v>41979.748252314814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42477.781180555554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42655.257557870369</v>
      </c>
      <c r="T2722" s="11">
        <f t="shared" si="171"/>
        <v>42685.299224537033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41044.439780092587</v>
      </c>
      <c r="T2749" s="11">
        <f t="shared" si="171"/>
        <v>41075.923611111109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41078.691493055558</v>
      </c>
      <c r="T2752" s="11">
        <f t="shared" si="171"/>
        <v>41090.625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41747.678726851846</v>
      </c>
      <c r="T2753" s="11">
        <f t="shared" si="171"/>
        <v>41807.678726851846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7">
        <f t="shared" ref="P2755:P2818" si="173">(E2755/L2755)</f>
        <v>47.5</v>
      </c>
      <c r="Q2755" t="s">
        <v>8322</v>
      </c>
      <c r="R2755" t="s">
        <v>8358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41863.427673611106</v>
      </c>
      <c r="T2756" s="11">
        <f t="shared" si="175"/>
        <v>41893.427673611106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41620.692141203697</v>
      </c>
      <c r="T2758" s="11">
        <f t="shared" si="175"/>
        <v>41650.692141203697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40736.459699074076</v>
      </c>
      <c r="T2768" s="11">
        <f t="shared" si="175"/>
        <v>40766.459699074076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41745.617939814816</v>
      </c>
      <c r="T2771" s="11">
        <f t="shared" si="175"/>
        <v>41795.617939814816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42550.49355324074</v>
      </c>
      <c r="T2790" s="11">
        <f t="shared" si="175"/>
        <v>42580.49355324074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7">
        <f t="shared" ref="P2819:P2882" si="177">(E2819/L2819)</f>
        <v>23.636363636363637</v>
      </c>
      <c r="Q2819" t="s">
        <v>8317</v>
      </c>
      <c r="R2819" t="s">
        <v>8318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42090.433935185181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42291.531215277777</v>
      </c>
      <c r="T2843" s="11">
        <f t="shared" si="179"/>
        <v>42351.572881944441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41784.744155092594</v>
      </c>
      <c r="T2844" s="11">
        <f t="shared" si="179"/>
        <v>41811.25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42480.592314814814</v>
      </c>
      <c r="T2862" s="11">
        <f t="shared" si="179"/>
        <v>42540.592314814814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42672.746805555558</v>
      </c>
      <c r="T2879" s="11">
        <f t="shared" si="179"/>
        <v>42704.499999999993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7" t="e">
        <f t="shared" ref="P2883:P2946" si="181">(E2883/L2883)</f>
        <v>#DIV/0!</v>
      </c>
      <c r="Q2883" t="s">
        <v>8317</v>
      </c>
      <c r="R2883" t="s">
        <v>8318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42444.669409722221</v>
      </c>
      <c r="T2909" s="11">
        <f t="shared" si="183"/>
        <v>42504.669409722221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42499.523368055554</v>
      </c>
      <c r="T2910" s="11">
        <f t="shared" si="183"/>
        <v>42529.523368055554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41863.375787037039</v>
      </c>
      <c r="T2927" s="11">
        <f t="shared" si="183"/>
        <v>41893.375787037039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7" t="e">
        <f t="shared" ref="P2947:P3010" si="185">(E2947/L2947)</f>
        <v>#DIV/0!</v>
      </c>
      <c r="Q2947" t="s">
        <v>8317</v>
      </c>
      <c r="R2947" t="s">
        <v>8357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42698.507638888885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42810.333368055552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42654.765370370369</v>
      </c>
      <c r="T2987" s="11">
        <f t="shared" si="187"/>
        <v>42673.958333333336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42511.153715277775</v>
      </c>
      <c r="T2990" s="11">
        <f t="shared" si="187"/>
        <v>42541.153715277775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42090.704166666663</v>
      </c>
      <c r="T2998" s="11">
        <f t="shared" si="187"/>
        <v>42150.704166666663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</v>
      </c>
      <c r="T3008" s="11">
        <f t="shared" si="187"/>
        <v>41987.54850694444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7">
        <f t="shared" ref="P3011:P3074" si="189">(E3011/L3011)</f>
        <v>233.8984375</v>
      </c>
      <c r="Q3011" t="s">
        <v>8317</v>
      </c>
      <c r="R3011" t="s">
        <v>8357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41919.915277777771</v>
      </c>
      <c r="T3016" s="11">
        <f t="shared" si="191"/>
        <v>41948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42163.09</v>
      </c>
      <c r="T3020" s="11">
        <f t="shared" si="191"/>
        <v>42205.708333333336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42121.467430555553</v>
      </c>
      <c r="T3025" s="11">
        <f t="shared" si="191"/>
        <v>42166.467430555553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41975.692847222221</v>
      </c>
      <c r="T3050" s="11">
        <f t="shared" si="191"/>
        <v>42004.681944444441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42744.207696759258</v>
      </c>
      <c r="T3053" s="11">
        <f t="shared" si="191"/>
        <v>42774.207696759258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42630.714560185188</v>
      </c>
      <c r="T3065" s="11">
        <f t="shared" si="191"/>
        <v>42665.714560185188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7">
        <f t="shared" ref="P3075:P3138" si="193">(E3075/L3075)</f>
        <v>92.142857142857139</v>
      </c>
      <c r="Q3075" t="s">
        <v>8317</v>
      </c>
      <c r="R3075" t="s">
        <v>8357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42409.362951388888</v>
      </c>
      <c r="T3076" s="11">
        <f t="shared" si="195"/>
        <v>42439.362951388888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42550.89398148148</v>
      </c>
      <c r="T3077" s="11">
        <f t="shared" si="195"/>
        <v>42600.89398148148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42246.675451388888</v>
      </c>
      <c r="T3087" s="11">
        <f t="shared" si="195"/>
        <v>42276.675451388888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41760.700706018521</v>
      </c>
      <c r="T3095" s="11">
        <f t="shared" si="195"/>
        <v>41790.957638888889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42241.220787037033</v>
      </c>
      <c r="T3108" s="11">
        <f t="shared" si="195"/>
        <v>42263.708333333336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42128.605914351851</v>
      </c>
      <c r="T3109" s="11">
        <f t="shared" si="195"/>
        <v>42135.605914351851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41885.386805555558</v>
      </c>
      <c r="T3113" s="11">
        <f t="shared" si="195"/>
        <v>41916.386805555558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42509.166203703702</v>
      </c>
      <c r="T3119" s="11">
        <f t="shared" si="195"/>
        <v>42517.341666666667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42435.733749999992</v>
      </c>
      <c r="T3122" s="11">
        <f t="shared" si="195"/>
        <v>42495.692083333335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42426.809745370367</v>
      </c>
      <c r="T3128" s="11">
        <f t="shared" si="195"/>
        <v>42456.768078703702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42800.511793981474</v>
      </c>
      <c r="T3136" s="11">
        <f t="shared" si="195"/>
        <v>42821.470127314817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7">
        <f t="shared" ref="P3139:P3202" si="197">(E3139/L3139)</f>
        <v>50</v>
      </c>
      <c r="Q3139" t="s">
        <v>8317</v>
      </c>
      <c r="R3139" t="s">
        <v>8318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41909.761053240734</v>
      </c>
      <c r="T3149" s="11">
        <f t="shared" si="199"/>
        <v>41949.802719907406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41447.631388888891</v>
      </c>
      <c r="T3160" s="11">
        <f t="shared" si="199"/>
        <v>41477.631388888891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41766.597395833327</v>
      </c>
      <c r="T3166" s="11">
        <f t="shared" si="199"/>
        <v>41799.597395833327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41878.670046296298</v>
      </c>
      <c r="T3175" s="11">
        <f t="shared" si="199"/>
        <v>41908.670046296298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41858.553449074076</v>
      </c>
      <c r="T3201" s="11">
        <f t="shared" si="199"/>
        <v>41888.666666666664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7">
        <f t="shared" ref="P3203:P3266" si="201">(E3203/L3203)</f>
        <v>12.5</v>
      </c>
      <c r="Q3203" t="s">
        <v>8317</v>
      </c>
      <c r="R3203" t="s">
        <v>8359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</v>
      </c>
      <c r="T3211" s="11">
        <f t="shared" si="203"/>
        <v>41810.75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41834.378240740734</v>
      </c>
      <c r="T3213" s="11">
        <f t="shared" si="203"/>
        <v>41865.875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42206.627037037033</v>
      </c>
      <c r="T3225" s="11">
        <f t="shared" si="203"/>
        <v>42236.627037037033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41897.959791666661</v>
      </c>
      <c r="T3232" s="11">
        <f t="shared" si="203"/>
        <v>41912.957638888889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7">
        <f t="shared" ref="P3267:P3330" si="205">(E3267/L3267)</f>
        <v>70.285714285714292</v>
      </c>
      <c r="Q3267" t="s">
        <v>8317</v>
      </c>
      <c r="R3267" t="s">
        <v>8318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42136.327800925923</v>
      </c>
      <c r="T3268" s="11">
        <f t="shared" si="207"/>
        <v>42167.666666666664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42137.187465277777</v>
      </c>
      <c r="T3271" s="11">
        <f t="shared" si="207"/>
        <v>42171.249999999993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41931.474606481475</v>
      </c>
      <c r="T3279" s="11">
        <f t="shared" si="207"/>
        <v>41961.516273148147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42430.894201388888</v>
      </c>
      <c r="T3281" s="11">
        <f t="shared" si="207"/>
        <v>42460.852534722224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42538.527499999997</v>
      </c>
      <c r="T3303" s="11">
        <f t="shared" si="207"/>
        <v>42583.082638888889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</v>
      </c>
      <c r="T3317" s="11">
        <f t="shared" si="207"/>
        <v>42496.09538194444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41859.370833333327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42498.831296296295</v>
      </c>
      <c r="T3319" s="11">
        <f t="shared" si="207"/>
        <v>42528.831296296295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7">
        <f t="shared" ref="P3331:P3394" si="209">(E3331/L3331)</f>
        <v>44.92307692307692</v>
      </c>
      <c r="Q3331" t="s">
        <v>8317</v>
      </c>
      <c r="R3331" t="s">
        <v>8318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42437.190347222218</v>
      </c>
      <c r="T3338" s="11">
        <f t="shared" si="211"/>
        <v>42465.148680555554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42062.088078703702</v>
      </c>
      <c r="T3344" s="11">
        <f t="shared" si="211"/>
        <v>42094.999305555553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42320.893425925919</v>
      </c>
      <c r="T3367" s="11">
        <f t="shared" si="211"/>
        <v>42350.893425925919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42053.524293981478</v>
      </c>
      <c r="T3379" s="11">
        <f t="shared" si="211"/>
        <v>42083.49722222222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41937.745115740741</v>
      </c>
      <c r="T3382" s="11">
        <f t="shared" si="211"/>
        <v>41972.786782407406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41947.554259259261</v>
      </c>
      <c r="T3389" s="11">
        <f t="shared" si="211"/>
        <v>41987.554259259261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41815.566493055558</v>
      </c>
      <c r="T3392" s="11">
        <f t="shared" si="211"/>
        <v>41830.566493055558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41859.727777777771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7">
        <f t="shared" ref="P3395:P3458" si="213">(E3395/L3395)</f>
        <v>36.06818181818182</v>
      </c>
      <c r="Q3395" t="s">
        <v>8317</v>
      </c>
      <c r="R3395" t="s">
        <v>8318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42140.503981481474</v>
      </c>
      <c r="T3397" s="11">
        <f t="shared" si="215"/>
        <v>42154.548611111109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41764.238298611112</v>
      </c>
      <c r="T3398" s="11">
        <f t="shared" si="215"/>
        <v>41790.957638888889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41941.543703703697</v>
      </c>
      <c r="T3400" s="11">
        <f t="shared" si="215"/>
        <v>41964.499999999993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42544.605995370366</v>
      </c>
      <c r="T3411" s="11">
        <f t="shared" si="215"/>
        <v>42582.665277777771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41937.821527777771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41775.854803240734</v>
      </c>
      <c r="T3435" s="11">
        <f t="shared" si="215"/>
        <v>41806.916666666664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41800.172094907401</v>
      </c>
      <c r="T3436" s="11">
        <f t="shared" si="215"/>
        <v>41830.172094907401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41872.477777777771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42100.719525462962</v>
      </c>
      <c r="T3440" s="11">
        <f t="shared" si="215"/>
        <v>42126.666666666664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42124.632777777777</v>
      </c>
      <c r="T3444" s="11">
        <f t="shared" si="215"/>
        <v>42154.632777777777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7">
        <f t="shared" ref="P3459:P3522" si="217">(E3459/L3459)</f>
        <v>50.981818181818184</v>
      </c>
      <c r="Q3459" t="s">
        <v>8317</v>
      </c>
      <c r="R3459" t="s">
        <v>8318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41852.318888888891</v>
      </c>
      <c r="T3462" s="11">
        <f t="shared" si="219"/>
        <v>41866.318888888891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42605.55704861111</v>
      </c>
      <c r="T3470" s="11">
        <f t="shared" si="219"/>
        <v>42633.916666666664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41841.61215277778</v>
      </c>
      <c r="T3473" s="11">
        <f t="shared" si="219"/>
        <v>41882.625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42053.708587962959</v>
      </c>
      <c r="T3480" s="11">
        <f t="shared" si="219"/>
        <v>42079.666666666664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41781.64675925926</v>
      </c>
      <c r="T3481" s="11">
        <f t="shared" si="219"/>
        <v>41811.64675925926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41989.039212962962</v>
      </c>
      <c r="T3483" s="11">
        <f t="shared" si="219"/>
        <v>42006.039212962962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41915.554502314808</v>
      </c>
      <c r="T3497" s="11">
        <f t="shared" si="219"/>
        <v>41944.512499999997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42511.53361111111</v>
      </c>
      <c r="T3499" s="11">
        <f t="shared" si="219"/>
        <v>42523.708333333336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42419.711087962962</v>
      </c>
      <c r="T3502" s="11">
        <f t="shared" si="219"/>
        <v>42435.999305555553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41794.609189814808</v>
      </c>
      <c r="T3519" s="11">
        <f t="shared" si="219"/>
        <v>41824.25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7">
        <f t="shared" ref="P3523:P3586" si="221">(E3523/L3523)</f>
        <v>45.615384615384613</v>
      </c>
      <c r="Q3523" t="s">
        <v>8317</v>
      </c>
      <c r="R3523" t="s">
        <v>8318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42319.594525462962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42248.431828703702</v>
      </c>
      <c r="T3537" s="11">
        <f t="shared" si="223"/>
        <v>42279.541666666664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41923.146018518521</v>
      </c>
      <c r="T3539" s="11">
        <f t="shared" si="223"/>
        <v>41960.124305555553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42691.275393518517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</v>
      </c>
      <c r="T3562" s="11">
        <f t="shared" si="223"/>
        <v>42150.906249999993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42221.566666666666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42236.414918981478</v>
      </c>
      <c r="T3566" s="11">
        <f t="shared" si="223"/>
        <v>42282.458333333336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</v>
      </c>
      <c r="T3572" s="11">
        <f t="shared" si="223"/>
        <v>42004.083333333336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41926.734351851854</v>
      </c>
      <c r="T3576" s="11">
        <f t="shared" si="223"/>
        <v>41956.776018518511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7">
        <f t="shared" ref="P3587:P3650" si="225">(E3587/L3587)</f>
        <v>176.08695652173913</v>
      </c>
      <c r="Q3587" t="s">
        <v>8317</v>
      </c>
      <c r="R3587" t="s">
        <v>8318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42506.501041666663</v>
      </c>
      <c r="T3610" s="11">
        <f t="shared" si="227"/>
        <v>42538.374999999993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42429.783391203702</v>
      </c>
      <c r="T3611" s="11">
        <f t="shared" si="227"/>
        <v>42459.741724537038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41789.518645833326</v>
      </c>
      <c r="T3614" s="11">
        <f t="shared" si="227"/>
        <v>41799.518645833326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42660.923912037033</v>
      </c>
      <c r="T3621" s="11">
        <f t="shared" si="227"/>
        <v>42693.708333333336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42545.56585648148</v>
      </c>
      <c r="T3626" s="11">
        <f t="shared" si="227"/>
        <v>42605.56585648148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42226.486446759256</v>
      </c>
      <c r="T3638" s="11">
        <f t="shared" si="227"/>
        <v>42261.486446759256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41899.41873842592</v>
      </c>
      <c r="T3643" s="11">
        <f t="shared" si="227"/>
        <v>41917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7">
        <f t="shared" ref="P3651:P3714" si="229">(E3651/L3651)</f>
        <v>97.5</v>
      </c>
      <c r="Q3651" t="s">
        <v>8317</v>
      </c>
      <c r="R3651" t="s">
        <v>8318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42737.701805555553</v>
      </c>
      <c r="T3658" s="11">
        <f t="shared" si="231"/>
        <v>42767.749305555553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42499.4215162037</v>
      </c>
      <c r="T3659" s="11">
        <f t="shared" si="231"/>
        <v>42522.695833333331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42173.761793981474</v>
      </c>
      <c r="T3669" s="11">
        <f t="shared" si="231"/>
        <v>42203.761793981474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41802.365949074076</v>
      </c>
      <c r="T3679" s="11">
        <f t="shared" si="231"/>
        <v>41822.957638888889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42627.245763888888</v>
      </c>
      <c r="T3682" s="11">
        <f t="shared" si="231"/>
        <v>42648.245763888888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</v>
      </c>
      <c r="T3692" s="11">
        <f t="shared" si="231"/>
        <v>41970.431516203702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41809.933865740742</v>
      </c>
      <c r="T3710" s="11">
        <f t="shared" si="231"/>
        <v>41823.933865740742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42133.963738425919</v>
      </c>
      <c r="T3714" s="11">
        <f t="shared" si="231"/>
        <v>42155.082638888889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7">
        <f t="shared" ref="P3715:P3778" si="233">(E3715/L3715)</f>
        <v>106.84210526315789</v>
      </c>
      <c r="Q3715" t="s">
        <v>8317</v>
      </c>
      <c r="R3715" t="s">
        <v>8318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42118.347997685181</v>
      </c>
      <c r="T3716" s="11">
        <f t="shared" si="235"/>
        <v>42149.957638888889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41943.544699074067</v>
      </c>
      <c r="T3725" s="11">
        <f t="shared" si="235"/>
        <v>41973.586365740739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42465.283101851848</v>
      </c>
      <c r="T3726" s="11">
        <f t="shared" si="235"/>
        <v>42494.749999999993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42461.932534722218</v>
      </c>
      <c r="T3728" s="11">
        <f t="shared" si="235"/>
        <v>42489.666666666664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41831.489606481475</v>
      </c>
      <c r="T3747" s="11">
        <f t="shared" si="235"/>
        <v>41861.489606481475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42462.785567129627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41747.263171296298</v>
      </c>
      <c r="T3760" s="11">
        <f t="shared" si="235"/>
        <v>41778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42518.816666666666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42655.796840277777</v>
      </c>
      <c r="T3775" s="11">
        <f t="shared" si="235"/>
        <v>42688.880555555552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7">
        <f t="shared" ref="P3779:P3842" si="237">(E3779/L3779)</f>
        <v>48.542372881355931</v>
      </c>
      <c r="Q3779" t="s">
        <v>8317</v>
      </c>
      <c r="R3779" t="s">
        <v>8359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42455.485416666663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42198.629166666666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42546.653900462959</v>
      </c>
      <c r="T3784" s="11">
        <f t="shared" si="239"/>
        <v>42575.749999999993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41831.514444444438</v>
      </c>
      <c r="T3800" s="11">
        <f t="shared" si="239"/>
        <v>41861.514444444438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41963.664027777777</v>
      </c>
      <c r="T3835" s="11">
        <f t="shared" si="239"/>
        <v>41974.589583333327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42154.934305555558</v>
      </c>
      <c r="T3841" s="11">
        <f t="shared" si="239"/>
        <v>42214.934305555558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7">
        <f t="shared" ref="P3843:P3906" si="241">(E3843/L3843)</f>
        <v>25.647058823529413</v>
      </c>
      <c r="Q3843" t="s">
        <v>8317</v>
      </c>
      <c r="R3843" t="s">
        <v>8318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42248.418680555558</v>
      </c>
      <c r="T3847" s="11">
        <f t="shared" si="243"/>
        <v>42278.418680555558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42128.222731481474</v>
      </c>
      <c r="T3860" s="11">
        <f t="shared" si="243"/>
        <v>42146.666666666664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41833.452662037038</v>
      </c>
      <c r="T3862" s="11">
        <f t="shared" si="243"/>
        <v>41863.452662037038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41865.45144675926</v>
      </c>
      <c r="T3870" s="11">
        <f t="shared" si="243"/>
        <v>41890.45144675926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41792.963865740741</v>
      </c>
      <c r="T3872" s="11">
        <f t="shared" si="243"/>
        <v>41822.963865740741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41867.443946759253</v>
      </c>
      <c r="T3894" s="11">
        <f t="shared" si="243"/>
        <v>41875.083333333328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41843.566678240742</v>
      </c>
      <c r="T3901" s="11">
        <f t="shared" si="243"/>
        <v>41863.566678240742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42317.618043981478</v>
      </c>
      <c r="T3903" s="11">
        <f t="shared" si="243"/>
        <v>42357.618043981478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7">
        <f t="shared" ref="P3907:P3970" si="245">(E3907/L3907)</f>
        <v>24.714285714285715</v>
      </c>
      <c r="Q3907" t="s">
        <v>8317</v>
      </c>
      <c r="R3907" t="s">
        <v>8318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42114.610601851855</v>
      </c>
      <c r="T3916" s="11">
        <f t="shared" si="247"/>
        <v>42134.749305555553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42687.220601851848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42221.448449074072</v>
      </c>
      <c r="T3937" s="11">
        <f t="shared" si="247"/>
        <v>42281.448449074072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42151.697384259256</v>
      </c>
      <c r="T3940" s="11">
        <f t="shared" si="247"/>
        <v>42182.697384259256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41829.117164351854</v>
      </c>
      <c r="T3950" s="11">
        <f t="shared" si="247"/>
        <v>41889.117164351854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42513.76798611111</v>
      </c>
      <c r="T3959" s="11">
        <f t="shared" si="247"/>
        <v>42559.76798611111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41816.742037037031</v>
      </c>
      <c r="T3960" s="11">
        <f t="shared" si="247"/>
        <v>41853.375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7">
        <f t="shared" ref="P3971:P4034" si="249">(E3971/L3971)</f>
        <v>35.166666666666664</v>
      </c>
      <c r="Q3971" t="s">
        <v>8317</v>
      </c>
      <c r="R3971" t="s">
        <v>8318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42447.655219907407</v>
      </c>
      <c r="T3972" s="11">
        <f t="shared" si="251"/>
        <v>42477.655219907407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41920.75513888889</v>
      </c>
      <c r="T3986" s="11">
        <f t="shared" si="251"/>
        <v>41950.791666666664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41950.058611111112</v>
      </c>
      <c r="T3998" s="11">
        <f t="shared" si="251"/>
        <v>41963.461111111108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41877.477777777771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42174.572488425925</v>
      </c>
      <c r="T4017" s="11">
        <f t="shared" si="251"/>
        <v>42204.572488425925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41990.375775462962</v>
      </c>
      <c r="T4024" s="11">
        <f t="shared" si="251"/>
        <v>42035.912499999999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42408.791238425925</v>
      </c>
      <c r="T4025" s="11">
        <f t="shared" si="251"/>
        <v>42453.749571759261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42321.816782407404</v>
      </c>
      <c r="T4031" s="11">
        <f t="shared" si="251"/>
        <v>42351.816782407404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42403.575694444444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7">
        <f t="shared" ref="P4035:P4098" si="253">(E4035/L4035)</f>
        <v>65.340319148936175</v>
      </c>
      <c r="Q4035" t="s">
        <v>8317</v>
      </c>
      <c r="R4035" t="s">
        <v>8318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41903.674618055556</v>
      </c>
      <c r="T4037" s="11">
        <f t="shared" si="255"/>
        <v>41933.674618055556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41804.728750000002</v>
      </c>
      <c r="T4038" s="11">
        <f t="shared" si="255"/>
        <v>41821.729166666664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42496.862442129626</v>
      </c>
      <c r="T4039" s="11">
        <f t="shared" si="255"/>
        <v>42514.392361111109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41869.590393518512</v>
      </c>
      <c r="T4040" s="11">
        <f t="shared" si="255"/>
        <v>41929.590393518512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41761.601817129624</v>
      </c>
      <c r="T4053" s="11">
        <f t="shared" si="255"/>
        <v>41768.078472222223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42534.724988425922</v>
      </c>
      <c r="T4058" s="11">
        <f t="shared" si="255"/>
        <v>42554.624305555553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42078.136874999997</v>
      </c>
      <c r="T4075" s="11">
        <f t="shared" si="255"/>
        <v>42132.958333333336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41905.587372685179</v>
      </c>
      <c r="T4078" s="11">
        <f t="shared" si="255"/>
        <v>41933.618750000001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42535.579166666663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42020.226388888885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42098.944988425923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42794.160416666666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7" t="e">
        <f t="shared" ref="P4099:P4115" si="257">(E4099/L4099)</f>
        <v>#DIV/0!</v>
      </c>
      <c r="Q4099" t="s">
        <v>8317</v>
      </c>
      <c r="R4099" t="s">
        <v>8318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42766.823344907403</v>
      </c>
      <c r="T4110" s="11">
        <f t="shared" si="259"/>
        <v>42796.999999999993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42512.418414351851</v>
      </c>
      <c r="T4112" s="11">
        <f t="shared" si="259"/>
        <v>42572.418414351851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4"/>
  <sheetViews>
    <sheetView workbookViewId="0">
      <selection activeCell="E4" sqref="E4"/>
    </sheetView>
  </sheetViews>
  <sheetFormatPr defaultRowHeight="14.4"/>
  <cols>
    <col min="1" max="1" width="12.88671875" customWidth="1"/>
    <col min="2" max="2" width="15.5546875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8" t="s">
        <v>8223</v>
      </c>
      <c r="B1" t="s">
        <v>8360</v>
      </c>
    </row>
    <row r="3" spans="1:6">
      <c r="A3" s="8" t="s">
        <v>8364</v>
      </c>
      <c r="B3" s="8" t="s">
        <v>8363</v>
      </c>
    </row>
    <row r="4" spans="1:6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7"/>
  <sheetViews>
    <sheetView topLeftCell="A7" workbookViewId="0">
      <selection activeCell="B34" sqref="B34"/>
    </sheetView>
  </sheetViews>
  <sheetFormatPr defaultRowHeight="14.4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>
      <c r="A1" s="8" t="s">
        <v>8223</v>
      </c>
      <c r="B1" t="s">
        <v>8360</v>
      </c>
    </row>
    <row r="2" spans="1:6">
      <c r="A2" s="8" t="s">
        <v>8308</v>
      </c>
      <c r="B2" t="s">
        <v>8360</v>
      </c>
    </row>
    <row r="4" spans="1:6">
      <c r="A4" s="8" t="s">
        <v>8364</v>
      </c>
      <c r="B4" s="8" t="s">
        <v>8363</v>
      </c>
    </row>
    <row r="5" spans="1:6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>
      <c r="A47" s="9" t="s">
        <v>8362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"/>
  <sheetViews>
    <sheetView workbookViewId="0">
      <selection activeCell="W22" sqref="W22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8" width="4" bestFit="1" customWidth="1"/>
    <col min="9" max="9" width="4.3320312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0.77734375" bestFit="1" customWidth="1"/>
  </cols>
  <sheetData>
    <row r="1" spans="1:5">
      <c r="A1" s="8" t="s">
        <v>8379</v>
      </c>
      <c r="B1" t="s">
        <v>8360</v>
      </c>
    </row>
    <row r="2" spans="1:5">
      <c r="A2" s="8" t="s">
        <v>8308</v>
      </c>
      <c r="B2" t="s">
        <v>8360</v>
      </c>
    </row>
    <row r="4" spans="1:5">
      <c r="A4" s="8" t="s">
        <v>8364</v>
      </c>
      <c r="B4" s="8" t="s">
        <v>8363</v>
      </c>
    </row>
    <row r="5" spans="1:5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>
      <c r="A6" s="12" t="s">
        <v>8373</v>
      </c>
      <c r="B6" s="10">
        <v>34</v>
      </c>
      <c r="C6" s="10">
        <v>149</v>
      </c>
      <c r="D6" s="10">
        <v>183</v>
      </c>
      <c r="E6" s="10">
        <v>366</v>
      </c>
    </row>
    <row r="7" spans="1:5">
      <c r="A7" s="12" t="s">
        <v>8374</v>
      </c>
      <c r="B7" s="10">
        <v>27</v>
      </c>
      <c r="C7" s="10">
        <v>105</v>
      </c>
      <c r="D7" s="10">
        <v>202</v>
      </c>
      <c r="E7" s="10">
        <v>334</v>
      </c>
    </row>
    <row r="8" spans="1:5">
      <c r="A8" s="12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>
      <c r="A9" s="12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>
      <c r="A10" s="12" t="s">
        <v>8367</v>
      </c>
      <c r="B10" s="10">
        <v>26</v>
      </c>
      <c r="C10" s="10">
        <v>126</v>
      </c>
      <c r="D10" s="10">
        <v>233</v>
      </c>
      <c r="E10" s="10">
        <v>385</v>
      </c>
    </row>
    <row r="11" spans="1:5">
      <c r="A11" s="12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>
      <c r="A12" s="12" t="s">
        <v>8368</v>
      </c>
      <c r="B12" s="10">
        <v>44</v>
      </c>
      <c r="C12" s="10">
        <v>148</v>
      </c>
      <c r="D12" s="10">
        <v>192</v>
      </c>
      <c r="E12" s="10">
        <v>384</v>
      </c>
    </row>
    <row r="13" spans="1:5">
      <c r="A13" s="12" t="s">
        <v>8369</v>
      </c>
      <c r="B13" s="10">
        <v>32</v>
      </c>
      <c r="C13" s="10">
        <v>134</v>
      </c>
      <c r="D13" s="10">
        <v>167</v>
      </c>
      <c r="E13" s="10">
        <v>333</v>
      </c>
    </row>
    <row r="14" spans="1:5">
      <c r="A14" s="12" t="s">
        <v>8370</v>
      </c>
      <c r="B14" s="10">
        <v>24</v>
      </c>
      <c r="C14" s="10">
        <v>127</v>
      </c>
      <c r="D14" s="10">
        <v>148</v>
      </c>
      <c r="E14" s="10">
        <v>299</v>
      </c>
    </row>
    <row r="15" spans="1:5">
      <c r="A15" s="12" t="s">
        <v>8371</v>
      </c>
      <c r="B15" s="10">
        <v>20</v>
      </c>
      <c r="C15" s="10">
        <v>150</v>
      </c>
      <c r="D15" s="10">
        <v>184</v>
      </c>
      <c r="E15" s="10">
        <v>354</v>
      </c>
    </row>
    <row r="16" spans="1:5">
      <c r="A16" s="12" t="s">
        <v>8372</v>
      </c>
      <c r="B16" s="10">
        <v>37</v>
      </c>
      <c r="C16" s="10">
        <v>113</v>
      </c>
      <c r="D16" s="10">
        <v>180</v>
      </c>
      <c r="E16" s="10">
        <v>330</v>
      </c>
    </row>
    <row r="17" spans="1:5">
      <c r="A17" s="12" t="s">
        <v>8378</v>
      </c>
      <c r="B17" s="10">
        <v>23</v>
      </c>
      <c r="C17" s="10">
        <v>119</v>
      </c>
      <c r="D17" s="10">
        <v>111</v>
      </c>
      <c r="E17" s="10">
        <v>253</v>
      </c>
    </row>
    <row r="18" spans="1:5">
      <c r="A18" s="12" t="s">
        <v>8362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3"/>
  <sheetViews>
    <sheetView workbookViewId="0">
      <selection activeCell="A3" sqref="A1:H13"/>
    </sheetView>
  </sheetViews>
  <sheetFormatPr defaultRowHeight="14.4"/>
  <cols>
    <col min="1" max="1" width="27.33203125" customWidth="1"/>
    <col min="2" max="2" width="17.88671875" customWidth="1"/>
    <col min="3" max="3" width="15.44140625" customWidth="1"/>
    <col min="4" max="4" width="17.33203125" customWidth="1"/>
    <col min="5" max="5" width="16.33203125" customWidth="1"/>
    <col min="6" max="6" width="20.88671875" style="13" customWidth="1"/>
    <col min="7" max="7" width="17.88671875" customWidth="1"/>
    <col min="8" max="8" width="19.77734375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3" t="s">
        <v>8385</v>
      </c>
      <c r="G1" t="s">
        <v>8386</v>
      </c>
      <c r="H1" t="s">
        <v>8387</v>
      </c>
    </row>
    <row r="2" spans="1:8">
      <c r="A2" t="s">
        <v>8388</v>
      </c>
      <c r="B2">
        <f>COUNTIFS('Original-Modified'!D2:D4115,"&lt;1000",'Original-Modified'!F2:F4115,"Successful")</f>
        <v>322</v>
      </c>
      <c r="C2">
        <f>COUNTIFS('Original-Modified'!D2:D4115,"&lt;1000",'Original-Modified'!F2:F4115,"Failed")</f>
        <v>113</v>
      </c>
      <c r="D2">
        <f>COUNTIFS('Original-Modified'!D2:D4115,"&lt;1000",'Original-Modified'!F2:F4115,"Canceled")</f>
        <v>18</v>
      </c>
      <c r="E2">
        <f>+SUM(B2:D2)</f>
        <v>453</v>
      </c>
      <c r="F2" s="13">
        <f>(B2/E2)</f>
        <v>0.71081677704194257</v>
      </c>
      <c r="G2" s="13">
        <f>C2/E2</f>
        <v>0.24944812362030905</v>
      </c>
      <c r="H2" s="13">
        <f>D2/E2</f>
        <v>3.9735099337748346E-2</v>
      </c>
    </row>
    <row r="3" spans="1:8">
      <c r="A3" t="s">
        <v>8389</v>
      </c>
      <c r="B3">
        <f>COUNTIFS('Original-Modified'!D2:D4115,"&gt;=1000",'Original-Modified'!D2:D4115,"&lt;=4999",'Original-Modified'!F2:F4115,"Successful")</f>
        <v>932</v>
      </c>
      <c r="C3">
        <f>COUNTIFS('Original-Modified'!D2:D4115,"&gt;=1000",'Original-Modified'!D2:D4115,"&lt;=4999",'Original-Modified'!F2:F4115,"Failed")</f>
        <v>420</v>
      </c>
      <c r="D3">
        <f>COUNTIFS('Original-Modified'!D2:D4115,"&gt;=1000",'Original-Modified'!D2:D4115,"&lt;=4999",'Original-Modified'!F2:F4115,"Canceled")</f>
        <v>60</v>
      </c>
      <c r="E3">
        <f>+SUM(B3:D3)</f>
        <v>1412</v>
      </c>
      <c r="F3" s="13">
        <f t="shared" ref="F3:F13" si="0">(B3/E3)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</row>
    <row r="4" spans="1:8">
      <c r="A4" t="s">
        <v>8390</v>
      </c>
      <c r="B4">
        <f>COUNTIFS('Original-Modified'!D2:D4115,"&gt;=5000",'Original-Modified'!D2:D4115,"&lt;=9999",'Original-Modified'!F2:F4115,"Successful")</f>
        <v>381</v>
      </c>
      <c r="C4">
        <f>COUNTIFS('Original-Modified'!D2:D4115,"&gt;=5000",'Original-Modified'!D2:D4115,"&lt;=9999",'Original-Modified'!F2:F4115,"failed")</f>
        <v>283</v>
      </c>
      <c r="D4">
        <f>COUNTIFS('Original-Modified'!D2:D4115,"&gt;=5000",'Original-Modified'!D2:D4115,"&lt;=9999",'Original-Modified'!F2:F4115,"canceled")</f>
        <v>52</v>
      </c>
      <c r="E4">
        <f t="shared" ref="E4:E13" si="3">+SUM(B4:D4)</f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</row>
    <row r="5" spans="1:8">
      <c r="A5" t="s">
        <v>8391</v>
      </c>
      <c r="B5">
        <f>COUNTIFS('Original-Modified'!D2:D4115,"&gt;=10000",'Original-Modified'!D2:D4115,"&lt;=14999",'Original-Modified'!F2:F4115,"Successful")</f>
        <v>168</v>
      </c>
      <c r="C5">
        <f>COUNTIFS('Original-Modified'!D2:D4115,"&gt;=10000",'Original-Modified'!D2:D4115,"&lt;=14999",'Original-Modified'!F2:F4115,"failed")</f>
        <v>144</v>
      </c>
      <c r="D5">
        <f>COUNTIFS('Original-Modified'!D2:D4115,"&gt;=10000",'Original-Modified'!D2:D4115,"&lt;=14999",'Original-Modified'!F2:F4115,"canceled")</f>
        <v>40</v>
      </c>
      <c r="E5">
        <f t="shared" si="3"/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>
      <c r="A6" t="s">
        <v>8392</v>
      </c>
      <c r="B6">
        <f>COUNTIFS('Original-Modified'!D2:D4115,"&gt;=15000",'Original-Modified'!D2:D4115,"&lt;=19999",'Original-Modified'!F2:F4115,"Successful")</f>
        <v>94</v>
      </c>
      <c r="C6">
        <f>COUNTIFS('Original-Modified'!D2:D4115,"&gt;=15000",'Original-Modified'!D2:D4115,"&lt;=19999",'Original-Modified'!F2:F4115,"failed")</f>
        <v>90</v>
      </c>
      <c r="D6">
        <f>COUNTIFS('Original-Modified'!D2:D4115,"&gt;=15000",'Original-Modified'!D2:D4115,"&lt;=19999",'Original-Modified'!F2:F4115,"canceled")</f>
        <v>17</v>
      </c>
      <c r="E6">
        <f t="shared" si="3"/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>
      <c r="A7" t="s">
        <v>8393</v>
      </c>
      <c r="B7">
        <f>COUNTIFS('Original-Modified'!D2:D4115,"&gt;=20000",'Original-Modified'!D2:D4115,"&lt;=24999",'Original-Modified'!F2:F4115,"Successful")</f>
        <v>62</v>
      </c>
      <c r="C7">
        <f>COUNTIFS('Original-Modified'!D2:D4115,"&gt;=20000",'Original-Modified'!D2:D4115,"&lt;=24999",'Original-Modified'!F2:F4115,"failed")</f>
        <v>72</v>
      </c>
      <c r="D7">
        <f>COUNTIFS('Original-Modified'!D2:D4115,"&gt;=20000",'Original-Modified'!D2:D4115,"&lt;=24999",'Original-Modified'!F2:F4115,"canceled")</f>
        <v>14</v>
      </c>
      <c r="E7">
        <f t="shared" si="3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>
      <c r="A8" t="s">
        <v>8394</v>
      </c>
      <c r="B8">
        <f>COUNTIFS('Original-Modified'!D2:D4115,"&gt;=25000",'Original-Modified'!D2:D4115,"&lt;=29999",'Original-Modified'!F2:F4115,"Successful")</f>
        <v>55</v>
      </c>
      <c r="C8">
        <f>COUNTIFS('Original-Modified'!D2:D4115,"&gt;=25000",'Original-Modified'!D2:D4115,"&lt;=29999",'Original-Modified'!F2:F4115,"failed")</f>
        <v>64</v>
      </c>
      <c r="D8">
        <f>COUNTIFS('Original-Modified'!D2:D4115,"&gt;=25000",'Original-Modified'!D2:D4115,"&lt;=29999",'Original-Modified'!F2:F4115,"canceled")</f>
        <v>18</v>
      </c>
      <c r="E8">
        <f t="shared" si="3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>
      <c r="A9" t="s">
        <v>8395</v>
      </c>
      <c r="B9">
        <f>COUNTIFS('Original-Modified'!D2:D4115,"&gt;=30000",'Original-Modified'!D2:D4115,"&lt;=34999",'Original-Modified'!F2:F4115,"Successful")</f>
        <v>32</v>
      </c>
      <c r="C9">
        <f>COUNTIFS('Original-Modified'!D2:D4115,"&gt;=30000",'Original-Modified'!D2:D4115,"&lt;=34999",'Original-Modified'!F2:F4115,"failed")</f>
        <v>37</v>
      </c>
      <c r="D9">
        <f>COUNTIFS('Original-Modified'!D2:D4115,"&gt;=30000",'Original-Modified'!D2:D4115,"&lt;=34999",'Original-Modified'!F2:F4115,"canceled")</f>
        <v>13</v>
      </c>
      <c r="E9">
        <f t="shared" si="3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8">
      <c r="A10" t="s">
        <v>8396</v>
      </c>
      <c r="B10">
        <f>COUNTIFS('Original-Modified'!D2:D4115,"&gt;=35000",'Original-Modified'!D2:D4115,"&lt;=39999",'Original-Modified'!F2:F4115,"Successful")</f>
        <v>26</v>
      </c>
      <c r="C10">
        <f>COUNTIFS('Original-Modified'!D2:D4115,"&gt;=35000",'Original-Modified'!D2:D4115,"&lt;=39999",'Original-Modified'!F2:F4115,"failed")</f>
        <v>22</v>
      </c>
      <c r="D10">
        <f>COUNTIFS('Original-Modified'!D2:D4115,"&gt;=35000",'Original-Modified'!D2:D4115,"&lt;=39999",'Original-Modified'!F2:F4115,"canceled")</f>
        <v>7</v>
      </c>
      <c r="E10">
        <f t="shared" si="3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8">
      <c r="A11" t="s">
        <v>8397</v>
      </c>
      <c r="B11">
        <f>COUNTIFS('Original-Modified'!D2:D4115,"&gt;=40000",'Original-Modified'!D2:D4115,"&lt;=44999",'Original-Modified'!F2:F4115,"Successful")</f>
        <v>21</v>
      </c>
      <c r="C11">
        <f>COUNTIFS('Original-Modified'!D2:D4115,"&gt;=40000",'Original-Modified'!D2:D4115,"&lt;=44999",'Original-Modified'!F2:F4115,"failed")</f>
        <v>16</v>
      </c>
      <c r="D11">
        <f>COUNTIFS('Original-Modified'!D2:D4115,"&gt;=40000",'Original-Modified'!D2:D4115,"&lt;=44999",'Original-Modified'!F2:F4115,"canceled")</f>
        <v>6</v>
      </c>
      <c r="E11">
        <f t="shared" si="3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8">
      <c r="A12" t="s">
        <v>8398</v>
      </c>
      <c r="B12">
        <f>COUNTIFS('Original-Modified'!D2:D4115,"&gt;=45000",'Original-Modified'!D2:D4115,"&lt;=49999",'Original-Modified'!F2:F4115,"Successful")</f>
        <v>6</v>
      </c>
      <c r="C12">
        <f>COUNTIFS('Original-Modified'!D2:D4115,"&gt;=45000",'Original-Modified'!D2:D4115,"&lt;=49999",'Original-Modified'!F2:F4115,"failed")</f>
        <v>11</v>
      </c>
      <c r="D12">
        <f>COUNTIFS('Original-Modified'!D2:D4115,"&gt;=45000",'Original-Modified'!D2:D4115,"&lt;=49999",'Original-Modified'!F2:F4115,"canceled")</f>
        <v>4</v>
      </c>
      <c r="E12">
        <f t="shared" si="3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>
      <c r="A13" t="s">
        <v>8399</v>
      </c>
      <c r="B13">
        <f>COUNTIFS('Original-Modified'!D2:D4115,"&gt;=50000",'Original-Modified'!F2:F4115,"Successful")</f>
        <v>86</v>
      </c>
      <c r="C13">
        <f>COUNTIFS('Original-Modified'!D2:D4115,"&gt;=50000",'Original-Modified'!F2:F4115,"failed")</f>
        <v>258</v>
      </c>
      <c r="D13">
        <f>COUNTIFS('Original-Modified'!D2:D4115,"&gt;=50000",'Original-Modified'!F2:F4115,"canceled")</f>
        <v>100</v>
      </c>
      <c r="E13">
        <f t="shared" si="3"/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C8064-394D-4AC0-BD58-E3AFE45FDC63}">
  <dimension ref="A1:J15"/>
  <sheetViews>
    <sheetView topLeftCell="E1" workbookViewId="0">
      <selection activeCell="P25" sqref="P25"/>
    </sheetView>
  </sheetViews>
  <sheetFormatPr defaultRowHeight="14.4"/>
  <cols>
    <col min="1" max="1" width="27.33203125" customWidth="1"/>
    <col min="2" max="2" width="17.88671875" hidden="1" customWidth="1"/>
    <col min="3" max="3" width="15.44140625" hidden="1" customWidth="1"/>
    <col min="4" max="4" width="17.33203125" hidden="1" customWidth="1"/>
    <col min="5" max="5" width="16.33203125" customWidth="1"/>
    <col min="6" max="6" width="20.88671875" hidden="1" customWidth="1"/>
    <col min="7" max="7" width="17.88671875" hidden="1" customWidth="1"/>
    <col min="8" max="8" width="19.77734375" hidden="1" customWidth="1"/>
    <col min="9" max="9" width="20.77734375" customWidth="1"/>
    <col min="10" max="10" width="22.77734375" customWidth="1"/>
  </cols>
  <sheetData>
    <row r="1" spans="1:10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3" t="s">
        <v>8385</v>
      </c>
      <c r="G1" t="s">
        <v>8386</v>
      </c>
      <c r="H1" t="s">
        <v>8387</v>
      </c>
      <c r="I1" t="s">
        <v>8402</v>
      </c>
      <c r="J1" t="s">
        <v>8401</v>
      </c>
    </row>
    <row r="2" spans="1:10">
      <c r="A2" t="s">
        <v>8388</v>
      </c>
      <c r="B2">
        <f>COUNTIFS('Original-Modified'!D2:D4115,"&lt;1000",'Original-Modified'!F2:F4115,"Successful")</f>
        <v>322</v>
      </c>
      <c r="C2">
        <f>COUNTIFS('Original-Modified'!D2:D4115,"&lt;1000",'Original-Modified'!F2:F4115,"Failed")</f>
        <v>113</v>
      </c>
      <c r="D2">
        <f>COUNTIFS('Original-Modified'!D2:D4115,"&lt;1000",'Original-Modified'!F2:F4115,"Canceled")</f>
        <v>18</v>
      </c>
      <c r="E2">
        <f>+SUM(B2:D2)</f>
        <v>453</v>
      </c>
      <c r="F2" s="13">
        <f>(B2/E2)</f>
        <v>0.71081677704194257</v>
      </c>
      <c r="G2" s="13">
        <f>C2/E2</f>
        <v>0.24944812362030905</v>
      </c>
      <c r="H2" s="13">
        <f>D2/E2</f>
        <v>3.9735099337748346E-2</v>
      </c>
      <c r="I2">
        <f>COUNTIFS('Original-Modified'!D2:D4115,"&lt;1000",'Original-Modified'!O2:O4115,"&gt;=1")</f>
        <v>326</v>
      </c>
      <c r="J2" s="13">
        <f>I2/E2</f>
        <v>0.7196467991169978</v>
      </c>
    </row>
    <row r="3" spans="1:10">
      <c r="A3" t="s">
        <v>8389</v>
      </c>
      <c r="B3">
        <f>COUNTIFS('Original-Modified'!D2:D4115,"&gt;=1000",'Original-Modified'!D2:D4115,"&lt;=4999",'Original-Modified'!F2:F4115,"Successful")</f>
        <v>932</v>
      </c>
      <c r="C3">
        <f>COUNTIFS('Original-Modified'!D2:D4115,"&gt;=1000",'Original-Modified'!D2:D4115,"&lt;=4999",'Original-Modified'!F2:F4115,"Failed")</f>
        <v>420</v>
      </c>
      <c r="D3">
        <f>COUNTIFS('Original-Modified'!D2:D4115,"&gt;=1000",'Original-Modified'!D2:D4115,"&lt;=4999",'Original-Modified'!F2:F4115,"Canceled")</f>
        <v>60</v>
      </c>
      <c r="E3">
        <f>+SUM(B3:D3)</f>
        <v>1412</v>
      </c>
      <c r="F3" s="13">
        <f t="shared" ref="F3:F13" si="0">(B3/E3)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  <c r="I3">
        <f>COUNTIFS('Original-Modified'!D2:D4115,"&gt;=1000",'Original-Modified'!D2:D4115,"&lt;=4999",'Original-Modified'!O2:O4115,"&gt;=1")</f>
        <v>933</v>
      </c>
      <c r="J3" s="13">
        <f t="shared" ref="J3:J13" si="3">I3/E3</f>
        <v>0.66076487252124649</v>
      </c>
    </row>
    <row r="4" spans="1:10">
      <c r="A4" t="s">
        <v>8390</v>
      </c>
      <c r="B4">
        <f>COUNTIFS('Original-Modified'!D2:D4115,"&gt;=5000",'Original-Modified'!D2:D4115,"&lt;=9999",'Original-Modified'!F2:F4115,"Successful")</f>
        <v>381</v>
      </c>
      <c r="C4">
        <f>COUNTIFS('Original-Modified'!D2:D4115,"&gt;=5000",'Original-Modified'!D2:D4115,"&lt;=9999",'Original-Modified'!F2:F4115,"failed")</f>
        <v>283</v>
      </c>
      <c r="D4">
        <f>COUNTIFS('Original-Modified'!D2:D4115,"&gt;=5000",'Original-Modified'!D2:D4115,"&lt;=9999",'Original-Modified'!F2:F4115,"canceled")</f>
        <v>52</v>
      </c>
      <c r="E4">
        <f t="shared" ref="E4:E13" si="4">+SUM(B4:D4)</f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  <c r="I4">
        <f>COUNTIFS('Original-Modified'!D2:D4115,"&gt;=5000",'Original-Modified'!D2:D4115,"&lt;=9999",'Original-Modified'!O2:O4115,"&gt;=1")</f>
        <v>384</v>
      </c>
      <c r="J4" s="13">
        <f t="shared" si="3"/>
        <v>0.53631284916201116</v>
      </c>
    </row>
    <row r="5" spans="1:10">
      <c r="A5" t="s">
        <v>8391</v>
      </c>
      <c r="B5">
        <f>COUNTIFS('Original-Modified'!D2:D4115,"&gt;=10000",'Original-Modified'!D2:D4115,"&lt;=14999",'Original-Modified'!F2:F4115,"Successful")</f>
        <v>168</v>
      </c>
      <c r="C5">
        <f>COUNTIFS('Original-Modified'!D2:D4115,"&gt;=10000",'Original-Modified'!D2:D4115,"&lt;=14999",'Original-Modified'!F2:F4115,"failed")</f>
        <v>144</v>
      </c>
      <c r="D5">
        <f>COUNTIFS('Original-Modified'!D2:D4115,"&gt;=10000",'Original-Modified'!D2:D4115,"&lt;=14999",'Original-Modified'!F2:F4115,"canceled")</f>
        <v>40</v>
      </c>
      <c r="E5">
        <f t="shared" si="4"/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  <c r="I5">
        <f>COUNTIFS('Original-Modified'!D2:D4115,"&gt;=10000",'Original-Modified'!D2:D4115,"&lt;=14999",'Original-Modified'!O2:O4115,"&gt;=1")</f>
        <v>169</v>
      </c>
      <c r="J5" s="13">
        <f t="shared" si="3"/>
        <v>0.48011363636363635</v>
      </c>
    </row>
    <row r="6" spans="1:10">
      <c r="A6" t="s">
        <v>8392</v>
      </c>
      <c r="B6">
        <f>COUNTIFS('Original-Modified'!D2:D4115,"&gt;=15000",'Original-Modified'!D2:D4115,"&lt;=19999",'Original-Modified'!F2:F4115,"Successful")</f>
        <v>94</v>
      </c>
      <c r="C6">
        <f>COUNTIFS('Original-Modified'!D2:D4115,"&gt;=15000",'Original-Modified'!D2:D4115,"&lt;=19999",'Original-Modified'!F2:F4115,"failed")</f>
        <v>90</v>
      </c>
      <c r="D6">
        <f>COUNTIFS('Original-Modified'!D2:D4115,"&gt;=15000",'Original-Modified'!D2:D4115,"&lt;=19999",'Original-Modified'!F2:F4115,"canceled")</f>
        <v>17</v>
      </c>
      <c r="E6">
        <f t="shared" si="4"/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  <c r="I6">
        <f>COUNTIFS('Original-Modified'!D2:D4115,"&gt;=15000",'Original-Modified'!D2:D4115,"&lt;=19999",'Original-Modified'!O2:O4115,"&gt;=1")</f>
        <v>95</v>
      </c>
      <c r="J6" s="13">
        <f t="shared" si="3"/>
        <v>0.47263681592039802</v>
      </c>
    </row>
    <row r="7" spans="1:10">
      <c r="A7" t="s">
        <v>8393</v>
      </c>
      <c r="B7">
        <f>COUNTIFS('Original-Modified'!D2:D4115,"&gt;=20000",'Original-Modified'!D2:D4115,"&lt;=24999",'Original-Modified'!F2:F4115,"Successful")</f>
        <v>62</v>
      </c>
      <c r="C7">
        <f>COUNTIFS('Original-Modified'!D2:D4115,"&gt;=20000",'Original-Modified'!D2:D4115,"&lt;=24999",'Original-Modified'!F2:F4115,"failed")</f>
        <v>72</v>
      </c>
      <c r="D7">
        <f>COUNTIFS('Original-Modified'!D2:D4115,"&gt;=20000",'Original-Modified'!D2:D4115,"&lt;=24999",'Original-Modified'!F2:F4115,"canceled")</f>
        <v>14</v>
      </c>
      <c r="E7">
        <f t="shared" si="4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  <c r="I7">
        <f>COUNTIFS('Original-Modified'!D2:D4115,"&gt;=20000",'Original-Modified'!D2:D4115,"&lt;=24999",'Original-Modified'!O2:O4115,"&gt;=1")</f>
        <v>62</v>
      </c>
      <c r="J7" s="13">
        <f t="shared" si="3"/>
        <v>0.41891891891891891</v>
      </c>
    </row>
    <row r="8" spans="1:10">
      <c r="A8" t="s">
        <v>8394</v>
      </c>
      <c r="B8">
        <f>COUNTIFS('Original-Modified'!D2:D4115,"&gt;=25000",'Original-Modified'!D2:D4115,"&lt;=29999",'Original-Modified'!F2:F4115,"Successful")</f>
        <v>55</v>
      </c>
      <c r="C8">
        <f>COUNTIFS('Original-Modified'!D2:D4115,"&gt;=25000",'Original-Modified'!D2:D4115,"&lt;=29999",'Original-Modified'!F2:F4115,"failed")</f>
        <v>64</v>
      </c>
      <c r="D8">
        <f>COUNTIFS('Original-Modified'!D2:D4115,"&gt;=25000",'Original-Modified'!D2:D4115,"&lt;=29999",'Original-Modified'!F2:F4115,"canceled")</f>
        <v>18</v>
      </c>
      <c r="E8">
        <f t="shared" si="4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  <c r="I8">
        <f>COUNTIFS('Original-Modified'!D2:D4115,"&gt;=25000",'Original-Modified'!D2:D4115,"&lt;=29999",'Original-Modified'!O2:O4115,"&gt;=1")</f>
        <v>55</v>
      </c>
      <c r="J8" s="13">
        <f t="shared" si="3"/>
        <v>0.40145985401459855</v>
      </c>
    </row>
    <row r="9" spans="1:10">
      <c r="A9" t="s">
        <v>8395</v>
      </c>
      <c r="B9">
        <f>COUNTIFS('Original-Modified'!D2:D4115,"&gt;=30000",'Original-Modified'!D2:D4115,"&lt;=34999",'Original-Modified'!F2:F4115,"Successful")</f>
        <v>32</v>
      </c>
      <c r="C9">
        <f>COUNTIFS('Original-Modified'!D2:D4115,"&gt;=30000",'Original-Modified'!D2:D4115,"&lt;=34999",'Original-Modified'!F2:F4115,"failed")</f>
        <v>37</v>
      </c>
      <c r="D9">
        <f>COUNTIFS('Original-Modified'!D2:D4115,"&gt;=30000",'Original-Modified'!D2:D4115,"&lt;=34999",'Original-Modified'!F2:F4115,"canceled")</f>
        <v>13</v>
      </c>
      <c r="E9">
        <f t="shared" si="4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  <c r="I9">
        <f>COUNTIFS('Original-Modified'!D2:D4115,"&gt;=30000",'Original-Modified'!D2:D4115,"&lt;=34999",'Original-Modified'!O2:O4115,"&gt;=1")</f>
        <v>32</v>
      </c>
      <c r="J9" s="13">
        <f t="shared" si="3"/>
        <v>0.3902439024390244</v>
      </c>
    </row>
    <row r="10" spans="1:10">
      <c r="A10" t="s">
        <v>8396</v>
      </c>
      <c r="B10">
        <f>COUNTIFS('Original-Modified'!D2:D4115,"&gt;=35000",'Original-Modified'!D2:D4115,"&lt;=39999",'Original-Modified'!F2:F4115,"Successful")</f>
        <v>26</v>
      </c>
      <c r="C10">
        <f>COUNTIFS('Original-Modified'!D2:D4115,"&gt;=35000",'Original-Modified'!D2:D4115,"&lt;=39999",'Original-Modified'!F2:F4115,"failed")</f>
        <v>22</v>
      </c>
      <c r="D10">
        <f>COUNTIFS('Original-Modified'!D2:D4115,"&gt;=35000",'Original-Modified'!D2:D4115,"&lt;=39999",'Original-Modified'!F2:F4115,"canceled")</f>
        <v>7</v>
      </c>
      <c r="E10">
        <f t="shared" si="4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  <c r="I10">
        <f>COUNTIFS('Original-Modified'!D2:D4115,"&gt;=35000",'Original-Modified'!D2:D4115,"&lt;=39999",'Original-Modified'!O2:O4115,"&gt;=1")</f>
        <v>26</v>
      </c>
      <c r="J10" s="13">
        <f t="shared" si="3"/>
        <v>0.47272727272727272</v>
      </c>
    </row>
    <row r="11" spans="1:10">
      <c r="A11" t="s">
        <v>8397</v>
      </c>
      <c r="B11">
        <f>COUNTIFS('Original-Modified'!D2:D4115,"&gt;=40000",'Original-Modified'!D2:D4115,"&lt;=44999",'Original-Modified'!F2:F4115,"Successful")</f>
        <v>21</v>
      </c>
      <c r="C11">
        <f>COUNTIFS('Original-Modified'!D2:D4115,"&gt;=40000",'Original-Modified'!D2:D4115,"&lt;=44999",'Original-Modified'!F2:F4115,"failed")</f>
        <v>16</v>
      </c>
      <c r="D11">
        <f>COUNTIFS('Original-Modified'!D2:D4115,"&gt;=40000",'Original-Modified'!D2:D4115,"&lt;=44999",'Original-Modified'!F2:F4115,"canceled")</f>
        <v>6</v>
      </c>
      <c r="E11">
        <f t="shared" si="4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  <c r="I11">
        <f>COUNTIFS('Original-Modified'!D2:D4115,"&gt;=40000",'Original-Modified'!D2:D4115,"&lt;=44999",'Original-Modified'!O2:O4115,"&gt;=1")</f>
        <v>22</v>
      </c>
      <c r="J11" s="13">
        <f t="shared" si="3"/>
        <v>0.51162790697674421</v>
      </c>
    </row>
    <row r="12" spans="1:10">
      <c r="A12" t="s">
        <v>8398</v>
      </c>
      <c r="B12">
        <f>COUNTIFS('Original-Modified'!D2:D4115,"&gt;=45000",'Original-Modified'!D2:D4115,"&lt;=49999",'Original-Modified'!F2:F4115,"Successful")</f>
        <v>6</v>
      </c>
      <c r="C12">
        <f>COUNTIFS('Original-Modified'!D2:D4115,"&gt;=45000",'Original-Modified'!D2:D4115,"&lt;=49999",'Original-Modified'!F2:F4115,"failed")</f>
        <v>11</v>
      </c>
      <c r="D12">
        <f>COUNTIFS('Original-Modified'!D2:D4115,"&gt;=45000",'Original-Modified'!D2:D4115,"&lt;=49999",'Original-Modified'!F2:F4115,"canceled")</f>
        <v>4</v>
      </c>
      <c r="E12">
        <f t="shared" si="4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  <c r="I12">
        <f>COUNTIFS('Original-Modified'!D2:D4115,"&gt;=45000",'Original-Modified'!D2:D4115,"&lt;=49999",'Original-Modified'!O2:O4115,"&gt;=1")</f>
        <v>6</v>
      </c>
      <c r="J12" s="13">
        <f t="shared" si="3"/>
        <v>0.2857142857142857</v>
      </c>
    </row>
    <row r="13" spans="1:10">
      <c r="A13" t="s">
        <v>8399</v>
      </c>
      <c r="B13">
        <f>COUNTIFS('Original-Modified'!D2:D4115,"&gt;=50000",'Original-Modified'!F2:F4115,"Successful")</f>
        <v>86</v>
      </c>
      <c r="C13">
        <f>COUNTIFS('Original-Modified'!D2:D4115,"&gt;=50000",'Original-Modified'!F2:F4115,"failed")</f>
        <v>258</v>
      </c>
      <c r="D13">
        <f>COUNTIFS('Original-Modified'!D2:D4115,"&gt;=50000",'Original-Modified'!F2:F4115,"canceled")</f>
        <v>100</v>
      </c>
      <c r="E13">
        <f t="shared" si="4"/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  <c r="I13">
        <f>COUNTIFS('Original-Modified'!D2:D4115,"&gt;=50000",'Original-Modified'!O2:O4115,"&gt;=1")</f>
        <v>88</v>
      </c>
      <c r="J13" s="13">
        <f t="shared" si="3"/>
        <v>0.1981981981981982</v>
      </c>
    </row>
    <row r="14" spans="1:10">
      <c r="F14" s="13"/>
      <c r="G14" s="13"/>
      <c r="H14" s="13"/>
    </row>
    <row r="15" spans="1:10">
      <c r="F15" s="13"/>
      <c r="G15" s="13"/>
      <c r="H15" s="1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771CD-BF54-47AB-8AFE-1E084868E422}">
  <dimension ref="A1:J13"/>
  <sheetViews>
    <sheetView topLeftCell="A7" workbookViewId="0">
      <selection activeCell="A22" sqref="A22"/>
    </sheetView>
  </sheetViews>
  <sheetFormatPr defaultRowHeight="14.4"/>
  <cols>
    <col min="1" max="1" width="27.33203125" customWidth="1"/>
    <col min="2" max="2" width="17.88671875" hidden="1" customWidth="1"/>
    <col min="3" max="3" width="15.44140625" hidden="1" customWidth="1"/>
    <col min="4" max="4" width="17.33203125" hidden="1" customWidth="1"/>
    <col min="5" max="5" width="16.33203125" hidden="1" customWidth="1"/>
    <col min="6" max="6" width="20.88671875" customWidth="1"/>
    <col min="7" max="7" width="17.88671875" hidden="1" customWidth="1"/>
    <col min="8" max="8" width="19.77734375" hidden="1" customWidth="1"/>
    <col min="9" max="9" width="20.77734375" hidden="1" customWidth="1"/>
    <col min="10" max="10" width="22.77734375" customWidth="1"/>
  </cols>
  <sheetData>
    <row r="1" spans="1:10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3" t="s">
        <v>8385</v>
      </c>
      <c r="G1" t="s">
        <v>8386</v>
      </c>
      <c r="H1" t="s">
        <v>8387</v>
      </c>
      <c r="I1" t="s">
        <v>8402</v>
      </c>
      <c r="J1" t="s">
        <v>8401</v>
      </c>
    </row>
    <row r="2" spans="1:10">
      <c r="A2" t="s">
        <v>8388</v>
      </c>
      <c r="B2">
        <f>COUNTIFS('Original-Modified'!D2:D4115,"&lt;1000",'Original-Modified'!F2:F4115,"Successful")</f>
        <v>322</v>
      </c>
      <c r="C2">
        <f>COUNTIFS('Original-Modified'!D2:D4115,"&lt;1000",'Original-Modified'!F2:F4115,"Failed")</f>
        <v>113</v>
      </c>
      <c r="D2">
        <f>COUNTIFS('Original-Modified'!D2:D4115,"&lt;1000",'Original-Modified'!F2:F4115,"Canceled")</f>
        <v>18</v>
      </c>
      <c r="E2">
        <f>+SUM(B2:D2)</f>
        <v>453</v>
      </c>
      <c r="F2" s="13">
        <f>(B2/E2)</f>
        <v>0.71081677704194257</v>
      </c>
      <c r="G2" s="13">
        <f>C2/E2</f>
        <v>0.24944812362030905</v>
      </c>
      <c r="H2" s="13">
        <f>D2/E2</f>
        <v>3.9735099337748346E-2</v>
      </c>
      <c r="I2">
        <f>COUNTIFS('Original-Modified'!D2:D4115,"&lt;1000",'Original-Modified'!O2:O4115,"&gt;=1")</f>
        <v>326</v>
      </c>
      <c r="J2" s="13">
        <f>I2/E2</f>
        <v>0.7196467991169978</v>
      </c>
    </row>
    <row r="3" spans="1:10">
      <c r="A3" t="s">
        <v>8389</v>
      </c>
      <c r="B3">
        <f>COUNTIFS('Original-Modified'!D2:D4115,"&gt;=1000",'Original-Modified'!D2:D4115,"&lt;=4999",'Original-Modified'!F2:F4115,"Successful")</f>
        <v>932</v>
      </c>
      <c r="C3">
        <f>COUNTIFS('Original-Modified'!D2:D4115,"&gt;=1000",'Original-Modified'!D2:D4115,"&lt;=4999",'Original-Modified'!F2:F4115,"Failed")</f>
        <v>420</v>
      </c>
      <c r="D3">
        <f>COUNTIFS('Original-Modified'!D2:D4115,"&gt;=1000",'Original-Modified'!D2:D4115,"&lt;=4999",'Original-Modified'!F2:F4115,"Canceled")</f>
        <v>60</v>
      </c>
      <c r="E3">
        <f>+SUM(B3:D3)</f>
        <v>1412</v>
      </c>
      <c r="F3" s="13">
        <f t="shared" ref="F3:F13" si="0">(B3/E3)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  <c r="I3">
        <f>COUNTIFS('Original-Modified'!D2:D4115,"&gt;=1000",'Original-Modified'!D2:D4115,"&lt;=4999",'Original-Modified'!O2:O4115,"&gt;=1")</f>
        <v>933</v>
      </c>
      <c r="J3" s="13">
        <f t="shared" ref="J3:J13" si="3">I3/E3</f>
        <v>0.66076487252124649</v>
      </c>
    </row>
    <row r="4" spans="1:10">
      <c r="A4" t="s">
        <v>8390</v>
      </c>
      <c r="B4">
        <f>COUNTIFS('Original-Modified'!D2:D4115,"&gt;=5000",'Original-Modified'!D2:D4115,"&lt;=9999",'Original-Modified'!F2:F4115,"Successful")</f>
        <v>381</v>
      </c>
      <c r="C4">
        <f>COUNTIFS('Original-Modified'!D2:D4115,"&gt;=5000",'Original-Modified'!D2:D4115,"&lt;=9999",'Original-Modified'!F2:F4115,"failed")</f>
        <v>283</v>
      </c>
      <c r="D4">
        <f>COUNTIFS('Original-Modified'!D2:D4115,"&gt;=5000",'Original-Modified'!D2:D4115,"&lt;=9999",'Original-Modified'!F2:F4115,"canceled")</f>
        <v>52</v>
      </c>
      <c r="E4">
        <f t="shared" ref="E4:E13" si="4">+SUM(B4:D4)</f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  <c r="I4">
        <f>COUNTIFS('Original-Modified'!D2:D4115,"&gt;=5000",'Original-Modified'!D2:D4115,"&lt;=9999",'Original-Modified'!O2:O4115,"&gt;=1")</f>
        <v>384</v>
      </c>
      <c r="J4" s="13">
        <f t="shared" si="3"/>
        <v>0.53631284916201116</v>
      </c>
    </row>
    <row r="5" spans="1:10">
      <c r="A5" t="s">
        <v>8391</v>
      </c>
      <c r="B5">
        <f>COUNTIFS('Original-Modified'!D2:D4115,"&gt;=10000",'Original-Modified'!D2:D4115,"&lt;=14999",'Original-Modified'!F2:F4115,"Successful")</f>
        <v>168</v>
      </c>
      <c r="C5">
        <f>COUNTIFS('Original-Modified'!D2:D4115,"&gt;=10000",'Original-Modified'!D2:D4115,"&lt;=14999",'Original-Modified'!F2:F4115,"failed")</f>
        <v>144</v>
      </c>
      <c r="D5">
        <f>COUNTIFS('Original-Modified'!D2:D4115,"&gt;=10000",'Original-Modified'!D2:D4115,"&lt;=14999",'Original-Modified'!F2:F4115,"canceled")</f>
        <v>40</v>
      </c>
      <c r="E5">
        <f t="shared" si="4"/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  <c r="I5">
        <f>COUNTIFS('Original-Modified'!D2:D4115,"&gt;=10000",'Original-Modified'!D2:D4115,"&lt;=14999",'Original-Modified'!O2:O4115,"&gt;=1")</f>
        <v>169</v>
      </c>
      <c r="J5" s="13">
        <f t="shared" si="3"/>
        <v>0.48011363636363635</v>
      </c>
    </row>
    <row r="6" spans="1:10">
      <c r="A6" t="s">
        <v>8392</v>
      </c>
      <c r="B6">
        <f>COUNTIFS('Original-Modified'!D2:D4115,"&gt;=15000",'Original-Modified'!D2:D4115,"&lt;=19999",'Original-Modified'!F2:F4115,"Successful")</f>
        <v>94</v>
      </c>
      <c r="C6">
        <f>COUNTIFS('Original-Modified'!D2:D4115,"&gt;=15000",'Original-Modified'!D2:D4115,"&lt;=19999",'Original-Modified'!F2:F4115,"failed")</f>
        <v>90</v>
      </c>
      <c r="D6">
        <f>COUNTIFS('Original-Modified'!D2:D4115,"&gt;=15000",'Original-Modified'!D2:D4115,"&lt;=19999",'Original-Modified'!F2:F4115,"canceled")</f>
        <v>17</v>
      </c>
      <c r="E6">
        <f t="shared" si="4"/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  <c r="I6">
        <f>COUNTIFS('Original-Modified'!D2:D4115,"&gt;=15000",'Original-Modified'!D2:D4115,"&lt;=19999",'Original-Modified'!O2:O4115,"&gt;=1")</f>
        <v>95</v>
      </c>
      <c r="J6" s="13">
        <f t="shared" si="3"/>
        <v>0.47263681592039802</v>
      </c>
    </row>
    <row r="7" spans="1:10">
      <c r="A7" t="s">
        <v>8393</v>
      </c>
      <c r="B7">
        <f>COUNTIFS('Original-Modified'!D2:D4115,"&gt;=20000",'Original-Modified'!D2:D4115,"&lt;=24999",'Original-Modified'!F2:F4115,"Successful")</f>
        <v>62</v>
      </c>
      <c r="C7">
        <f>COUNTIFS('Original-Modified'!D2:D4115,"&gt;=20000",'Original-Modified'!D2:D4115,"&lt;=24999",'Original-Modified'!F2:F4115,"failed")</f>
        <v>72</v>
      </c>
      <c r="D7">
        <f>COUNTIFS('Original-Modified'!D2:D4115,"&gt;=20000",'Original-Modified'!D2:D4115,"&lt;=24999",'Original-Modified'!F2:F4115,"canceled")</f>
        <v>14</v>
      </c>
      <c r="E7">
        <f t="shared" si="4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  <c r="I7">
        <f>COUNTIFS('Original-Modified'!D2:D4115,"&gt;=20000",'Original-Modified'!D2:D4115,"&lt;=24999",'Original-Modified'!O2:O4115,"&gt;=1")</f>
        <v>62</v>
      </c>
      <c r="J7" s="13">
        <f t="shared" si="3"/>
        <v>0.41891891891891891</v>
      </c>
    </row>
    <row r="8" spans="1:10">
      <c r="A8" t="s">
        <v>8394</v>
      </c>
      <c r="B8">
        <f>COUNTIFS('Original-Modified'!D2:D4115,"&gt;=25000",'Original-Modified'!D2:D4115,"&lt;=29999",'Original-Modified'!F2:F4115,"Successful")</f>
        <v>55</v>
      </c>
      <c r="C8">
        <f>COUNTIFS('Original-Modified'!D2:D4115,"&gt;=25000",'Original-Modified'!D2:D4115,"&lt;=29999",'Original-Modified'!F2:F4115,"failed")</f>
        <v>64</v>
      </c>
      <c r="D8">
        <f>COUNTIFS('Original-Modified'!D2:D4115,"&gt;=25000",'Original-Modified'!D2:D4115,"&lt;=29999",'Original-Modified'!F2:F4115,"canceled")</f>
        <v>18</v>
      </c>
      <c r="E8">
        <f t="shared" si="4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  <c r="I8">
        <f>COUNTIFS('Original-Modified'!D2:D4115,"&gt;=25000",'Original-Modified'!D2:D4115,"&lt;=29999",'Original-Modified'!O2:O4115,"&gt;=1")</f>
        <v>55</v>
      </c>
      <c r="J8" s="13">
        <f t="shared" si="3"/>
        <v>0.40145985401459855</v>
      </c>
    </row>
    <row r="9" spans="1:10">
      <c r="A9" t="s">
        <v>8395</v>
      </c>
      <c r="B9">
        <f>COUNTIFS('Original-Modified'!D2:D4115,"&gt;=30000",'Original-Modified'!D2:D4115,"&lt;=34999",'Original-Modified'!F2:F4115,"Successful")</f>
        <v>32</v>
      </c>
      <c r="C9">
        <f>COUNTIFS('Original-Modified'!D2:D4115,"&gt;=30000",'Original-Modified'!D2:D4115,"&lt;=34999",'Original-Modified'!F2:F4115,"failed")</f>
        <v>37</v>
      </c>
      <c r="D9">
        <f>COUNTIFS('Original-Modified'!D2:D4115,"&gt;=30000",'Original-Modified'!D2:D4115,"&lt;=34999",'Original-Modified'!F2:F4115,"canceled")</f>
        <v>13</v>
      </c>
      <c r="E9">
        <f t="shared" si="4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  <c r="I9">
        <f>COUNTIFS('Original-Modified'!D2:D4115,"&gt;=30000",'Original-Modified'!D2:D4115,"&lt;=34999",'Original-Modified'!O2:O4115,"&gt;=1")</f>
        <v>32</v>
      </c>
      <c r="J9" s="13">
        <f t="shared" si="3"/>
        <v>0.3902439024390244</v>
      </c>
    </row>
    <row r="10" spans="1:10">
      <c r="A10" t="s">
        <v>8396</v>
      </c>
      <c r="B10">
        <f>COUNTIFS('Original-Modified'!D2:D4115,"&gt;=35000",'Original-Modified'!D2:D4115,"&lt;=39999",'Original-Modified'!F2:F4115,"Successful")</f>
        <v>26</v>
      </c>
      <c r="C10">
        <f>COUNTIFS('Original-Modified'!D2:D4115,"&gt;=35000",'Original-Modified'!D2:D4115,"&lt;=39999",'Original-Modified'!F2:F4115,"failed")</f>
        <v>22</v>
      </c>
      <c r="D10">
        <f>COUNTIFS('Original-Modified'!D2:D4115,"&gt;=35000",'Original-Modified'!D2:D4115,"&lt;=39999",'Original-Modified'!F2:F4115,"canceled")</f>
        <v>7</v>
      </c>
      <c r="E10">
        <f t="shared" si="4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  <c r="I10">
        <f>COUNTIFS('Original-Modified'!D2:D4115,"&gt;=35000",'Original-Modified'!D2:D4115,"&lt;=39999",'Original-Modified'!O2:O4115,"&gt;=1")</f>
        <v>26</v>
      </c>
      <c r="J10" s="13">
        <f t="shared" si="3"/>
        <v>0.47272727272727272</v>
      </c>
    </row>
    <row r="11" spans="1:10">
      <c r="A11" t="s">
        <v>8397</v>
      </c>
      <c r="B11">
        <f>COUNTIFS('Original-Modified'!D2:D4115,"&gt;=40000",'Original-Modified'!D2:D4115,"&lt;=44999",'Original-Modified'!F2:F4115,"Successful")</f>
        <v>21</v>
      </c>
      <c r="C11">
        <f>COUNTIFS('Original-Modified'!D2:D4115,"&gt;=40000",'Original-Modified'!D2:D4115,"&lt;=44999",'Original-Modified'!F2:F4115,"failed")</f>
        <v>16</v>
      </c>
      <c r="D11">
        <f>COUNTIFS('Original-Modified'!D2:D4115,"&gt;=40000",'Original-Modified'!D2:D4115,"&lt;=44999",'Original-Modified'!F2:F4115,"canceled")</f>
        <v>6</v>
      </c>
      <c r="E11">
        <f t="shared" si="4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  <c r="I11">
        <f>COUNTIFS('Original-Modified'!D2:D4115,"&gt;=40000",'Original-Modified'!D2:D4115,"&lt;=44999",'Original-Modified'!O2:O4115,"&gt;=1")</f>
        <v>22</v>
      </c>
      <c r="J11" s="13">
        <f t="shared" si="3"/>
        <v>0.51162790697674421</v>
      </c>
    </row>
    <row r="12" spans="1:10">
      <c r="A12" t="s">
        <v>8398</v>
      </c>
      <c r="B12">
        <f>COUNTIFS('Original-Modified'!D2:D4115,"&gt;=45000",'Original-Modified'!D2:D4115,"&lt;=49999",'Original-Modified'!F2:F4115,"Successful")</f>
        <v>6</v>
      </c>
      <c r="C12">
        <f>COUNTIFS('Original-Modified'!D2:D4115,"&gt;=45000",'Original-Modified'!D2:D4115,"&lt;=49999",'Original-Modified'!F2:F4115,"failed")</f>
        <v>11</v>
      </c>
      <c r="D12">
        <f>COUNTIFS('Original-Modified'!D2:D4115,"&gt;=45000",'Original-Modified'!D2:D4115,"&lt;=49999",'Original-Modified'!F2:F4115,"canceled")</f>
        <v>4</v>
      </c>
      <c r="E12">
        <f t="shared" si="4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  <c r="I12">
        <f>COUNTIFS('Original-Modified'!D2:D4115,"&gt;=45000",'Original-Modified'!D2:D4115,"&lt;=49999",'Original-Modified'!O2:O4115,"&gt;=1")</f>
        <v>6</v>
      </c>
      <c r="J12" s="13">
        <f t="shared" si="3"/>
        <v>0.2857142857142857</v>
      </c>
    </row>
    <row r="13" spans="1:10">
      <c r="A13" t="s">
        <v>8399</v>
      </c>
      <c r="B13">
        <f>COUNTIFS('Original-Modified'!D2:D4115,"&gt;=50000",'Original-Modified'!F2:F4115,"Successful")</f>
        <v>86</v>
      </c>
      <c r="C13">
        <f>COUNTIFS('Original-Modified'!D2:D4115,"&gt;=50000",'Original-Modified'!F2:F4115,"failed")</f>
        <v>258</v>
      </c>
      <c r="D13">
        <f>COUNTIFS('Original-Modified'!D2:D4115,"&gt;=50000",'Original-Modified'!F2:F4115,"canceled")</f>
        <v>100</v>
      </c>
      <c r="E13">
        <f t="shared" si="4"/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  <c r="I13">
        <f>COUNTIFS('Original-Modified'!D2:D4115,"&gt;=50000",'Original-Modified'!O2:O4115,"&gt;=1")</f>
        <v>88</v>
      </c>
      <c r="J13" s="13">
        <f t="shared" si="3"/>
        <v>0.1981981981981982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CA1FC-63F6-4369-9702-6F246E6946FB}">
  <dimension ref="A1:J13"/>
  <sheetViews>
    <sheetView workbookViewId="0">
      <selection activeCell="D24" sqref="D24"/>
    </sheetView>
  </sheetViews>
  <sheetFormatPr defaultRowHeight="14.4"/>
  <cols>
    <col min="1" max="1" width="27.33203125" customWidth="1"/>
    <col min="2" max="2" width="17.88671875" customWidth="1"/>
    <col min="3" max="3" width="15.44140625" customWidth="1"/>
    <col min="4" max="4" width="17.33203125" customWidth="1"/>
    <col min="5" max="5" width="16.33203125" customWidth="1"/>
    <col min="6" max="6" width="20.88671875" customWidth="1"/>
    <col min="7" max="7" width="17.88671875" customWidth="1"/>
    <col min="8" max="8" width="19.77734375" customWidth="1"/>
    <col min="9" max="9" width="20.77734375" customWidth="1"/>
    <col min="10" max="10" width="22.77734375" customWidth="1"/>
    <col min="11" max="11" width="32.6640625" customWidth="1"/>
    <col min="12" max="12" width="25.5546875" customWidth="1"/>
  </cols>
  <sheetData>
    <row r="1" spans="1:10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3" t="s">
        <v>8385</v>
      </c>
      <c r="G1" t="s">
        <v>8386</v>
      </c>
      <c r="H1" t="s">
        <v>8387</v>
      </c>
      <c r="I1" t="s">
        <v>8402</v>
      </c>
      <c r="J1" t="s">
        <v>8401</v>
      </c>
    </row>
    <row r="2" spans="1:10">
      <c r="A2" t="s">
        <v>8388</v>
      </c>
      <c r="B2">
        <f>COUNTIFS('Original-Modified'!D2:D4115,"&lt;1000",'Original-Modified'!F2:F4115,"Successful")</f>
        <v>322</v>
      </c>
      <c r="C2">
        <f>COUNTIFS('Original-Modified'!D2:D4115,"&lt;1000",'Original-Modified'!F2:F4115,"Failed")</f>
        <v>113</v>
      </c>
      <c r="D2">
        <f>COUNTIFS('Original-Modified'!D2:D4115,"&lt;1000",'Original-Modified'!F2:F4115,"Canceled")</f>
        <v>18</v>
      </c>
      <c r="E2">
        <f>+SUM(B2:D2)</f>
        <v>453</v>
      </c>
      <c r="F2" s="13">
        <f>(B2/E2)</f>
        <v>0.71081677704194257</v>
      </c>
      <c r="G2" s="13">
        <f>C2/E2</f>
        <v>0.24944812362030905</v>
      </c>
      <c r="H2" s="13">
        <f>D2/E2</f>
        <v>3.9735099337748346E-2</v>
      </c>
      <c r="I2">
        <f>COUNTIFS('Original-Modified'!D2:D4115,"&lt;1000",'Original-Modified'!O2:O4115,"&gt;=1")</f>
        <v>326</v>
      </c>
      <c r="J2" s="13">
        <f>I2/E2</f>
        <v>0.7196467991169978</v>
      </c>
    </row>
    <row r="3" spans="1:10">
      <c r="A3" t="s">
        <v>8389</v>
      </c>
      <c r="B3">
        <f>COUNTIFS('Original-Modified'!D2:D4115,"&gt;=1000",'Original-Modified'!D2:D4115,"&lt;=4999",'Original-Modified'!F2:F4115,"Successful")</f>
        <v>932</v>
      </c>
      <c r="C3">
        <f>COUNTIFS('Original-Modified'!D2:D4115,"&gt;=1000",'Original-Modified'!D2:D4115,"&lt;=4999",'Original-Modified'!F2:F4115,"Failed")</f>
        <v>420</v>
      </c>
      <c r="D3">
        <f>COUNTIFS('Original-Modified'!D2:D4115,"&gt;=1000",'Original-Modified'!D2:D4115,"&lt;=4999",'Original-Modified'!F2:F4115,"Canceled")</f>
        <v>60</v>
      </c>
      <c r="E3">
        <f>+SUM(B3:D3)</f>
        <v>1412</v>
      </c>
      <c r="F3" s="13">
        <f t="shared" ref="F3:F13" si="0">(B3/E3)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  <c r="I3">
        <f>COUNTIFS('Original-Modified'!D2:D4115,"&gt;=1000",'Original-Modified'!D2:D4115,"&lt;=4999",'Original-Modified'!O2:O4115,"&gt;=1")</f>
        <v>933</v>
      </c>
      <c r="J3" s="13">
        <f t="shared" ref="J3:J13" si="3">I3/E3</f>
        <v>0.66076487252124649</v>
      </c>
    </row>
    <row r="4" spans="1:10">
      <c r="A4" t="s">
        <v>8390</v>
      </c>
      <c r="B4">
        <f>COUNTIFS('Original-Modified'!D2:D4115,"&gt;=5000",'Original-Modified'!D2:D4115,"&lt;=9999",'Original-Modified'!F2:F4115,"Successful")</f>
        <v>381</v>
      </c>
      <c r="C4">
        <f>COUNTIFS('Original-Modified'!D2:D4115,"&gt;=5000",'Original-Modified'!D2:D4115,"&lt;=9999",'Original-Modified'!F2:F4115,"failed")</f>
        <v>283</v>
      </c>
      <c r="D4">
        <f>COUNTIFS('Original-Modified'!D2:D4115,"&gt;=5000",'Original-Modified'!D2:D4115,"&lt;=9999",'Original-Modified'!F2:F4115,"canceled")</f>
        <v>52</v>
      </c>
      <c r="E4">
        <f t="shared" ref="E4:E13" si="4">+SUM(B4:D4)</f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  <c r="I4">
        <f>COUNTIFS('Original-Modified'!D2:D4115,"&gt;=5000",'Original-Modified'!D2:D4115,"&lt;=9999",'Original-Modified'!O2:O4115,"&gt;=1")</f>
        <v>384</v>
      </c>
      <c r="J4" s="13">
        <f t="shared" si="3"/>
        <v>0.53631284916201116</v>
      </c>
    </row>
    <row r="5" spans="1:10">
      <c r="A5" t="s">
        <v>8391</v>
      </c>
      <c r="B5">
        <f>COUNTIFS('Original-Modified'!D2:D4115,"&gt;=10000",'Original-Modified'!D2:D4115,"&lt;=14999",'Original-Modified'!F2:F4115,"Successful")</f>
        <v>168</v>
      </c>
      <c r="C5">
        <f>COUNTIFS('Original-Modified'!D2:D4115,"&gt;=10000",'Original-Modified'!D2:D4115,"&lt;=14999",'Original-Modified'!F2:F4115,"failed")</f>
        <v>144</v>
      </c>
      <c r="D5">
        <f>COUNTIFS('Original-Modified'!D2:D4115,"&gt;=10000",'Original-Modified'!D2:D4115,"&lt;=14999",'Original-Modified'!F2:F4115,"canceled")</f>
        <v>40</v>
      </c>
      <c r="E5">
        <f t="shared" si="4"/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  <c r="I5">
        <f>COUNTIFS('Original-Modified'!D2:D4115,"&gt;=10000",'Original-Modified'!D2:D4115,"&lt;=14999",'Original-Modified'!O2:O4115,"&gt;=1")</f>
        <v>169</v>
      </c>
      <c r="J5" s="13">
        <f t="shared" si="3"/>
        <v>0.48011363636363635</v>
      </c>
    </row>
    <row r="6" spans="1:10">
      <c r="A6" t="s">
        <v>8392</v>
      </c>
      <c r="B6">
        <f>COUNTIFS('Original-Modified'!D2:D4115,"&gt;=15000",'Original-Modified'!D2:D4115,"&lt;=19999",'Original-Modified'!F2:F4115,"Successful")</f>
        <v>94</v>
      </c>
      <c r="C6">
        <f>COUNTIFS('Original-Modified'!D2:D4115,"&gt;=15000",'Original-Modified'!D2:D4115,"&lt;=19999",'Original-Modified'!F2:F4115,"failed")</f>
        <v>90</v>
      </c>
      <c r="D6">
        <f>COUNTIFS('Original-Modified'!D2:D4115,"&gt;=15000",'Original-Modified'!D2:D4115,"&lt;=19999",'Original-Modified'!F2:F4115,"canceled")</f>
        <v>17</v>
      </c>
      <c r="E6">
        <f t="shared" si="4"/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  <c r="I6">
        <f>COUNTIFS('Original-Modified'!D2:D4115,"&gt;=15000",'Original-Modified'!D2:D4115,"&lt;=19999",'Original-Modified'!O2:O4115,"&gt;=1")</f>
        <v>95</v>
      </c>
      <c r="J6" s="13">
        <f t="shared" si="3"/>
        <v>0.47263681592039802</v>
      </c>
    </row>
    <row r="7" spans="1:10">
      <c r="A7" t="s">
        <v>8393</v>
      </c>
      <c r="B7">
        <f>COUNTIFS('Original-Modified'!D2:D4115,"&gt;=20000",'Original-Modified'!D2:D4115,"&lt;=24999",'Original-Modified'!F2:F4115,"Successful")</f>
        <v>62</v>
      </c>
      <c r="C7">
        <f>COUNTIFS('Original-Modified'!D2:D4115,"&gt;=20000",'Original-Modified'!D2:D4115,"&lt;=24999",'Original-Modified'!F2:F4115,"failed")</f>
        <v>72</v>
      </c>
      <c r="D7">
        <f>COUNTIFS('Original-Modified'!D2:D4115,"&gt;=20000",'Original-Modified'!D2:D4115,"&lt;=24999",'Original-Modified'!F2:F4115,"canceled")</f>
        <v>14</v>
      </c>
      <c r="E7">
        <f t="shared" si="4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  <c r="I7">
        <f>COUNTIFS('Original-Modified'!D2:D4115,"&gt;=20000",'Original-Modified'!D2:D4115,"&lt;=24999",'Original-Modified'!O2:O4115,"&gt;=1")</f>
        <v>62</v>
      </c>
      <c r="J7" s="13">
        <f t="shared" si="3"/>
        <v>0.41891891891891891</v>
      </c>
    </row>
    <row r="8" spans="1:10">
      <c r="A8" t="s">
        <v>8394</v>
      </c>
      <c r="B8">
        <f>COUNTIFS('Original-Modified'!D2:D4115,"&gt;=25000",'Original-Modified'!D2:D4115,"&lt;=29999",'Original-Modified'!F2:F4115,"Successful")</f>
        <v>55</v>
      </c>
      <c r="C8">
        <f>COUNTIFS('Original-Modified'!D2:D4115,"&gt;=25000",'Original-Modified'!D2:D4115,"&lt;=29999",'Original-Modified'!F2:F4115,"failed")</f>
        <v>64</v>
      </c>
      <c r="D8">
        <f>COUNTIFS('Original-Modified'!D2:D4115,"&gt;=25000",'Original-Modified'!D2:D4115,"&lt;=29999",'Original-Modified'!F2:F4115,"canceled")</f>
        <v>18</v>
      </c>
      <c r="E8">
        <f t="shared" si="4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  <c r="I8">
        <f>COUNTIFS('Original-Modified'!D2:D4115,"&gt;=25000",'Original-Modified'!D2:D4115,"&lt;=29999",'Original-Modified'!O2:O4115,"&gt;=1")</f>
        <v>55</v>
      </c>
      <c r="J8" s="13">
        <f t="shared" si="3"/>
        <v>0.40145985401459855</v>
      </c>
    </row>
    <row r="9" spans="1:10">
      <c r="A9" t="s">
        <v>8395</v>
      </c>
      <c r="B9">
        <f>COUNTIFS('Original-Modified'!D2:D4115,"&gt;=30000",'Original-Modified'!D2:D4115,"&lt;=34999",'Original-Modified'!F2:F4115,"Successful")</f>
        <v>32</v>
      </c>
      <c r="C9">
        <f>COUNTIFS('Original-Modified'!D2:D4115,"&gt;=30000",'Original-Modified'!D2:D4115,"&lt;=34999",'Original-Modified'!F2:F4115,"failed")</f>
        <v>37</v>
      </c>
      <c r="D9">
        <f>COUNTIFS('Original-Modified'!D2:D4115,"&gt;=30000",'Original-Modified'!D2:D4115,"&lt;=34999",'Original-Modified'!F2:F4115,"canceled")</f>
        <v>13</v>
      </c>
      <c r="E9">
        <f t="shared" si="4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  <c r="I9">
        <f>COUNTIFS('Original-Modified'!D2:D4115,"&gt;=30000",'Original-Modified'!D2:D4115,"&lt;=34999",'Original-Modified'!O2:O4115,"&gt;=1")</f>
        <v>32</v>
      </c>
      <c r="J9" s="13">
        <f t="shared" si="3"/>
        <v>0.3902439024390244</v>
      </c>
    </row>
    <row r="10" spans="1:10">
      <c r="A10" t="s">
        <v>8396</v>
      </c>
      <c r="B10">
        <f>COUNTIFS('Original-Modified'!D2:D4115,"&gt;=35000",'Original-Modified'!D2:D4115,"&lt;=39999",'Original-Modified'!F2:F4115,"Successful")</f>
        <v>26</v>
      </c>
      <c r="C10">
        <f>COUNTIFS('Original-Modified'!D2:D4115,"&gt;=35000",'Original-Modified'!D2:D4115,"&lt;=39999",'Original-Modified'!F2:F4115,"failed")</f>
        <v>22</v>
      </c>
      <c r="D10">
        <f>COUNTIFS('Original-Modified'!D2:D4115,"&gt;=35000",'Original-Modified'!D2:D4115,"&lt;=39999",'Original-Modified'!F2:F4115,"canceled")</f>
        <v>7</v>
      </c>
      <c r="E10">
        <f t="shared" si="4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  <c r="I10">
        <f>COUNTIFS('Original-Modified'!D2:D4115,"&gt;=35000",'Original-Modified'!D2:D4115,"&lt;=39999",'Original-Modified'!O2:O4115,"&gt;=1")</f>
        <v>26</v>
      </c>
      <c r="J10" s="13">
        <f t="shared" si="3"/>
        <v>0.47272727272727272</v>
      </c>
    </row>
    <row r="11" spans="1:10">
      <c r="A11" t="s">
        <v>8397</v>
      </c>
      <c r="B11">
        <f>COUNTIFS('Original-Modified'!D2:D4115,"&gt;=40000",'Original-Modified'!D2:D4115,"&lt;=44999",'Original-Modified'!F2:F4115,"Successful")</f>
        <v>21</v>
      </c>
      <c r="C11">
        <f>COUNTIFS('Original-Modified'!D2:D4115,"&gt;=40000",'Original-Modified'!D2:D4115,"&lt;=44999",'Original-Modified'!F2:F4115,"failed")</f>
        <v>16</v>
      </c>
      <c r="D11">
        <f>COUNTIFS('Original-Modified'!D2:D4115,"&gt;=40000",'Original-Modified'!D2:D4115,"&lt;=44999",'Original-Modified'!F2:F4115,"canceled")</f>
        <v>6</v>
      </c>
      <c r="E11">
        <f t="shared" si="4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  <c r="I11">
        <f>COUNTIFS('Original-Modified'!D2:D4115,"&gt;=40000",'Original-Modified'!D2:D4115,"&lt;=44999",'Original-Modified'!O2:O4115,"&gt;=1")</f>
        <v>22</v>
      </c>
      <c r="J11" s="13">
        <f t="shared" si="3"/>
        <v>0.51162790697674421</v>
      </c>
    </row>
    <row r="12" spans="1:10">
      <c r="A12" t="s">
        <v>8398</v>
      </c>
      <c r="B12">
        <f>COUNTIFS('Original-Modified'!D2:D4115,"&gt;=45000",'Original-Modified'!D2:D4115,"&lt;=49999",'Original-Modified'!F2:F4115,"Successful")</f>
        <v>6</v>
      </c>
      <c r="C12">
        <f>COUNTIFS('Original-Modified'!D2:D4115,"&gt;=45000",'Original-Modified'!D2:D4115,"&lt;=49999",'Original-Modified'!F2:F4115,"failed")</f>
        <v>11</v>
      </c>
      <c r="D12">
        <f>COUNTIFS('Original-Modified'!D2:D4115,"&gt;=45000",'Original-Modified'!D2:D4115,"&lt;=49999",'Original-Modified'!F2:F4115,"canceled")</f>
        <v>4</v>
      </c>
      <c r="E12">
        <f t="shared" si="4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  <c r="I12">
        <f>COUNTIFS('Original-Modified'!D2:D4115,"&gt;=45000",'Original-Modified'!D2:D4115,"&lt;=49999",'Original-Modified'!O2:O4115,"&gt;=1")</f>
        <v>6</v>
      </c>
      <c r="J12" s="13">
        <f t="shared" si="3"/>
        <v>0.2857142857142857</v>
      </c>
    </row>
    <row r="13" spans="1:10">
      <c r="A13" t="s">
        <v>8399</v>
      </c>
      <c r="B13">
        <f>COUNTIFS('Original-Modified'!D2:D4115,"&gt;=50000",'Original-Modified'!F2:F4115,"Successful")</f>
        <v>86</v>
      </c>
      <c r="C13">
        <f>COUNTIFS('Original-Modified'!D2:D4115,"&gt;=50000",'Original-Modified'!F2:F4115,"failed")</f>
        <v>258</v>
      </c>
      <c r="D13">
        <f>COUNTIFS('Original-Modified'!D2:D4115,"&gt;=50000",'Original-Modified'!F2:F4115,"canceled")</f>
        <v>100</v>
      </c>
      <c r="E13">
        <f t="shared" si="4"/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  <c r="I13">
        <f>COUNTIFS('Original-Modified'!D2:D4115,"&gt;=50000",'Original-Modified'!O2:O4115,"&gt;=1")</f>
        <v>88</v>
      </c>
      <c r="J13" s="13">
        <f t="shared" si="3"/>
        <v>0.1981981981981982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Sheet4</vt:lpstr>
      <vt:lpstr>Original-Modified</vt:lpstr>
      <vt:lpstr>Part 1</vt:lpstr>
      <vt:lpstr>Part 2</vt:lpstr>
      <vt:lpstr>Part 3</vt:lpstr>
      <vt:lpstr>Bonus</vt:lpstr>
      <vt:lpstr>Additional 1</vt:lpstr>
      <vt:lpstr>Additional 2</vt:lpstr>
      <vt:lpstr>Ignore - Extra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Gobind Singh</cp:lastModifiedBy>
  <dcterms:created xsi:type="dcterms:W3CDTF">2017-04-20T15:17:24Z</dcterms:created>
  <dcterms:modified xsi:type="dcterms:W3CDTF">2018-10-18T15:32:54Z</dcterms:modified>
</cp:coreProperties>
</file>