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Ушка\Desktop\Учеба\5 семестр\СтатОбр\"/>
    </mc:Choice>
  </mc:AlternateContent>
  <xr:revisionPtr revIDLastSave="0" documentId="13_ncr:1_{A0653ED5-150F-4D26-966E-634294454EEE}" xr6:coauthVersionLast="37" xr6:coauthVersionMax="47" xr10:uidLastSave="{00000000-0000-0000-0000-000000000000}"/>
  <bookViews>
    <workbookView xWindow="-108" yWindow="-108" windowWidth="23256" windowHeight="12576" xr2:uid="{4B6DC982-22F8-47A1-A21A-24B42CC19A6A}"/>
  </bookViews>
  <sheets>
    <sheet name="Линейная 1" sheetId="1" r:id="rId1"/>
    <sheet name="Линейная 2" sheetId="3" r:id="rId2"/>
    <sheet name="ЛинСтепЛог" sheetId="7" r:id="rId3"/>
    <sheet name="Пак" sheetId="5" r:id="rId4"/>
    <sheet name="Пакет1" sheetId="6" r:id="rId5"/>
    <sheet name="Пакет2" sheetId="10" r:id="rId6"/>
    <sheet name="Степенная" sheetId="11" r:id="rId7"/>
    <sheet name="Обратная" sheetId="13" r:id="rId8"/>
    <sheet name="Таблица" sheetId="12" r:id="rId9"/>
    <sheet name="Работа1" sheetId="14" r:id="rId10"/>
    <sheet name="Лист1" sheetId="20" r:id="rId11"/>
    <sheet name="Множеств. регрессия" sheetId="15" r:id="rId12"/>
    <sheet name="Мн. Регр. Ан. Данн." sheetId="16" r:id="rId13"/>
    <sheet name="Мн. Регр." sheetId="17" r:id="rId14"/>
    <sheet name="Мн. Регр. Лист 2" sheetId="18" r:id="rId15"/>
    <sheet name="Мн. Регр. Ан. Данн. 2" sheetId="19" r:id="rId16"/>
    <sheet name="Коррелограмма" sheetId="21" r:id="rId17"/>
    <sheet name="Критерий средних" sheetId="24" r:id="rId18"/>
    <sheet name="Критерий серий" sheetId="25" r:id="rId19"/>
    <sheet name="Критерий медиан" sheetId="26" r:id="rId20"/>
    <sheet name="Сезонная" sheetId="27" r:id="rId21"/>
    <sheet name="Сезонн 2" sheetId="28" r:id="rId22"/>
    <sheet name="Фостер - Стюарт" sheetId="29" r:id="rId23"/>
    <sheet name="Ирвин" sheetId="30" r:id="rId24"/>
    <sheet name="Фурье" sheetId="31" r:id="rId25"/>
  </sheets>
  <definedNames>
    <definedName name="solver_eng" localSheetId="11" hidden="1">1</definedName>
    <definedName name="solver_neg" localSheetId="11" hidden="1">1</definedName>
    <definedName name="solver_num" localSheetId="11" hidden="1">0</definedName>
    <definedName name="solver_opt" localSheetId="11" hidden="1">'Множеств. регрессия'!$I$2</definedName>
    <definedName name="solver_typ" localSheetId="11" hidden="1">1</definedName>
    <definedName name="solver_val" localSheetId="11" hidden="1">0</definedName>
    <definedName name="solver_ver" localSheetId="1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4" l="1"/>
  <c r="E6" i="24"/>
  <c r="H14" i="1" l="1"/>
  <c r="I14" i="1" s="1"/>
  <c r="R22" i="31" l="1"/>
  <c r="R23" i="31"/>
  <c r="R24" i="31"/>
  <c r="R25" i="31"/>
  <c r="R26" i="31"/>
  <c r="R27" i="31"/>
  <c r="R28" i="31"/>
  <c r="R29" i="31"/>
  <c r="R30" i="31"/>
  <c r="R31" i="31"/>
  <c r="R32" i="31"/>
  <c r="R21" i="31"/>
  <c r="K34" i="31"/>
  <c r="K22" i="31"/>
  <c r="K23" i="31"/>
  <c r="K24" i="31"/>
  <c r="K25" i="31"/>
  <c r="K26" i="31"/>
  <c r="K27" i="31"/>
  <c r="K28" i="31"/>
  <c r="K29" i="31"/>
  <c r="K30" i="31"/>
  <c r="K31" i="31"/>
  <c r="K32" i="31"/>
  <c r="K21" i="31"/>
  <c r="I22" i="31"/>
  <c r="I23" i="31"/>
  <c r="I24" i="31"/>
  <c r="I25" i="31"/>
  <c r="I26" i="31"/>
  <c r="I27" i="31"/>
  <c r="Q27" i="31" s="1"/>
  <c r="I28" i="31"/>
  <c r="Q28" i="31" s="1"/>
  <c r="I29" i="31"/>
  <c r="I34" i="31" s="1"/>
  <c r="I30" i="31"/>
  <c r="I31" i="31"/>
  <c r="I32" i="31"/>
  <c r="I21" i="31"/>
  <c r="W15" i="31"/>
  <c r="W18" i="31" s="1"/>
  <c r="V15" i="31"/>
  <c r="V18" i="31" s="1"/>
  <c r="V3" i="31"/>
  <c r="V4" i="31"/>
  <c r="V5" i="31"/>
  <c r="V6" i="31"/>
  <c r="V7" i="31"/>
  <c r="V8" i="31"/>
  <c r="V9" i="31"/>
  <c r="V10" i="31"/>
  <c r="V11" i="31"/>
  <c r="V12" i="31"/>
  <c r="V13" i="31"/>
  <c r="V2" i="31"/>
  <c r="U3" i="31"/>
  <c r="U4" i="31"/>
  <c r="U5" i="31"/>
  <c r="U6" i="31"/>
  <c r="U7" i="31"/>
  <c r="W7" i="31" s="1"/>
  <c r="U8" i="31"/>
  <c r="W8" i="31" s="1"/>
  <c r="U9" i="31"/>
  <c r="W9" i="31" s="1"/>
  <c r="U10" i="31"/>
  <c r="U11" i="31"/>
  <c r="U12" i="31"/>
  <c r="U13" i="31"/>
  <c r="U2" i="31"/>
  <c r="T3" i="31"/>
  <c r="T4" i="31"/>
  <c r="T5" i="31"/>
  <c r="T6" i="31"/>
  <c r="T7" i="31"/>
  <c r="T8" i="31"/>
  <c r="T9" i="31"/>
  <c r="T10" i="31"/>
  <c r="T11" i="31"/>
  <c r="T12" i="31"/>
  <c r="T13" i="31"/>
  <c r="T2" i="31"/>
  <c r="W13" i="31"/>
  <c r="W12" i="31"/>
  <c r="W11" i="31"/>
  <c r="W10" i="31"/>
  <c r="W6" i="31"/>
  <c r="W5" i="31"/>
  <c r="W4" i="31"/>
  <c r="W3" i="31"/>
  <c r="W2" i="31"/>
  <c r="Q22" i="31"/>
  <c r="Q23" i="31"/>
  <c r="Q24" i="31"/>
  <c r="Q25" i="31"/>
  <c r="Q26" i="31"/>
  <c r="Q30" i="31"/>
  <c r="Q31" i="31"/>
  <c r="Q32" i="31"/>
  <c r="Q21" i="31"/>
  <c r="S18" i="31"/>
  <c r="R18" i="31"/>
  <c r="S15" i="31"/>
  <c r="R15" i="31"/>
  <c r="S3" i="31"/>
  <c r="S4" i="31"/>
  <c r="S5" i="31"/>
  <c r="S6" i="31"/>
  <c r="S7" i="31"/>
  <c r="S8" i="31"/>
  <c r="S9" i="31"/>
  <c r="S10" i="31"/>
  <c r="S11" i="31"/>
  <c r="S12" i="31"/>
  <c r="S13" i="31"/>
  <c r="S2" i="31"/>
  <c r="R3" i="31"/>
  <c r="R4" i="31"/>
  <c r="R5" i="31"/>
  <c r="R6" i="31"/>
  <c r="R7" i="31"/>
  <c r="R8" i="31"/>
  <c r="R9" i="31"/>
  <c r="R10" i="31"/>
  <c r="R11" i="31"/>
  <c r="R12" i="31"/>
  <c r="R13" i="31"/>
  <c r="R2" i="31"/>
  <c r="Q3" i="31"/>
  <c r="Q4" i="31"/>
  <c r="Q5" i="31"/>
  <c r="Q6" i="31"/>
  <c r="Q7" i="31"/>
  <c r="Q8" i="31"/>
  <c r="Q9" i="31"/>
  <c r="Q10" i="31"/>
  <c r="Q11" i="31"/>
  <c r="Q12" i="31"/>
  <c r="Q13" i="31"/>
  <c r="Q2" i="31"/>
  <c r="P3" i="31"/>
  <c r="P4" i="31"/>
  <c r="P5" i="31"/>
  <c r="P6" i="31"/>
  <c r="P7" i="31"/>
  <c r="P8" i="31"/>
  <c r="P9" i="31"/>
  <c r="P10" i="31"/>
  <c r="P11" i="31"/>
  <c r="P12" i="31"/>
  <c r="P13" i="31"/>
  <c r="P2" i="31"/>
  <c r="O2" i="31"/>
  <c r="O3" i="31"/>
  <c r="O4" i="31"/>
  <c r="O5" i="31"/>
  <c r="O6" i="31"/>
  <c r="O7" i="31"/>
  <c r="O8" i="31"/>
  <c r="O9" i="31"/>
  <c r="O10" i="31"/>
  <c r="O11" i="31"/>
  <c r="O12" i="31"/>
  <c r="O13" i="31"/>
  <c r="O34" i="31"/>
  <c r="N34" i="31"/>
  <c r="O32" i="31"/>
  <c r="O22" i="31"/>
  <c r="O23" i="31"/>
  <c r="O24" i="31"/>
  <c r="O25" i="31"/>
  <c r="O26" i="31"/>
  <c r="O27" i="31"/>
  <c r="O28" i="31"/>
  <c r="O29" i="31"/>
  <c r="O30" i="31"/>
  <c r="O31" i="31"/>
  <c r="O21" i="31"/>
  <c r="N22" i="31"/>
  <c r="N23" i="31"/>
  <c r="N24" i="31"/>
  <c r="N25" i="31"/>
  <c r="N26" i="31"/>
  <c r="N27" i="31"/>
  <c r="N28" i="31"/>
  <c r="N29" i="31"/>
  <c r="N30" i="31"/>
  <c r="N31" i="31"/>
  <c r="N32" i="31"/>
  <c r="N21" i="31"/>
  <c r="E22" i="31"/>
  <c r="E23" i="31"/>
  <c r="E24" i="31"/>
  <c r="E25" i="31"/>
  <c r="E26" i="31"/>
  <c r="E27" i="31"/>
  <c r="E28" i="31"/>
  <c r="E29" i="31"/>
  <c r="E30" i="31"/>
  <c r="E31" i="31"/>
  <c r="E32" i="31"/>
  <c r="E34" i="31"/>
  <c r="E21" i="31"/>
  <c r="C34" i="31"/>
  <c r="N18" i="31"/>
  <c r="N15" i="31"/>
  <c r="O15" i="31"/>
  <c r="O18" i="31" s="1"/>
  <c r="N3" i="31"/>
  <c r="N4" i="31"/>
  <c r="N5" i="31"/>
  <c r="N6" i="31"/>
  <c r="N7" i="31"/>
  <c r="N8" i="31"/>
  <c r="N9" i="31"/>
  <c r="N10" i="31"/>
  <c r="N11" i="31"/>
  <c r="N12" i="31"/>
  <c r="N13" i="31"/>
  <c r="N2" i="31"/>
  <c r="K3" i="31"/>
  <c r="K4" i="31"/>
  <c r="K5" i="31"/>
  <c r="K6" i="31"/>
  <c r="K7" i="31"/>
  <c r="K8" i="31"/>
  <c r="K9" i="31"/>
  <c r="K10" i="31"/>
  <c r="K11" i="31"/>
  <c r="K12" i="31"/>
  <c r="K13" i="31"/>
  <c r="K2" i="31"/>
  <c r="J3" i="31"/>
  <c r="J4" i="31"/>
  <c r="J5" i="31"/>
  <c r="J6" i="31"/>
  <c r="J7" i="31"/>
  <c r="J8" i="31"/>
  <c r="J9" i="31"/>
  <c r="J10" i="31"/>
  <c r="J11" i="31"/>
  <c r="J12" i="31"/>
  <c r="J13" i="31"/>
  <c r="J2" i="31"/>
  <c r="M3" i="31"/>
  <c r="M4" i="31"/>
  <c r="M5" i="31"/>
  <c r="M6" i="31"/>
  <c r="M7" i="31"/>
  <c r="M8" i="31"/>
  <c r="M9" i="31"/>
  <c r="M10" i="31"/>
  <c r="M11" i="31"/>
  <c r="M12" i="31"/>
  <c r="M13" i="31"/>
  <c r="M2" i="31"/>
  <c r="L3" i="31"/>
  <c r="L4" i="31"/>
  <c r="L5" i="31"/>
  <c r="L6" i="31"/>
  <c r="L7" i="31"/>
  <c r="L8" i="31"/>
  <c r="L9" i="31"/>
  <c r="L10" i="31"/>
  <c r="L11" i="31"/>
  <c r="L12" i="31"/>
  <c r="L13" i="31"/>
  <c r="L2" i="31"/>
  <c r="I3" i="31"/>
  <c r="I4" i="31"/>
  <c r="I5" i="31"/>
  <c r="I6" i="31"/>
  <c r="I7" i="31"/>
  <c r="I8" i="31"/>
  <c r="I9" i="31"/>
  <c r="I10" i="31"/>
  <c r="I11" i="31"/>
  <c r="I12" i="31"/>
  <c r="I13" i="31"/>
  <c r="I2" i="31"/>
  <c r="H3" i="31"/>
  <c r="H4" i="31"/>
  <c r="H5" i="31"/>
  <c r="H6" i="31"/>
  <c r="H7" i="31"/>
  <c r="H8" i="31"/>
  <c r="H9" i="31"/>
  <c r="H10" i="31"/>
  <c r="H11" i="31"/>
  <c r="H12" i="31"/>
  <c r="H13" i="31"/>
  <c r="H2" i="31"/>
  <c r="G15" i="31"/>
  <c r="B15" i="31"/>
  <c r="A22" i="31" s="1"/>
  <c r="E2" i="31"/>
  <c r="G2" i="31" s="1"/>
  <c r="D2" i="31"/>
  <c r="F2" i="31" s="1"/>
  <c r="R34" i="31" l="1"/>
  <c r="Q34" i="31"/>
  <c r="Q29" i="31"/>
  <c r="G26" i="31"/>
  <c r="P26" i="31" s="1"/>
  <c r="G21" i="31"/>
  <c r="P21" i="31" s="1"/>
  <c r="G27" i="31"/>
  <c r="P27" i="31" s="1"/>
  <c r="G29" i="31"/>
  <c r="P29" i="31" s="1"/>
  <c r="G25" i="31"/>
  <c r="P25" i="31" s="1"/>
  <c r="G31" i="31"/>
  <c r="P31" i="31" s="1"/>
  <c r="G23" i="31"/>
  <c r="P23" i="31" s="1"/>
  <c r="G30" i="31"/>
  <c r="P30" i="31" s="1"/>
  <c r="G22" i="31"/>
  <c r="P22" i="31" s="1"/>
  <c r="G32" i="31"/>
  <c r="P32" i="31" s="1"/>
  <c r="G24" i="31"/>
  <c r="P24" i="31" s="1"/>
  <c r="G28" i="31"/>
  <c r="P28" i="31" s="1"/>
  <c r="K15" i="31"/>
  <c r="K18" i="31" s="1"/>
  <c r="J15" i="31"/>
  <c r="J18" i="31" s="1"/>
  <c r="C13" i="31"/>
  <c r="C12" i="31"/>
  <c r="C11" i="31"/>
  <c r="C10" i="31"/>
  <c r="C9" i="31"/>
  <c r="C8" i="31"/>
  <c r="C7" i="31"/>
  <c r="C6" i="31"/>
  <c r="C5" i="31"/>
  <c r="C4" i="31"/>
  <c r="C3" i="31"/>
  <c r="O7" i="15"/>
  <c r="G34" i="31" l="1"/>
  <c r="P34" i="31"/>
  <c r="E6" i="31"/>
  <c r="G6" i="31" s="1"/>
  <c r="D6" i="31"/>
  <c r="F6" i="31" s="1"/>
  <c r="E8" i="31"/>
  <c r="G8" i="31" s="1"/>
  <c r="D8" i="31"/>
  <c r="F8" i="31" s="1"/>
  <c r="D11" i="31"/>
  <c r="F11" i="31" s="1"/>
  <c r="E11" i="31"/>
  <c r="G11" i="31" s="1"/>
  <c r="D9" i="31"/>
  <c r="F9" i="31" s="1"/>
  <c r="E9" i="31"/>
  <c r="G9" i="31" s="1"/>
  <c r="D3" i="31"/>
  <c r="F3" i="31" s="1"/>
  <c r="E3" i="31"/>
  <c r="G3" i="31" s="1"/>
  <c r="D4" i="31"/>
  <c r="F4" i="31" s="1"/>
  <c r="E4" i="31"/>
  <c r="G4" i="31" s="1"/>
  <c r="D12" i="31"/>
  <c r="F12" i="31" s="1"/>
  <c r="E12" i="31"/>
  <c r="G12" i="31" s="1"/>
  <c r="D7" i="31"/>
  <c r="F7" i="31" s="1"/>
  <c r="E7" i="31"/>
  <c r="G7" i="31" s="1"/>
  <c r="D10" i="31"/>
  <c r="F10" i="31" s="1"/>
  <c r="E10" i="31"/>
  <c r="G10" i="31" s="1"/>
  <c r="E5" i="31"/>
  <c r="G5" i="31" s="1"/>
  <c r="D5" i="31"/>
  <c r="F5" i="31" s="1"/>
  <c r="D13" i="31"/>
  <c r="F13" i="31" s="1"/>
  <c r="E13" i="31"/>
  <c r="G13" i="31" s="1"/>
  <c r="E24" i="3"/>
  <c r="G18" i="31" l="1"/>
  <c r="F15" i="31"/>
  <c r="F18" i="31" s="1"/>
  <c r="Z22" i="30"/>
  <c r="Z4" i="30"/>
  <c r="Z5" i="30"/>
  <c r="Z6" i="30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3" i="30"/>
  <c r="Y3" i="30"/>
  <c r="Y4" i="30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22" i="30"/>
  <c r="Y2" i="30"/>
  <c r="E24" i="30"/>
  <c r="E21" i="30"/>
  <c r="E20" i="30"/>
  <c r="E19" i="30"/>
  <c r="D20" i="30"/>
  <c r="C20" i="30"/>
  <c r="G3" i="30"/>
  <c r="G11" i="30"/>
  <c r="G12" i="30"/>
  <c r="B24" i="30"/>
  <c r="G5" i="30" s="1"/>
  <c r="J2" i="29"/>
  <c r="I2" i="29"/>
  <c r="H2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3" i="29"/>
  <c r="H15" i="28"/>
  <c r="H3" i="28"/>
  <c r="H4" i="28"/>
  <c r="H5" i="28"/>
  <c r="H6" i="28"/>
  <c r="H7" i="28"/>
  <c r="H8" i="28"/>
  <c r="H9" i="28"/>
  <c r="H10" i="28"/>
  <c r="H11" i="28"/>
  <c r="H12" i="28"/>
  <c r="H13" i="28"/>
  <c r="H2" i="28"/>
  <c r="E2" i="28"/>
  <c r="G3" i="28"/>
  <c r="G4" i="28"/>
  <c r="G5" i="28"/>
  <c r="G6" i="28"/>
  <c r="G7" i="28"/>
  <c r="G8" i="28"/>
  <c r="G9" i="28"/>
  <c r="G10" i="28"/>
  <c r="G11" i="28"/>
  <c r="G12" i="28"/>
  <c r="G13" i="28"/>
  <c r="G2" i="28"/>
  <c r="F3" i="28"/>
  <c r="F4" i="28"/>
  <c r="F5" i="28"/>
  <c r="F6" i="28"/>
  <c r="F7" i="28"/>
  <c r="F8" i="28"/>
  <c r="F9" i="28"/>
  <c r="F10" i="28"/>
  <c r="F11" i="28"/>
  <c r="F12" i="28"/>
  <c r="F13" i="28"/>
  <c r="F2" i="28"/>
  <c r="E3" i="28"/>
  <c r="E4" i="28"/>
  <c r="E5" i="28"/>
  <c r="E6" i="28"/>
  <c r="E7" i="28"/>
  <c r="E8" i="28"/>
  <c r="E9" i="28"/>
  <c r="E10" i="28"/>
  <c r="E11" i="28"/>
  <c r="E12" i="28"/>
  <c r="E13" i="28"/>
  <c r="D3" i="28"/>
  <c r="D4" i="28"/>
  <c r="D5" i="28"/>
  <c r="D6" i="28"/>
  <c r="D7" i="28"/>
  <c r="D8" i="28"/>
  <c r="D9" i="28"/>
  <c r="D10" i="28"/>
  <c r="D11" i="28"/>
  <c r="D12" i="28"/>
  <c r="D13" i="28"/>
  <c r="D2" i="28"/>
  <c r="C13" i="28"/>
  <c r="C12" i="28"/>
  <c r="C11" i="28"/>
  <c r="C10" i="28"/>
  <c r="C9" i="28"/>
  <c r="C8" i="28"/>
  <c r="C7" i="28"/>
  <c r="C6" i="28"/>
  <c r="C5" i="28"/>
  <c r="C4" i="28"/>
  <c r="C3" i="28"/>
  <c r="C2" i="28"/>
  <c r="H17" i="27"/>
  <c r="G17" i="27"/>
  <c r="C17" i="27"/>
  <c r="D17" i="27"/>
  <c r="E17" i="27"/>
  <c r="B17" i="27"/>
  <c r="H16" i="27"/>
  <c r="G16" i="27"/>
  <c r="C16" i="27"/>
  <c r="D16" i="27"/>
  <c r="E16" i="27"/>
  <c r="B16" i="27"/>
  <c r="C14" i="27"/>
  <c r="B14" i="27"/>
  <c r="E13" i="27"/>
  <c r="D13" i="27"/>
  <c r="C13" i="27"/>
  <c r="B13" i="27"/>
  <c r="E12" i="27"/>
  <c r="D12" i="27"/>
  <c r="D8" i="27"/>
  <c r="E8" i="27"/>
  <c r="F8" i="27"/>
  <c r="G8" i="27"/>
  <c r="H8" i="27"/>
  <c r="I8" i="27"/>
  <c r="J8" i="27"/>
  <c r="C8" i="27"/>
  <c r="D6" i="27"/>
  <c r="E6" i="27"/>
  <c r="F6" i="27"/>
  <c r="G6" i="27"/>
  <c r="H6" i="27"/>
  <c r="I6" i="27"/>
  <c r="J6" i="27"/>
  <c r="C6" i="27"/>
  <c r="J5" i="27"/>
  <c r="C5" i="27"/>
  <c r="D5" i="27"/>
  <c r="E5" i="27"/>
  <c r="F5" i="27"/>
  <c r="G5" i="27"/>
  <c r="H5" i="27"/>
  <c r="I5" i="27"/>
  <c r="B5" i="27"/>
  <c r="E27" i="3"/>
  <c r="S2" i="3"/>
  <c r="T2" i="3"/>
  <c r="E18" i="3"/>
  <c r="E21" i="3"/>
  <c r="C29" i="31" l="1"/>
  <c r="C28" i="31"/>
  <c r="C22" i="31"/>
  <c r="C30" i="31"/>
  <c r="C32" i="31"/>
  <c r="C23" i="31"/>
  <c r="C31" i="31"/>
  <c r="C24" i="31"/>
  <c r="C21" i="31"/>
  <c r="C26" i="31"/>
  <c r="C27" i="31"/>
  <c r="C25" i="31"/>
  <c r="D19" i="30"/>
  <c r="G4" i="30"/>
  <c r="C24" i="30"/>
  <c r="G20" i="30"/>
  <c r="G19" i="30"/>
  <c r="G18" i="30"/>
  <c r="G10" i="30"/>
  <c r="G17" i="30"/>
  <c r="G9" i="30"/>
  <c r="G16" i="30"/>
  <c r="G8" i="30"/>
  <c r="G2" i="30"/>
  <c r="G15" i="30"/>
  <c r="G7" i="30"/>
  <c r="G22" i="30"/>
  <c r="G14" i="30"/>
  <c r="G6" i="30"/>
  <c r="G21" i="30"/>
  <c r="G13" i="30"/>
  <c r="C15" i="26"/>
  <c r="E10" i="26"/>
  <c r="E9" i="26"/>
  <c r="D4" i="26"/>
  <c r="D19" i="25"/>
  <c r="D20" i="25"/>
  <c r="D18" i="25"/>
  <c r="D14" i="25"/>
  <c r="G9" i="24"/>
  <c r="D11" i="24"/>
  <c r="C11" i="24"/>
  <c r="I5" i="24"/>
  <c r="F7" i="24"/>
  <c r="E7" i="24"/>
  <c r="M12" i="30" l="1"/>
  <c r="M4" i="30"/>
  <c r="M2" i="30"/>
  <c r="M16" i="30"/>
  <c r="M15" i="30"/>
  <c r="M17" i="30"/>
  <c r="M9" i="30"/>
  <c r="M8" i="30"/>
  <c r="M22" i="30"/>
  <c r="M14" i="30"/>
  <c r="M6" i="30"/>
  <c r="M19" i="30"/>
  <c r="M11" i="30"/>
  <c r="M3" i="30"/>
  <c r="M21" i="30"/>
  <c r="M13" i="30"/>
  <c r="M5" i="30"/>
  <c r="M18" i="30"/>
  <c r="M10" i="30"/>
  <c r="M7" i="30"/>
  <c r="D24" i="30"/>
  <c r="S19" i="30" s="1"/>
  <c r="I3" i="30"/>
  <c r="M20" i="30"/>
  <c r="E30" i="21"/>
  <c r="F27" i="21"/>
  <c r="G24" i="21"/>
  <c r="H21" i="21"/>
  <c r="I18" i="21"/>
  <c r="J15" i="21"/>
  <c r="K12" i="21"/>
  <c r="L9" i="21"/>
  <c r="M6" i="21"/>
  <c r="O3" i="30" l="1"/>
  <c r="H16" i="30"/>
  <c r="H15" i="30"/>
  <c r="H12" i="30"/>
  <c r="H8" i="30"/>
  <c r="H19" i="30"/>
  <c r="H9" i="30"/>
  <c r="H7" i="30"/>
  <c r="H6" i="30"/>
  <c r="H20" i="30"/>
  <c r="H18" i="30"/>
  <c r="H14" i="30"/>
  <c r="H11" i="30"/>
  <c r="H22" i="30"/>
  <c r="H13" i="30"/>
  <c r="H21" i="30"/>
  <c r="H4" i="30"/>
  <c r="H5" i="30"/>
  <c r="H10" i="30"/>
  <c r="H3" i="30"/>
  <c r="H17" i="30"/>
  <c r="S17" i="30"/>
  <c r="S9" i="30"/>
  <c r="S5" i="30"/>
  <c r="S7" i="30"/>
  <c r="S4" i="30"/>
  <c r="S22" i="30"/>
  <c r="S14" i="30"/>
  <c r="S6" i="30"/>
  <c r="S2" i="30"/>
  <c r="S11" i="30"/>
  <c r="S13" i="30"/>
  <c r="S20" i="30"/>
  <c r="S16" i="30"/>
  <c r="S8" i="30"/>
  <c r="S3" i="30"/>
  <c r="S21" i="30"/>
  <c r="S18" i="30"/>
  <c r="S10" i="30"/>
  <c r="S15" i="30"/>
  <c r="S12" i="30"/>
  <c r="O40" i="15"/>
  <c r="N40" i="15"/>
  <c r="N21" i="15"/>
  <c r="N37" i="15" s="1"/>
  <c r="O21" i="15"/>
  <c r="O37" i="15" s="1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N35" i="15"/>
  <c r="O35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21" i="15"/>
  <c r="N16" i="15"/>
  <c r="N14" i="15"/>
  <c r="N15" i="15"/>
  <c r="B18" i="15"/>
  <c r="C18" i="15"/>
  <c r="D18" i="15"/>
  <c r="G12" i="15"/>
  <c r="D20" i="15"/>
  <c r="AA3" i="30" l="1"/>
  <c r="U3" i="30"/>
  <c r="T5" i="30"/>
  <c r="T6" i="30"/>
  <c r="N5" i="30"/>
  <c r="N3" i="30"/>
  <c r="T18" i="30"/>
  <c r="T19" i="30"/>
  <c r="T20" i="30"/>
  <c r="T11" i="30"/>
  <c r="T12" i="30"/>
  <c r="N12" i="30"/>
  <c r="N7" i="30"/>
  <c r="T7" i="30"/>
  <c r="T4" i="30"/>
  <c r="T3" i="30"/>
  <c r="N4" i="30"/>
  <c r="N22" i="30"/>
  <c r="N16" i="30"/>
  <c r="N17" i="30"/>
  <c r="N20" i="30"/>
  <c r="N15" i="30"/>
  <c r="T9" i="30"/>
  <c r="T21" i="30"/>
  <c r="T22" i="30"/>
  <c r="N21" i="30"/>
  <c r="T17" i="30"/>
  <c r="N19" i="30"/>
  <c r="T16" i="30"/>
  <c r="T10" i="30"/>
  <c r="N11" i="30"/>
  <c r="T8" i="30"/>
  <c r="N6" i="30"/>
  <c r="N18" i="30"/>
  <c r="T15" i="30"/>
  <c r="N14" i="30"/>
  <c r="N8" i="30"/>
  <c r="N9" i="30"/>
  <c r="T13" i="30"/>
  <c r="T14" i="30"/>
  <c r="N13" i="30"/>
  <c r="N10" i="30"/>
  <c r="M37" i="15"/>
  <c r="M40" i="15" s="1"/>
  <c r="N7" i="15" l="1"/>
  <c r="J6" i="15"/>
  <c r="K6" i="15"/>
  <c r="L6" i="15"/>
  <c r="I6" i="15"/>
  <c r="L9" i="15" l="1"/>
  <c r="K9" i="15"/>
  <c r="J9" i="15"/>
  <c r="B23" i="14"/>
  <c r="B27" i="14"/>
  <c r="B26" i="14"/>
  <c r="B25" i="14"/>
  <c r="B28" i="14" s="1"/>
  <c r="B24" i="14"/>
  <c r="B31" i="14" l="1"/>
  <c r="E19" i="14"/>
  <c r="C19" i="14"/>
  <c r="D19" i="14"/>
  <c r="B19" i="14"/>
  <c r="E18" i="14" l="1"/>
  <c r="H3" i="14"/>
  <c r="I3" i="14"/>
  <c r="H4" i="14"/>
  <c r="I4" i="14"/>
  <c r="H5" i="14"/>
  <c r="I5" i="14"/>
  <c r="D18" i="14" s="1"/>
  <c r="H6" i="14"/>
  <c r="C18" i="14" s="1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G4" i="14"/>
  <c r="G5" i="14"/>
  <c r="G6" i="14"/>
  <c r="G7" i="14"/>
  <c r="G8" i="14"/>
  <c r="G9" i="14"/>
  <c r="G10" i="14"/>
  <c r="G11" i="14"/>
  <c r="G12" i="14"/>
  <c r="G13" i="14"/>
  <c r="G14" i="14"/>
  <c r="G3" i="14"/>
  <c r="B21" i="14"/>
  <c r="E17" i="14"/>
  <c r="E16" i="14"/>
  <c r="C17" i="14"/>
  <c r="D17" i="14"/>
  <c r="B17" i="14"/>
  <c r="C16" i="14"/>
  <c r="D16" i="14"/>
  <c r="B16" i="14"/>
  <c r="B18" i="14" l="1"/>
  <c r="E3" i="13"/>
  <c r="E4" i="13"/>
  <c r="E5" i="13"/>
  <c r="E6" i="13"/>
  <c r="E7" i="13"/>
  <c r="E8" i="13"/>
  <c r="E9" i="13"/>
  <c r="E10" i="13"/>
  <c r="E11" i="13"/>
  <c r="E2" i="13"/>
  <c r="S15" i="7"/>
  <c r="S16" i="7"/>
  <c r="S17" i="7"/>
  <c r="S18" i="7"/>
  <c r="S19" i="7"/>
  <c r="S20" i="7"/>
  <c r="S21" i="7"/>
  <c r="S22" i="7"/>
  <c r="S23" i="7"/>
  <c r="S14" i="7"/>
  <c r="U25" i="7"/>
  <c r="S26" i="7"/>
  <c r="S27" i="7"/>
  <c r="S28" i="7"/>
  <c r="S29" i="7"/>
  <c r="S30" i="7"/>
  <c r="S31" i="7"/>
  <c r="S32" i="7"/>
  <c r="S33" i="7"/>
  <c r="S34" i="7"/>
  <c r="S25" i="7"/>
  <c r="U3" i="7"/>
  <c r="S4" i="7"/>
  <c r="T4" i="7" s="1"/>
  <c r="S5" i="7"/>
  <c r="S6" i="7"/>
  <c r="S7" i="7"/>
  <c r="S8" i="7"/>
  <c r="S9" i="7"/>
  <c r="S10" i="7"/>
  <c r="S11" i="7"/>
  <c r="S12" i="7"/>
  <c r="S3" i="7"/>
  <c r="S14" i="11"/>
  <c r="S3" i="11"/>
  <c r="S4" i="11"/>
  <c r="S5" i="11"/>
  <c r="S6" i="11"/>
  <c r="S7" i="11"/>
  <c r="S8" i="11"/>
  <c r="S9" i="11"/>
  <c r="S10" i="11"/>
  <c r="S11" i="11"/>
  <c r="S2" i="11"/>
  <c r="E3" i="12"/>
  <c r="E4" i="12"/>
  <c r="E5" i="12"/>
  <c r="E2" i="12"/>
  <c r="D3" i="12"/>
  <c r="D4" i="12"/>
  <c r="D5" i="12"/>
  <c r="D2" i="12"/>
  <c r="L21" i="11"/>
  <c r="R3" i="11"/>
  <c r="R4" i="11"/>
  <c r="R5" i="11"/>
  <c r="R6" i="11"/>
  <c r="R7" i="11"/>
  <c r="R8" i="11"/>
  <c r="R9" i="11"/>
  <c r="R10" i="11"/>
  <c r="R11" i="11"/>
  <c r="R2" i="11"/>
  <c r="J21" i="11"/>
  <c r="C18" i="11" l="1"/>
  <c r="I18" i="11"/>
  <c r="E18" i="11"/>
  <c r="J18" i="11"/>
  <c r="G18" i="11"/>
  <c r="O14" i="11"/>
  <c r="O3" i="11"/>
  <c r="O4" i="11"/>
  <c r="O5" i="11"/>
  <c r="O6" i="11"/>
  <c r="O7" i="11"/>
  <c r="O8" i="11"/>
  <c r="O9" i="11"/>
  <c r="O10" i="11"/>
  <c r="O11" i="11"/>
  <c r="O2" i="11"/>
  <c r="F18" i="11"/>
  <c r="N14" i="11"/>
  <c r="P14" i="11"/>
  <c r="P3" i="11"/>
  <c r="P4" i="11"/>
  <c r="P5" i="11"/>
  <c r="P6" i="11"/>
  <c r="P7" i="11"/>
  <c r="P8" i="11"/>
  <c r="P9" i="11"/>
  <c r="P10" i="11"/>
  <c r="P11" i="11"/>
  <c r="P2" i="11"/>
  <c r="N3" i="11"/>
  <c r="N4" i="11"/>
  <c r="N5" i="11"/>
  <c r="N6" i="11"/>
  <c r="N7" i="11"/>
  <c r="N8" i="11"/>
  <c r="N9" i="11"/>
  <c r="N10" i="11"/>
  <c r="N11" i="11"/>
  <c r="N2" i="11"/>
  <c r="B18" i="11"/>
  <c r="J14" i="11" l="1"/>
  <c r="J11" i="11"/>
  <c r="J10" i="11"/>
  <c r="J9" i="11"/>
  <c r="J8" i="11"/>
  <c r="J7" i="11"/>
  <c r="J6" i="11"/>
  <c r="J5" i="11"/>
  <c r="J4" i="11"/>
  <c r="J3" i="11"/>
  <c r="J2" i="11"/>
  <c r="K18" i="3"/>
  <c r="K3" i="11"/>
  <c r="K4" i="11"/>
  <c r="K5" i="11"/>
  <c r="K11" i="11"/>
  <c r="K2" i="11"/>
  <c r="I14" i="11"/>
  <c r="L7" i="11" s="1"/>
  <c r="I3" i="11"/>
  <c r="I4" i="11"/>
  <c r="I5" i="11"/>
  <c r="I6" i="11"/>
  <c r="K6" i="11" s="1"/>
  <c r="I7" i="11"/>
  <c r="K7" i="11" s="1"/>
  <c r="I8" i="11"/>
  <c r="K8" i="11" s="1"/>
  <c r="I9" i="11"/>
  <c r="K9" i="11" s="1"/>
  <c r="I10" i="11"/>
  <c r="K10" i="11" s="1"/>
  <c r="I11" i="11"/>
  <c r="I2" i="11"/>
  <c r="K14" i="11" l="1"/>
  <c r="L2" i="11"/>
  <c r="L4" i="11"/>
  <c r="L5" i="11"/>
  <c r="L11" i="11"/>
  <c r="L3" i="11"/>
  <c r="L10" i="11"/>
  <c r="L6" i="11"/>
  <c r="L9" i="11"/>
  <c r="L8" i="11"/>
  <c r="C14" i="11" l="1"/>
  <c r="B14" i="11"/>
  <c r="H3" i="11"/>
  <c r="H4" i="11"/>
  <c r="H5" i="11"/>
  <c r="H6" i="11"/>
  <c r="H7" i="11"/>
  <c r="H8" i="11"/>
  <c r="H9" i="11"/>
  <c r="H10" i="11"/>
  <c r="H11" i="11"/>
  <c r="H2" i="11"/>
  <c r="H14" i="11" s="1"/>
  <c r="G3" i="11"/>
  <c r="G4" i="11"/>
  <c r="G5" i="11"/>
  <c r="G6" i="11"/>
  <c r="G7" i="11"/>
  <c r="G8" i="11"/>
  <c r="G9" i="11"/>
  <c r="G10" i="11"/>
  <c r="G11" i="11"/>
  <c r="G2" i="11"/>
  <c r="G14" i="11" s="1"/>
  <c r="F3" i="11"/>
  <c r="F4" i="11"/>
  <c r="F5" i="11"/>
  <c r="F6" i="11"/>
  <c r="F7" i="11"/>
  <c r="F8" i="11"/>
  <c r="F9" i="11"/>
  <c r="F10" i="11"/>
  <c r="F11" i="11"/>
  <c r="F2" i="11"/>
  <c r="F14" i="11" s="1"/>
  <c r="T34" i="7" l="1"/>
  <c r="T26" i="7"/>
  <c r="T27" i="7"/>
  <c r="T28" i="7"/>
  <c r="T29" i="7"/>
  <c r="T30" i="7"/>
  <c r="T31" i="7"/>
  <c r="T32" i="7"/>
  <c r="T33" i="7"/>
  <c r="T25" i="7"/>
  <c r="T15" i="7"/>
  <c r="T16" i="7"/>
  <c r="T17" i="7"/>
  <c r="T18" i="7"/>
  <c r="T19" i="7"/>
  <c r="T20" i="7"/>
  <c r="T21" i="7"/>
  <c r="T22" i="7"/>
  <c r="T23" i="7"/>
  <c r="T14" i="7"/>
  <c r="U14" i="7" s="1"/>
  <c r="T5" i="7"/>
  <c r="T6" i="7"/>
  <c r="T7" i="7"/>
  <c r="T8" i="7"/>
  <c r="T9" i="7"/>
  <c r="T10" i="7"/>
  <c r="T11" i="7"/>
  <c r="T12" i="7"/>
  <c r="T3" i="7"/>
  <c r="R14" i="7"/>
  <c r="R25" i="7"/>
  <c r="R3" i="7"/>
  <c r="P14" i="7"/>
  <c r="P25" i="7"/>
  <c r="P3" i="7"/>
  <c r="E41" i="3" l="1"/>
  <c r="E38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O20" i="3" l="1"/>
  <c r="P20" i="3"/>
  <c r="Q20" i="3"/>
  <c r="M23" i="3"/>
  <c r="N2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" i="3"/>
  <c r="Q23" i="3" s="1"/>
  <c r="G18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I24" i="1"/>
  <c r="H24" i="1"/>
  <c r="G24" i="1"/>
  <c r="P23" i="3" l="1"/>
  <c r="O23" i="3"/>
  <c r="J18" i="3" s="1"/>
  <c r="I20" i="1"/>
  <c r="H20" i="1"/>
  <c r="G20" i="1"/>
  <c r="I17" i="1"/>
  <c r="H17" i="1"/>
  <c r="G17" i="1"/>
  <c r="F41" i="3" l="1"/>
  <c r="F38" i="3"/>
  <c r="R2" i="3"/>
  <c r="R7" i="3"/>
  <c r="R15" i="3"/>
  <c r="R11" i="3"/>
  <c r="R20" i="3"/>
  <c r="R5" i="3"/>
  <c r="R9" i="3"/>
  <c r="R10" i="3"/>
  <c r="R13" i="3"/>
  <c r="R17" i="3"/>
  <c r="R18" i="3"/>
  <c r="R12" i="3"/>
  <c r="R3" i="3"/>
  <c r="R6" i="3"/>
  <c r="R8" i="3"/>
  <c r="R19" i="3"/>
  <c r="R16" i="3"/>
  <c r="R4" i="3"/>
  <c r="R14" i="3"/>
  <c r="G21" i="3"/>
  <c r="E33" i="3" l="1"/>
  <c r="F33" i="3" s="1"/>
  <c r="S5" i="3"/>
  <c r="T5" i="3"/>
  <c r="S19" i="3"/>
  <c r="T19" i="3"/>
  <c r="S10" i="3"/>
  <c r="T10" i="3"/>
  <c r="S8" i="3"/>
  <c r="T8" i="3"/>
  <c r="S6" i="3"/>
  <c r="T6" i="3"/>
  <c r="S3" i="3"/>
  <c r="T3" i="3"/>
  <c r="S20" i="3"/>
  <c r="T20" i="3"/>
  <c r="S12" i="3"/>
  <c r="T12" i="3"/>
  <c r="S11" i="3"/>
  <c r="T11" i="3"/>
  <c r="S14" i="3"/>
  <c r="T14" i="3"/>
  <c r="S18" i="3"/>
  <c r="T18" i="3"/>
  <c r="S15" i="3"/>
  <c r="T15" i="3"/>
  <c r="S4" i="3"/>
  <c r="T4" i="3"/>
  <c r="S7" i="3"/>
  <c r="T7" i="3"/>
  <c r="S9" i="3"/>
  <c r="T9" i="3"/>
  <c r="S17" i="3"/>
  <c r="T17" i="3"/>
  <c r="S16" i="3"/>
  <c r="T16" i="3"/>
  <c r="S13" i="3"/>
  <c r="T13" i="3"/>
  <c r="T23" i="3" l="1"/>
  <c r="F27" i="3"/>
  <c r="S23" i="3"/>
  <c r="J41" i="3" l="1"/>
  <c r="I48" i="3" s="1"/>
  <c r="G41" i="3"/>
  <c r="J38" i="3"/>
  <c r="I45" i="3" s="1"/>
  <c r="G38" i="3"/>
  <c r="J27" i="3"/>
  <c r="I30" i="3" l="1"/>
  <c r="E30" i="3"/>
  <c r="G30" i="3"/>
  <c r="K27" i="3"/>
  <c r="E45" i="3"/>
  <c r="G45" i="3"/>
  <c r="E48" i="3"/>
  <c r="G48" i="3"/>
</calcChain>
</file>

<file path=xl/sharedStrings.xml><?xml version="1.0" encoding="utf-8"?>
<sst xmlns="http://schemas.openxmlformats.org/spreadsheetml/2006/main" count="739" uniqueCount="434">
  <si>
    <t>№</t>
  </si>
  <si>
    <t>Страна</t>
  </si>
  <si>
    <t>Показатели</t>
  </si>
  <si>
    <t>Израиль</t>
  </si>
  <si>
    <t>Греция</t>
  </si>
  <si>
    <t>Словакия</t>
  </si>
  <si>
    <t>Эстония</t>
  </si>
  <si>
    <t>Венгрия</t>
  </si>
  <si>
    <t>Португалия</t>
  </si>
  <si>
    <t>Польша</t>
  </si>
  <si>
    <t>Чили</t>
  </si>
  <si>
    <t>Латвия</t>
  </si>
  <si>
    <t>Хорватия</t>
  </si>
  <si>
    <t>Болгария</t>
  </si>
  <si>
    <t>Тринидад и Тобаго</t>
  </si>
  <si>
    <t>Сербия</t>
  </si>
  <si>
    <t>Белоруссия</t>
  </si>
  <si>
    <t>Перу</t>
  </si>
  <si>
    <t>Албания</t>
  </si>
  <si>
    <t>Россия</t>
  </si>
  <si>
    <t>Казахстан</t>
  </si>
  <si>
    <t>Азербайджан</t>
  </si>
  <si>
    <t>Босния и Герцеговина</t>
  </si>
  <si>
    <t>Украина</t>
  </si>
  <si>
    <t>Иран</t>
  </si>
  <si>
    <t>Югославия</t>
  </si>
  <si>
    <t>Грузия</t>
  </si>
  <si>
    <t>Армения</t>
  </si>
  <si>
    <t>Эквадор</t>
  </si>
  <si>
    <t>Гайана</t>
  </si>
  <si>
    <t>Ямайка</t>
  </si>
  <si>
    <t>Турция</t>
  </si>
  <si>
    <t>Доминиканская Республика</t>
  </si>
  <si>
    <t>Сальвадор</t>
  </si>
  <si>
    <t>Шри-Ланка</t>
  </si>
  <si>
    <t>Таиланд</t>
  </si>
  <si>
    <t>Боливия</t>
  </si>
  <si>
    <t>Парагвай</t>
  </si>
  <si>
    <t>Филиппины</t>
  </si>
  <si>
    <t>Ботсвана</t>
  </si>
  <si>
    <t>Молдова</t>
  </si>
  <si>
    <t>Гана</t>
  </si>
  <si>
    <t>Намибия</t>
  </si>
  <si>
    <t>х3</t>
  </si>
  <si>
    <t>х4</t>
  </si>
  <si>
    <t>х5</t>
  </si>
  <si>
    <t>R</t>
  </si>
  <si>
    <t>h</t>
  </si>
  <si>
    <t>Начало</t>
  </si>
  <si>
    <t>Конец</t>
  </si>
  <si>
    <t>k</t>
  </si>
  <si>
    <t>Кол-во</t>
  </si>
  <si>
    <t>22-30</t>
  </si>
  <si>
    <t>31-38</t>
  </si>
  <si>
    <t>39-46</t>
  </si>
  <si>
    <t>47-54</t>
  </si>
  <si>
    <t>55-62</t>
  </si>
  <si>
    <t>63-71</t>
  </si>
  <si>
    <t>№ группы 2</t>
  </si>
  <si>
    <t>№ группы 1</t>
  </si>
  <si>
    <t>Интервал 2</t>
  </si>
  <si>
    <t>Интервал 1</t>
  </si>
  <si>
    <t>85-87</t>
  </si>
  <si>
    <t>85-88</t>
  </si>
  <si>
    <t>89-93</t>
  </si>
  <si>
    <t>74-78</t>
  </si>
  <si>
    <t>88-90</t>
  </si>
  <si>
    <t>88-92</t>
  </si>
  <si>
    <t>72-77</t>
  </si>
  <si>
    <t>78-84</t>
  </si>
  <si>
    <t>85-89</t>
  </si>
  <si>
    <t>78-82</t>
  </si>
  <si>
    <t>83-87</t>
  </si>
  <si>
    <t>70-77</t>
  </si>
  <si>
    <t>85-91</t>
  </si>
  <si>
    <t>92-97</t>
  </si>
  <si>
    <t>90-94</t>
  </si>
  <si>
    <t>79-83</t>
  </si>
  <si>
    <t>84-88</t>
  </si>
  <si>
    <t>89-91</t>
  </si>
  <si>
    <t>92-94</t>
  </si>
  <si>
    <t>95-98</t>
  </si>
  <si>
    <t>79-84</t>
  </si>
  <si>
    <t>Среднее отклонение</t>
  </si>
  <si>
    <t>Среднее значение</t>
  </si>
  <si>
    <t>Коэф. вариации</t>
  </si>
  <si>
    <t>-</t>
  </si>
  <si>
    <t>№ Наблюдения</t>
  </si>
  <si>
    <t>Цена на нефть — x, ден. Ед.</t>
  </si>
  <si>
    <t>Индекс нефтяной компании — процентные пункты</t>
  </si>
  <si>
    <t>x</t>
  </si>
  <si>
    <t>y</t>
  </si>
  <si>
    <t>xy</t>
  </si>
  <si>
    <t>x^2</t>
  </si>
  <si>
    <t>y^2</t>
  </si>
  <si>
    <t>Ср. X</t>
  </si>
  <si>
    <t>Ср. Y</t>
  </si>
  <si>
    <t>Ср. Xy</t>
  </si>
  <si>
    <t>Ср. X^2</t>
  </si>
  <si>
    <t>Ср. Y^2</t>
  </si>
  <si>
    <t>a</t>
  </si>
  <si>
    <t>b</t>
  </si>
  <si>
    <t>Прибл. y=a+bx</t>
  </si>
  <si>
    <t>(Ср. квар. X)^2</t>
  </si>
  <si>
    <t>(Ср. квар. Y)^2</t>
  </si>
  <si>
    <t>A = |y-y|/y</t>
  </si>
  <si>
    <t>Коэф. Коррел. (r)</t>
  </si>
  <si>
    <t>Критерий Фишера (F)</t>
  </si>
  <si>
    <t>Коэф. Детерм. (r^2)</t>
  </si>
  <si>
    <t>Ср. A</t>
  </si>
  <si>
    <t>(y -  Прибл y)^2</t>
  </si>
  <si>
    <t>(x- Ср x)^2</t>
  </si>
  <si>
    <t>mb</t>
  </si>
  <si>
    <t>Критерий Стьюдента (tb)</t>
  </si>
  <si>
    <t>S^2</t>
  </si>
  <si>
    <t>ma</t>
  </si>
  <si>
    <t>ta</t>
  </si>
  <si>
    <t>Начало диапазона</t>
  </si>
  <si>
    <t>Конец диапазона</t>
  </si>
  <si>
    <t>t табл</t>
  </si>
  <si>
    <t>mr</t>
  </si>
  <si>
    <t>tr</t>
  </si>
  <si>
    <t>Оценка прогнозов</t>
  </si>
  <si>
    <t>x пр</t>
  </si>
  <si>
    <t>y пр</t>
  </si>
  <si>
    <t>а)</t>
  </si>
  <si>
    <t>б)</t>
  </si>
  <si>
    <t>Станд. Ошибка (mg^2)</t>
  </si>
  <si>
    <t>Индивид. Ошибка (my)</t>
  </si>
  <si>
    <t>Начало интервала</t>
  </si>
  <si>
    <t>Конец интервала</t>
  </si>
  <si>
    <t>t пр</t>
  </si>
  <si>
    <t>Столбец 1</t>
  </si>
  <si>
    <t>Столбец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</si>
  <si>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</si>
  <si>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</si>
  <si>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</si>
  <si>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</si>
  <si>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</si>
  <si>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</si>
  <si>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</si>
  <si>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</si>
  <si>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</si>
  <si>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</si>
  <si>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</si>
  <si>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</si>
  <si>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</si>
  <si>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</si>
  <si>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</si>
  <si>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</si>
  <si>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</si>
  <si>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</si>
  <si>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</si>
  <si>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</si>
  <si>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</si>
  <si>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</si>
  <si>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</si>
  <si>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</si>
  <si>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</si>
  <si>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</si>
  <si>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</si>
  <si>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</si>
  <si>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</si>
  <si>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</si>
  <si>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</si>
  <si>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</si>
  <si>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</si>
  <si>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Территории</t>
  </si>
  <si>
    <t>Респ. Бурятия</t>
  </si>
  <si>
    <t>Респ. Хакасия</t>
  </si>
  <si>
    <t>Красноярский край</t>
  </si>
  <si>
    <t>Иркутская обл.</t>
  </si>
  <si>
    <t>Читинская обл.</t>
  </si>
  <si>
    <t>Чукотский авт. Округ</t>
  </si>
  <si>
    <t>Приморский край</t>
  </si>
  <si>
    <t>Хабаровский край</t>
  </si>
  <si>
    <t>Амурская обл.</t>
  </si>
  <si>
    <t>Камчатская обл.</t>
  </si>
  <si>
    <t xml:space="preserve"> </t>
  </si>
  <si>
    <t>y - потреб расходы.</t>
  </si>
  <si>
    <t>x - денежн. Доходы</t>
  </si>
  <si>
    <t>Уравн.</t>
  </si>
  <si>
    <t>R^2</t>
  </si>
  <si>
    <t>y = 0,441x + 148,21</t>
  </si>
  <si>
    <r>
      <t>y = 2,078x</t>
    </r>
    <r>
      <rPr>
        <vertAlign val="superscript"/>
        <sz val="11"/>
        <color theme="1"/>
        <rFont val="Calibri"/>
        <family val="2"/>
        <charset val="204"/>
        <scheme val="minor"/>
      </rPr>
      <t>0,8206</t>
    </r>
  </si>
  <si>
    <t>y = 408,5ln(x) - 2201,3</t>
  </si>
  <si>
    <t>Коэф a показывает влияние неучтенных факторов</t>
  </si>
  <si>
    <t>Прибл. Y</t>
  </si>
  <si>
    <t>Ошибка аппрокс.</t>
  </si>
  <si>
    <t>A (ср. ошибка аппрокс.)</t>
  </si>
  <si>
    <t>t = 1/x</t>
  </si>
  <si>
    <t>Ср. T</t>
  </si>
  <si>
    <t>ty</t>
  </si>
  <si>
    <t>Ср. Ty</t>
  </si>
  <si>
    <t>t - ср. T</t>
  </si>
  <si>
    <t>t^2</t>
  </si>
  <si>
    <t>Ср. T^2</t>
  </si>
  <si>
    <t>ln(x)</t>
  </si>
  <si>
    <t>y * ln(x)</t>
  </si>
  <si>
    <t>Ср. Y*ln(x)</t>
  </si>
  <si>
    <t>Сигма y</t>
  </si>
  <si>
    <t>Сигма ln(x)</t>
  </si>
  <si>
    <t>Ср ln(x)</t>
  </si>
  <si>
    <t>ln(x)^2</t>
  </si>
  <si>
    <t>Ср ln(x)^2</t>
  </si>
  <si>
    <t>r yln(x)</t>
  </si>
  <si>
    <t>r xy</t>
  </si>
  <si>
    <t>Сигма x</t>
  </si>
  <si>
    <t>r^2</t>
  </si>
  <si>
    <t>rt^2</t>
  </si>
  <si>
    <t>r ty</t>
  </si>
  <si>
    <t>y^</t>
  </si>
  <si>
    <t>rx^2</t>
  </si>
  <si>
    <t>Уравнение</t>
  </si>
  <si>
    <t>r</t>
  </si>
  <si>
    <t>A</t>
  </si>
  <si>
    <t>Функция</t>
  </si>
  <si>
    <t>Линейная</t>
  </si>
  <si>
    <t>Гиперболическая</t>
  </si>
  <si>
    <t>Логарифмическая</t>
  </si>
  <si>
    <t>Степенная</t>
  </si>
  <si>
    <t>y = -307717,71 + 943,96/x</t>
  </si>
  <si>
    <t>z = 1/y</t>
  </si>
  <si>
    <t>Месяц</t>
  </si>
  <si>
    <t>Номер отделения банка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</si>
  <si>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</si>
  <si>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</si>
  <si>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</si>
  <si>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</si>
  <si>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</si>
  <si>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</si>
  <si>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</si>
  <si>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</si>
  <si>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</si>
  <si>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</si>
  <si>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</si>
  <si>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</si>
  <si>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</t>
  </si>
  <si>
    <t>Ср. знач.</t>
  </si>
  <si>
    <t>ср. X</t>
  </si>
  <si>
    <t>(xij - ср. xj)^2</t>
  </si>
  <si>
    <t>(ср xj - ср x)^2</t>
  </si>
  <si>
    <t>Сумма (xij - ср. xj)^2</t>
  </si>
  <si>
    <t>C факт</t>
  </si>
  <si>
    <t>C общая</t>
  </si>
  <si>
    <t>C ост</t>
  </si>
  <si>
    <t>(S факт)^2</t>
  </si>
  <si>
    <t>(S общая)^2</t>
  </si>
  <si>
    <t>(S ост)^2</t>
  </si>
  <si>
    <t>F факт</t>
  </si>
  <si>
    <t>F крит</t>
  </si>
  <si>
    <t>k1</t>
  </si>
  <si>
    <t>k2</t>
  </si>
  <si>
    <t>Вывод:</t>
  </si>
  <si>
    <t>Наблюдаемое значение критерия превосходит критическое,</t>
  </si>
  <si>
    <t xml:space="preserve"> поэтому влияние фактора признается значимым.</t>
  </si>
  <si>
    <t>x1</t>
  </si>
  <si>
    <t>x2</t>
  </si>
  <si>
    <t>x3</t>
  </si>
  <si>
    <t>Переменная X 2</t>
  </si>
  <si>
    <t>Переменная X 3</t>
  </si>
  <si>
    <t>rx1x2</t>
  </si>
  <si>
    <t>rx1x3</t>
  </si>
  <si>
    <t>rx2x3</t>
  </si>
  <si>
    <t>ryx1</t>
  </si>
  <si>
    <t>ryx2</t>
  </si>
  <si>
    <t>ryx3</t>
  </si>
  <si>
    <t>Столбец 3</t>
  </si>
  <si>
    <t>Столбец 4</t>
  </si>
  <si>
    <t>y^ = 170 + 25x1 -13x2 - 2,7x3</t>
  </si>
  <si>
    <t>y^ = 336 - 21,9x1 + 3,7x2</t>
  </si>
  <si>
    <t>Сигма x1</t>
  </si>
  <si>
    <t>Сигма x2</t>
  </si>
  <si>
    <t>Сигма x3</t>
  </si>
  <si>
    <t>Бета 1</t>
  </si>
  <si>
    <t>Бета 2</t>
  </si>
  <si>
    <t>Бета 3</t>
  </si>
  <si>
    <t>Станд. Уравнение</t>
  </si>
  <si>
    <t>ty^ = 0,72tx1 - 0,42tx2 - 0,15 tx3</t>
  </si>
  <si>
    <t>Опред.</t>
  </si>
  <si>
    <t>X^2 факт</t>
  </si>
  <si>
    <t>X^2 табл</t>
  </si>
  <si>
    <t>X^2 факт &gt; X^2 табл, поэтому гипотеза H0 отклоняется, следоват det != 1</t>
  </si>
  <si>
    <t>ryx1|x2x3</t>
  </si>
  <si>
    <t>n</t>
  </si>
  <si>
    <t>m</t>
  </si>
  <si>
    <t>_</t>
  </si>
  <si>
    <t>Уравнения</t>
  </si>
  <si>
    <t>Ср. x1</t>
  </si>
  <si>
    <t>Ср. x2</t>
  </si>
  <si>
    <t>Ср. x3</t>
  </si>
  <si>
    <t>Ai</t>
  </si>
  <si>
    <t>y^x1 = 29,6 + 25x1</t>
  </si>
  <si>
    <t>y^x3 = 192,4 - 2,7x3</t>
  </si>
  <si>
    <t>y^x2 = 287 - 13x2</t>
  </si>
  <si>
    <t>Таблицы</t>
  </si>
  <si>
    <t>y^x1</t>
  </si>
  <si>
    <t>y^x2</t>
  </si>
  <si>
    <t>y^x3</t>
  </si>
  <si>
    <t>Ср. Y^</t>
  </si>
  <si>
    <t>Эластичность</t>
  </si>
  <si>
    <t>Коэфф</t>
  </si>
  <si>
    <t>ryx2|x1x3</t>
  </si>
  <si>
    <t>ryx3|x1x2</t>
  </si>
  <si>
    <t>Лаг 1</t>
  </si>
  <si>
    <t>R1</t>
  </si>
  <si>
    <t>Лаг 2</t>
  </si>
  <si>
    <t>Лаг 3</t>
  </si>
  <si>
    <t>Лаг 4</t>
  </si>
  <si>
    <t>Лаг 5</t>
  </si>
  <si>
    <t>Лаг 6</t>
  </si>
  <si>
    <t>Лаг 7</t>
  </si>
  <si>
    <t>Лаг 8</t>
  </si>
  <si>
    <t>Лаг 9</t>
  </si>
  <si>
    <t>T</t>
  </si>
  <si>
    <t>Годы</t>
  </si>
  <si>
    <t>урожайность</t>
  </si>
  <si>
    <t>n1</t>
  </si>
  <si>
    <t>n2</t>
  </si>
  <si>
    <t>Ср. знач</t>
  </si>
  <si>
    <t>Дисперс.</t>
  </si>
  <si>
    <t>Фишер</t>
  </si>
  <si>
    <t>F кр</t>
  </si>
  <si>
    <t>Если расч. &lt; крит., то с 95% вероятности нет оснований отклонять H0, следоват. Дисперсии равны</t>
  </si>
  <si>
    <t>ср знач y</t>
  </si>
  <si>
    <t>y1</t>
  </si>
  <si>
    <t>y2</t>
  </si>
  <si>
    <t>t</t>
  </si>
  <si>
    <t>tкр</t>
  </si>
  <si>
    <t>т.к. t расчетное меньше t критического, то средние равны, а тренд отсутствует</t>
  </si>
  <si>
    <t>yt</t>
  </si>
  <si>
    <t>Критерий восходящих и нисходящих серий</t>
  </si>
  <si>
    <t>+</t>
  </si>
  <si>
    <t>Больше предыдущ. :</t>
  </si>
  <si>
    <t>Критерий</t>
  </si>
  <si>
    <t>1,6 &gt; 1,5</t>
  </si>
  <si>
    <t>Следоват, данные нехороши</t>
  </si>
  <si>
    <t>Количество смен знака</t>
  </si>
  <si>
    <t>Количество серий</t>
  </si>
  <si>
    <t>Самая длинная серия</t>
  </si>
  <si>
    <t>Крит. Восх. И нисх. Серий</t>
  </si>
  <si>
    <t xml:space="preserve">Т.к. </t>
  </si>
  <si>
    <t>11 &gt; 7,22</t>
  </si>
  <si>
    <t>3 &lt; 5</t>
  </si>
  <si>
    <t>, следоват. Тренда нет</t>
  </si>
  <si>
    <t>Всего элементов (N)</t>
  </si>
  <si>
    <t>n1 (кол-во +)</t>
  </si>
  <si>
    <t>n2 (кол-во -)</t>
  </si>
  <si>
    <t>Z</t>
  </si>
  <si>
    <t>Zкр</t>
  </si>
  <si>
    <t>Альфа = 0,1</t>
  </si>
  <si>
    <t>Альфа = 0,5</t>
  </si>
  <si>
    <t>Т.к. -1,96 &lt; 1,96 &lt; 2,044 , Тренд есть</t>
  </si>
  <si>
    <t>Т.к. -2,575 &lt; 2,044 &lt; 2,575 , Тренда нет</t>
  </si>
  <si>
    <t>Медиана</t>
  </si>
  <si>
    <t>Кол-во серий</t>
  </si>
  <si>
    <t>Критерий медианы</t>
  </si>
  <si>
    <t>фи</t>
  </si>
  <si>
    <t>гамма</t>
  </si>
  <si>
    <t>4 &lt; 7,8</t>
  </si>
  <si>
    <t>11 &gt; 7,4</t>
  </si>
  <si>
    <t>, след. Тренда нет</t>
  </si>
  <si>
    <t>Z - критерий</t>
  </si>
  <si>
    <t>Т.к. -2,575 &lt; 0,5 &lt; 2,575 , Тренда нет</t>
  </si>
  <si>
    <t>Т.к. -1,96 &lt; 0,5 &lt; 1,96 , Тренда нет</t>
  </si>
  <si>
    <t>Центр. Y</t>
  </si>
  <si>
    <t>S</t>
  </si>
  <si>
    <t>по интервалу колебаний</t>
  </si>
  <si>
    <t>Год\Квартал</t>
  </si>
  <si>
    <t>Ср. Знач.</t>
  </si>
  <si>
    <t>Ср. Сез. Коррект.</t>
  </si>
  <si>
    <t>y - S (T + E)</t>
  </si>
  <si>
    <t>Скоррект. комп. (S)</t>
  </si>
  <si>
    <t>E</t>
  </si>
  <si>
    <t>Абсол. E</t>
  </si>
  <si>
    <t>Ср Ошибка</t>
  </si>
  <si>
    <t>mt</t>
  </si>
  <si>
    <t>lt</t>
  </si>
  <si>
    <t>dt</t>
  </si>
  <si>
    <t>D</t>
  </si>
  <si>
    <t>t набл</t>
  </si>
  <si>
    <t>Сигма D</t>
  </si>
  <si>
    <t>Альфа</t>
  </si>
  <si>
    <t>t набл &lt; t табл, след. Тренд отсутствует</t>
  </si>
  <si>
    <t xml:space="preserve">Время </t>
  </si>
  <si>
    <t>Пассажропоток</t>
  </si>
  <si>
    <t>Критерий Ирвина исключает аномальные выбросы</t>
  </si>
  <si>
    <t>Лямбда t</t>
  </si>
  <si>
    <t>Сигма t</t>
  </si>
  <si>
    <t>(y - ср. Y)^2</t>
  </si>
  <si>
    <t>Среднее</t>
  </si>
  <si>
    <t>Для доверит вероятности = 0,95, крит. Знач. Для n = 20: 1,27, n = 30: 1,2</t>
  </si>
  <si>
    <t>Крит. Знач</t>
  </si>
  <si>
    <t>Если аномалии образуют группу, то за один шаг можно заменить только одну аномалию в этой группе</t>
  </si>
  <si>
    <t>Метод замены: аномальные значения заменяем путем усреднения по соседним точкам</t>
  </si>
  <si>
    <t>Замены потока</t>
  </si>
  <si>
    <t>Замены потока №2</t>
  </si>
  <si>
    <t>Замены потока №3</t>
  </si>
  <si>
    <t>cos2t</t>
  </si>
  <si>
    <t>ycos2t</t>
  </si>
  <si>
    <t>ysin2t</t>
  </si>
  <si>
    <t>cost</t>
  </si>
  <si>
    <t>ycost</t>
  </si>
  <si>
    <t>ysint</t>
  </si>
  <si>
    <t>sint</t>
  </si>
  <si>
    <t>a1</t>
  </si>
  <si>
    <t>b2</t>
  </si>
  <si>
    <t>Гармоника</t>
  </si>
  <si>
    <t>y0</t>
  </si>
  <si>
    <t>sin2t</t>
  </si>
  <si>
    <t>b1</t>
  </si>
  <si>
    <t>a2</t>
  </si>
  <si>
    <t>y3</t>
  </si>
  <si>
    <t>cos3t</t>
  </si>
  <si>
    <t>sin3t</t>
  </si>
  <si>
    <t>ycos3t</t>
  </si>
  <si>
    <t>ysin3t</t>
  </si>
  <si>
    <t>a3</t>
  </si>
  <si>
    <t>b3</t>
  </si>
  <si>
    <t>Ошибка Аппроксимации</t>
  </si>
  <si>
    <t>y4</t>
  </si>
  <si>
    <t>cos4t</t>
  </si>
  <si>
    <t>sin4t</t>
  </si>
  <si>
    <t>ycos4t</t>
  </si>
  <si>
    <t>ysin4t</t>
  </si>
  <si>
    <t>a4</t>
  </si>
  <si>
    <t>b4</t>
  </si>
  <si>
    <t>cos5t</t>
  </si>
  <si>
    <t>sin5t</t>
  </si>
  <si>
    <t>ycos5t</t>
  </si>
  <si>
    <t>ysin5t</t>
  </si>
  <si>
    <t>a5</t>
  </si>
  <si>
    <t>b5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</si>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</sst>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₽_-;\-* #,##0.00\ _₽_-;_-* &quot;-&quot;??\ _₽_-;_-@_-"/>
    <numFmt numFmtId="164" formatCode="0.00000"/>
    <numFmt numFmtId="165" formatCode="0.0000"/>
    <numFmt numFmtId="166" formatCode="0.000"/>
    <numFmt numFmtId="167" formatCode="_-* #,##0.00000\ _₽_-;\-* #,##0.00000\ _₽_-;_-* &quot;-&quot;??\ _₽_-;_-@_-"/>
    <numFmt numFmtId="168" formatCode="0.0"/>
    <numFmt numFmtId="169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Fill="1" applyBorder="1" applyAlignment="1">
      <alignment horizontal="center"/>
    </xf>
    <xf numFmtId="2" fontId="0" fillId="0" borderId="1" xfId="0" applyNumberFormat="1" applyBorder="1"/>
    <xf numFmtId="2" fontId="5" fillId="0" borderId="1" xfId="0" applyNumberFormat="1" applyFon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/>
    <xf numFmtId="2" fontId="0" fillId="0" borderId="1" xfId="0" applyNumberFormat="1" applyFont="1" applyBorder="1" applyAlignment="1"/>
    <xf numFmtId="2" fontId="0" fillId="0" borderId="1" xfId="0" applyNumberFormat="1" applyFill="1" applyBorder="1"/>
    <xf numFmtId="2" fontId="0" fillId="0" borderId="0" xfId="0" applyNumberFormat="1"/>
    <xf numFmtId="0" fontId="0" fillId="0" borderId="0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Continuous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1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7" fontId="0" fillId="0" borderId="1" xfId="2" applyNumberFormat="1" applyFont="1" applyBorder="1"/>
    <xf numFmtId="2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/>
    <xf numFmtId="2" fontId="0" fillId="0" borderId="3" xfId="0" applyNumberFormat="1" applyBorder="1"/>
    <xf numFmtId="2" fontId="0" fillId="0" borderId="1" xfId="0" applyNumberFormat="1" applyBorder="1" applyAlignment="1">
      <alignment horizontal="right" vertical="center"/>
    </xf>
    <xf numFmtId="0" fontId="0" fillId="0" borderId="0" xfId="0" applyAlignment="1"/>
    <xf numFmtId="168" fontId="0" fillId="0" borderId="1" xfId="0" applyNumberFormat="1" applyBorder="1"/>
    <xf numFmtId="1" fontId="0" fillId="0" borderId="1" xfId="0" applyNumberFormat="1" applyFill="1" applyBorder="1" applyAlignment="1"/>
    <xf numFmtId="2" fontId="0" fillId="0" borderId="1" xfId="0" applyNumberFormat="1" applyFill="1" applyBorder="1" applyAlignment="1"/>
    <xf numFmtId="168" fontId="0" fillId="0" borderId="1" xfId="0" applyNumberFormat="1" applyFill="1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3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5" xfId="0" applyBorder="1" applyAlignment="1"/>
    <xf numFmtId="0" fontId="10" fillId="2" borderId="25" xfId="0" applyFont="1" applyFill="1" applyBorder="1" applyAlignment="1">
      <alignment horizontal="justify" vertical="center" wrapText="1"/>
    </xf>
    <xf numFmtId="0" fontId="10" fillId="2" borderId="26" xfId="0" applyFont="1" applyFill="1" applyBorder="1" applyAlignment="1">
      <alignment horizontal="justify" vertical="center" wrapText="1"/>
    </xf>
    <xf numFmtId="0" fontId="10" fillId="2" borderId="27" xfId="0" applyFont="1" applyFill="1" applyBorder="1" applyAlignment="1">
      <alignment horizontal="justify" vertical="center" wrapText="1"/>
    </xf>
    <xf numFmtId="0" fontId="10" fillId="2" borderId="28" xfId="0" applyFont="1" applyFill="1" applyBorder="1" applyAlignment="1">
      <alignment horizontal="justify" vertical="center" wrapText="1"/>
    </xf>
    <xf numFmtId="9" fontId="0" fillId="0" borderId="1" xfId="1" applyFont="1" applyBorder="1"/>
    <xf numFmtId="9" fontId="0" fillId="0" borderId="1" xfId="0" applyNumberFormat="1" applyBorder="1"/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vertical="center" wrapText="1"/>
    </xf>
    <xf numFmtId="20" fontId="0" fillId="0" borderId="1" xfId="0" applyNumberFormat="1" applyFont="1" applyBorder="1" applyAlignment="1">
      <alignment vertical="center" wrapText="1"/>
    </xf>
    <xf numFmtId="0" fontId="0" fillId="0" borderId="4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0" borderId="30" xfId="0" applyBorder="1"/>
    <xf numFmtId="169" fontId="0" fillId="0" borderId="1" xfId="1" applyNumberFormat="1" applyFont="1" applyBorder="1"/>
    <xf numFmtId="169" fontId="0" fillId="0" borderId="1" xfId="0" applyNumberFormat="1" applyBorder="1"/>
    <xf numFmtId="169" fontId="0" fillId="0" borderId="9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'Линейная 2'!$B$2:$B$22</c:f>
              <c:numCache>
                <c:formatCode>General</c:formatCode>
                <c:ptCount val="21"/>
                <c:pt idx="2">
                  <c:v>16</c:v>
                </c:pt>
                <c:pt idx="3">
                  <c:v>16.5</c:v>
                </c:pt>
                <c:pt idx="4">
                  <c:v>16.5</c:v>
                </c:pt>
                <c:pt idx="5">
                  <c:v>16.8</c:v>
                </c:pt>
                <c:pt idx="6">
                  <c:v>16.82</c:v>
                </c:pt>
                <c:pt idx="7">
                  <c:v>17.05</c:v>
                </c:pt>
                <c:pt idx="8">
                  <c:v>17.28</c:v>
                </c:pt>
                <c:pt idx="9">
                  <c:v>17.350000000000001</c:v>
                </c:pt>
                <c:pt idx="10">
                  <c:v>17.45</c:v>
                </c:pt>
                <c:pt idx="11">
                  <c:v>17.899999999999999</c:v>
                </c:pt>
                <c:pt idx="12">
                  <c:v>18.3</c:v>
                </c:pt>
                <c:pt idx="13">
                  <c:v>18.5</c:v>
                </c:pt>
                <c:pt idx="14">
                  <c:v>18.77</c:v>
                </c:pt>
                <c:pt idx="15">
                  <c:v>18.8</c:v>
                </c:pt>
                <c:pt idx="16">
                  <c:v>18.87</c:v>
                </c:pt>
                <c:pt idx="17">
                  <c:v>19</c:v>
                </c:pt>
                <c:pt idx="18">
                  <c:v>19.2</c:v>
                </c:pt>
                <c:pt idx="19">
                  <c:v>19.3</c:v>
                </c:pt>
                <c:pt idx="20">
                  <c:v>19.5</c:v>
                </c:pt>
              </c:numCache>
            </c:numRef>
          </c:xVal>
          <c:yVal>
            <c:numRef>
              <c:f>'Линейная 2'!$C$2:$C$22</c:f>
              <c:numCache>
                <c:formatCode>General</c:formatCode>
                <c:ptCount val="21"/>
                <c:pt idx="2">
                  <c:v>509</c:v>
                </c:pt>
                <c:pt idx="3">
                  <c:v>514</c:v>
                </c:pt>
                <c:pt idx="4">
                  <c:v>512</c:v>
                </c:pt>
                <c:pt idx="5">
                  <c:v>519</c:v>
                </c:pt>
                <c:pt idx="6">
                  <c:v>516</c:v>
                </c:pt>
                <c:pt idx="7">
                  <c:v>534</c:v>
                </c:pt>
                <c:pt idx="8">
                  <c:v>537</c:v>
                </c:pt>
                <c:pt idx="9">
                  <c:v>537</c:v>
                </c:pt>
                <c:pt idx="10">
                  <c:v>538</c:v>
                </c:pt>
                <c:pt idx="11">
                  <c:v>542</c:v>
                </c:pt>
                <c:pt idx="12">
                  <c:v>550</c:v>
                </c:pt>
                <c:pt idx="13">
                  <c:v>552</c:v>
                </c:pt>
                <c:pt idx="14">
                  <c:v>559</c:v>
                </c:pt>
                <c:pt idx="15">
                  <c:v>555</c:v>
                </c:pt>
                <c:pt idx="16">
                  <c:v>560</c:v>
                </c:pt>
                <c:pt idx="17">
                  <c:v>558</c:v>
                </c:pt>
                <c:pt idx="18">
                  <c:v>560</c:v>
                </c:pt>
                <c:pt idx="19">
                  <c:v>562</c:v>
                </c:pt>
                <c:pt idx="20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3-4586-8DEF-F4A2CEC3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14639"/>
        <c:axId val="1815604079"/>
      </c:scatterChart>
      <c:valAx>
        <c:axId val="19059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604079"/>
        <c:crosses val="autoZero"/>
        <c:crossBetween val="midCat"/>
      </c:valAx>
      <c:valAx>
        <c:axId val="18156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9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Пакет2!$F$25:$F$34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Пакет2!$G$25:$G$34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504</c:v>
                </c:pt>
                <c:pt idx="4">
                  <c:v>542</c:v>
                </c:pt>
                <c:pt idx="5">
                  <c:v>557</c:v>
                </c:pt>
                <c:pt idx="6">
                  <c:v>580</c:v>
                </c:pt>
                <c:pt idx="7">
                  <c:v>642</c:v>
                </c:pt>
                <c:pt idx="8">
                  <c:v>651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F-42CC-B292-98D62481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84656"/>
        <c:axId val="987864032"/>
      </c:scatterChart>
      <c:valAx>
        <c:axId val="98728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864032"/>
        <c:crosses val="autoZero"/>
        <c:crossBetween val="midCat"/>
      </c:valAx>
      <c:valAx>
        <c:axId val="98786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28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</a:t>
            </a:r>
            <a:r>
              <a:rPr lang="ru-RU"/>
              <a:t>и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Степенная!$B$29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Степенная!$A$30:$A$39</c:f>
              <c:numCache>
                <c:formatCode>_-* #\ ##0.00000\ _₽_-;\-* #\ ##0.00000\ _₽_-;_-* "-"??\ _₽_-;_-@_-</c:formatCode>
                <c:ptCount val="10"/>
                <c:pt idx="0">
                  <c:v>2.2075055187637969E-3</c:v>
                </c:pt>
                <c:pt idx="1">
                  <c:v>2.05761316872428E-3</c:v>
                </c:pt>
                <c:pt idx="2">
                  <c:v>1.9083969465648854E-3</c:v>
                </c:pt>
                <c:pt idx="3">
                  <c:v>1.3140604467805519E-3</c:v>
                </c:pt>
                <c:pt idx="4">
                  <c:v>1.3037809647979139E-3</c:v>
                </c:pt>
                <c:pt idx="5">
                  <c:v>1.0672358591248667E-3</c:v>
                </c:pt>
                <c:pt idx="6">
                  <c:v>1.0030090270812437E-3</c:v>
                </c:pt>
                <c:pt idx="7">
                  <c:v>9.9403578528827028E-4</c:v>
                </c:pt>
                <c:pt idx="8">
                  <c:v>9.5057034220532319E-4</c:v>
                </c:pt>
                <c:pt idx="9">
                  <c:v>5.8139534883720929E-4</c:v>
                </c:pt>
              </c:numCache>
            </c:numRef>
          </c:xVal>
          <c:yVal>
            <c:numRef>
              <c:f>Степенная!$B$30:$B$39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5-4467-8CB4-1A7B171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20784"/>
        <c:axId val="895797408"/>
      </c:scatterChart>
      <c:valAx>
        <c:axId val="6274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0\ _₽_-;\-* #\ ##0.0000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797408"/>
        <c:crosses val="autoZero"/>
        <c:crossBetween val="midCat"/>
      </c:valAx>
      <c:valAx>
        <c:axId val="895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4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ru-RU"/>
              <a:t>и </a:t>
            </a:r>
            <a:r>
              <a:rPr lang="en-US"/>
              <a:t>y^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Степенная!$R$1</c:f>
              <c:strCache>
                <c:ptCount val="1"/>
                <c:pt idx="0">
                  <c:v>y^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Степенная!$R$2:$R$11</c:f>
              <c:numCache>
                <c:formatCode>0.00</c:formatCode>
                <c:ptCount val="10"/>
                <c:pt idx="0">
                  <c:v>264.67172027679237</c:v>
                </c:pt>
                <c:pt idx="1">
                  <c:v>310.79625149367735</c:v>
                </c:pt>
                <c:pt idx="2">
                  <c:v>356.71272618529531</c:v>
                </c:pt>
                <c:pt idx="3">
                  <c:v>539.60059491515017</c:v>
                </c:pt>
                <c:pt idx="4">
                  <c:v>542.76377360623474</c:v>
                </c:pt>
                <c:pt idx="5">
                  <c:v>615.55289265027807</c:v>
                </c:pt>
                <c:pt idx="6">
                  <c:v>635.31662654848378</c:v>
                </c:pt>
                <c:pt idx="7">
                  <c:v>638.07785199519628</c:v>
                </c:pt>
                <c:pt idx="8">
                  <c:v>651.45293875450443</c:v>
                </c:pt>
                <c:pt idx="9">
                  <c:v>765.05462357438796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85B-84F2-6CA10493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0048"/>
        <c:axId val="632422640"/>
      </c:scatterChart>
      <c:valAx>
        <c:axId val="5319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422640"/>
        <c:crosses val="autoZero"/>
        <c:crossBetween val="midCat"/>
      </c:valAx>
      <c:valAx>
        <c:axId val="6324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9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'Множеств. регрессия'!$B$2:$B$16</c:f>
              <c:numCache>
                <c:formatCode>0.0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'Мн. Регр. Ан. Данн.'!$C$27:$C$41</c:f>
              <c:numCache>
                <c:formatCode>General</c:formatCode>
                <c:ptCount val="15"/>
                <c:pt idx="0">
                  <c:v>-16.86564732451825</c:v>
                </c:pt>
                <c:pt idx="1">
                  <c:v>9.7752845643117894</c:v>
                </c:pt>
                <c:pt idx="2">
                  <c:v>20.295302556717161</c:v>
                </c:pt>
                <c:pt idx="3">
                  <c:v>-37.184994424014349</c:v>
                </c:pt>
                <c:pt idx="4">
                  <c:v>-12.344580350533391</c:v>
                </c:pt>
                <c:pt idx="5">
                  <c:v>-5.8819335174214871</c:v>
                </c:pt>
                <c:pt idx="6">
                  <c:v>-13.017513182519927</c:v>
                </c:pt>
                <c:pt idx="7">
                  <c:v>-15.592998018398362</c:v>
                </c:pt>
                <c:pt idx="8">
                  <c:v>2.3983815346493031</c:v>
                </c:pt>
                <c:pt idx="9">
                  <c:v>32.888474001302143</c:v>
                </c:pt>
                <c:pt idx="10">
                  <c:v>10.991642857762372</c:v>
                </c:pt>
                <c:pt idx="11">
                  <c:v>18.959214271143424</c:v>
                </c:pt>
                <c:pt idx="12">
                  <c:v>19.280303743567288</c:v>
                </c:pt>
                <c:pt idx="13">
                  <c:v>-49.817922765776174</c:v>
                </c:pt>
                <c:pt idx="14">
                  <c:v>36.116986053728851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3-44EF-83AF-0765BD88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98368"/>
        <c:axId val="1664156144"/>
      </c:scatterChart>
      <c:valAx>
        <c:axId val="19006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64156144"/>
        <c:crosses val="autoZero"/>
        <c:crossBetween val="midCat"/>
      </c:valAx>
      <c:valAx>
        <c:axId val="166415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69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'Множеств. регрессия'!$C$2:$C$16</c:f>
              <c:numCache>
                <c:formatCode>0.0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'Мн. Регр. Ан. Данн.'!$C$27:$C$41</c:f>
              <c:numCache>
                <c:formatCode>General</c:formatCode>
                <c:ptCount val="15"/>
                <c:pt idx="0">
                  <c:v>-16.86564732451825</c:v>
                </c:pt>
                <c:pt idx="1">
                  <c:v>9.7752845643117894</c:v>
                </c:pt>
                <c:pt idx="2">
                  <c:v>20.295302556717161</c:v>
                </c:pt>
                <c:pt idx="3">
                  <c:v>-37.184994424014349</c:v>
                </c:pt>
                <c:pt idx="4">
                  <c:v>-12.344580350533391</c:v>
                </c:pt>
                <c:pt idx="5">
                  <c:v>-5.8819335174214871</c:v>
                </c:pt>
                <c:pt idx="6">
                  <c:v>-13.017513182519927</c:v>
                </c:pt>
                <c:pt idx="7">
                  <c:v>-15.592998018398362</c:v>
                </c:pt>
                <c:pt idx="8">
                  <c:v>2.3983815346493031</c:v>
                </c:pt>
                <c:pt idx="9">
                  <c:v>32.888474001302143</c:v>
                </c:pt>
                <c:pt idx="10">
                  <c:v>10.991642857762372</c:v>
                </c:pt>
                <c:pt idx="11">
                  <c:v>18.959214271143424</c:v>
                </c:pt>
                <c:pt idx="12">
                  <c:v>19.280303743567288</c:v>
                </c:pt>
                <c:pt idx="13">
                  <c:v>-49.817922765776174</c:v>
                </c:pt>
                <c:pt idx="14">
                  <c:v>36.116986053728851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E-4B60-A4F8-8BB15A0C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61392"/>
        <c:axId val="1799166992"/>
      </c:scatterChart>
      <c:valAx>
        <c:axId val="18020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9166992"/>
        <c:crosses val="autoZero"/>
        <c:crossBetween val="midCat"/>
      </c:valAx>
      <c:valAx>
        <c:axId val="179916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06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'Множеств. регрессия'!$D$2:$D$16</c:f>
              <c:numCache>
                <c:formatCode>0.0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'Мн. Регр. Ан. Данн.'!$C$27:$C$41</c:f>
              <c:numCache>
                <c:formatCode>General</c:formatCode>
                <c:ptCount val="15"/>
                <c:pt idx="0">
                  <c:v>-16.86564732451825</c:v>
                </c:pt>
                <c:pt idx="1">
                  <c:v>9.7752845643117894</c:v>
                </c:pt>
                <c:pt idx="2">
                  <c:v>20.295302556717161</c:v>
                </c:pt>
                <c:pt idx="3">
                  <c:v>-37.184994424014349</c:v>
                </c:pt>
                <c:pt idx="4">
                  <c:v>-12.344580350533391</c:v>
                </c:pt>
                <c:pt idx="5">
                  <c:v>-5.8819335174214871</c:v>
                </c:pt>
                <c:pt idx="6">
                  <c:v>-13.017513182519927</c:v>
                </c:pt>
                <c:pt idx="7">
                  <c:v>-15.592998018398362</c:v>
                </c:pt>
                <c:pt idx="8">
                  <c:v>2.3983815346493031</c:v>
                </c:pt>
                <c:pt idx="9">
                  <c:v>32.888474001302143</c:v>
                </c:pt>
                <c:pt idx="10">
                  <c:v>10.991642857762372</c:v>
                </c:pt>
                <c:pt idx="11">
                  <c:v>18.959214271143424</c:v>
                </c:pt>
                <c:pt idx="12">
                  <c:v>19.280303743567288</c:v>
                </c:pt>
                <c:pt idx="13">
                  <c:v>-49.817922765776174</c:v>
                </c:pt>
                <c:pt idx="14">
                  <c:v>36.116986053728851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8-4245-998D-270A7A2B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54592"/>
        <c:axId val="1799171568"/>
      </c:scatterChart>
      <c:valAx>
        <c:axId val="18020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9171568"/>
        <c:crosses val="autoZero"/>
        <c:crossBetween val="midCat"/>
      </c:valAx>
      <c:valAx>
        <c:axId val="179917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054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'Множеств. регрессия'!$B$2:$B$16</c:f>
              <c:numCache>
                <c:formatCode>0.0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'Множеств. регрессия'!$A$2:$A$16</c:f>
              <c:numCache>
                <c:formatCode>0.0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88.3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E-4B1D-A610-66946E0B7712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'Множеств. регрессия'!$B$2:$B$16</c:f>
              <c:numCache>
                <c:formatCode>0.0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'Мн. Регр. Ан. Данн.'!$B$27:$B$41</c:f>
              <c:numCache>
                <c:formatCode>General</c:formatCode>
                <c:ptCount val="15"/>
                <c:pt idx="0">
                  <c:v>96.165647324518247</c:v>
                </c:pt>
                <c:pt idx="1">
                  <c:v>190.3247154356882</c:v>
                </c:pt>
                <c:pt idx="2">
                  <c:v>142.90469744328283</c:v>
                </c:pt>
                <c:pt idx="3">
                  <c:v>237.28499442401434</c:v>
                </c:pt>
                <c:pt idx="4">
                  <c:v>158.34458035053339</c:v>
                </c:pt>
                <c:pt idx="5">
                  <c:v>183.58193351742148</c:v>
                </c:pt>
                <c:pt idx="6">
                  <c:v>43.917513182519926</c:v>
                </c:pt>
                <c:pt idx="7">
                  <c:v>307.49299801839834</c:v>
                </c:pt>
                <c:pt idx="8">
                  <c:v>157.6016184653507</c:v>
                </c:pt>
                <c:pt idx="9">
                  <c:v>306.51152599869783</c:v>
                </c:pt>
                <c:pt idx="10">
                  <c:v>148.60835714223762</c:v>
                </c:pt>
                <c:pt idx="11">
                  <c:v>69.340785728856574</c:v>
                </c:pt>
                <c:pt idx="12">
                  <c:v>218.21969625643271</c:v>
                </c:pt>
                <c:pt idx="13">
                  <c:v>157.01792276577618</c:v>
                </c:pt>
                <c:pt idx="14">
                  <c:v>118.88301394627115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CE-4B1D-A610-66946E0B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60992"/>
        <c:axId val="1799169488"/>
      </c:scatterChart>
      <c:valAx>
        <c:axId val="18020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9169488"/>
        <c:crosses val="autoZero"/>
        <c:crossBetween val="midCat"/>
      </c:valAx>
      <c:valAx>
        <c:axId val="179916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2060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'Множеств. регрессия'!$C$2:$C$16</c:f>
              <c:numCache>
                <c:formatCode>0.0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'Множеств. регрессия'!$A$2:$A$16</c:f>
              <c:numCache>
                <c:formatCode>0.0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88.3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0-4636-AA4E-4F81CA567659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'Множеств. регрессия'!$C$2:$C$16</c:f>
              <c:numCache>
                <c:formatCode>0.0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'Мн. Регр. Ан. Данн.'!$B$27:$B$41</c:f>
              <c:numCache>
                <c:formatCode>General</c:formatCode>
                <c:ptCount val="15"/>
                <c:pt idx="0">
                  <c:v>96.165647324518247</c:v>
                </c:pt>
                <c:pt idx="1">
                  <c:v>190.3247154356882</c:v>
                </c:pt>
                <c:pt idx="2">
                  <c:v>142.90469744328283</c:v>
                </c:pt>
                <c:pt idx="3">
                  <c:v>237.28499442401434</c:v>
                </c:pt>
                <c:pt idx="4">
                  <c:v>158.34458035053339</c:v>
                </c:pt>
                <c:pt idx="5">
                  <c:v>183.58193351742148</c:v>
                </c:pt>
                <c:pt idx="6">
                  <c:v>43.917513182519926</c:v>
                </c:pt>
                <c:pt idx="7">
                  <c:v>307.49299801839834</c:v>
                </c:pt>
                <c:pt idx="8">
                  <c:v>157.6016184653507</c:v>
                </c:pt>
                <c:pt idx="9">
                  <c:v>306.51152599869783</c:v>
                </c:pt>
                <c:pt idx="10">
                  <c:v>148.60835714223762</c:v>
                </c:pt>
                <c:pt idx="11">
                  <c:v>69.340785728856574</c:v>
                </c:pt>
                <c:pt idx="12">
                  <c:v>218.21969625643271</c:v>
                </c:pt>
                <c:pt idx="13">
                  <c:v>157.01792276577618</c:v>
                </c:pt>
                <c:pt idx="14">
                  <c:v>118.88301394627115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90-4636-AA4E-4F81CA56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67392"/>
        <c:axId val="1799158256"/>
      </c:scatterChart>
      <c:valAx>
        <c:axId val="18020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99158256"/>
        <c:crosses val="autoZero"/>
        <c:crossBetween val="midCat"/>
      </c:valAx>
      <c:valAx>
        <c:axId val="179915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2067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'Множеств. регрессия'!$D$2:$D$16</c:f>
              <c:numCache>
                <c:formatCode>0.0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'Множеств. регрессия'!$A$2:$A$16</c:f>
              <c:numCache>
                <c:formatCode>0.0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88.3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5-4E8B-A139-62AEA5186B18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'Множеств. регрессия'!$D$2:$D$16</c:f>
              <c:numCache>
                <c:formatCode>0.0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'Мн. Регр. Ан. Данн.'!$B$27:$B$41</c:f>
              <c:numCache>
                <c:formatCode>General</c:formatCode>
                <c:ptCount val="15"/>
                <c:pt idx="0">
                  <c:v>96.165647324518247</c:v>
                </c:pt>
                <c:pt idx="1">
                  <c:v>190.3247154356882</c:v>
                </c:pt>
                <c:pt idx="2">
                  <c:v>142.90469744328283</c:v>
                </c:pt>
                <c:pt idx="3">
                  <c:v>237.28499442401434</c:v>
                </c:pt>
                <c:pt idx="4">
                  <c:v>158.34458035053339</c:v>
                </c:pt>
                <c:pt idx="5">
                  <c:v>183.58193351742148</c:v>
                </c:pt>
                <c:pt idx="6">
                  <c:v>43.917513182519926</c:v>
                </c:pt>
                <c:pt idx="7">
                  <c:v>307.49299801839834</c:v>
                </c:pt>
                <c:pt idx="8">
                  <c:v>157.6016184653507</c:v>
                </c:pt>
                <c:pt idx="9">
                  <c:v>306.51152599869783</c:v>
                </c:pt>
                <c:pt idx="10">
                  <c:v>148.60835714223762</c:v>
                </c:pt>
                <c:pt idx="11">
                  <c:v>69.340785728856574</c:v>
                </c:pt>
                <c:pt idx="12">
                  <c:v>218.21969625643271</c:v>
                </c:pt>
                <c:pt idx="13">
                  <c:v>157.01792276577618</c:v>
                </c:pt>
                <c:pt idx="14">
                  <c:v>118.88301394627115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C5-4E8B-A139-62AEA518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58192"/>
        <c:axId val="1997077216"/>
      </c:scatterChart>
      <c:valAx>
        <c:axId val="18020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97077216"/>
        <c:crosses val="autoZero"/>
        <c:crossBetween val="midCat"/>
      </c:valAx>
      <c:valAx>
        <c:axId val="199707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205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'Мн. Регр. Лист 2'!$B$2:$B$16</c:f>
              <c:numCache>
                <c:formatCode>0.0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'Мн. Регр. Ан. Данн. 2'!$C$26:$C$40</c:f>
              <c:numCache>
                <c:formatCode>General</c:formatCode>
                <c:ptCount val="15"/>
                <c:pt idx="0">
                  <c:v>-48.236031676198834</c:v>
                </c:pt>
                <c:pt idx="1">
                  <c:v>17.324277086749618</c:v>
                </c:pt>
                <c:pt idx="2">
                  <c:v>57.120561532616108</c:v>
                </c:pt>
                <c:pt idx="3">
                  <c:v>-42.201827780666264</c:v>
                </c:pt>
                <c:pt idx="4">
                  <c:v>-70.558820941486971</c:v>
                </c:pt>
                <c:pt idx="5">
                  <c:v>71.620561532616108</c:v>
                </c:pt>
                <c:pt idx="6">
                  <c:v>-71.425760908690904</c:v>
                </c:pt>
                <c:pt idx="7">
                  <c:v>28.14157901051874</c:v>
                </c:pt>
                <c:pt idx="8">
                  <c:v>-15.268367795864492</c:v>
                </c:pt>
                <c:pt idx="9">
                  <c:v>53.119513658361029</c:v>
                </c:pt>
                <c:pt idx="10">
                  <c:v>39.038587369515682</c:v>
                </c:pt>
                <c:pt idx="11">
                  <c:v>-14.025760908690913</c:v>
                </c:pt>
                <c:pt idx="12">
                  <c:v>-4.2690917089948925</c:v>
                </c:pt>
                <c:pt idx="13">
                  <c:v>-24.089709234891799</c:v>
                </c:pt>
                <c:pt idx="14">
                  <c:v>23.710290765108198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2-49BE-8118-B61B8D735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72336"/>
        <c:axId val="2040115888"/>
      </c:scatterChart>
      <c:valAx>
        <c:axId val="20399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40115888"/>
        <c:crosses val="autoZero"/>
        <c:crossBetween val="midCat"/>
      </c:valAx>
      <c:valAx>
        <c:axId val="204011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97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7-465B-A707-907411A4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20256"/>
        <c:axId val="987782608"/>
      </c:scatterChart>
      <c:valAx>
        <c:axId val="9873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782608"/>
        <c:crosses val="autoZero"/>
        <c:crossBetween val="midCat"/>
      </c:valAx>
      <c:valAx>
        <c:axId val="987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3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'Мн. Регр. Лист 2'!$C$2:$C$16</c:f>
              <c:numCache>
                <c:formatCode>0.0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'Мн. Регр. Ан. Данн. 2'!$C$26:$C$40</c:f>
              <c:numCache>
                <c:formatCode>General</c:formatCode>
                <c:ptCount val="15"/>
                <c:pt idx="0">
                  <c:v>-48.236031676198834</c:v>
                </c:pt>
                <c:pt idx="1">
                  <c:v>17.324277086749618</c:v>
                </c:pt>
                <c:pt idx="2">
                  <c:v>57.120561532616108</c:v>
                </c:pt>
                <c:pt idx="3">
                  <c:v>-42.201827780666264</c:v>
                </c:pt>
                <c:pt idx="4">
                  <c:v>-70.558820941486971</c:v>
                </c:pt>
                <c:pt idx="5">
                  <c:v>71.620561532616108</c:v>
                </c:pt>
                <c:pt idx="6">
                  <c:v>-71.425760908690904</c:v>
                </c:pt>
                <c:pt idx="7">
                  <c:v>28.14157901051874</c:v>
                </c:pt>
                <c:pt idx="8">
                  <c:v>-15.268367795864492</c:v>
                </c:pt>
                <c:pt idx="9">
                  <c:v>53.119513658361029</c:v>
                </c:pt>
                <c:pt idx="10">
                  <c:v>39.038587369515682</c:v>
                </c:pt>
                <c:pt idx="11">
                  <c:v>-14.025760908690913</c:v>
                </c:pt>
                <c:pt idx="12">
                  <c:v>-4.2690917089948925</c:v>
                </c:pt>
                <c:pt idx="13">
                  <c:v>-24.089709234891799</c:v>
                </c:pt>
                <c:pt idx="14">
                  <c:v>23.710290765108198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BB-4D9F-B540-ADE2D026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63536"/>
        <c:axId val="2040128784"/>
      </c:scatterChart>
      <c:valAx>
        <c:axId val="20399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40128784"/>
        <c:crosses val="autoZero"/>
        <c:crossBetween val="midCat"/>
      </c:valAx>
      <c:valAx>
        <c:axId val="204012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96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'Мн. Регр. Лист 2'!$B$2:$B$16</c:f>
              <c:numCache>
                <c:formatCode>0.0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'Мн. Регр. Лист 2'!$A$2:$A$16</c:f>
              <c:numCache>
                <c:formatCode>0.0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88.3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F-416D-88EE-4A023C7E4A5A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'Мн. Регр. Лист 2'!$B$2:$B$16</c:f>
              <c:numCache>
                <c:formatCode>0.0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'Мн. Регр. Ан. Данн. 2'!$B$26:$B$40</c:f>
              <c:numCache>
                <c:formatCode>General</c:formatCode>
                <c:ptCount val="15"/>
                <c:pt idx="0">
                  <c:v>127.53603167619883</c:v>
                </c:pt>
                <c:pt idx="1">
                  <c:v>182.77572291325038</c:v>
                </c:pt>
                <c:pt idx="2">
                  <c:v>106.07943846738388</c:v>
                </c:pt>
                <c:pt idx="3">
                  <c:v>242.30182778066626</c:v>
                </c:pt>
                <c:pt idx="4">
                  <c:v>216.55882094148697</c:v>
                </c:pt>
                <c:pt idx="5">
                  <c:v>106.07943846738388</c:v>
                </c:pt>
                <c:pt idx="6">
                  <c:v>102.32576090869091</c:v>
                </c:pt>
                <c:pt idx="7">
                  <c:v>263.75842098948124</c:v>
                </c:pt>
                <c:pt idx="8">
                  <c:v>175.26836779586449</c:v>
                </c:pt>
                <c:pt idx="9">
                  <c:v>286.28048634163895</c:v>
                </c:pt>
                <c:pt idx="10">
                  <c:v>120.56141263048431</c:v>
                </c:pt>
                <c:pt idx="11">
                  <c:v>102.32576090869091</c:v>
                </c:pt>
                <c:pt idx="12">
                  <c:v>241.76909170899489</c:v>
                </c:pt>
                <c:pt idx="13">
                  <c:v>131.2897092348918</c:v>
                </c:pt>
                <c:pt idx="14">
                  <c:v>131.2897092348918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F-416D-88EE-4A023C7E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72336"/>
        <c:axId val="2040117968"/>
      </c:scatterChart>
      <c:valAx>
        <c:axId val="20399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40117968"/>
        <c:crosses val="autoZero"/>
        <c:crossBetween val="midCat"/>
      </c:valAx>
      <c:valAx>
        <c:axId val="204011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3997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'Мн. Регр. Лист 2'!$C$2:$C$16</c:f>
              <c:numCache>
                <c:formatCode>0.0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'Мн. Регр. Лист 2'!$A$2:$A$16</c:f>
              <c:numCache>
                <c:formatCode>0.0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88.3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A-47BB-A803-6D4022774381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'Мн. Регр. Лист 2'!$C$2:$C$16</c:f>
              <c:numCache>
                <c:formatCode>0.0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'Мн. Регр. Ан. Данн. 2'!$B$26:$B$40</c:f>
              <c:numCache>
                <c:formatCode>General</c:formatCode>
                <c:ptCount val="15"/>
                <c:pt idx="0">
                  <c:v>127.53603167619883</c:v>
                </c:pt>
                <c:pt idx="1">
                  <c:v>182.77572291325038</c:v>
                </c:pt>
                <c:pt idx="2">
                  <c:v>106.07943846738388</c:v>
                </c:pt>
                <c:pt idx="3">
                  <c:v>242.30182778066626</c:v>
                </c:pt>
                <c:pt idx="4">
                  <c:v>216.55882094148697</c:v>
                </c:pt>
                <c:pt idx="5">
                  <c:v>106.07943846738388</c:v>
                </c:pt>
                <c:pt idx="6">
                  <c:v>102.32576090869091</c:v>
                </c:pt>
                <c:pt idx="7">
                  <c:v>263.75842098948124</c:v>
                </c:pt>
                <c:pt idx="8">
                  <c:v>175.26836779586449</c:v>
                </c:pt>
                <c:pt idx="9">
                  <c:v>286.28048634163895</c:v>
                </c:pt>
                <c:pt idx="10">
                  <c:v>120.56141263048431</c:v>
                </c:pt>
                <c:pt idx="11">
                  <c:v>102.32576090869091</c:v>
                </c:pt>
                <c:pt idx="12">
                  <c:v>241.76909170899489</c:v>
                </c:pt>
                <c:pt idx="13">
                  <c:v>131.2897092348918</c:v>
                </c:pt>
                <c:pt idx="14">
                  <c:v>131.2897092348918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A-47BB-A803-6D402277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51536"/>
        <c:axId val="2040118384"/>
      </c:scatterChart>
      <c:valAx>
        <c:axId val="20399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40118384"/>
        <c:crosses val="autoZero"/>
        <c:crossBetween val="midCat"/>
      </c:valAx>
      <c:valAx>
        <c:axId val="204011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39951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Начальные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59537870266218"/>
                  <c:y val="0.26557608276804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Коррелограмма!$A$3:$L$3</c:f>
              <c:numCache>
                <c:formatCode>General</c:formatCode>
                <c:ptCount val="12"/>
                <c:pt idx="0">
                  <c:v>410</c:v>
                </c:pt>
                <c:pt idx="1">
                  <c:v>560</c:v>
                </c:pt>
                <c:pt idx="2">
                  <c:v>715</c:v>
                </c:pt>
                <c:pt idx="3">
                  <c:v>500</c:v>
                </c:pt>
                <c:pt idx="4">
                  <c:v>520</c:v>
                </c:pt>
                <c:pt idx="5">
                  <c:v>740</c:v>
                </c:pt>
                <c:pt idx="6">
                  <c:v>975</c:v>
                </c:pt>
                <c:pt idx="7">
                  <c:v>670</c:v>
                </c:pt>
                <c:pt idx="8">
                  <c:v>705</c:v>
                </c:pt>
                <c:pt idx="9">
                  <c:v>950</c:v>
                </c:pt>
                <c:pt idx="10">
                  <c:v>1200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3-4E87-9CC9-21C3551C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275311"/>
        <c:axId val="1605683727"/>
      </c:lineChart>
      <c:catAx>
        <c:axId val="1483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683727"/>
        <c:crosses val="autoZero"/>
        <c:auto val="1"/>
        <c:lblAlgn val="ctr"/>
        <c:lblOffset val="100"/>
        <c:noMultiLvlLbl val="0"/>
      </c:catAx>
      <c:valAx>
        <c:axId val="16056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Сглаженные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Сезонная!$C$6:$J$6</c:f>
              <c:numCache>
                <c:formatCode>General</c:formatCode>
                <c:ptCount val="8"/>
                <c:pt idx="0">
                  <c:v>560</c:v>
                </c:pt>
                <c:pt idx="1">
                  <c:v>596.25</c:v>
                </c:pt>
                <c:pt idx="2">
                  <c:v>651.25</c:v>
                </c:pt>
                <c:pt idx="3">
                  <c:v>705</c:v>
                </c:pt>
                <c:pt idx="4">
                  <c:v>749.375</c:v>
                </c:pt>
                <c:pt idx="5">
                  <c:v>798.75</c:v>
                </c:pt>
                <c:pt idx="6">
                  <c:v>853.125</c:v>
                </c:pt>
                <c:pt idx="7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0DD-BF15-164EBC7B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14528"/>
        <c:axId val="1817283568"/>
      </c:lineChart>
      <c:catAx>
        <c:axId val="15901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283568"/>
        <c:crosses val="autoZero"/>
        <c:auto val="1"/>
        <c:lblAlgn val="ctr"/>
        <c:lblOffset val="100"/>
        <c:noMultiLvlLbl val="0"/>
      </c:catAx>
      <c:valAx>
        <c:axId val="18172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11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Фурье!$C$21:$C$32</c:f>
              <c:numCache>
                <c:formatCode>General</c:formatCode>
                <c:ptCount val="12"/>
                <c:pt idx="0">
                  <c:v>45.94872981077809</c:v>
                </c:pt>
                <c:pt idx="1">
                  <c:v>99.732909936926035</c:v>
                </c:pt>
                <c:pt idx="2">
                  <c:v>161.35918321028359</c:v>
                </c:pt>
                <c:pt idx="3">
                  <c:v>214.31483947471492</c:v>
                </c:pt>
                <c:pt idx="4">
                  <c:v>244.41045339950551</c:v>
                </c:pt>
                <c:pt idx="5">
                  <c:v>243.58192953778888</c:v>
                </c:pt>
                <c:pt idx="6">
                  <c:v>212.0512701892219</c:v>
                </c:pt>
                <c:pt idx="7">
                  <c:v>158.26709006307402</c:v>
                </c:pt>
                <c:pt idx="8">
                  <c:v>96.640816789716467</c:v>
                </c:pt>
                <c:pt idx="9">
                  <c:v>43.685160525285099</c:v>
                </c:pt>
                <c:pt idx="10">
                  <c:v>13.589546600494486</c:v>
                </c:pt>
                <c:pt idx="11">
                  <c:v>14.418070462211105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D-4579-90F0-64F06317E7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Фурье!$E$21:$E$32</c:f>
              <c:numCache>
                <c:formatCode>General</c:formatCode>
                <c:ptCount val="12"/>
                <c:pt idx="0">
                  <c:v>28.532063144111422</c:v>
                </c:pt>
                <c:pt idx="1">
                  <c:v>67.399576603592706</c:v>
                </c:pt>
                <c:pt idx="2">
                  <c:v>146.44251654361693</c:v>
                </c:pt>
                <c:pt idx="3">
                  <c:v>231.73150614138157</c:v>
                </c:pt>
                <c:pt idx="4">
                  <c:v>276.74378673283883</c:v>
                </c:pt>
                <c:pt idx="5">
                  <c:v>258.49859620445551</c:v>
                </c:pt>
                <c:pt idx="6">
                  <c:v>194.63460352255524</c:v>
                </c:pt>
                <c:pt idx="7">
                  <c:v>125.93375672974069</c:v>
                </c:pt>
                <c:pt idx="8">
                  <c:v>81.724150123049782</c:v>
                </c:pt>
                <c:pt idx="9">
                  <c:v>61.101827191951763</c:v>
                </c:pt>
                <c:pt idx="10">
                  <c:v>45.922879933827801</c:v>
                </c:pt>
                <c:pt idx="11">
                  <c:v>29.334737128877791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D-4579-90F0-64F06317E7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Фурье!$G$21:$G$32</c:f>
              <c:numCache>
                <c:formatCode>General</c:formatCode>
                <c:ptCount val="12"/>
                <c:pt idx="0">
                  <c:v>38.532063144111405</c:v>
                </c:pt>
                <c:pt idx="1">
                  <c:v>56.06624327025937</c:v>
                </c:pt>
                <c:pt idx="2">
                  <c:v>136.44251654361696</c:v>
                </c:pt>
                <c:pt idx="3">
                  <c:v>243.06483947471492</c:v>
                </c:pt>
                <c:pt idx="4">
                  <c:v>286.74378673283883</c:v>
                </c:pt>
                <c:pt idx="5">
                  <c:v>247.16526287112217</c:v>
                </c:pt>
                <c:pt idx="6">
                  <c:v>184.63460352255527</c:v>
                </c:pt>
                <c:pt idx="7">
                  <c:v>137.26709006307402</c:v>
                </c:pt>
                <c:pt idx="8">
                  <c:v>91.724150123049768</c:v>
                </c:pt>
                <c:pt idx="9">
                  <c:v>49.768493858618434</c:v>
                </c:pt>
                <c:pt idx="10">
                  <c:v>35.922879933827808</c:v>
                </c:pt>
                <c:pt idx="11">
                  <c:v>40.668070462211105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D-4579-90F0-64F06317E7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Фурье!$I$21:$I$32</c:f>
              <c:numCache>
                <c:formatCode>General</c:formatCode>
                <c:ptCount val="12"/>
                <c:pt idx="0">
                  <c:v>40.782063144111426</c:v>
                </c:pt>
                <c:pt idx="1">
                  <c:v>57.066243270259385</c:v>
                </c:pt>
                <c:pt idx="2">
                  <c:v>133.19251654361693</c:v>
                </c:pt>
                <c:pt idx="3">
                  <c:v>245.31483947471494</c:v>
                </c:pt>
                <c:pt idx="4">
                  <c:v>287.74378673283883</c:v>
                </c:pt>
                <c:pt idx="5">
                  <c:v>243.91526287112214</c:v>
                </c:pt>
                <c:pt idx="6">
                  <c:v>186.8846035225553</c:v>
                </c:pt>
                <c:pt idx="7">
                  <c:v>138.26709006307405</c:v>
                </c:pt>
                <c:pt idx="8">
                  <c:v>88.474150123049725</c:v>
                </c:pt>
                <c:pt idx="9">
                  <c:v>52.018493858618456</c:v>
                </c:pt>
                <c:pt idx="10">
                  <c:v>36.922879933827822</c:v>
                </c:pt>
                <c:pt idx="11">
                  <c:v>37.41807046221107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D-4579-90F0-64F06317E71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Фурье!$K$21:$K$32</c:f>
              <c:numCache>
                <c:formatCode>General</c:formatCode>
                <c:ptCount val="12"/>
                <c:pt idx="0">
                  <c:v>43.032063144111447</c:v>
                </c:pt>
                <c:pt idx="1">
                  <c:v>56.344555433772349</c:v>
                </c:pt>
                <c:pt idx="2">
                  <c:v>132.1925165436169</c:v>
                </c:pt>
                <c:pt idx="3">
                  <c:v>247.76857811877088</c:v>
                </c:pt>
                <c:pt idx="4">
                  <c:v>284.49378673283883</c:v>
                </c:pt>
                <c:pt idx="5">
                  <c:v>247.09068935166511</c:v>
                </c:pt>
                <c:pt idx="6">
                  <c:v>184.63460352255527</c:v>
                </c:pt>
                <c:pt idx="7">
                  <c:v>138.98877789956109</c:v>
                </c:pt>
                <c:pt idx="8">
                  <c:v>89.474150123049753</c:v>
                </c:pt>
                <c:pt idx="9">
                  <c:v>49.56475521456251</c:v>
                </c:pt>
                <c:pt idx="10">
                  <c:v>40.172879933827858</c:v>
                </c:pt>
                <c:pt idx="11">
                  <c:v>34.242643981668095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D-4579-90F0-64F06317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183872"/>
        <c:axId val="1056362144"/>
      </c:lineChart>
      <c:catAx>
        <c:axId val="112418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62144"/>
        <c:crosses val="autoZero"/>
        <c:auto val="1"/>
        <c:lblAlgn val="ctr"/>
        <c:lblOffset val="100"/>
        <c:noMultiLvlLbl val="0"/>
      </c:catAx>
      <c:valAx>
        <c:axId val="10563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1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5-4408-9DEC-6E871064D146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05-4408-9DEC-6E871064D146}"/>
            </c:ext>
          </c:extLst>
        </c:ser>
        <c:ser>
          <c:idx val="1"/>
          <c:order val="2"/>
          <c:spPr>
            <a:ln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05-4408-9DEC-6E871064D146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05-4408-9DEC-6E871064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20256"/>
        <c:axId val="987782608"/>
      </c:scatterChart>
      <c:valAx>
        <c:axId val="9873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782608"/>
        <c:crosses val="autoZero"/>
        <c:crossBetween val="midCat"/>
      </c:valAx>
      <c:valAx>
        <c:axId val="987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320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48-49D3-B0DA-9CF2EFE36AD8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48-49D3-B0DA-9CF2EFE36AD8}"/>
            </c:ext>
          </c:extLst>
        </c:ser>
        <c:ser>
          <c:idx val="1"/>
          <c:order val="2"/>
          <c:spPr>
            <a:ln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48-49D3-B0DA-9CF2EFE36AD8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D48-49D3-B0DA-9CF2EFE3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20256"/>
        <c:axId val="987782608"/>
      </c:scatterChart>
      <c:valAx>
        <c:axId val="9873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782608"/>
        <c:crosses val="autoZero"/>
        <c:crossBetween val="midCat"/>
      </c:valAx>
      <c:valAx>
        <c:axId val="987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320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'Линейная 2'!$B$4:$B$22</c:f>
              <c:numCache>
                <c:formatCode>General</c:formatCode>
                <c:ptCount val="19"/>
                <c:pt idx="0">
                  <c:v>16</c:v>
                </c:pt>
                <c:pt idx="1">
                  <c:v>16.5</c:v>
                </c:pt>
                <c:pt idx="2">
                  <c:v>16.5</c:v>
                </c:pt>
                <c:pt idx="3">
                  <c:v>16.8</c:v>
                </c:pt>
                <c:pt idx="4">
                  <c:v>16.82</c:v>
                </c:pt>
                <c:pt idx="5">
                  <c:v>17.05</c:v>
                </c:pt>
                <c:pt idx="6">
                  <c:v>17.28</c:v>
                </c:pt>
                <c:pt idx="7">
                  <c:v>17.350000000000001</c:v>
                </c:pt>
                <c:pt idx="8">
                  <c:v>17.45</c:v>
                </c:pt>
                <c:pt idx="9">
                  <c:v>17.899999999999999</c:v>
                </c:pt>
                <c:pt idx="10">
                  <c:v>18.3</c:v>
                </c:pt>
                <c:pt idx="11">
                  <c:v>18.5</c:v>
                </c:pt>
                <c:pt idx="12">
                  <c:v>18.77</c:v>
                </c:pt>
                <c:pt idx="13">
                  <c:v>18.8</c:v>
                </c:pt>
                <c:pt idx="14">
                  <c:v>18.87</c:v>
                </c:pt>
                <c:pt idx="15">
                  <c:v>19</c:v>
                </c:pt>
                <c:pt idx="16">
                  <c:v>19.2</c:v>
                </c:pt>
                <c:pt idx="17">
                  <c:v>19.3</c:v>
                </c:pt>
                <c:pt idx="18">
                  <c:v>19.5</c:v>
                </c:pt>
              </c:numCache>
            </c:numRef>
          </c:xVal>
          <c:yVal>
            <c:numRef>
              <c:f>Пакет1!$C$25:$C$43</c:f>
              <c:numCache>
                <c:formatCode>General</c:formatCode>
                <c:ptCount val="19"/>
                <c:pt idx="0">
                  <c:v>-5.2604311692164174E-2</c:v>
                </c:pt>
                <c:pt idx="1">
                  <c:v>-3.5229375253707076</c:v>
                </c:pt>
                <c:pt idx="2">
                  <c:v>-5.5229375253707076</c:v>
                </c:pt>
                <c:pt idx="3">
                  <c:v>-3.6051374535779814</c:v>
                </c:pt>
                <c:pt idx="4">
                  <c:v>-6.9439507821250572</c:v>
                </c:pt>
                <c:pt idx="5">
                  <c:v>7.1596959395827753</c:v>
                </c:pt>
                <c:pt idx="6">
                  <c:v>6.2633426612906078</c:v>
                </c:pt>
                <c:pt idx="7">
                  <c:v>5.0774960113756151</c:v>
                </c:pt>
                <c:pt idx="8">
                  <c:v>4.3834293686398951</c:v>
                </c:pt>
                <c:pt idx="9">
                  <c:v>0.76012947632921168</c:v>
                </c:pt>
                <c:pt idx="10">
                  <c:v>1.9838629053863315</c:v>
                </c:pt>
                <c:pt idx="11">
                  <c:v>0.59572961991489137</c:v>
                </c:pt>
                <c:pt idx="12">
                  <c:v>3.0217496845284586</c:v>
                </c:pt>
                <c:pt idx="13">
                  <c:v>-1.4864703082923825</c:v>
                </c:pt>
                <c:pt idx="14">
                  <c:v>2.3276830417926249</c:v>
                </c:pt>
                <c:pt idx="15">
                  <c:v>-1.8746035937638226</c:v>
                </c:pt>
                <c:pt idx="16">
                  <c:v>-3.262736879235149</c:v>
                </c:pt>
                <c:pt idx="17">
                  <c:v>-2.956803521970869</c:v>
                </c:pt>
                <c:pt idx="18">
                  <c:v>-2.3449368074423091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3E-49C6-A8BE-CF380358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50784"/>
        <c:axId val="882352096"/>
      </c:scatterChart>
      <c:valAx>
        <c:axId val="8797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352096"/>
        <c:crosses val="autoZero"/>
        <c:crossBetween val="midCat"/>
      </c:valAx>
      <c:valAx>
        <c:axId val="88235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5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'Линейная 2'!$B$4:$B$22</c:f>
              <c:numCache>
                <c:formatCode>General</c:formatCode>
                <c:ptCount val="19"/>
                <c:pt idx="0">
                  <c:v>16</c:v>
                </c:pt>
                <c:pt idx="1">
                  <c:v>16.5</c:v>
                </c:pt>
                <c:pt idx="2">
                  <c:v>16.5</c:v>
                </c:pt>
                <c:pt idx="3">
                  <c:v>16.8</c:v>
                </c:pt>
                <c:pt idx="4">
                  <c:v>16.82</c:v>
                </c:pt>
                <c:pt idx="5">
                  <c:v>17.05</c:v>
                </c:pt>
                <c:pt idx="6">
                  <c:v>17.28</c:v>
                </c:pt>
                <c:pt idx="7">
                  <c:v>17.350000000000001</c:v>
                </c:pt>
                <c:pt idx="8">
                  <c:v>17.45</c:v>
                </c:pt>
                <c:pt idx="9">
                  <c:v>17.899999999999999</c:v>
                </c:pt>
                <c:pt idx="10">
                  <c:v>18.3</c:v>
                </c:pt>
                <c:pt idx="11">
                  <c:v>18.5</c:v>
                </c:pt>
                <c:pt idx="12">
                  <c:v>18.77</c:v>
                </c:pt>
                <c:pt idx="13">
                  <c:v>18.8</c:v>
                </c:pt>
                <c:pt idx="14">
                  <c:v>18.87</c:v>
                </c:pt>
                <c:pt idx="15">
                  <c:v>19</c:v>
                </c:pt>
                <c:pt idx="16">
                  <c:v>19.2</c:v>
                </c:pt>
                <c:pt idx="17">
                  <c:v>19.3</c:v>
                </c:pt>
                <c:pt idx="18">
                  <c:v>19.5</c:v>
                </c:pt>
              </c:numCache>
            </c:numRef>
          </c:xVal>
          <c:yVal>
            <c:numRef>
              <c:f>'Линейная 2'!$C$4:$C$22</c:f>
              <c:numCache>
                <c:formatCode>General</c:formatCode>
                <c:ptCount val="19"/>
                <c:pt idx="0">
                  <c:v>509</c:v>
                </c:pt>
                <c:pt idx="1">
                  <c:v>514</c:v>
                </c:pt>
                <c:pt idx="2">
                  <c:v>512</c:v>
                </c:pt>
                <c:pt idx="3">
                  <c:v>519</c:v>
                </c:pt>
                <c:pt idx="4">
                  <c:v>516</c:v>
                </c:pt>
                <c:pt idx="5">
                  <c:v>534</c:v>
                </c:pt>
                <c:pt idx="6">
                  <c:v>537</c:v>
                </c:pt>
                <c:pt idx="7">
                  <c:v>537</c:v>
                </c:pt>
                <c:pt idx="8">
                  <c:v>538</c:v>
                </c:pt>
                <c:pt idx="9">
                  <c:v>542</c:v>
                </c:pt>
                <c:pt idx="10">
                  <c:v>550</c:v>
                </c:pt>
                <c:pt idx="11">
                  <c:v>552</c:v>
                </c:pt>
                <c:pt idx="12">
                  <c:v>559</c:v>
                </c:pt>
                <c:pt idx="13">
                  <c:v>555</c:v>
                </c:pt>
                <c:pt idx="14">
                  <c:v>560</c:v>
                </c:pt>
                <c:pt idx="15">
                  <c:v>558</c:v>
                </c:pt>
                <c:pt idx="16">
                  <c:v>560</c:v>
                </c:pt>
                <c:pt idx="17">
                  <c:v>562</c:v>
                </c:pt>
                <c:pt idx="18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EB-4F5D-9CC9-8FC2C8D78298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'Линейная 2'!$B$4:$B$22</c:f>
              <c:numCache>
                <c:formatCode>General</c:formatCode>
                <c:ptCount val="19"/>
                <c:pt idx="0">
                  <c:v>16</c:v>
                </c:pt>
                <c:pt idx="1">
                  <c:v>16.5</c:v>
                </c:pt>
                <c:pt idx="2">
                  <c:v>16.5</c:v>
                </c:pt>
                <c:pt idx="3">
                  <c:v>16.8</c:v>
                </c:pt>
                <c:pt idx="4">
                  <c:v>16.82</c:v>
                </c:pt>
                <c:pt idx="5">
                  <c:v>17.05</c:v>
                </c:pt>
                <c:pt idx="6">
                  <c:v>17.28</c:v>
                </c:pt>
                <c:pt idx="7">
                  <c:v>17.350000000000001</c:v>
                </c:pt>
                <c:pt idx="8">
                  <c:v>17.45</c:v>
                </c:pt>
                <c:pt idx="9">
                  <c:v>17.899999999999999</c:v>
                </c:pt>
                <c:pt idx="10">
                  <c:v>18.3</c:v>
                </c:pt>
                <c:pt idx="11">
                  <c:v>18.5</c:v>
                </c:pt>
                <c:pt idx="12">
                  <c:v>18.77</c:v>
                </c:pt>
                <c:pt idx="13">
                  <c:v>18.8</c:v>
                </c:pt>
                <c:pt idx="14">
                  <c:v>18.87</c:v>
                </c:pt>
                <c:pt idx="15">
                  <c:v>19</c:v>
                </c:pt>
                <c:pt idx="16">
                  <c:v>19.2</c:v>
                </c:pt>
                <c:pt idx="17">
                  <c:v>19.3</c:v>
                </c:pt>
                <c:pt idx="18">
                  <c:v>19.5</c:v>
                </c:pt>
              </c:numCache>
            </c:numRef>
          </c:xVal>
          <c:yVal>
            <c:numRef>
              <c:f>Пакет1!$B$25:$B$43</c:f>
              <c:numCache>
                <c:formatCode>General</c:formatCode>
                <c:ptCount val="19"/>
                <c:pt idx="0">
                  <c:v>509.05260431169216</c:v>
                </c:pt>
                <c:pt idx="1">
                  <c:v>517.52293752537071</c:v>
                </c:pt>
                <c:pt idx="2">
                  <c:v>517.52293752537071</c:v>
                </c:pt>
                <c:pt idx="3">
                  <c:v>522.60513745357798</c:v>
                </c:pt>
                <c:pt idx="4">
                  <c:v>522.94395078212506</c:v>
                </c:pt>
                <c:pt idx="5">
                  <c:v>526.84030406041722</c:v>
                </c:pt>
                <c:pt idx="6">
                  <c:v>530.73665733870939</c:v>
                </c:pt>
                <c:pt idx="7">
                  <c:v>531.92250398862438</c:v>
                </c:pt>
                <c:pt idx="8">
                  <c:v>533.6165706313601</c:v>
                </c:pt>
                <c:pt idx="9">
                  <c:v>541.23987052367079</c:v>
                </c:pt>
                <c:pt idx="10">
                  <c:v>548.01613709461367</c:v>
                </c:pt>
                <c:pt idx="11">
                  <c:v>551.40427038008511</c:v>
                </c:pt>
                <c:pt idx="12">
                  <c:v>555.97825031547154</c:v>
                </c:pt>
                <c:pt idx="13">
                  <c:v>556.48647030829238</c:v>
                </c:pt>
                <c:pt idx="14">
                  <c:v>557.67231695820738</c:v>
                </c:pt>
                <c:pt idx="15">
                  <c:v>559.87460359376382</c:v>
                </c:pt>
                <c:pt idx="16">
                  <c:v>563.26273687923515</c:v>
                </c:pt>
                <c:pt idx="17">
                  <c:v>564.95680352197087</c:v>
                </c:pt>
                <c:pt idx="18">
                  <c:v>568.34493680744231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B-4F5D-9CC9-8FC2C8D78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32784"/>
        <c:axId val="882353760"/>
      </c:scatterChart>
      <c:valAx>
        <c:axId val="8797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353760"/>
        <c:crosses val="autoZero"/>
        <c:crossBetween val="midCat"/>
      </c:valAx>
      <c:valAx>
        <c:axId val="88235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32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Пакет1!$F$25:$F$43</c:f>
              <c:numCache>
                <c:formatCode>General</c:formatCode>
                <c:ptCount val="19"/>
                <c:pt idx="0">
                  <c:v>2.6315789473684212</c:v>
                </c:pt>
                <c:pt idx="1">
                  <c:v>7.8947368421052637</c:v>
                </c:pt>
                <c:pt idx="2">
                  <c:v>13.157894736842106</c:v>
                </c:pt>
                <c:pt idx="3">
                  <c:v>18.421052631578949</c:v>
                </c:pt>
                <c:pt idx="4">
                  <c:v>23.684210526315791</c:v>
                </c:pt>
                <c:pt idx="5">
                  <c:v>28.947368421052634</c:v>
                </c:pt>
                <c:pt idx="6">
                  <c:v>34.21052631578948</c:v>
                </c:pt>
                <c:pt idx="7">
                  <c:v>39.473684210526315</c:v>
                </c:pt>
                <c:pt idx="8">
                  <c:v>44.736842105263165</c:v>
                </c:pt>
                <c:pt idx="9">
                  <c:v>50</c:v>
                </c:pt>
                <c:pt idx="10">
                  <c:v>55.26315789473685</c:v>
                </c:pt>
                <c:pt idx="11">
                  <c:v>60.526315789473685</c:v>
                </c:pt>
                <c:pt idx="12">
                  <c:v>65.789473684210535</c:v>
                </c:pt>
                <c:pt idx="13">
                  <c:v>71.052631578947384</c:v>
                </c:pt>
                <c:pt idx="14">
                  <c:v>76.31578947368422</c:v>
                </c:pt>
                <c:pt idx="15">
                  <c:v>81.578947368421055</c:v>
                </c:pt>
                <c:pt idx="16">
                  <c:v>86.842105263157904</c:v>
                </c:pt>
                <c:pt idx="17">
                  <c:v>92.105263157894754</c:v>
                </c:pt>
                <c:pt idx="18">
                  <c:v>97.368421052631589</c:v>
                </c:pt>
              </c:numCache>
            </c:numRef>
          </c:xVal>
          <c:yVal>
            <c:numRef>
              <c:f>Пакет1!$G$25:$G$43</c:f>
              <c:numCache>
                <c:formatCode>General</c:formatCode>
                <c:ptCount val="19"/>
                <c:pt idx="0">
                  <c:v>509</c:v>
                </c:pt>
                <c:pt idx="1">
                  <c:v>512</c:v>
                </c:pt>
                <c:pt idx="2">
                  <c:v>514</c:v>
                </c:pt>
                <c:pt idx="3">
                  <c:v>516</c:v>
                </c:pt>
                <c:pt idx="4">
                  <c:v>519</c:v>
                </c:pt>
                <c:pt idx="5">
                  <c:v>534</c:v>
                </c:pt>
                <c:pt idx="6">
                  <c:v>537</c:v>
                </c:pt>
                <c:pt idx="7">
                  <c:v>537</c:v>
                </c:pt>
                <c:pt idx="8">
                  <c:v>538</c:v>
                </c:pt>
                <c:pt idx="9">
                  <c:v>542</c:v>
                </c:pt>
                <c:pt idx="10">
                  <c:v>550</c:v>
                </c:pt>
                <c:pt idx="11">
                  <c:v>552</c:v>
                </c:pt>
                <c:pt idx="12">
                  <c:v>555</c:v>
                </c:pt>
                <c:pt idx="13">
                  <c:v>558</c:v>
                </c:pt>
                <c:pt idx="14">
                  <c:v>559</c:v>
                </c:pt>
                <c:pt idx="15">
                  <c:v>560</c:v>
                </c:pt>
                <c:pt idx="16">
                  <c:v>560</c:v>
                </c:pt>
                <c:pt idx="17">
                  <c:v>562</c:v>
                </c:pt>
                <c:pt idx="18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3-4F03-A66D-AB0C805FF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39584"/>
        <c:axId val="882340448"/>
      </c:scatterChart>
      <c:valAx>
        <c:axId val="8797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340448"/>
        <c:crosses val="autoZero"/>
        <c:crossBetween val="midCat"/>
      </c:valAx>
      <c:valAx>
        <c:axId val="88234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3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Пакет2!$C$25:$C$34</c:f>
              <c:numCache>
                <c:formatCode>General</c:formatCode>
                <c:ptCount val="10"/>
                <c:pt idx="0">
                  <c:v>-94.975028612286792</c:v>
                </c:pt>
                <c:pt idx="1">
                  <c:v>-40.527686306498481</c:v>
                </c:pt>
                <c:pt idx="2">
                  <c:v>28.714707863803255</c:v>
                </c:pt>
                <c:pt idx="3">
                  <c:v>58.20016624173752</c:v>
                </c:pt>
                <c:pt idx="4">
                  <c:v>17.554228479153551</c:v>
                </c:pt>
                <c:pt idx="5">
                  <c:v>80.585991872608474</c:v>
                </c:pt>
                <c:pt idx="6">
                  <c:v>63.126614246769122</c:v>
                </c:pt>
                <c:pt idx="7">
                  <c:v>-11.842292397106803</c:v>
                </c:pt>
                <c:pt idx="8">
                  <c:v>-55.127815243583655</c:v>
                </c:pt>
                <c:pt idx="9">
                  <c:v>-45.708886144595908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9-4D14-B727-217B2768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70656"/>
        <c:axId val="987865696"/>
      </c:scatterChart>
      <c:valAx>
        <c:axId val="9872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865696"/>
        <c:crosses val="autoZero"/>
        <c:crossBetween val="midCat"/>
      </c:valAx>
      <c:valAx>
        <c:axId val="98786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270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Степенная!$C$2:$C$11</c:f>
              <c:numCache>
                <c:formatCode>General</c:formatCode>
                <c:ptCount val="10"/>
                <c:pt idx="0">
                  <c:v>253</c:v>
                </c:pt>
                <c:pt idx="1">
                  <c:v>322</c:v>
                </c:pt>
                <c:pt idx="2">
                  <c:v>408</c:v>
                </c:pt>
                <c:pt idx="3">
                  <c:v>542</c:v>
                </c:pt>
                <c:pt idx="4">
                  <c:v>504</c:v>
                </c:pt>
                <c:pt idx="5">
                  <c:v>642</c:v>
                </c:pt>
                <c:pt idx="6">
                  <c:v>651</c:v>
                </c:pt>
                <c:pt idx="7">
                  <c:v>580</c:v>
                </c:pt>
                <c:pt idx="8">
                  <c:v>557</c:v>
                </c:pt>
                <c:pt idx="9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C-4831-AB63-B4077C9F2AE2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Степенная!$B$2:$B$11</c:f>
              <c:numCache>
                <c:formatCode>General</c:formatCode>
                <c:ptCount val="10"/>
                <c:pt idx="0">
                  <c:v>453</c:v>
                </c:pt>
                <c:pt idx="1">
                  <c:v>486</c:v>
                </c:pt>
                <c:pt idx="2">
                  <c:v>524</c:v>
                </c:pt>
                <c:pt idx="3">
                  <c:v>761</c:v>
                </c:pt>
                <c:pt idx="4">
                  <c:v>767</c:v>
                </c:pt>
                <c:pt idx="5">
                  <c:v>937</c:v>
                </c:pt>
                <c:pt idx="6">
                  <c:v>997</c:v>
                </c:pt>
                <c:pt idx="7">
                  <c:v>1006</c:v>
                </c:pt>
                <c:pt idx="8">
                  <c:v>1052</c:v>
                </c:pt>
                <c:pt idx="9">
                  <c:v>1720</c:v>
                </c:pt>
              </c:numCache>
            </c:numRef>
          </c:xVal>
          <c:yVal>
            <c:numRef>
              <c:f>Пакет2!$B$25:$B$34</c:f>
              <c:numCache>
                <c:formatCode>General</c:formatCode>
                <c:ptCount val="10"/>
                <c:pt idx="0">
                  <c:v>347.97502861228679</c:v>
                </c:pt>
                <c:pt idx="1">
                  <c:v>362.52768630649848</c:v>
                </c:pt>
                <c:pt idx="2">
                  <c:v>379.28529213619674</c:v>
                </c:pt>
                <c:pt idx="3">
                  <c:v>483.79983375826248</c:v>
                </c:pt>
                <c:pt idx="4">
                  <c:v>486.44577152084645</c:v>
                </c:pt>
                <c:pt idx="5">
                  <c:v>561.41400812739153</c:v>
                </c:pt>
                <c:pt idx="6">
                  <c:v>587.87338575323088</c:v>
                </c:pt>
                <c:pt idx="7">
                  <c:v>591.8422923971068</c:v>
                </c:pt>
                <c:pt idx="8">
                  <c:v>612.12781524358365</c:v>
                </c:pt>
                <c:pt idx="9">
                  <c:v>906.70888614459591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7C-4831-AB63-B4077C9F2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77856"/>
        <c:axId val="987866528"/>
      </c:scatterChart>
      <c:valAx>
        <c:axId val="9872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866528"/>
        <c:crosses val="autoZero"/>
        <c:crossBetween val="midCat"/>
      </c:valAx>
      <c:valAx>
        <c:axId val="98786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277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571500</xdr:rowOff>
    </xdr:from>
    <xdr:to>
      <xdr:col>11</xdr:col>
      <xdr:colOff>304800</xdr:colOff>
      <xdr:row>12</xdr:row>
      <xdr:rowOff>198120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1A4FE8-28D6-4CA1-AE19-43EFD773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19</xdr:row>
      <xdr:rowOff>0</xdr:rowOff>
    </xdr:from>
    <xdr:to>
      <xdr:col>26</xdr:col>
      <xdr:colOff>304800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BAB65D-48DB-4341-A8AE-E9A77C8E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1D2E3E-A82F-407E-A68A-0D24185B6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160020</xdr:rowOff>
    </xdr:from>
    <xdr:to>
      <xdr:col>11</xdr:col>
      <xdr:colOff>0</xdr:colOff>
      <xdr:row>47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E1E53F-DB3F-4236-931B-C03F7BB3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4ACDEE-58B5-45D1-8A4B-A82F375B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152400</xdr:colOff>
      <xdr:row>16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3AE143-0596-477E-8C57-9581ECD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16</xdr:row>
      <xdr:rowOff>137160</xdr:rowOff>
    </xdr:from>
    <xdr:to>
      <xdr:col>17</xdr:col>
      <xdr:colOff>160020</xdr:colOff>
      <xdr:row>38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99784E-0DA0-4247-ACDC-E518D8AC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38</xdr:row>
      <xdr:rowOff>114300</xdr:rowOff>
    </xdr:from>
    <xdr:to>
      <xdr:col>17</xdr:col>
      <xdr:colOff>190500</xdr:colOff>
      <xdr:row>54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FF3D74-1153-40F6-8BF8-EBD0C5A9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15240</xdr:rowOff>
    </xdr:from>
    <xdr:to>
      <xdr:col>16</xdr:col>
      <xdr:colOff>7620</xdr:colOff>
      <xdr:row>38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FA35E7-F33C-4EDB-B5A1-9252881F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</xdr:row>
      <xdr:rowOff>0</xdr:rowOff>
    </xdr:from>
    <xdr:to>
      <xdr:col>22</xdr:col>
      <xdr:colOff>0</xdr:colOff>
      <xdr:row>19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F22663-ECAB-4BCE-8904-9AFEC498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19</xdr:row>
      <xdr:rowOff>15240</xdr:rowOff>
    </xdr:from>
    <xdr:to>
      <xdr:col>22</xdr:col>
      <xdr:colOff>7620</xdr:colOff>
      <xdr:row>34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51F6C1-17E4-40F8-A0B5-7E26A4B3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C975F3-D58F-4501-BFE7-ACBFC8E7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7620</xdr:colOff>
      <xdr:row>37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5629657-DE05-4130-AB87-837E353B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11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F7BF62-9517-41F2-A859-3D04962C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9FD68C-F2CE-47DB-A4A2-AB757C48E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175260</xdr:rowOff>
    </xdr:from>
    <xdr:to>
      <xdr:col>16</xdr:col>
      <xdr:colOff>0</xdr:colOff>
      <xdr:row>31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A4BB2E-D4ED-4A68-A704-1A0E268E0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11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C1E7B86-EBF0-4A6B-9B86-584A518B5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22</xdr:col>
      <xdr:colOff>0</xdr:colOff>
      <xdr:row>21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0EEA8D2-2558-4294-AB86-D0298383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175260</xdr:rowOff>
    </xdr:from>
    <xdr:to>
      <xdr:col>22</xdr:col>
      <xdr:colOff>0</xdr:colOff>
      <xdr:row>31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F817483-F106-4753-ACBC-192B4FD8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11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BC043C-D6C1-482F-AD62-E7D0DD92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340950-1D99-481A-8DEA-2649BFC3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07EFEC-E2F7-4827-8AB5-811E5BF0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22</xdr:col>
      <xdr:colOff>0</xdr:colOff>
      <xdr:row>21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9100B3-4274-4E47-B38C-A31B7C65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3C4C77-0494-405F-A376-30D32C83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7620</xdr:colOff>
      <xdr:row>14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FB3D59-24ED-433C-860A-C75C1BA3F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D693-C32F-4437-9641-B92913B25416}">
  <dimension ref="A1:Y53"/>
  <sheetViews>
    <sheetView tabSelected="1" zoomScaleNormal="100" workbookViewId="0">
      <selection activeCell="G14" sqref="G14"/>
    </sheetView>
  </sheetViews>
  <sheetFormatPr defaultRowHeight="15.6" x14ac:dyDescent="0.3"/>
  <cols>
    <col min="1" max="1" width="8.88671875" style="3"/>
    <col min="2" max="2" width="15.6640625" style="3" customWidth="1"/>
    <col min="3" max="7" width="8.88671875" style="3"/>
    <col min="8" max="9" width="8.6640625" style="3" customWidth="1"/>
    <col min="10" max="10" width="8.88671875" style="3"/>
    <col min="11" max="11" width="12.21875" style="3" bestFit="1" customWidth="1"/>
    <col min="12" max="12" width="11.6640625" style="3" bestFit="1" customWidth="1"/>
    <col min="13" max="13" width="12.21875" style="3" bestFit="1" customWidth="1"/>
    <col min="14" max="15" width="11.6640625" style="3" bestFit="1" customWidth="1"/>
    <col min="16" max="16384" width="8.88671875" style="3"/>
  </cols>
  <sheetData>
    <row r="1" spans="1:25" ht="18.600000000000001" customHeight="1" thickBot="1" x14ac:dyDescent="0.35">
      <c r="A1" s="100" t="s">
        <v>0</v>
      </c>
      <c r="B1" s="100" t="s">
        <v>1</v>
      </c>
      <c r="C1" s="100" t="s">
        <v>2</v>
      </c>
      <c r="D1" s="100"/>
      <c r="E1" s="100"/>
      <c r="F1" s="1"/>
      <c r="K1" s="99" t="s">
        <v>59</v>
      </c>
      <c r="L1" s="98" t="s">
        <v>61</v>
      </c>
      <c r="M1" s="98" t="s">
        <v>58</v>
      </c>
      <c r="N1" s="98" t="s">
        <v>60</v>
      </c>
      <c r="O1" s="99" t="s">
        <v>1</v>
      </c>
      <c r="P1" s="99" t="s">
        <v>2</v>
      </c>
      <c r="Q1" s="99"/>
      <c r="R1" s="99"/>
    </row>
    <row r="2" spans="1:25" ht="16.2" thickBot="1" x14ac:dyDescent="0.35">
      <c r="A2" s="100"/>
      <c r="B2" s="100"/>
      <c r="C2" s="2" t="s">
        <v>43</v>
      </c>
      <c r="D2" s="2" t="s">
        <v>44</v>
      </c>
      <c r="E2" s="2" t="s">
        <v>45</v>
      </c>
      <c r="F2" s="4"/>
      <c r="K2" s="99"/>
      <c r="L2" s="98"/>
      <c r="M2" s="98"/>
      <c r="N2" s="98"/>
      <c r="O2" s="99"/>
      <c r="P2" s="6" t="s">
        <v>43</v>
      </c>
      <c r="Q2" s="6" t="s">
        <v>44</v>
      </c>
      <c r="R2" s="6" t="s">
        <v>45</v>
      </c>
    </row>
    <row r="3" spans="1:25" ht="16.2" thickBot="1" x14ac:dyDescent="0.35">
      <c r="A3" s="2">
        <v>1</v>
      </c>
      <c r="B3" s="2" t="s">
        <v>3</v>
      </c>
      <c r="C3" s="2">
        <v>22</v>
      </c>
      <c r="D3" s="2">
        <v>88</v>
      </c>
      <c r="E3" s="2">
        <v>81</v>
      </c>
      <c r="F3" s="4"/>
      <c r="G3" s="4"/>
      <c r="H3" s="1"/>
      <c r="K3" s="98">
        <v>1</v>
      </c>
      <c r="L3" s="98" t="s">
        <v>52</v>
      </c>
      <c r="M3" s="5">
        <v>1</v>
      </c>
      <c r="N3" s="5" t="s">
        <v>62</v>
      </c>
      <c r="O3" s="6" t="s">
        <v>5</v>
      </c>
      <c r="P3" s="6">
        <v>29</v>
      </c>
      <c r="Q3" s="6">
        <v>85</v>
      </c>
      <c r="R3" s="6">
        <v>78</v>
      </c>
      <c r="T3" s="4"/>
      <c r="U3" s="4"/>
      <c r="V3" s="4"/>
      <c r="W3" s="4"/>
      <c r="X3" s="4"/>
      <c r="Y3" s="4"/>
    </row>
    <row r="4" spans="1:25" ht="16.2" thickBot="1" x14ac:dyDescent="0.35">
      <c r="A4" s="2">
        <v>2</v>
      </c>
      <c r="B4" s="2" t="s">
        <v>4</v>
      </c>
      <c r="C4" s="2">
        <v>23</v>
      </c>
      <c r="D4" s="2">
        <v>90</v>
      </c>
      <c r="E4" s="2">
        <v>92</v>
      </c>
      <c r="F4" s="4"/>
      <c r="G4" s="5" t="s">
        <v>48</v>
      </c>
      <c r="H4" s="6" t="s">
        <v>49</v>
      </c>
      <c r="I4" s="5" t="s">
        <v>51</v>
      </c>
      <c r="K4" s="98"/>
      <c r="L4" s="98"/>
      <c r="M4" s="98">
        <v>2</v>
      </c>
      <c r="N4" s="98" t="s">
        <v>66</v>
      </c>
      <c r="O4" s="6" t="s">
        <v>3</v>
      </c>
      <c r="P4" s="6">
        <v>22</v>
      </c>
      <c r="Q4" s="6">
        <v>88</v>
      </c>
      <c r="R4" s="6">
        <v>81</v>
      </c>
      <c r="T4" s="4"/>
      <c r="U4" s="4"/>
      <c r="V4" s="4"/>
      <c r="W4" s="4"/>
      <c r="X4" s="4"/>
      <c r="Y4" s="4"/>
    </row>
    <row r="5" spans="1:25" ht="16.2" thickBot="1" x14ac:dyDescent="0.35">
      <c r="A5" s="2">
        <v>3</v>
      </c>
      <c r="B5" s="2" t="s">
        <v>5</v>
      </c>
      <c r="C5" s="2">
        <v>29</v>
      </c>
      <c r="D5" s="2">
        <v>85</v>
      </c>
      <c r="E5" s="2">
        <v>78</v>
      </c>
      <c r="F5" s="4"/>
      <c r="G5" s="5">
        <v>22</v>
      </c>
      <c r="H5" s="6">
        <v>30</v>
      </c>
      <c r="I5" s="5">
        <v>3</v>
      </c>
      <c r="K5" s="98"/>
      <c r="L5" s="98"/>
      <c r="M5" s="98"/>
      <c r="N5" s="98"/>
      <c r="O5" s="6" t="s">
        <v>4</v>
      </c>
      <c r="P5" s="6">
        <v>23</v>
      </c>
      <c r="Q5" s="6">
        <v>90</v>
      </c>
      <c r="R5" s="6">
        <v>92</v>
      </c>
      <c r="T5" s="4"/>
      <c r="U5" s="4"/>
      <c r="V5" s="4"/>
      <c r="W5" s="4"/>
      <c r="X5" s="4"/>
      <c r="Y5" s="4"/>
    </row>
    <row r="6" spans="1:25" ht="16.2" thickBot="1" x14ac:dyDescent="0.35">
      <c r="A6" s="2">
        <v>4</v>
      </c>
      <c r="B6" s="2" t="s">
        <v>6</v>
      </c>
      <c r="C6" s="2">
        <v>31</v>
      </c>
      <c r="D6" s="2">
        <v>72</v>
      </c>
      <c r="E6" s="2">
        <v>79</v>
      </c>
      <c r="F6" s="4"/>
      <c r="G6" s="5">
        <v>31</v>
      </c>
      <c r="H6" s="6">
        <v>38</v>
      </c>
      <c r="I6" s="5">
        <v>6</v>
      </c>
      <c r="K6" s="98">
        <v>2</v>
      </c>
      <c r="L6" s="98" t="s">
        <v>53</v>
      </c>
      <c r="M6" s="5">
        <v>1</v>
      </c>
      <c r="N6" s="5" t="s">
        <v>68</v>
      </c>
      <c r="O6" s="6" t="s">
        <v>6</v>
      </c>
      <c r="P6" s="6">
        <v>31</v>
      </c>
      <c r="Q6" s="6">
        <v>72</v>
      </c>
      <c r="R6" s="6">
        <v>79</v>
      </c>
      <c r="T6" s="4"/>
      <c r="U6" s="4"/>
      <c r="V6" s="4"/>
      <c r="W6" s="4"/>
      <c r="X6" s="4"/>
      <c r="Y6" s="4"/>
    </row>
    <row r="7" spans="1:25" ht="16.2" thickBot="1" x14ac:dyDescent="0.35">
      <c r="A7" s="2">
        <v>5</v>
      </c>
      <c r="B7" s="2" t="s">
        <v>7</v>
      </c>
      <c r="C7" s="2">
        <v>33</v>
      </c>
      <c r="D7" s="2">
        <v>88</v>
      </c>
      <c r="E7" s="2">
        <v>88</v>
      </c>
      <c r="F7" s="4"/>
      <c r="G7" s="5">
        <v>39</v>
      </c>
      <c r="H7" s="6">
        <v>46</v>
      </c>
      <c r="I7" s="5">
        <v>9</v>
      </c>
      <c r="K7" s="98"/>
      <c r="L7" s="98"/>
      <c r="M7" s="5">
        <v>2</v>
      </c>
      <c r="N7" s="5" t="s">
        <v>71</v>
      </c>
      <c r="O7" s="6" t="s">
        <v>11</v>
      </c>
      <c r="P7" s="6">
        <v>36</v>
      </c>
      <c r="Q7" s="6">
        <v>79</v>
      </c>
      <c r="R7" s="6">
        <v>80</v>
      </c>
      <c r="T7" s="4"/>
      <c r="U7" s="4"/>
      <c r="V7" s="4"/>
      <c r="W7" s="4"/>
      <c r="X7" s="4"/>
      <c r="Y7" s="4"/>
    </row>
    <row r="8" spans="1:25" ht="16.2" thickBot="1" x14ac:dyDescent="0.35">
      <c r="A8" s="2">
        <v>6</v>
      </c>
      <c r="B8" s="2" t="s">
        <v>8</v>
      </c>
      <c r="C8" s="2">
        <v>34</v>
      </c>
      <c r="D8" s="2">
        <v>92</v>
      </c>
      <c r="E8" s="2">
        <v>93</v>
      </c>
      <c r="F8" s="4"/>
      <c r="G8" s="5">
        <v>47</v>
      </c>
      <c r="H8" s="6">
        <v>54</v>
      </c>
      <c r="I8" s="5">
        <v>6</v>
      </c>
      <c r="K8" s="98"/>
      <c r="L8" s="98"/>
      <c r="M8" s="5">
        <v>3</v>
      </c>
      <c r="N8" s="5" t="s">
        <v>72</v>
      </c>
      <c r="O8" s="6" t="s">
        <v>9</v>
      </c>
      <c r="P8" s="6">
        <v>34</v>
      </c>
      <c r="Q8" s="6">
        <v>87</v>
      </c>
      <c r="R8" s="6">
        <v>91</v>
      </c>
      <c r="T8" s="4"/>
      <c r="U8" s="4"/>
      <c r="V8" s="4"/>
      <c r="W8" s="4"/>
      <c r="X8" s="4"/>
      <c r="Y8" s="4"/>
    </row>
    <row r="9" spans="1:25" ht="16.2" thickBot="1" x14ac:dyDescent="0.35">
      <c r="A9" s="2">
        <v>7</v>
      </c>
      <c r="B9" s="2" t="s">
        <v>9</v>
      </c>
      <c r="C9" s="2">
        <v>34</v>
      </c>
      <c r="D9" s="2">
        <v>87</v>
      </c>
      <c r="E9" s="2">
        <v>91</v>
      </c>
      <c r="F9" s="4"/>
      <c r="G9" s="5">
        <v>55</v>
      </c>
      <c r="H9" s="6">
        <v>62</v>
      </c>
      <c r="I9" s="5">
        <v>7</v>
      </c>
      <c r="K9" s="98"/>
      <c r="L9" s="98"/>
      <c r="M9" s="98">
        <v>4</v>
      </c>
      <c r="N9" s="98" t="s">
        <v>67</v>
      </c>
      <c r="O9" s="6" t="s">
        <v>7</v>
      </c>
      <c r="P9" s="6">
        <v>33</v>
      </c>
      <c r="Q9" s="6">
        <v>88</v>
      </c>
      <c r="R9" s="6">
        <v>88</v>
      </c>
      <c r="T9" s="4"/>
      <c r="U9" s="4"/>
      <c r="V9" s="4"/>
      <c r="W9" s="4"/>
      <c r="X9" s="4"/>
      <c r="Y9" s="4"/>
    </row>
    <row r="10" spans="1:25" ht="16.2" thickBot="1" x14ac:dyDescent="0.35">
      <c r="A10" s="2">
        <v>8</v>
      </c>
      <c r="B10" s="2" t="s">
        <v>10</v>
      </c>
      <c r="C10" s="2">
        <v>35</v>
      </c>
      <c r="D10" s="2">
        <v>90</v>
      </c>
      <c r="E10" s="2">
        <v>93</v>
      </c>
      <c r="F10" s="4"/>
      <c r="G10" s="5">
        <v>63</v>
      </c>
      <c r="H10" s="6">
        <v>71</v>
      </c>
      <c r="I10" s="5">
        <v>9</v>
      </c>
      <c r="K10" s="98"/>
      <c r="L10" s="98"/>
      <c r="M10" s="98"/>
      <c r="N10" s="98"/>
      <c r="O10" s="6" t="s">
        <v>10</v>
      </c>
      <c r="P10" s="6">
        <v>35</v>
      </c>
      <c r="Q10" s="6">
        <v>90</v>
      </c>
      <c r="R10" s="6">
        <v>93</v>
      </c>
      <c r="T10" s="8"/>
      <c r="U10" s="8"/>
      <c r="V10" s="4"/>
      <c r="W10" s="4"/>
      <c r="X10" s="4"/>
      <c r="Y10" s="4"/>
    </row>
    <row r="11" spans="1:25" ht="31.8" thickBot="1" x14ac:dyDescent="0.35">
      <c r="A11" s="2">
        <v>9</v>
      </c>
      <c r="B11" s="2" t="s">
        <v>11</v>
      </c>
      <c r="C11" s="2">
        <v>36</v>
      </c>
      <c r="D11" s="2">
        <v>79</v>
      </c>
      <c r="E11" s="2">
        <v>80</v>
      </c>
      <c r="F11" s="4"/>
      <c r="G11" s="4"/>
      <c r="H11" s="1"/>
      <c r="K11" s="98"/>
      <c r="L11" s="98"/>
      <c r="M11" s="98"/>
      <c r="N11" s="98"/>
      <c r="O11" s="6" t="s">
        <v>8</v>
      </c>
      <c r="P11" s="6">
        <v>34</v>
      </c>
      <c r="Q11" s="6">
        <v>92</v>
      </c>
      <c r="R11" s="6">
        <v>93</v>
      </c>
      <c r="T11" s="8"/>
      <c r="U11" s="8"/>
      <c r="V11" s="4"/>
      <c r="W11" s="4"/>
      <c r="X11" s="4"/>
      <c r="Y11" s="4"/>
    </row>
    <row r="12" spans="1:25" ht="31.8" thickBot="1" x14ac:dyDescent="0.35">
      <c r="A12" s="2">
        <v>10</v>
      </c>
      <c r="B12" s="2" t="s">
        <v>12</v>
      </c>
      <c r="C12" s="2">
        <v>39</v>
      </c>
      <c r="D12" s="2">
        <v>83</v>
      </c>
      <c r="E12" s="2">
        <v>74</v>
      </c>
      <c r="F12" s="4"/>
      <c r="G12" s="4"/>
      <c r="H12" s="1"/>
      <c r="K12" s="98">
        <v>3</v>
      </c>
      <c r="L12" s="98" t="s">
        <v>54</v>
      </c>
      <c r="M12" s="98">
        <v>1</v>
      </c>
      <c r="N12" s="98" t="s">
        <v>73</v>
      </c>
      <c r="O12" s="6" t="s">
        <v>16</v>
      </c>
      <c r="P12" s="6">
        <v>42</v>
      </c>
      <c r="Q12" s="6">
        <v>70</v>
      </c>
      <c r="R12" s="6">
        <v>71</v>
      </c>
      <c r="T12" s="8"/>
      <c r="U12" s="8"/>
      <c r="V12" s="4"/>
      <c r="W12" s="4"/>
      <c r="X12" s="4"/>
      <c r="Y12" s="4"/>
    </row>
    <row r="13" spans="1:25" ht="16.2" thickBot="1" x14ac:dyDescent="0.35">
      <c r="A13" s="2">
        <v>11</v>
      </c>
      <c r="B13" s="2" t="s">
        <v>13</v>
      </c>
      <c r="C13" s="2">
        <v>39</v>
      </c>
      <c r="D13" s="2">
        <v>77</v>
      </c>
      <c r="E13" s="2">
        <v>77</v>
      </c>
      <c r="F13" s="4"/>
      <c r="G13" s="6" t="s">
        <v>46</v>
      </c>
      <c r="H13" s="6" t="s">
        <v>50</v>
      </c>
      <c r="I13" s="5" t="s">
        <v>47</v>
      </c>
      <c r="K13" s="98"/>
      <c r="L13" s="98"/>
      <c r="M13" s="98"/>
      <c r="N13" s="98"/>
      <c r="O13" s="6" t="s">
        <v>13</v>
      </c>
      <c r="P13" s="6">
        <v>39</v>
      </c>
      <c r="Q13" s="6">
        <v>77</v>
      </c>
      <c r="R13" s="6">
        <v>77</v>
      </c>
      <c r="T13" s="8"/>
      <c r="U13" s="8"/>
      <c r="V13" s="4"/>
      <c r="W13" s="4"/>
      <c r="X13" s="4"/>
      <c r="Y13" s="4"/>
    </row>
    <row r="14" spans="1:25" ht="31.8" thickBot="1" x14ac:dyDescent="0.35">
      <c r="A14" s="2">
        <v>12</v>
      </c>
      <c r="B14" s="2" t="s">
        <v>14</v>
      </c>
      <c r="C14" s="2">
        <v>40</v>
      </c>
      <c r="D14" s="2">
        <v>97</v>
      </c>
      <c r="E14" s="2">
        <v>93</v>
      </c>
      <c r="F14" s="4"/>
      <c r="G14" s="5">
        <v>19</v>
      </c>
      <c r="H14" s="6">
        <f>ROUND(1+3.322*LOG10(9),0)</f>
        <v>4</v>
      </c>
      <c r="I14" s="5">
        <f>G14/H14</f>
        <v>4.75</v>
      </c>
      <c r="K14" s="98"/>
      <c r="L14" s="98"/>
      <c r="M14" s="98">
        <v>2</v>
      </c>
      <c r="N14" s="98" t="s">
        <v>69</v>
      </c>
      <c r="O14" s="6" t="s">
        <v>18</v>
      </c>
      <c r="P14" s="6">
        <v>43</v>
      </c>
      <c r="Q14" s="6">
        <v>78</v>
      </c>
      <c r="R14" s="6">
        <v>68</v>
      </c>
    </row>
    <row r="15" spans="1:25" ht="16.2" thickBot="1" x14ac:dyDescent="0.35">
      <c r="A15" s="2">
        <v>13</v>
      </c>
      <c r="B15" s="2" t="s">
        <v>15</v>
      </c>
      <c r="C15" s="2">
        <v>41</v>
      </c>
      <c r="D15" s="2">
        <v>84</v>
      </c>
      <c r="E15" s="2">
        <v>77</v>
      </c>
      <c r="F15" s="4"/>
      <c r="G15" s="4"/>
      <c r="H15" s="1"/>
      <c r="K15" s="98"/>
      <c r="L15" s="98"/>
      <c r="M15" s="98"/>
      <c r="N15" s="98"/>
      <c r="O15" s="6" t="s">
        <v>19</v>
      </c>
      <c r="P15" s="6">
        <v>44</v>
      </c>
      <c r="Q15" s="6">
        <v>79</v>
      </c>
      <c r="R15" s="6">
        <v>83</v>
      </c>
      <c r="U15" s="8"/>
    </row>
    <row r="16" spans="1:25" ht="16.2" thickBot="1" x14ac:dyDescent="0.35">
      <c r="A16" s="2">
        <v>14</v>
      </c>
      <c r="B16" s="2" t="s">
        <v>16</v>
      </c>
      <c r="C16" s="2">
        <v>42</v>
      </c>
      <c r="D16" s="2">
        <v>70</v>
      </c>
      <c r="E16" s="2">
        <v>71</v>
      </c>
      <c r="F16" s="4"/>
      <c r="G16" s="98" t="s">
        <v>84</v>
      </c>
      <c r="H16" s="98"/>
      <c r="I16" s="98"/>
      <c r="K16" s="98"/>
      <c r="L16" s="98"/>
      <c r="M16" s="98"/>
      <c r="N16" s="98"/>
      <c r="O16" s="6" t="s">
        <v>12</v>
      </c>
      <c r="P16" s="6">
        <v>39</v>
      </c>
      <c r="Q16" s="6">
        <v>83</v>
      </c>
      <c r="R16" s="6">
        <v>74</v>
      </c>
      <c r="T16" s="9"/>
      <c r="U16" s="8"/>
    </row>
    <row r="17" spans="1:21" ht="16.2" thickBot="1" x14ac:dyDescent="0.35">
      <c r="A17" s="2">
        <v>15</v>
      </c>
      <c r="B17" s="2" t="s">
        <v>17</v>
      </c>
      <c r="C17" s="2">
        <v>43</v>
      </c>
      <c r="D17" s="2">
        <v>96</v>
      </c>
      <c r="E17" s="2">
        <v>89</v>
      </c>
      <c r="F17" s="4"/>
      <c r="G17" s="5">
        <f>AVERAGE(C3:C42)</f>
        <v>48.9</v>
      </c>
      <c r="H17" s="6">
        <f>AVERAGE(D3:D42)</f>
        <v>88</v>
      </c>
      <c r="I17" s="5">
        <f>AVERAGE(E3:E42)</f>
        <v>82.325000000000003</v>
      </c>
      <c r="K17" s="98"/>
      <c r="L17" s="98"/>
      <c r="M17" s="98"/>
      <c r="N17" s="98"/>
      <c r="O17" s="6" t="s">
        <v>15</v>
      </c>
      <c r="P17" s="6">
        <v>41</v>
      </c>
      <c r="Q17" s="6">
        <v>84</v>
      </c>
      <c r="R17" s="6">
        <v>77</v>
      </c>
      <c r="T17" s="9"/>
      <c r="U17" s="8"/>
    </row>
    <row r="18" spans="1:21" ht="16.2" thickBot="1" x14ac:dyDescent="0.35">
      <c r="A18" s="2">
        <v>16</v>
      </c>
      <c r="B18" s="2" t="s">
        <v>18</v>
      </c>
      <c r="C18" s="2">
        <v>43</v>
      </c>
      <c r="D18" s="2">
        <v>78</v>
      </c>
      <c r="E18" s="2">
        <v>68</v>
      </c>
      <c r="F18" s="4"/>
      <c r="G18" s="4"/>
      <c r="H18" s="1"/>
      <c r="K18" s="98"/>
      <c r="L18" s="98"/>
      <c r="M18" s="5">
        <v>3</v>
      </c>
      <c r="N18" s="5" t="s">
        <v>74</v>
      </c>
      <c r="O18" s="6" t="s">
        <v>20</v>
      </c>
      <c r="P18" s="6">
        <v>46</v>
      </c>
      <c r="Q18" s="6">
        <v>88</v>
      </c>
      <c r="R18" s="6">
        <v>81</v>
      </c>
      <c r="T18" s="9"/>
      <c r="U18" s="8"/>
    </row>
    <row r="19" spans="1:21" ht="16.2" thickBot="1" x14ac:dyDescent="0.35">
      <c r="A19" s="2">
        <v>17</v>
      </c>
      <c r="B19" s="2" t="s">
        <v>19</v>
      </c>
      <c r="C19" s="2">
        <v>44</v>
      </c>
      <c r="D19" s="2">
        <v>79</v>
      </c>
      <c r="E19" s="2">
        <v>83</v>
      </c>
      <c r="F19" s="4"/>
      <c r="G19" s="98" t="s">
        <v>83</v>
      </c>
      <c r="H19" s="98"/>
      <c r="I19" s="98"/>
      <c r="K19" s="98"/>
      <c r="L19" s="98"/>
      <c r="M19" s="98">
        <v>4</v>
      </c>
      <c r="N19" s="98" t="s">
        <v>75</v>
      </c>
      <c r="O19" s="6" t="s">
        <v>17</v>
      </c>
      <c r="P19" s="6">
        <v>43</v>
      </c>
      <c r="Q19" s="6">
        <v>96</v>
      </c>
      <c r="R19" s="6">
        <v>89</v>
      </c>
      <c r="T19" s="9"/>
      <c r="U19" s="8"/>
    </row>
    <row r="20" spans="1:21" ht="31.8" thickBot="1" x14ac:dyDescent="0.35">
      <c r="A20" s="2">
        <v>18</v>
      </c>
      <c r="B20" s="2" t="s">
        <v>20</v>
      </c>
      <c r="C20" s="2">
        <v>46</v>
      </c>
      <c r="D20" s="2">
        <v>88</v>
      </c>
      <c r="E20" s="2">
        <v>81</v>
      </c>
      <c r="F20" s="4"/>
      <c r="G20" s="5">
        <f>AVEDEV(C3:C42)</f>
        <v>11.545000000000009</v>
      </c>
      <c r="H20" s="6">
        <f>AVEDEV(D3:D42)</f>
        <v>6.2</v>
      </c>
      <c r="I20" s="5">
        <f>AVEDEV(E3:E42)</f>
        <v>6.7575000000000003</v>
      </c>
      <c r="K20" s="98"/>
      <c r="L20" s="98"/>
      <c r="M20" s="98"/>
      <c r="N20" s="98"/>
      <c r="O20" s="6" t="s">
        <v>14</v>
      </c>
      <c r="P20" s="6">
        <v>40</v>
      </c>
      <c r="Q20" s="6">
        <v>97</v>
      </c>
      <c r="R20" s="6">
        <v>93</v>
      </c>
      <c r="U20" s="8"/>
    </row>
    <row r="21" spans="1:21" ht="16.2" thickBot="1" x14ac:dyDescent="0.35">
      <c r="A21" s="2">
        <v>19</v>
      </c>
      <c r="B21" s="2" t="s">
        <v>21</v>
      </c>
      <c r="C21" s="2">
        <v>47</v>
      </c>
      <c r="D21" s="2">
        <v>87</v>
      </c>
      <c r="E21" s="2">
        <v>79</v>
      </c>
      <c r="F21" s="4"/>
      <c r="G21" s="4"/>
      <c r="H21" s="1"/>
      <c r="K21" s="98">
        <v>4</v>
      </c>
      <c r="L21" s="98" t="s">
        <v>55</v>
      </c>
      <c r="M21" s="5">
        <v>1</v>
      </c>
      <c r="N21" s="5" t="s">
        <v>65</v>
      </c>
      <c r="O21" s="6" t="s">
        <v>23</v>
      </c>
      <c r="P21" s="6">
        <v>48</v>
      </c>
      <c r="Q21" s="6">
        <v>74</v>
      </c>
      <c r="R21" s="6">
        <v>78</v>
      </c>
      <c r="U21" s="8"/>
    </row>
    <row r="22" spans="1:21" ht="47.4" thickBot="1" x14ac:dyDescent="0.35">
      <c r="A22" s="2">
        <v>20</v>
      </c>
      <c r="B22" s="2" t="s">
        <v>22</v>
      </c>
      <c r="C22" s="2">
        <v>47</v>
      </c>
      <c r="D22" s="2">
        <v>80</v>
      </c>
      <c r="E22" s="2">
        <v>67</v>
      </c>
      <c r="F22" s="4"/>
      <c r="K22" s="98"/>
      <c r="L22" s="98"/>
      <c r="M22" s="5">
        <v>2</v>
      </c>
      <c r="N22" s="5" t="s">
        <v>77</v>
      </c>
      <c r="O22" s="6" t="s">
        <v>22</v>
      </c>
      <c r="P22" s="6">
        <v>47</v>
      </c>
      <c r="Q22" s="6">
        <v>80</v>
      </c>
      <c r="R22" s="6">
        <v>67</v>
      </c>
      <c r="T22" s="9"/>
      <c r="U22" s="8"/>
    </row>
    <row r="23" spans="1:21" ht="16.2" thickBot="1" x14ac:dyDescent="0.35">
      <c r="A23" s="2">
        <v>21</v>
      </c>
      <c r="B23" s="2" t="s">
        <v>23</v>
      </c>
      <c r="C23" s="2">
        <v>48</v>
      </c>
      <c r="D23" s="2">
        <v>74</v>
      </c>
      <c r="E23" s="2">
        <v>78</v>
      </c>
      <c r="F23" s="4"/>
      <c r="G23" s="98" t="s">
        <v>85</v>
      </c>
      <c r="H23" s="98"/>
      <c r="I23" s="98"/>
      <c r="K23" s="98"/>
      <c r="L23" s="98"/>
      <c r="M23" s="98">
        <v>3</v>
      </c>
      <c r="N23" s="98" t="s">
        <v>78</v>
      </c>
      <c r="O23" s="6" t="s">
        <v>26</v>
      </c>
      <c r="P23" s="6">
        <v>54</v>
      </c>
      <c r="Q23" s="6">
        <v>86</v>
      </c>
      <c r="R23" s="6">
        <v>83</v>
      </c>
      <c r="T23" s="9"/>
      <c r="U23" s="8"/>
    </row>
    <row r="24" spans="1:21" ht="31.8" thickBot="1" x14ac:dyDescent="0.35">
      <c r="A24" s="2">
        <v>22</v>
      </c>
      <c r="B24" s="2" t="s">
        <v>24</v>
      </c>
      <c r="C24" s="2">
        <v>50</v>
      </c>
      <c r="D24" s="2">
        <v>87</v>
      </c>
      <c r="E24" s="2">
        <v>81</v>
      </c>
      <c r="F24" s="4"/>
      <c r="G24" s="12">
        <f>G20/G17</f>
        <v>0.23609406952965253</v>
      </c>
      <c r="H24" s="12">
        <f>H20/H17</f>
        <v>7.045454545454545E-2</v>
      </c>
      <c r="I24" s="12">
        <f>I20/I17</f>
        <v>8.208320680230792E-2</v>
      </c>
      <c r="K24" s="98"/>
      <c r="L24" s="98"/>
      <c r="M24" s="98"/>
      <c r="N24" s="98"/>
      <c r="O24" s="6" t="s">
        <v>21</v>
      </c>
      <c r="P24" s="6">
        <v>47</v>
      </c>
      <c r="Q24" s="6">
        <v>87</v>
      </c>
      <c r="R24" s="6">
        <v>79</v>
      </c>
    </row>
    <row r="25" spans="1:21" ht="16.2" thickBot="1" x14ac:dyDescent="0.35">
      <c r="A25" s="2">
        <v>23</v>
      </c>
      <c r="B25" s="10" t="s">
        <v>25</v>
      </c>
      <c r="C25" s="2">
        <v>51</v>
      </c>
      <c r="D25" s="2">
        <v>93</v>
      </c>
      <c r="E25" s="2">
        <v>81</v>
      </c>
      <c r="F25" s="4"/>
      <c r="G25" s="4"/>
      <c r="H25" s="1"/>
      <c r="K25" s="98"/>
      <c r="L25" s="98"/>
      <c r="M25" s="98"/>
      <c r="N25" s="98"/>
      <c r="O25" s="6" t="s">
        <v>24</v>
      </c>
      <c r="P25" s="6">
        <v>50</v>
      </c>
      <c r="Q25" s="6">
        <v>87</v>
      </c>
      <c r="R25" s="6">
        <v>81</v>
      </c>
    </row>
    <row r="26" spans="1:21" ht="16.2" thickBot="1" x14ac:dyDescent="0.35">
      <c r="A26" s="2">
        <v>24</v>
      </c>
      <c r="B26" s="2" t="s">
        <v>26</v>
      </c>
      <c r="C26" s="2">
        <v>54</v>
      </c>
      <c r="D26" s="2">
        <v>86</v>
      </c>
      <c r="E26" s="2">
        <v>83</v>
      </c>
      <c r="F26" s="4"/>
      <c r="G26" s="4"/>
      <c r="H26" s="1"/>
      <c r="K26" s="98"/>
      <c r="L26" s="98"/>
      <c r="M26" s="5">
        <v>4</v>
      </c>
      <c r="N26" s="5" t="s">
        <v>64</v>
      </c>
      <c r="O26" s="7" t="s">
        <v>25</v>
      </c>
      <c r="P26" s="6">
        <v>51</v>
      </c>
      <c r="Q26" s="6">
        <v>93</v>
      </c>
      <c r="R26" s="6">
        <v>81</v>
      </c>
    </row>
    <row r="27" spans="1:21" ht="16.2" thickBot="1" x14ac:dyDescent="0.35">
      <c r="A27" s="2">
        <v>25</v>
      </c>
      <c r="B27" s="2" t="s">
        <v>27</v>
      </c>
      <c r="C27" s="2">
        <v>55</v>
      </c>
      <c r="D27" s="2">
        <v>93</v>
      </c>
      <c r="E27" s="2">
        <v>89</v>
      </c>
      <c r="F27" s="4"/>
      <c r="G27" s="4"/>
      <c r="H27" s="1"/>
      <c r="K27" s="98">
        <v>5</v>
      </c>
      <c r="L27" s="98" t="s">
        <v>56</v>
      </c>
      <c r="M27" s="5">
        <v>1</v>
      </c>
      <c r="N27" s="5" t="s">
        <v>63</v>
      </c>
      <c r="O27" s="6" t="s">
        <v>31</v>
      </c>
      <c r="P27" s="6">
        <v>58</v>
      </c>
      <c r="Q27" s="6">
        <v>85</v>
      </c>
      <c r="R27" s="6">
        <v>68</v>
      </c>
    </row>
    <row r="28" spans="1:21" ht="16.2" thickBot="1" x14ac:dyDescent="0.35">
      <c r="A28" s="2">
        <v>26</v>
      </c>
      <c r="B28" s="2" t="s">
        <v>28</v>
      </c>
      <c r="C28" s="2">
        <v>57</v>
      </c>
      <c r="D28" s="2">
        <v>98</v>
      </c>
      <c r="E28" s="2">
        <v>93</v>
      </c>
      <c r="F28" s="4"/>
      <c r="G28" s="4"/>
      <c r="H28" s="1"/>
      <c r="K28" s="98"/>
      <c r="L28" s="98"/>
      <c r="M28" s="5">
        <v>2</v>
      </c>
      <c r="N28" s="5" t="s">
        <v>79</v>
      </c>
      <c r="O28" s="7" t="s">
        <v>29</v>
      </c>
      <c r="P28" s="6">
        <v>57</v>
      </c>
      <c r="Q28" s="6">
        <v>90</v>
      </c>
      <c r="R28" s="6">
        <v>75</v>
      </c>
    </row>
    <row r="29" spans="1:21" ht="16.2" thickBot="1" x14ac:dyDescent="0.35">
      <c r="A29" s="2">
        <v>27</v>
      </c>
      <c r="B29" s="10" t="s">
        <v>29</v>
      </c>
      <c r="C29" s="2">
        <v>57</v>
      </c>
      <c r="D29" s="2">
        <v>90</v>
      </c>
      <c r="E29" s="2">
        <v>75</v>
      </c>
      <c r="F29" s="4"/>
      <c r="G29" s="4"/>
      <c r="H29" s="1"/>
      <c r="K29" s="98"/>
      <c r="L29" s="98"/>
      <c r="M29" s="5">
        <v>3</v>
      </c>
      <c r="N29" s="5" t="s">
        <v>80</v>
      </c>
      <c r="O29" s="6" t="s">
        <v>27</v>
      </c>
      <c r="P29" s="6">
        <v>55</v>
      </c>
      <c r="Q29" s="6">
        <v>93</v>
      </c>
      <c r="R29" s="6">
        <v>89</v>
      </c>
    </row>
    <row r="30" spans="1:21" ht="63" thickBot="1" x14ac:dyDescent="0.35">
      <c r="A30" s="2">
        <v>28</v>
      </c>
      <c r="B30" s="2" t="s">
        <v>30</v>
      </c>
      <c r="C30" s="2">
        <v>57</v>
      </c>
      <c r="D30" s="2">
        <v>98</v>
      </c>
      <c r="E30" s="2">
        <v>80</v>
      </c>
      <c r="F30" s="4"/>
      <c r="G30" s="4"/>
      <c r="H30" s="1"/>
      <c r="K30" s="98"/>
      <c r="L30" s="98"/>
      <c r="M30" s="98">
        <v>4</v>
      </c>
      <c r="N30" s="98" t="s">
        <v>81</v>
      </c>
      <c r="O30" s="6" t="s">
        <v>32</v>
      </c>
      <c r="P30" s="6">
        <v>60</v>
      </c>
      <c r="Q30" s="6">
        <v>96</v>
      </c>
      <c r="R30" s="6">
        <v>92</v>
      </c>
    </row>
    <row r="31" spans="1:21" ht="16.2" thickBot="1" x14ac:dyDescent="0.35">
      <c r="A31" s="2">
        <v>29</v>
      </c>
      <c r="B31" s="2" t="s">
        <v>31</v>
      </c>
      <c r="C31" s="2">
        <v>58</v>
      </c>
      <c r="D31" s="2">
        <v>85</v>
      </c>
      <c r="E31" s="2">
        <v>68</v>
      </c>
      <c r="F31" s="4"/>
      <c r="G31" s="4"/>
      <c r="H31" s="1"/>
      <c r="K31" s="98"/>
      <c r="L31" s="98"/>
      <c r="M31" s="98"/>
      <c r="N31" s="98"/>
      <c r="O31" s="6" t="s">
        <v>33</v>
      </c>
      <c r="P31" s="6">
        <v>61</v>
      </c>
      <c r="Q31" s="6">
        <v>97</v>
      </c>
      <c r="R31" s="6">
        <v>89</v>
      </c>
    </row>
    <row r="32" spans="1:21" ht="31.8" thickBot="1" x14ac:dyDescent="0.35">
      <c r="A32" s="2">
        <v>30</v>
      </c>
      <c r="B32" s="2" t="s">
        <v>32</v>
      </c>
      <c r="C32" s="2">
        <v>60</v>
      </c>
      <c r="D32" s="2">
        <v>96</v>
      </c>
      <c r="E32" s="2">
        <v>92</v>
      </c>
      <c r="F32" s="4"/>
      <c r="G32" s="4"/>
      <c r="H32" s="1"/>
      <c r="K32" s="98"/>
      <c r="L32" s="98"/>
      <c r="M32" s="98"/>
      <c r="N32" s="98"/>
      <c r="O32" s="6" t="s">
        <v>30</v>
      </c>
      <c r="P32" s="6">
        <v>57</v>
      </c>
      <c r="Q32" s="6">
        <v>98</v>
      </c>
      <c r="R32" s="6">
        <v>80</v>
      </c>
    </row>
    <row r="33" spans="1:18" ht="16.2" thickBot="1" x14ac:dyDescent="0.35">
      <c r="A33" s="2">
        <v>31</v>
      </c>
      <c r="B33" s="2" t="s">
        <v>33</v>
      </c>
      <c r="C33" s="2">
        <v>61</v>
      </c>
      <c r="D33" s="2">
        <v>97</v>
      </c>
      <c r="E33" s="2">
        <v>89</v>
      </c>
      <c r="F33" s="4"/>
      <c r="G33" s="4"/>
      <c r="H33" s="1"/>
      <c r="K33" s="98"/>
      <c r="L33" s="98"/>
      <c r="M33" s="98"/>
      <c r="N33" s="98"/>
      <c r="O33" s="6" t="s">
        <v>28</v>
      </c>
      <c r="P33" s="6">
        <v>57</v>
      </c>
      <c r="Q33" s="6">
        <v>98</v>
      </c>
      <c r="R33" s="6">
        <v>93</v>
      </c>
    </row>
    <row r="34" spans="1:18" ht="16.2" thickBot="1" x14ac:dyDescent="0.35">
      <c r="A34" s="2">
        <v>32</v>
      </c>
      <c r="B34" s="2" t="s">
        <v>34</v>
      </c>
      <c r="C34" s="2">
        <v>63</v>
      </c>
      <c r="D34" s="2">
        <v>91</v>
      </c>
      <c r="E34" s="2">
        <v>76</v>
      </c>
      <c r="F34" s="4"/>
      <c r="G34" s="4"/>
      <c r="H34" s="1"/>
      <c r="K34" s="98">
        <v>6</v>
      </c>
      <c r="L34" s="98" t="s">
        <v>57</v>
      </c>
      <c r="M34" s="5">
        <v>1</v>
      </c>
      <c r="N34" s="5" t="s">
        <v>82</v>
      </c>
      <c r="O34" s="6" t="s">
        <v>40</v>
      </c>
      <c r="P34" s="6">
        <v>68</v>
      </c>
      <c r="Q34" s="6">
        <v>79</v>
      </c>
      <c r="R34" s="6">
        <v>73</v>
      </c>
    </row>
    <row r="35" spans="1:18" ht="16.2" thickBot="1" x14ac:dyDescent="0.35">
      <c r="A35" s="2">
        <v>33</v>
      </c>
      <c r="B35" s="2" t="s">
        <v>35</v>
      </c>
      <c r="C35" s="2">
        <v>63</v>
      </c>
      <c r="D35" s="2">
        <v>95</v>
      </c>
      <c r="E35" s="2">
        <v>75</v>
      </c>
      <c r="F35" s="4"/>
      <c r="G35" s="4"/>
      <c r="H35" s="1"/>
      <c r="K35" s="98"/>
      <c r="L35" s="98"/>
      <c r="M35" s="5">
        <v>2</v>
      </c>
      <c r="N35" s="5" t="s">
        <v>70</v>
      </c>
      <c r="O35" s="5" t="s">
        <v>86</v>
      </c>
      <c r="P35" s="5">
        <v>0</v>
      </c>
      <c r="Q35" s="5">
        <v>0</v>
      </c>
      <c r="R35" s="5">
        <v>0</v>
      </c>
    </row>
    <row r="36" spans="1:18" ht="31.8" thickBot="1" x14ac:dyDescent="0.35">
      <c r="A36" s="2">
        <v>34</v>
      </c>
      <c r="B36" s="2" t="s">
        <v>36</v>
      </c>
      <c r="C36" s="2">
        <v>64</v>
      </c>
      <c r="D36" s="2">
        <v>94</v>
      </c>
      <c r="E36" s="2">
        <v>90</v>
      </c>
      <c r="F36" s="4"/>
      <c r="G36" s="4"/>
      <c r="H36" s="1"/>
      <c r="K36" s="98"/>
      <c r="L36" s="98"/>
      <c r="M36" s="98">
        <v>3</v>
      </c>
      <c r="N36" s="98" t="s">
        <v>76</v>
      </c>
      <c r="O36" s="6" t="s">
        <v>34</v>
      </c>
      <c r="P36" s="6">
        <v>63</v>
      </c>
      <c r="Q36" s="6">
        <v>91</v>
      </c>
      <c r="R36" s="6">
        <v>76</v>
      </c>
    </row>
    <row r="37" spans="1:18" ht="16.2" thickBot="1" x14ac:dyDescent="0.35">
      <c r="A37" s="2">
        <v>35</v>
      </c>
      <c r="B37" s="2" t="s">
        <v>37</v>
      </c>
      <c r="C37" s="2">
        <v>67</v>
      </c>
      <c r="D37" s="2">
        <v>93</v>
      </c>
      <c r="E37" s="2">
        <v>96</v>
      </c>
      <c r="F37" s="4"/>
      <c r="G37" s="4"/>
      <c r="H37" s="1"/>
      <c r="K37" s="98"/>
      <c r="L37" s="98"/>
      <c r="M37" s="98"/>
      <c r="N37" s="98"/>
      <c r="O37" s="6" t="s">
        <v>39</v>
      </c>
      <c r="P37" s="6">
        <v>68</v>
      </c>
      <c r="Q37" s="6">
        <v>92</v>
      </c>
      <c r="R37" s="6">
        <v>83</v>
      </c>
    </row>
    <row r="38" spans="1:18" ht="16.2" thickBot="1" x14ac:dyDescent="0.35">
      <c r="A38" s="2">
        <v>36</v>
      </c>
      <c r="B38" s="2" t="s">
        <v>38</v>
      </c>
      <c r="C38" s="2">
        <v>67</v>
      </c>
      <c r="D38" s="2">
        <v>96</v>
      </c>
      <c r="E38" s="2">
        <v>94</v>
      </c>
      <c r="F38" s="4"/>
      <c r="G38" s="4"/>
      <c r="H38" s="1"/>
      <c r="K38" s="98"/>
      <c r="L38" s="98"/>
      <c r="M38" s="98"/>
      <c r="N38" s="98"/>
      <c r="O38" s="6" t="s">
        <v>37</v>
      </c>
      <c r="P38" s="6">
        <v>67</v>
      </c>
      <c r="Q38" s="6">
        <v>93</v>
      </c>
      <c r="R38" s="6">
        <v>96</v>
      </c>
    </row>
    <row r="39" spans="1:18" ht="16.2" thickBot="1" x14ac:dyDescent="0.35">
      <c r="A39" s="2">
        <v>37</v>
      </c>
      <c r="B39" s="2" t="s">
        <v>39</v>
      </c>
      <c r="C39" s="2">
        <v>68</v>
      </c>
      <c r="D39" s="2">
        <v>92</v>
      </c>
      <c r="E39" s="2">
        <v>83</v>
      </c>
      <c r="F39" s="4"/>
      <c r="G39" s="4"/>
      <c r="H39" s="1"/>
      <c r="K39" s="98"/>
      <c r="L39" s="98"/>
      <c r="M39" s="98"/>
      <c r="N39" s="98"/>
      <c r="O39" s="6" t="s">
        <v>36</v>
      </c>
      <c r="P39" s="6">
        <v>64</v>
      </c>
      <c r="Q39" s="6">
        <v>94</v>
      </c>
      <c r="R39" s="6">
        <v>90</v>
      </c>
    </row>
    <row r="40" spans="1:18" ht="16.2" thickBot="1" x14ac:dyDescent="0.35">
      <c r="A40" s="2">
        <v>38</v>
      </c>
      <c r="B40" s="2" t="s">
        <v>40</v>
      </c>
      <c r="C40" s="2">
        <v>68</v>
      </c>
      <c r="D40" s="2">
        <v>79</v>
      </c>
      <c r="E40" s="2">
        <v>73</v>
      </c>
      <c r="F40" s="4"/>
      <c r="G40" s="4"/>
      <c r="H40" s="1"/>
      <c r="K40" s="98"/>
      <c r="L40" s="98"/>
      <c r="M40" s="98">
        <v>4</v>
      </c>
      <c r="N40" s="98" t="s">
        <v>81</v>
      </c>
      <c r="O40" s="6" t="s">
        <v>35</v>
      </c>
      <c r="P40" s="6">
        <v>63</v>
      </c>
      <c r="Q40" s="6">
        <v>95</v>
      </c>
      <c r="R40" s="6">
        <v>75</v>
      </c>
    </row>
    <row r="41" spans="1:18" ht="16.2" thickBot="1" x14ac:dyDescent="0.35">
      <c r="A41" s="2">
        <v>39</v>
      </c>
      <c r="B41" s="2" t="s">
        <v>41</v>
      </c>
      <c r="C41" s="2">
        <v>69</v>
      </c>
      <c r="D41" s="2">
        <v>95</v>
      </c>
      <c r="E41" s="2">
        <v>77</v>
      </c>
      <c r="F41" s="4"/>
      <c r="G41" s="4"/>
      <c r="H41" s="1"/>
      <c r="K41" s="98"/>
      <c r="L41" s="98"/>
      <c r="M41" s="98"/>
      <c r="N41" s="98"/>
      <c r="O41" s="6" t="s">
        <v>41</v>
      </c>
      <c r="P41" s="6">
        <v>69</v>
      </c>
      <c r="Q41" s="6">
        <v>95</v>
      </c>
      <c r="R41" s="6">
        <v>77</v>
      </c>
    </row>
    <row r="42" spans="1:18" ht="31.8" thickBot="1" x14ac:dyDescent="0.35">
      <c r="A42" s="2">
        <v>40</v>
      </c>
      <c r="B42" s="2" t="s">
        <v>42</v>
      </c>
      <c r="C42" s="2">
        <v>71</v>
      </c>
      <c r="D42" s="2">
        <v>98</v>
      </c>
      <c r="E42" s="2">
        <v>86</v>
      </c>
      <c r="F42" s="4"/>
      <c r="G42" s="4"/>
      <c r="H42" s="1"/>
      <c r="K42" s="98"/>
      <c r="L42" s="98"/>
      <c r="M42" s="98"/>
      <c r="N42" s="98"/>
      <c r="O42" s="6" t="s">
        <v>38</v>
      </c>
      <c r="P42" s="6">
        <v>67</v>
      </c>
      <c r="Q42" s="6">
        <v>96</v>
      </c>
      <c r="R42" s="6">
        <v>94</v>
      </c>
    </row>
    <row r="43" spans="1:18" x14ac:dyDescent="0.3">
      <c r="F43" s="4"/>
      <c r="G43" s="4"/>
      <c r="H43" s="1"/>
      <c r="K43" s="98"/>
      <c r="L43" s="98"/>
      <c r="M43" s="98"/>
      <c r="N43" s="98"/>
      <c r="O43" s="6" t="s">
        <v>42</v>
      </c>
      <c r="P43" s="6">
        <v>71</v>
      </c>
      <c r="Q43" s="6">
        <v>98</v>
      </c>
      <c r="R43" s="6">
        <v>86</v>
      </c>
    </row>
    <row r="45" spans="1:18" x14ac:dyDescent="0.3">
      <c r="K45" s="8"/>
      <c r="L45" s="8"/>
      <c r="M45" s="4"/>
      <c r="N45" s="4"/>
    </row>
    <row r="46" spans="1:18" x14ac:dyDescent="0.3">
      <c r="K46" s="8"/>
      <c r="L46" s="8"/>
      <c r="M46" s="4"/>
      <c r="N46" s="4"/>
    </row>
    <row r="47" spans="1:18" x14ac:dyDescent="0.3">
      <c r="K47" s="8"/>
      <c r="L47" s="8"/>
      <c r="M47" s="4"/>
      <c r="N47" s="4"/>
    </row>
    <row r="48" spans="1:18" x14ac:dyDescent="0.3">
      <c r="K48" s="8"/>
      <c r="L48" s="8"/>
      <c r="M48" s="4"/>
      <c r="N48" s="4"/>
    </row>
    <row r="49" spans="11:14" x14ac:dyDescent="0.3">
      <c r="K49" s="8"/>
      <c r="L49" s="8"/>
      <c r="M49" s="4"/>
      <c r="N49" s="4"/>
    </row>
    <row r="50" spans="11:14" x14ac:dyDescent="0.3">
      <c r="K50" s="8"/>
      <c r="L50" s="8"/>
      <c r="M50" s="4"/>
      <c r="N50" s="4"/>
    </row>
    <row r="51" spans="11:14" x14ac:dyDescent="0.3">
      <c r="K51" s="8"/>
      <c r="L51" s="8"/>
      <c r="M51" s="4"/>
      <c r="N51" s="4"/>
    </row>
    <row r="52" spans="11:14" x14ac:dyDescent="0.3">
      <c r="K52" s="8"/>
      <c r="L52" s="8"/>
      <c r="M52" s="4"/>
      <c r="N52" s="4"/>
    </row>
    <row r="53" spans="11:14" x14ac:dyDescent="0.3">
      <c r="K53" s="8"/>
      <c r="L53" s="8"/>
      <c r="M53" s="4"/>
      <c r="N53" s="4"/>
    </row>
  </sheetData>
  <sortState ref="C3:C42">
    <sortCondition ref="C3:C42"/>
  </sortState>
  <mergeCells count="42">
    <mergeCell ref="K1:K2"/>
    <mergeCell ref="O1:O2"/>
    <mergeCell ref="K6:K11"/>
    <mergeCell ref="L6:L11"/>
    <mergeCell ref="A1:A2"/>
    <mergeCell ref="B1:B2"/>
    <mergeCell ref="C1:E1"/>
    <mergeCell ref="K3:K5"/>
    <mergeCell ref="L3:L5"/>
    <mergeCell ref="N9:N11"/>
    <mergeCell ref="M9:M11"/>
    <mergeCell ref="M14:M17"/>
    <mergeCell ref="M12:M13"/>
    <mergeCell ref="N12:N13"/>
    <mergeCell ref="P1:R1"/>
    <mergeCell ref="L1:L2"/>
    <mergeCell ref="M1:M2"/>
    <mergeCell ref="N1:N2"/>
    <mergeCell ref="M4:M5"/>
    <mergeCell ref="N4:N5"/>
    <mergeCell ref="N40:N43"/>
    <mergeCell ref="N36:N39"/>
    <mergeCell ref="K34:K43"/>
    <mergeCell ref="L34:L43"/>
    <mergeCell ref="M36:M39"/>
    <mergeCell ref="M40:M43"/>
    <mergeCell ref="G16:I16"/>
    <mergeCell ref="G19:I19"/>
    <mergeCell ref="G23:I23"/>
    <mergeCell ref="N30:N33"/>
    <mergeCell ref="M30:M33"/>
    <mergeCell ref="K27:K33"/>
    <mergeCell ref="L27:L33"/>
    <mergeCell ref="K12:K20"/>
    <mergeCell ref="L12:L20"/>
    <mergeCell ref="N23:N25"/>
    <mergeCell ref="K21:K26"/>
    <mergeCell ref="L21:L26"/>
    <mergeCell ref="M23:M25"/>
    <mergeCell ref="M19:M20"/>
    <mergeCell ref="N19:N20"/>
    <mergeCell ref="N14:N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5C98-F7A8-4BE8-83B7-3E7BF3CD06BB}">
  <dimension ref="A1:N32"/>
  <sheetViews>
    <sheetView workbookViewId="0">
      <selection activeCell="B12" sqref="B12"/>
    </sheetView>
  </sheetViews>
  <sheetFormatPr defaultRowHeight="14.4" x14ac:dyDescent="0.3"/>
  <cols>
    <col min="1" max="1" width="18" bestFit="1" customWidth="1"/>
    <col min="2" max="4" width="8" customWidth="1"/>
    <col min="7" max="9" width="11.6640625" bestFit="1" customWidth="1"/>
  </cols>
  <sheetData>
    <row r="1" spans="1:9" x14ac:dyDescent="0.3">
      <c r="A1" s="109" t="s">
        <v>223</v>
      </c>
      <c r="B1" s="109" t="s">
        <v>224</v>
      </c>
      <c r="C1" s="109"/>
      <c r="D1" s="109"/>
    </row>
    <row r="2" spans="1:9" x14ac:dyDescent="0.3">
      <c r="A2" s="109"/>
      <c r="B2" s="47">
        <v>2</v>
      </c>
      <c r="C2" s="47">
        <v>5</v>
      </c>
      <c r="D2" s="47">
        <v>7</v>
      </c>
      <c r="G2" s="19" t="s">
        <v>240</v>
      </c>
      <c r="H2" s="19" t="s">
        <v>240</v>
      </c>
      <c r="I2" s="19" t="s">
        <v>240</v>
      </c>
    </row>
    <row r="3" spans="1:9" x14ac:dyDescent="0.3">
      <c r="A3" s="47" t="s">
        <v>225</v>
      </c>
      <c r="B3" s="47">
        <v>64</v>
      </c>
      <c r="C3" s="47">
        <v>76</v>
      </c>
      <c r="D3" s="47">
        <v>90</v>
      </c>
      <c r="G3" s="44">
        <f>(B3 - $B$17)^2</f>
        <v>27.5625</v>
      </c>
      <c r="H3" s="44">
        <f t="shared" ref="H3:I14" si="0">(C3 - $B$17)^2</f>
        <v>45.5625</v>
      </c>
      <c r="I3" s="44">
        <f t="shared" si="0"/>
        <v>430.5625</v>
      </c>
    </row>
    <row r="4" spans="1:9" x14ac:dyDescent="0.3">
      <c r="A4" s="47" t="s">
        <v>226</v>
      </c>
      <c r="B4" s="47">
        <v>78</v>
      </c>
      <c r="C4" s="47">
        <v>60</v>
      </c>
      <c r="D4" s="47">
        <v>85</v>
      </c>
      <c r="G4" s="44">
        <f t="shared" ref="G4:G14" si="1">(B4 - $B$17)^2</f>
        <v>76.5625</v>
      </c>
      <c r="H4" s="44">
        <f t="shared" si="0"/>
        <v>85.5625</v>
      </c>
      <c r="I4" s="44">
        <f t="shared" si="0"/>
        <v>248.0625</v>
      </c>
    </row>
    <row r="5" spans="1:9" x14ac:dyDescent="0.3">
      <c r="A5" s="47" t="s">
        <v>227</v>
      </c>
      <c r="B5" s="47">
        <v>67</v>
      </c>
      <c r="C5" s="47">
        <v>71</v>
      </c>
      <c r="D5" s="47">
        <v>75</v>
      </c>
      <c r="G5" s="44">
        <f t="shared" si="1"/>
        <v>5.0625</v>
      </c>
      <c r="H5" s="44">
        <f t="shared" si="0"/>
        <v>3.0625</v>
      </c>
      <c r="I5" s="44">
        <f t="shared" si="0"/>
        <v>33.0625</v>
      </c>
    </row>
    <row r="6" spans="1:9" x14ac:dyDescent="0.3">
      <c r="A6" s="47" t="s">
        <v>228</v>
      </c>
      <c r="B6" s="47">
        <v>70</v>
      </c>
      <c r="C6" s="47">
        <v>75</v>
      </c>
      <c r="D6" s="47">
        <v>80</v>
      </c>
      <c r="G6" s="44">
        <f t="shared" si="1"/>
        <v>0.5625</v>
      </c>
      <c r="H6" s="44">
        <f t="shared" si="0"/>
        <v>33.0625</v>
      </c>
      <c r="I6" s="44">
        <f t="shared" si="0"/>
        <v>115.5625</v>
      </c>
    </row>
    <row r="7" spans="1:9" x14ac:dyDescent="0.3">
      <c r="A7" s="47" t="s">
        <v>229</v>
      </c>
      <c r="B7" s="47">
        <v>75</v>
      </c>
      <c r="C7" s="47">
        <v>69</v>
      </c>
      <c r="D7" s="47">
        <v>82</v>
      </c>
      <c r="G7" s="44">
        <f t="shared" si="1"/>
        <v>33.0625</v>
      </c>
      <c r="H7" s="44">
        <f t="shared" si="0"/>
        <v>6.25E-2</v>
      </c>
      <c r="I7" s="44">
        <f t="shared" si="0"/>
        <v>162.5625</v>
      </c>
    </row>
    <row r="8" spans="1:9" x14ac:dyDescent="0.3">
      <c r="A8" s="47" t="s">
        <v>230</v>
      </c>
      <c r="B8" s="47">
        <v>73</v>
      </c>
      <c r="C8" s="47">
        <v>72</v>
      </c>
      <c r="D8" s="47">
        <v>93</v>
      </c>
      <c r="G8" s="44">
        <f t="shared" si="1"/>
        <v>14.0625</v>
      </c>
      <c r="H8" s="44">
        <f t="shared" si="0"/>
        <v>7.5625</v>
      </c>
      <c r="I8" s="44">
        <f t="shared" si="0"/>
        <v>564.0625</v>
      </c>
    </row>
    <row r="9" spans="1:9" x14ac:dyDescent="0.3">
      <c r="A9" s="47" t="s">
        <v>231</v>
      </c>
      <c r="B9" s="47">
        <v>69</v>
      </c>
      <c r="C9" s="47">
        <v>65</v>
      </c>
      <c r="D9" s="47">
        <v>89</v>
      </c>
      <c r="G9" s="44">
        <f t="shared" si="1"/>
        <v>6.25E-2</v>
      </c>
      <c r="H9" s="44">
        <f t="shared" si="0"/>
        <v>18.0625</v>
      </c>
      <c r="I9" s="44">
        <f t="shared" si="0"/>
        <v>390.0625</v>
      </c>
    </row>
    <row r="10" spans="1:9" x14ac:dyDescent="0.3">
      <c r="A10" s="47" t="s">
        <v>232</v>
      </c>
      <c r="B10" s="47">
        <v>73</v>
      </c>
      <c r="C10" s="47">
        <v>74</v>
      </c>
      <c r="D10" s="47">
        <v>91</v>
      </c>
      <c r="G10" s="44">
        <f t="shared" si="1"/>
        <v>14.0625</v>
      </c>
      <c r="H10" s="44">
        <f t="shared" si="0"/>
        <v>22.5625</v>
      </c>
      <c r="I10" s="44">
        <f t="shared" si="0"/>
        <v>473.0625</v>
      </c>
    </row>
    <row r="11" spans="1:9" x14ac:dyDescent="0.3">
      <c r="A11" s="47" t="s">
        <v>233</v>
      </c>
      <c r="B11" s="47">
        <v>59</v>
      </c>
      <c r="C11" s="47">
        <v>79</v>
      </c>
      <c r="D11" s="47">
        <v>91</v>
      </c>
      <c r="G11" s="44">
        <f t="shared" si="1"/>
        <v>105.0625</v>
      </c>
      <c r="H11" s="44">
        <f t="shared" si="0"/>
        <v>95.0625</v>
      </c>
      <c r="I11" s="44">
        <f t="shared" si="0"/>
        <v>473.0625</v>
      </c>
    </row>
    <row r="12" spans="1:9" x14ac:dyDescent="0.3">
      <c r="A12" s="47" t="s">
        <v>234</v>
      </c>
      <c r="B12" s="47">
        <v>65</v>
      </c>
      <c r="C12" s="47">
        <v>75</v>
      </c>
      <c r="D12" s="47">
        <v>83</v>
      </c>
      <c r="G12" s="44">
        <f t="shared" si="1"/>
        <v>18.0625</v>
      </c>
      <c r="H12" s="44">
        <f t="shared" si="0"/>
        <v>33.0625</v>
      </c>
      <c r="I12" s="44">
        <f t="shared" si="0"/>
        <v>189.0625</v>
      </c>
    </row>
    <row r="13" spans="1:9" x14ac:dyDescent="0.3">
      <c r="A13" s="47" t="s">
        <v>235</v>
      </c>
      <c r="B13" s="47">
        <v>70</v>
      </c>
      <c r="C13" s="47">
        <v>72</v>
      </c>
      <c r="D13" s="47">
        <v>90</v>
      </c>
      <c r="G13" s="44">
        <f t="shared" si="1"/>
        <v>0.5625</v>
      </c>
      <c r="H13" s="44">
        <f t="shared" si="0"/>
        <v>7.5625</v>
      </c>
      <c r="I13" s="44">
        <f t="shared" si="0"/>
        <v>430.5625</v>
      </c>
    </row>
    <row r="14" spans="1:9" x14ac:dyDescent="0.3">
      <c r="A14" s="47" t="s">
        <v>236</v>
      </c>
      <c r="B14" s="47">
        <v>68</v>
      </c>
      <c r="C14" s="47">
        <v>78</v>
      </c>
      <c r="D14" s="47">
        <v>79</v>
      </c>
      <c r="G14" s="44">
        <f t="shared" si="1"/>
        <v>1.5625</v>
      </c>
      <c r="H14" s="44">
        <f t="shared" si="0"/>
        <v>76.5625</v>
      </c>
      <c r="I14" s="44">
        <f t="shared" si="0"/>
        <v>95.0625</v>
      </c>
    </row>
    <row r="15" spans="1:9" x14ac:dyDescent="0.3">
      <c r="E15" s="19" t="s">
        <v>237</v>
      </c>
    </row>
    <row r="16" spans="1:9" x14ac:dyDescent="0.3">
      <c r="A16" s="49" t="s">
        <v>237</v>
      </c>
      <c r="B16" s="19">
        <f xml:space="preserve"> SUM(B3:B14)</f>
        <v>831</v>
      </c>
      <c r="C16" s="19">
        <f t="shared" ref="C16:D16" si="2" xml:space="preserve"> SUM(C3:C14)</f>
        <v>866</v>
      </c>
      <c r="D16" s="50">
        <f t="shared" si="2"/>
        <v>1028</v>
      </c>
      <c r="E16" s="19">
        <f>SUM(B16:D16)</f>
        <v>2725</v>
      </c>
    </row>
    <row r="17" spans="1:14" x14ac:dyDescent="0.3">
      <c r="A17" s="49" t="s">
        <v>238</v>
      </c>
      <c r="B17" s="21">
        <f xml:space="preserve"> AVERAGE(B3:B14)</f>
        <v>69.25</v>
      </c>
      <c r="C17" s="21">
        <f t="shared" ref="C17:D17" si="3" xml:space="preserve"> AVERAGE(C3:C14)</f>
        <v>72.166666666666671</v>
      </c>
      <c r="D17" s="51">
        <f t="shared" si="3"/>
        <v>85.666666666666671</v>
      </c>
      <c r="E17" s="21">
        <f>SUM(B17:D17)</f>
        <v>227.08333333333337</v>
      </c>
    </row>
    <row r="18" spans="1:14" x14ac:dyDescent="0.3">
      <c r="A18" s="49" t="s">
        <v>242</v>
      </c>
      <c r="B18" s="21">
        <f>SUM(G3:G14)</f>
        <v>296.25</v>
      </c>
      <c r="C18" s="21">
        <f t="shared" ref="C18:D18" si="4">SUM(H3:H14)</f>
        <v>427.75</v>
      </c>
      <c r="D18" s="21">
        <f t="shared" si="4"/>
        <v>3604.75</v>
      </c>
      <c r="E18" s="21">
        <f>SUM(B18:D18)</f>
        <v>4328.75</v>
      </c>
    </row>
    <row r="19" spans="1:14" x14ac:dyDescent="0.3">
      <c r="A19" s="49" t="s">
        <v>241</v>
      </c>
      <c r="B19" s="21">
        <f>(B17 - $B$21)^2</f>
        <v>41.530864197530846</v>
      </c>
      <c r="C19" s="21">
        <f t="shared" ref="C19:D19" si="5">(C17 - $B$21)^2</f>
        <v>12.445216049382671</v>
      </c>
      <c r="D19" s="21">
        <f t="shared" si="5"/>
        <v>99.445216049382836</v>
      </c>
      <c r="E19" s="21">
        <f>SUM(B19:D19)</f>
        <v>153.42129629629636</v>
      </c>
    </row>
    <row r="20" spans="1:14" x14ac:dyDescent="0.3">
      <c r="A20" s="48"/>
    </row>
    <row r="21" spans="1:14" x14ac:dyDescent="0.3">
      <c r="A21" s="19" t="s">
        <v>239</v>
      </c>
      <c r="B21" s="21">
        <f>AVERAGE(B3:D14)</f>
        <v>75.694444444444443</v>
      </c>
      <c r="E21" t="s">
        <v>253</v>
      </c>
    </row>
    <row r="22" spans="1:14" x14ac:dyDescent="0.3">
      <c r="E22" s="110" t="s">
        <v>254</v>
      </c>
      <c r="F22" s="110"/>
      <c r="G22" s="110"/>
      <c r="H22" s="110"/>
      <c r="I22" s="110"/>
      <c r="J22" s="110"/>
      <c r="K22" s="53"/>
      <c r="L22" s="53"/>
      <c r="M22" s="53"/>
      <c r="N22" s="53"/>
    </row>
    <row r="23" spans="1:14" x14ac:dyDescent="0.3">
      <c r="A23" s="49" t="s">
        <v>243</v>
      </c>
      <c r="B23" s="52">
        <f>12 * E19</f>
        <v>1841.0555555555563</v>
      </c>
      <c r="E23" s="110" t="s">
        <v>255</v>
      </c>
      <c r="F23" s="110"/>
      <c r="G23" s="110"/>
      <c r="H23" s="110"/>
      <c r="I23" s="110"/>
      <c r="J23" s="110"/>
      <c r="K23" s="53"/>
      <c r="L23" s="53"/>
      <c r="M23" s="53"/>
      <c r="N23" s="53"/>
    </row>
    <row r="24" spans="1:14" x14ac:dyDescent="0.3">
      <c r="A24" s="49" t="s">
        <v>244</v>
      </c>
      <c r="B24" s="52">
        <f>E18</f>
        <v>4328.75</v>
      </c>
    </row>
    <row r="25" spans="1:14" x14ac:dyDescent="0.3">
      <c r="A25" s="49" t="s">
        <v>245</v>
      </c>
      <c r="B25" s="52">
        <f>B24 - B23</f>
        <v>2487.6944444444434</v>
      </c>
    </row>
    <row r="26" spans="1:14" x14ac:dyDescent="0.3">
      <c r="A26" s="47" t="s">
        <v>246</v>
      </c>
      <c r="B26" s="52">
        <f>B23/2</f>
        <v>920.52777777777817</v>
      </c>
    </row>
    <row r="27" spans="1:14" x14ac:dyDescent="0.3">
      <c r="A27" s="47" t="s">
        <v>247</v>
      </c>
      <c r="B27" s="52">
        <f xml:space="preserve"> B24 / 35</f>
        <v>123.67857142857143</v>
      </c>
    </row>
    <row r="28" spans="1:14" x14ac:dyDescent="0.3">
      <c r="A28" s="47" t="s">
        <v>248</v>
      </c>
      <c r="B28" s="52">
        <f xml:space="preserve"> B25 / 33</f>
        <v>75.38468013468011</v>
      </c>
    </row>
    <row r="29" spans="1:14" x14ac:dyDescent="0.3">
      <c r="A29" s="49" t="s">
        <v>251</v>
      </c>
      <c r="B29" s="19">
        <v>2</v>
      </c>
    </row>
    <row r="30" spans="1:14" x14ac:dyDescent="0.3">
      <c r="A30" s="49" t="s">
        <v>252</v>
      </c>
      <c r="B30" s="19">
        <v>33</v>
      </c>
    </row>
    <row r="31" spans="1:14" x14ac:dyDescent="0.3">
      <c r="A31" s="49" t="s">
        <v>249</v>
      </c>
      <c r="B31" s="19">
        <f xml:space="preserve"> B26/B28</f>
        <v>12.211072277990562</v>
      </c>
    </row>
    <row r="32" spans="1:14" x14ac:dyDescent="0.3">
      <c r="A32" s="49" t="s">
        <v>250</v>
      </c>
      <c r="B32" s="19">
        <v>3.29</v>
      </c>
    </row>
  </sheetData>
  <mergeCells count="4">
    <mergeCell ref="A1:A2"/>
    <mergeCell ref="B1:D1"/>
    <mergeCell ref="E22:J22"/>
    <mergeCell ref="E23:J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EC55-06DD-416A-AB3E-DF1F14E24078}">
  <dimension ref="A1:C3"/>
  <sheetViews>
    <sheetView workbookViewId="0">
      <selection activeCell="D4" sqref="D4"/>
    </sheetView>
  </sheetViews>
  <sheetFormatPr defaultRowHeight="14.4" x14ac:dyDescent="0.3"/>
  <cols>
    <col min="1" max="1" width="9.6640625" bestFit="1" customWidth="1"/>
    <col min="2" max="2" width="12" bestFit="1" customWidth="1"/>
    <col min="3" max="3" width="10.88671875" bestFit="1" customWidth="1"/>
  </cols>
  <sheetData>
    <row r="1" spans="1:3" x14ac:dyDescent="0.3">
      <c r="A1" s="35"/>
      <c r="B1" s="35" t="s">
        <v>132</v>
      </c>
      <c r="C1" s="35" t="s">
        <v>133</v>
      </c>
    </row>
    <row r="2" spans="1:3" x14ac:dyDescent="0.3">
      <c r="A2" s="33" t="s">
        <v>132</v>
      </c>
      <c r="B2" s="33">
        <v>1</v>
      </c>
      <c r="C2" s="33"/>
    </row>
    <row r="3" spans="1:3" ht="15" thickBot="1" x14ac:dyDescent="0.35">
      <c r="A3" s="34" t="s">
        <v>133</v>
      </c>
      <c r="B3" s="34">
        <v>0.30865588259166893</v>
      </c>
      <c r="C3" s="34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DEE4-311E-41B3-8CFE-E11ACB7B14BE}">
  <dimension ref="A1:T40"/>
  <sheetViews>
    <sheetView workbookViewId="0">
      <selection activeCell="N2" sqref="N2"/>
    </sheetView>
  </sheetViews>
  <sheetFormatPr defaultRowHeight="14.4" x14ac:dyDescent="0.3"/>
  <cols>
    <col min="4" max="4" width="12" bestFit="1" customWidth="1"/>
    <col min="13" max="13" width="13.88671875" customWidth="1"/>
    <col min="14" max="14" width="11.88671875" customWidth="1"/>
    <col min="15" max="15" width="12" bestFit="1" customWidth="1"/>
  </cols>
  <sheetData>
    <row r="1" spans="1:20" x14ac:dyDescent="0.3">
      <c r="A1" s="19" t="s">
        <v>91</v>
      </c>
      <c r="B1" s="19" t="s">
        <v>256</v>
      </c>
      <c r="C1" s="19" t="s">
        <v>257</v>
      </c>
      <c r="D1" s="19" t="s">
        <v>258</v>
      </c>
      <c r="F1" s="19" t="s">
        <v>46</v>
      </c>
      <c r="G1" s="19">
        <v>0.95</v>
      </c>
      <c r="I1" s="105" t="s">
        <v>213</v>
      </c>
      <c r="J1" s="111"/>
      <c r="K1" s="106"/>
      <c r="S1" s="35" t="s">
        <v>301</v>
      </c>
    </row>
    <row r="2" spans="1:20" x14ac:dyDescent="0.3">
      <c r="A2" s="54">
        <v>79.3</v>
      </c>
      <c r="B2" s="54">
        <v>2.5</v>
      </c>
      <c r="C2" s="54">
        <v>10</v>
      </c>
      <c r="D2" s="54">
        <v>3</v>
      </c>
      <c r="F2" s="19" t="s">
        <v>182</v>
      </c>
      <c r="G2" s="57">
        <v>0.90500000000000003</v>
      </c>
      <c r="I2" s="105" t="s">
        <v>269</v>
      </c>
      <c r="J2" s="111"/>
      <c r="K2" s="106"/>
      <c r="N2" s="55">
        <v>1</v>
      </c>
      <c r="O2" s="56">
        <v>-0.61744081068609558</v>
      </c>
      <c r="P2" s="56">
        <v>0.66184877183508251</v>
      </c>
      <c r="S2" s="33">
        <v>170.76002496198399</v>
      </c>
    </row>
    <row r="3" spans="1:20" x14ac:dyDescent="0.3">
      <c r="A3" s="54">
        <v>200.1</v>
      </c>
      <c r="B3" s="54">
        <v>5.5</v>
      </c>
      <c r="C3" s="54">
        <v>8</v>
      </c>
      <c r="D3" s="54">
        <v>6</v>
      </c>
      <c r="N3" s="56">
        <v>-0.61744081068609558</v>
      </c>
      <c r="O3" s="55">
        <v>1</v>
      </c>
      <c r="P3" s="56">
        <v>-0.47252274802696259</v>
      </c>
      <c r="S3" s="33">
        <v>25.423272546336669</v>
      </c>
    </row>
    <row r="4" spans="1:20" x14ac:dyDescent="0.3">
      <c r="A4" s="54">
        <v>163.19999999999999</v>
      </c>
      <c r="B4" s="54">
        <v>6</v>
      </c>
      <c r="C4" s="54">
        <v>12</v>
      </c>
      <c r="D4" s="54">
        <v>9</v>
      </c>
      <c r="N4" s="56">
        <v>0.66184877183508251</v>
      </c>
      <c r="O4" s="56">
        <v>-0.47252274802696259</v>
      </c>
      <c r="P4" s="55">
        <v>1</v>
      </c>
      <c r="S4" s="33">
        <v>-13.003484122955607</v>
      </c>
    </row>
    <row r="5" spans="1:20" ht="15" thickBot="1" x14ac:dyDescent="0.35">
      <c r="A5" s="54">
        <v>200.1</v>
      </c>
      <c r="B5" s="54">
        <v>7.9</v>
      </c>
      <c r="C5" s="54">
        <v>7</v>
      </c>
      <c r="D5" s="54">
        <v>16</v>
      </c>
      <c r="I5" s="19" t="s">
        <v>200</v>
      </c>
      <c r="J5" s="19" t="s">
        <v>271</v>
      </c>
      <c r="K5" s="19" t="s">
        <v>272</v>
      </c>
      <c r="L5" s="19" t="s">
        <v>273</v>
      </c>
      <c r="S5" s="34">
        <v>-2.7059059245837549</v>
      </c>
    </row>
    <row r="6" spans="1:20" x14ac:dyDescent="0.3">
      <c r="A6" s="54">
        <v>146</v>
      </c>
      <c r="B6" s="54">
        <v>5.2</v>
      </c>
      <c r="C6" s="54">
        <v>8</v>
      </c>
      <c r="D6" s="54">
        <v>15</v>
      </c>
      <c r="I6" s="19">
        <f>_xlfn.STDEV.S(A2:A16)</f>
        <v>79.830295001333937</v>
      </c>
      <c r="J6" s="19">
        <f>_xlfn.STDEV.S(B2:B16)</f>
        <v>2.2962287923172351</v>
      </c>
      <c r="K6" s="19">
        <f>_xlfn.STDEV.S(C2:C16)</f>
        <v>2.5485756993344535</v>
      </c>
      <c r="L6" s="19">
        <f>_xlfn.STDEV.S(D2:D16)</f>
        <v>4.3061417931667245</v>
      </c>
      <c r="N6" s="19" t="s">
        <v>279</v>
      </c>
      <c r="O6" s="19" t="s">
        <v>280</v>
      </c>
      <c r="P6" s="19" t="s">
        <v>281</v>
      </c>
    </row>
    <row r="7" spans="1:20" x14ac:dyDescent="0.3">
      <c r="A7" s="54">
        <v>177.7</v>
      </c>
      <c r="B7" s="54">
        <v>7.6</v>
      </c>
      <c r="C7" s="54">
        <v>12</v>
      </c>
      <c r="D7" s="54">
        <v>9</v>
      </c>
      <c r="N7" s="19">
        <f>MDETERM(N2:P4)</f>
        <v>0.34364045110089636</v>
      </c>
      <c r="O7" s="19">
        <f xml:space="preserve"> 15 - 1 - 1/6 * (2*3 + 5) *LOG10(N7)</f>
        <v>14.850475485809804</v>
      </c>
      <c r="P7" s="19">
        <v>7.81</v>
      </c>
    </row>
    <row r="8" spans="1:20" x14ac:dyDescent="0.3">
      <c r="A8" s="54">
        <v>30.9</v>
      </c>
      <c r="B8" s="54">
        <v>2</v>
      </c>
      <c r="C8" s="54">
        <v>12</v>
      </c>
      <c r="D8" s="54">
        <v>8</v>
      </c>
      <c r="F8" s="19" t="s">
        <v>284</v>
      </c>
      <c r="G8" s="57">
        <v>15</v>
      </c>
      <c r="J8" s="19" t="s">
        <v>274</v>
      </c>
      <c r="K8" s="19" t="s">
        <v>275</v>
      </c>
      <c r="L8" s="19" t="s">
        <v>276</v>
      </c>
    </row>
    <row r="9" spans="1:20" x14ac:dyDescent="0.3">
      <c r="A9" s="54">
        <v>291.89999999999998</v>
      </c>
      <c r="B9" s="54">
        <v>9</v>
      </c>
      <c r="C9" s="54">
        <v>5</v>
      </c>
      <c r="D9" s="54">
        <v>10</v>
      </c>
      <c r="F9" s="19" t="s">
        <v>285</v>
      </c>
      <c r="G9" s="57">
        <v>3</v>
      </c>
      <c r="J9" s="19">
        <f>25 *J6/$I$6</f>
        <v>0.71909692688686233</v>
      </c>
      <c r="K9" s="19">
        <f>-13 *K6/$I$6</f>
        <v>-0.41502394662069431</v>
      </c>
      <c r="L9" s="19">
        <f>-2.7 *L6/$I$6</f>
        <v>-0.14564123609158502</v>
      </c>
      <c r="N9" s="112" t="s">
        <v>282</v>
      </c>
      <c r="O9" s="112"/>
      <c r="P9" s="112"/>
      <c r="Q9" s="112"/>
      <c r="R9" s="112"/>
      <c r="S9" s="112"/>
      <c r="T9" s="112"/>
    </row>
    <row r="10" spans="1:20" x14ac:dyDescent="0.3">
      <c r="A10" s="54">
        <v>160</v>
      </c>
      <c r="B10" s="54">
        <v>4</v>
      </c>
      <c r="C10" s="54">
        <v>8</v>
      </c>
      <c r="D10" s="54">
        <v>4</v>
      </c>
    </row>
    <row r="11" spans="1:20" x14ac:dyDescent="0.3">
      <c r="A11" s="54">
        <v>339.4</v>
      </c>
      <c r="B11" s="54">
        <v>9.6</v>
      </c>
      <c r="C11" s="54">
        <v>5</v>
      </c>
      <c r="D11" s="54">
        <v>16</v>
      </c>
      <c r="F11" t="s">
        <v>286</v>
      </c>
      <c r="I11" s="101" t="s">
        <v>277</v>
      </c>
      <c r="J11" s="101"/>
      <c r="K11" s="101"/>
    </row>
    <row r="12" spans="1:20" x14ac:dyDescent="0.3">
      <c r="A12" s="54">
        <v>159.6</v>
      </c>
      <c r="B12" s="54">
        <v>5.5</v>
      </c>
      <c r="C12" s="54">
        <v>11</v>
      </c>
      <c r="D12" s="54">
        <v>7</v>
      </c>
      <c r="F12" t="s">
        <v>182</v>
      </c>
      <c r="G12">
        <f>1 - (1 - G2) * (G8 - 1) / (G8 - G9 - 1)</f>
        <v>0.87909090909090915</v>
      </c>
      <c r="I12" s="101" t="s">
        <v>278</v>
      </c>
      <c r="J12" s="101"/>
      <c r="K12" s="101"/>
      <c r="M12" s="101" t="s">
        <v>287</v>
      </c>
      <c r="N12" s="101"/>
      <c r="O12" s="101"/>
      <c r="P12" s="101"/>
      <c r="Q12" s="101"/>
    </row>
    <row r="13" spans="1:20" x14ac:dyDescent="0.3">
      <c r="A13" s="54">
        <v>88.3</v>
      </c>
      <c r="B13" s="54">
        <v>3</v>
      </c>
      <c r="C13" s="54">
        <v>12</v>
      </c>
      <c r="D13" s="54">
        <v>8</v>
      </c>
      <c r="M13" s="105" t="s">
        <v>291</v>
      </c>
      <c r="N13" s="106"/>
      <c r="O13" s="60"/>
      <c r="P13" s="105" t="s">
        <v>213</v>
      </c>
      <c r="Q13" s="106"/>
    </row>
    <row r="14" spans="1:20" x14ac:dyDescent="0.3">
      <c r="A14" s="54">
        <v>237.5</v>
      </c>
      <c r="B14" s="54">
        <v>6</v>
      </c>
      <c r="C14" s="54">
        <v>6</v>
      </c>
      <c r="D14" s="54">
        <v>10</v>
      </c>
      <c r="H14" t="s">
        <v>261</v>
      </c>
      <c r="I14" t="s">
        <v>263</v>
      </c>
      <c r="J14" t="s">
        <v>262</v>
      </c>
      <c r="M14" s="19">
        <v>1</v>
      </c>
      <c r="N14" s="19">
        <f>'Мн. Регр. Ан. Данн.'!B17 + 'Мн. Регр. Ан. Данн.'!B19 * 'Множеств. регрессия'!C18 + 'Мн. Регр. Ан. Данн.'!B20 * 'Множеств. регрессия'!D18</f>
        <v>29.590977962432863</v>
      </c>
      <c r="O14" s="61"/>
      <c r="P14" s="101" t="s">
        <v>292</v>
      </c>
      <c r="Q14" s="101"/>
    </row>
    <row r="15" spans="1:20" x14ac:dyDescent="0.3">
      <c r="A15" s="54">
        <v>107.2</v>
      </c>
      <c r="B15" s="54">
        <v>5</v>
      </c>
      <c r="C15" s="54">
        <v>10</v>
      </c>
      <c r="D15" s="54">
        <v>4</v>
      </c>
      <c r="M15" s="19">
        <v>2</v>
      </c>
      <c r="N15" s="19">
        <f>'Мн. Регр. Ан. Данн.'!B17 + 'Мн. Регр. Ан. Данн.'!B18 * 'Множеств. регрессия'!B18 + 'Мн. Регр. Ан. Данн.'!B20 * 'Множеств. регрессия'!D18</f>
        <v>286.9782560481309</v>
      </c>
      <c r="O15" s="61"/>
      <c r="P15" s="101" t="s">
        <v>294</v>
      </c>
      <c r="Q15" s="101"/>
    </row>
    <row r="16" spans="1:20" x14ac:dyDescent="0.3">
      <c r="A16" s="54">
        <v>155</v>
      </c>
      <c r="B16" s="54">
        <v>3.5</v>
      </c>
      <c r="C16" s="54">
        <v>10</v>
      </c>
      <c r="D16" s="54">
        <v>4</v>
      </c>
      <c r="M16" s="19">
        <v>3</v>
      </c>
      <c r="N16" s="19">
        <f>'Мн. Регр. Ан. Данн.'!B17 + 'Мн. Регр. Ан. Данн.'!B18 * 'Множеств. регрессия'!B18 + 'Мн. Регр. Ан. Данн.'!B19 * 'Множеств. регрессия'!C18</f>
        <v>192.35079095142035</v>
      </c>
      <c r="O16" s="59"/>
      <c r="P16" s="101" t="s">
        <v>293</v>
      </c>
      <c r="Q16" s="101"/>
    </row>
    <row r="17" spans="1:15" x14ac:dyDescent="0.3">
      <c r="B17" s="19" t="s">
        <v>288</v>
      </c>
      <c r="C17" s="19" t="s">
        <v>289</v>
      </c>
      <c r="D17" s="19" t="s">
        <v>290</v>
      </c>
      <c r="H17" t="s">
        <v>264</v>
      </c>
      <c r="I17" t="s">
        <v>265</v>
      </c>
      <c r="J17" t="s">
        <v>266</v>
      </c>
    </row>
    <row r="18" spans="1:15" x14ac:dyDescent="0.3">
      <c r="B18" s="54">
        <f>AVERAGE(B2:B16)</f>
        <v>5.4866666666666664</v>
      </c>
      <c r="C18" s="54">
        <f t="shared" ref="C18:D18" si="0">AVERAGE(C2:C16)</f>
        <v>9.0666666666666664</v>
      </c>
      <c r="D18" s="54">
        <f t="shared" si="0"/>
        <v>8.6</v>
      </c>
    </row>
    <row r="19" spans="1:15" ht="15" thickBot="1" x14ac:dyDescent="0.35">
      <c r="M19" s="101" t="s">
        <v>295</v>
      </c>
      <c r="N19" s="101"/>
      <c r="O19" s="101"/>
    </row>
    <row r="20" spans="1:15" x14ac:dyDescent="0.3">
      <c r="A20" s="19" t="s">
        <v>91</v>
      </c>
      <c r="B20" s="35" t="s">
        <v>162</v>
      </c>
      <c r="D20">
        <f>AVERAGE(B21:B35)</f>
        <v>2.5579538487363607E-14</v>
      </c>
      <c r="H20" t="s">
        <v>283</v>
      </c>
      <c r="I20" t="s">
        <v>302</v>
      </c>
      <c r="J20" t="s">
        <v>303</v>
      </c>
      <c r="L20" s="58"/>
      <c r="M20" s="19" t="s">
        <v>296</v>
      </c>
      <c r="N20" s="19" t="s">
        <v>297</v>
      </c>
      <c r="O20" s="19" t="s">
        <v>298</v>
      </c>
    </row>
    <row r="21" spans="1:15" x14ac:dyDescent="0.3">
      <c r="A21" s="54">
        <v>79.3</v>
      </c>
      <c r="B21" s="33">
        <v>-16.86564732451825</v>
      </c>
      <c r="H21">
        <v>0.84</v>
      </c>
      <c r="L21" s="19">
        <v>1</v>
      </c>
      <c r="M21" s="21">
        <f>$N$14 + $S$3 *'Множеств. регрессия'!B2</f>
        <v>93.149159328274536</v>
      </c>
      <c r="N21" s="21">
        <f>$N$14 + $S$3 *'Множеств. регрессия'!C2</f>
        <v>283.82370342579958</v>
      </c>
      <c r="O21" s="21">
        <f>$N$14 + $S$3 *'Множеств. регрессия'!D2</f>
        <v>105.86079560144286</v>
      </c>
    </row>
    <row r="22" spans="1:15" x14ac:dyDescent="0.3">
      <c r="A22" s="54">
        <v>200.1</v>
      </c>
      <c r="B22" s="33">
        <v>9.7752845643117894</v>
      </c>
      <c r="L22" s="50">
        <v>2</v>
      </c>
      <c r="M22" s="21">
        <f>$N$14 + $S$3 *'Множеств. регрессия'!B3</f>
        <v>169.41897696728455</v>
      </c>
      <c r="N22" s="21">
        <f>$N$14 + $S$3 *'Множеств. регрессия'!C3</f>
        <v>232.97715833312623</v>
      </c>
      <c r="O22" s="21">
        <f>$N$14 + $S$3 *'Множеств. регрессия'!D3</f>
        <v>182.13061324045287</v>
      </c>
    </row>
    <row r="23" spans="1:15" x14ac:dyDescent="0.3">
      <c r="A23" s="54">
        <v>163.19999999999999</v>
      </c>
      <c r="B23" s="33">
        <v>20.295302556717161</v>
      </c>
      <c r="L23" s="50">
        <v>3</v>
      </c>
      <c r="M23" s="21">
        <f>$N$14 + $S$3 *'Множеств. регрессия'!B4</f>
        <v>182.13061324045287</v>
      </c>
      <c r="N23" s="21">
        <f>$N$14 + $S$3 *'Множеств. регрессия'!C4</f>
        <v>334.67024851847287</v>
      </c>
      <c r="O23" s="21">
        <f>$N$14 + $S$3 *'Множеств. регрессия'!D4</f>
        <v>258.40043087946287</v>
      </c>
    </row>
    <row r="24" spans="1:15" x14ac:dyDescent="0.3">
      <c r="A24" s="54">
        <v>200.1</v>
      </c>
      <c r="B24" s="33">
        <v>-37.184994424014349</v>
      </c>
      <c r="L24" s="50">
        <v>4</v>
      </c>
      <c r="M24" s="21">
        <f>$N$14 + $S$3 *'Множеств. регрессия'!B5</f>
        <v>230.43483107849258</v>
      </c>
      <c r="N24" s="21">
        <f>$N$14 + $S$3 *'Множеств. регрессия'!C5</f>
        <v>207.55388578678955</v>
      </c>
      <c r="O24" s="21">
        <f>$N$14 + $S$3 *'Множеств. регрессия'!D5</f>
        <v>436.36333870381958</v>
      </c>
    </row>
    <row r="25" spans="1:15" x14ac:dyDescent="0.3">
      <c r="A25" s="54">
        <v>146</v>
      </c>
      <c r="B25" s="33">
        <v>-12.344580350533391</v>
      </c>
      <c r="L25" s="50">
        <v>5</v>
      </c>
      <c r="M25" s="21">
        <f>$N$14 + $S$3 *'Множеств. регрессия'!B6</f>
        <v>161.79199520338355</v>
      </c>
      <c r="N25" s="21">
        <f>$N$14 + $S$3 *'Множеств. регрессия'!C6</f>
        <v>232.97715833312623</v>
      </c>
      <c r="O25" s="21">
        <f>$N$14 + $S$3 *'Множеств. регрессия'!D6</f>
        <v>410.94006615748293</v>
      </c>
    </row>
    <row r="26" spans="1:15" x14ac:dyDescent="0.3">
      <c r="A26" s="54">
        <v>177.7</v>
      </c>
      <c r="B26" s="33">
        <v>-5.8819335174214871</v>
      </c>
      <c r="L26" s="50">
        <v>6</v>
      </c>
      <c r="M26" s="21">
        <f>$N$14 + $S$3 *'Множеств. регрессия'!B7</f>
        <v>222.80784931459155</v>
      </c>
      <c r="N26" s="21">
        <f>$N$14 + $S$3 *'Множеств. регрессия'!C7</f>
        <v>334.67024851847287</v>
      </c>
      <c r="O26" s="21">
        <f>$N$14 + $S$3 *'Множеств. регрессия'!D7</f>
        <v>258.40043087946287</v>
      </c>
    </row>
    <row r="27" spans="1:15" x14ac:dyDescent="0.3">
      <c r="A27" s="54">
        <v>30.9</v>
      </c>
      <c r="B27" s="33">
        <v>-13.017513182519927</v>
      </c>
      <c r="L27" s="50">
        <v>7</v>
      </c>
      <c r="M27" s="21">
        <f>$N$14 + $S$3 *'Множеств. регрессия'!B8</f>
        <v>80.437523055106197</v>
      </c>
      <c r="N27" s="21">
        <f>$N$14 + $S$3 *'Множеств. регрессия'!C8</f>
        <v>334.67024851847287</v>
      </c>
      <c r="O27" s="21">
        <f>$N$14 + $S$3 *'Множеств. регрессия'!D8</f>
        <v>232.97715833312623</v>
      </c>
    </row>
    <row r="28" spans="1:15" x14ac:dyDescent="0.3">
      <c r="A28" s="54">
        <v>291.89999999999998</v>
      </c>
      <c r="B28" s="33">
        <v>-15.592998018398362</v>
      </c>
      <c r="L28" s="50">
        <v>8</v>
      </c>
      <c r="M28" s="21">
        <f>$N$14 + $S$3 *'Множеств. регрессия'!B9</f>
        <v>258.40043087946287</v>
      </c>
      <c r="N28" s="21">
        <f>$N$14 + $S$3 *'Множеств. регрессия'!C9</f>
        <v>156.70734069411623</v>
      </c>
      <c r="O28" s="21">
        <f>$N$14 + $S$3 *'Множеств. регрессия'!D9</f>
        <v>283.82370342579958</v>
      </c>
    </row>
    <row r="29" spans="1:15" x14ac:dyDescent="0.3">
      <c r="A29" s="54">
        <v>160</v>
      </c>
      <c r="B29" s="33">
        <v>2.3983815346493031</v>
      </c>
      <c r="L29" s="50">
        <v>9</v>
      </c>
      <c r="M29" s="21">
        <f>$N$14 + $S$3 *'Множеств. регрессия'!B10</f>
        <v>131.28406814777955</v>
      </c>
      <c r="N29" s="21">
        <f>$N$14 + $S$3 *'Множеств. регрессия'!C10</f>
        <v>232.97715833312623</v>
      </c>
      <c r="O29" s="21">
        <f>$N$14 + $S$3 *'Множеств. регрессия'!D10</f>
        <v>131.28406814777955</v>
      </c>
    </row>
    <row r="30" spans="1:15" x14ac:dyDescent="0.3">
      <c r="A30" s="54">
        <v>339.4</v>
      </c>
      <c r="B30" s="33">
        <v>32.888474001302143</v>
      </c>
      <c r="L30" s="50">
        <v>10</v>
      </c>
      <c r="M30" s="21">
        <f>$N$14 + $S$3 *'Множеств. регрессия'!B11</f>
        <v>273.65439440726487</v>
      </c>
      <c r="N30" s="21">
        <f>$N$14 + $S$3 *'Множеств. регрессия'!C11</f>
        <v>156.70734069411623</v>
      </c>
      <c r="O30" s="21">
        <f>$N$14 + $S$3 *'Множеств. регрессия'!D11</f>
        <v>436.36333870381958</v>
      </c>
    </row>
    <row r="31" spans="1:15" x14ac:dyDescent="0.3">
      <c r="A31" s="54">
        <v>159.6</v>
      </c>
      <c r="B31" s="33">
        <v>10.991642857762372</v>
      </c>
      <c r="L31" s="50">
        <v>11</v>
      </c>
      <c r="M31" s="21">
        <f>$N$14 + $S$3 *'Множеств. регрессия'!B12</f>
        <v>169.41897696728455</v>
      </c>
      <c r="N31" s="21">
        <f>$N$14 + $S$3 *'Множеств. регрессия'!C12</f>
        <v>309.24697597213623</v>
      </c>
      <c r="O31" s="21">
        <f>$N$14 + $S$3 *'Множеств. регрессия'!D12</f>
        <v>207.55388578678955</v>
      </c>
    </row>
    <row r="32" spans="1:15" x14ac:dyDescent="0.3">
      <c r="A32" s="54">
        <v>88.3</v>
      </c>
      <c r="B32" s="33">
        <v>18.959214271143424</v>
      </c>
      <c r="L32" s="50">
        <v>12</v>
      </c>
      <c r="M32" s="21">
        <f>$N$14 + $S$3 *'Множеств. регрессия'!B13</f>
        <v>105.86079560144286</v>
      </c>
      <c r="N32" s="21">
        <f>$N$14 + $S$3 *'Множеств. регрессия'!C13</f>
        <v>334.67024851847287</v>
      </c>
      <c r="O32" s="21">
        <f>$N$14 + $S$3 *'Множеств. регрессия'!D13</f>
        <v>232.97715833312623</v>
      </c>
    </row>
    <row r="33" spans="1:15" x14ac:dyDescent="0.3">
      <c r="A33" s="54">
        <v>237.5</v>
      </c>
      <c r="B33" s="33">
        <v>19.280303743567288</v>
      </c>
      <c r="L33" s="50">
        <v>13</v>
      </c>
      <c r="M33" s="21">
        <f>$N$14 + $S$3 *'Множеств. регрессия'!B14</f>
        <v>182.13061324045287</v>
      </c>
      <c r="N33" s="21">
        <f>$N$14 + $S$3 *'Множеств. регрессия'!C14</f>
        <v>182.13061324045287</v>
      </c>
      <c r="O33" s="21">
        <f>$N$14 + $S$3 *'Множеств. регрессия'!D14</f>
        <v>283.82370342579958</v>
      </c>
    </row>
    <row r="34" spans="1:15" x14ac:dyDescent="0.3">
      <c r="A34" s="54">
        <v>107.2</v>
      </c>
      <c r="B34" s="33">
        <v>-49.817922765776174</v>
      </c>
      <c r="L34" s="50">
        <v>14</v>
      </c>
      <c r="M34" s="21">
        <f>$N$14 + $S$3 *'Множеств. регрессия'!B15</f>
        <v>156.70734069411623</v>
      </c>
      <c r="N34" s="21">
        <f>$N$14 + $S$3 *'Множеств. регрессия'!C15</f>
        <v>283.82370342579958</v>
      </c>
      <c r="O34" s="21">
        <f>$N$14 + $S$3 *'Множеств. регрессия'!D15</f>
        <v>131.28406814777955</v>
      </c>
    </row>
    <row r="35" spans="1:15" ht="15" thickBot="1" x14ac:dyDescent="0.35">
      <c r="A35" s="54">
        <v>155</v>
      </c>
      <c r="B35" s="34">
        <v>36.116986053728851</v>
      </c>
      <c r="L35" s="50">
        <v>15</v>
      </c>
      <c r="M35" s="21">
        <f>$N$14 + $S$3 *'Множеств. регрессия'!B16</f>
        <v>118.5724318746112</v>
      </c>
      <c r="N35" s="21">
        <f>$N$14 + $S$3 *'Множеств. регрессия'!C16</f>
        <v>283.82370342579958</v>
      </c>
      <c r="O35" s="21">
        <f>$N$14 + $S$3 *'Множеств. регрессия'!D16</f>
        <v>131.28406814777955</v>
      </c>
    </row>
    <row r="36" spans="1:15" x14ac:dyDescent="0.3">
      <c r="M36" s="19" t="s">
        <v>299</v>
      </c>
      <c r="N36" s="19" t="s">
        <v>299</v>
      </c>
      <c r="O36" s="19" t="s">
        <v>299</v>
      </c>
    </row>
    <row r="37" spans="1:15" x14ac:dyDescent="0.3">
      <c r="M37" s="21">
        <f>AVERAGE(M21:M35)</f>
        <v>169.08000000000004</v>
      </c>
      <c r="N37" s="21">
        <f t="shared" ref="N37:O37" si="1">AVERAGE(N21:N35)</f>
        <v>260.09531571588531</v>
      </c>
      <c r="O37" s="21">
        <f t="shared" si="1"/>
        <v>248.23112186092825</v>
      </c>
    </row>
    <row r="39" spans="1:15" x14ac:dyDescent="0.3">
      <c r="M39" t="s">
        <v>300</v>
      </c>
    </row>
    <row r="40" spans="1:15" x14ac:dyDescent="0.3">
      <c r="M40">
        <f>S3* B18/M37</f>
        <v>0.82498830161797465</v>
      </c>
      <c r="N40">
        <f>S4 * C18 /N37</f>
        <v>-0.45328865582845329</v>
      </c>
      <c r="O40">
        <f>S5 *D18/O37</f>
        <v>-9.3746468117957338E-2</v>
      </c>
    </row>
  </sheetData>
  <mergeCells count="12">
    <mergeCell ref="I11:K11"/>
    <mergeCell ref="I12:K12"/>
    <mergeCell ref="I1:K1"/>
    <mergeCell ref="I2:K2"/>
    <mergeCell ref="M19:O19"/>
    <mergeCell ref="N9:T9"/>
    <mergeCell ref="P16:Q16"/>
    <mergeCell ref="M12:Q12"/>
    <mergeCell ref="M13:N13"/>
    <mergeCell ref="P13:Q13"/>
    <mergeCell ref="P14:Q14"/>
    <mergeCell ref="P15:Q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4D07-36F0-41EF-A2F0-F6FFDAC6AA6C}">
  <dimension ref="A1:I41"/>
  <sheetViews>
    <sheetView workbookViewId="0">
      <selection activeCell="B16" sqref="B16:B20"/>
    </sheetView>
  </sheetViews>
  <sheetFormatPr defaultRowHeight="14.4" x14ac:dyDescent="0.3"/>
  <cols>
    <col min="1" max="1" width="24.88671875" bestFit="1" customWidth="1"/>
    <col min="2" max="2" width="16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134</v>
      </c>
    </row>
    <row r="2" spans="1:9" ht="15" thickBot="1" x14ac:dyDescent="0.35"/>
    <row r="3" spans="1:9" x14ac:dyDescent="0.3">
      <c r="A3" s="36" t="s">
        <v>135</v>
      </c>
      <c r="B3" s="36"/>
    </row>
    <row r="4" spans="1:9" x14ac:dyDescent="0.3">
      <c r="A4" s="33" t="s">
        <v>136</v>
      </c>
      <c r="B4" s="33">
        <v>0.95117377284151272</v>
      </c>
    </row>
    <row r="5" spans="1:9" x14ac:dyDescent="0.3">
      <c r="A5" s="33" t="s">
        <v>137</v>
      </c>
      <c r="B5" s="33">
        <v>0.9047315461415576</v>
      </c>
    </row>
    <row r="6" spans="1:9" x14ac:dyDescent="0.3">
      <c r="A6" s="33" t="s">
        <v>138</v>
      </c>
      <c r="B6" s="33">
        <v>0.87874924054380055</v>
      </c>
    </row>
    <row r="7" spans="1:9" x14ac:dyDescent="0.3">
      <c r="A7" s="33" t="s">
        <v>139</v>
      </c>
      <c r="B7" s="33">
        <v>27.797770682559907</v>
      </c>
    </row>
    <row r="8" spans="1:9" ht="15" thickBot="1" x14ac:dyDescent="0.35">
      <c r="A8" s="34" t="s">
        <v>140</v>
      </c>
      <c r="B8" s="34">
        <v>15</v>
      </c>
    </row>
    <row r="10" spans="1:9" ht="15" thickBot="1" x14ac:dyDescent="0.35">
      <c r="A10" t="s">
        <v>141</v>
      </c>
    </row>
    <row r="11" spans="1:9" x14ac:dyDescent="0.3">
      <c r="A11" s="35"/>
      <c r="B11" s="35" t="s">
        <v>146</v>
      </c>
      <c r="C11" s="35" t="s">
        <v>147</v>
      </c>
      <c r="D11" s="35" t="s">
        <v>148</v>
      </c>
      <c r="E11" s="35" t="s">
        <v>149</v>
      </c>
      <c r="F11" s="35" t="s">
        <v>150</v>
      </c>
    </row>
    <row r="12" spans="1:9" x14ac:dyDescent="0.3">
      <c r="A12" s="33" t="s">
        <v>142</v>
      </c>
      <c r="B12" s="33">
        <v>3</v>
      </c>
      <c r="C12" s="33">
        <v>80720.387395877944</v>
      </c>
      <c r="D12" s="33">
        <v>26906.795798625983</v>
      </c>
      <c r="E12" s="33">
        <v>34.821064771852264</v>
      </c>
      <c r="F12" s="33">
        <v>6.5543205660127313E-6</v>
      </c>
    </row>
    <row r="13" spans="1:9" x14ac:dyDescent="0.3">
      <c r="A13" s="33" t="s">
        <v>143</v>
      </c>
      <c r="B13" s="33">
        <v>11</v>
      </c>
      <c r="C13" s="33">
        <v>8499.876604122057</v>
      </c>
      <c r="D13" s="33">
        <v>772.71605492018705</v>
      </c>
      <c r="E13" s="33"/>
      <c r="F13" s="33"/>
    </row>
    <row r="14" spans="1:9" ht="15" thickBot="1" x14ac:dyDescent="0.35">
      <c r="A14" s="34" t="s">
        <v>144</v>
      </c>
      <c r="B14" s="34">
        <v>14</v>
      </c>
      <c r="C14" s="34">
        <v>89220.263999999996</v>
      </c>
      <c r="D14" s="34"/>
      <c r="E14" s="34"/>
      <c r="F14" s="34"/>
    </row>
    <row r="15" spans="1:9" ht="15" thickBot="1" x14ac:dyDescent="0.35"/>
    <row r="16" spans="1:9" x14ac:dyDescent="0.3">
      <c r="A16" s="35"/>
      <c r="B16" s="35" t="s">
        <v>151</v>
      </c>
      <c r="C16" s="35" t="s">
        <v>139</v>
      </c>
      <c r="D16" s="35" t="s">
        <v>152</v>
      </c>
      <c r="E16" s="35" t="s">
        <v>153</v>
      </c>
      <c r="F16" s="35" t="s">
        <v>154</v>
      </c>
      <c r="G16" s="35" t="s">
        <v>155</v>
      </c>
      <c r="H16" s="35" t="s">
        <v>156</v>
      </c>
      <c r="I16" s="35" t="s">
        <v>157</v>
      </c>
    </row>
    <row r="17" spans="1:9" x14ac:dyDescent="0.3">
      <c r="A17" s="33" t="s">
        <v>145</v>
      </c>
      <c r="B17" s="33">
        <v>170.76002496198399</v>
      </c>
      <c r="C17" s="33">
        <v>52.086245417834711</v>
      </c>
      <c r="D17" s="33">
        <v>3.2784091767826755</v>
      </c>
      <c r="E17" s="33">
        <v>7.3545205925609038E-3</v>
      </c>
      <c r="F17" s="33">
        <v>56.118971752438611</v>
      </c>
      <c r="G17" s="33">
        <v>285.40107817152921</v>
      </c>
      <c r="H17" s="33">
        <v>56.118971752438611</v>
      </c>
      <c r="I17" s="33">
        <v>285.40107817152921</v>
      </c>
    </row>
    <row r="18" spans="1:9" x14ac:dyDescent="0.3">
      <c r="A18" s="33" t="s">
        <v>158</v>
      </c>
      <c r="B18" s="33">
        <v>25.423272546336669</v>
      </c>
      <c r="C18" s="33">
        <v>4.8642011421252827</v>
      </c>
      <c r="D18" s="33">
        <v>5.226607988342491</v>
      </c>
      <c r="E18" s="33">
        <v>2.8260578065778918E-4</v>
      </c>
      <c r="F18" s="33">
        <v>14.717238016818124</v>
      </c>
      <c r="G18" s="33">
        <v>36.129307075855216</v>
      </c>
      <c r="H18" s="33">
        <v>14.717238016818124</v>
      </c>
      <c r="I18" s="33">
        <v>36.129307075855216</v>
      </c>
    </row>
    <row r="19" spans="1:9" x14ac:dyDescent="0.3">
      <c r="A19" s="33" t="s">
        <v>259</v>
      </c>
      <c r="B19" s="33">
        <v>-13.003484122955607</v>
      </c>
      <c r="C19" s="33">
        <v>3.727756248264388</v>
      </c>
      <c r="D19" s="33">
        <v>-3.4882871241943247</v>
      </c>
      <c r="E19" s="33">
        <v>5.0738447904906435E-3</v>
      </c>
      <c r="F19" s="33">
        <v>-21.208220305824405</v>
      </c>
      <c r="G19" s="33">
        <v>-4.7987479400868072</v>
      </c>
      <c r="H19" s="33">
        <v>-21.208220305824405</v>
      </c>
      <c r="I19" s="33">
        <v>-4.7987479400868072</v>
      </c>
    </row>
    <row r="20" spans="1:9" ht="15" thickBot="1" x14ac:dyDescent="0.35">
      <c r="A20" s="34" t="s">
        <v>260</v>
      </c>
      <c r="B20" s="34">
        <v>-2.7059059245837549</v>
      </c>
      <c r="C20" s="34">
        <v>2.3150959821930761</v>
      </c>
      <c r="D20" s="34">
        <v>-1.1688093907970361</v>
      </c>
      <c r="E20" s="34">
        <v>0.26718628017721274</v>
      </c>
      <c r="F20" s="34">
        <v>-7.8013978255784915</v>
      </c>
      <c r="G20" s="34">
        <v>2.3895859764109817</v>
      </c>
      <c r="H20" s="34">
        <v>-7.8013978255784915</v>
      </c>
      <c r="I20" s="34">
        <v>2.3895859764109817</v>
      </c>
    </row>
    <row r="24" spans="1:9" x14ac:dyDescent="0.3">
      <c r="A24" t="s">
        <v>159</v>
      </c>
    </row>
    <row r="25" spans="1:9" ht="15" thickBot="1" x14ac:dyDescent="0.35"/>
    <row r="26" spans="1:9" x14ac:dyDescent="0.3">
      <c r="A26" s="35" t="s">
        <v>160</v>
      </c>
      <c r="B26" s="35" t="s">
        <v>161</v>
      </c>
      <c r="C26" s="35" t="s">
        <v>162</v>
      </c>
    </row>
    <row r="27" spans="1:9" x14ac:dyDescent="0.3">
      <c r="A27" s="33">
        <v>1</v>
      </c>
      <c r="B27" s="33">
        <v>96.165647324518247</v>
      </c>
      <c r="C27" s="33">
        <v>-16.86564732451825</v>
      </c>
    </row>
    <row r="28" spans="1:9" x14ac:dyDescent="0.3">
      <c r="A28" s="33">
        <v>2</v>
      </c>
      <c r="B28" s="33">
        <v>190.3247154356882</v>
      </c>
      <c r="C28" s="33">
        <v>9.7752845643117894</v>
      </c>
    </row>
    <row r="29" spans="1:9" x14ac:dyDescent="0.3">
      <c r="A29" s="33">
        <v>3</v>
      </c>
      <c r="B29" s="33">
        <v>142.90469744328283</v>
      </c>
      <c r="C29" s="33">
        <v>20.295302556717161</v>
      </c>
    </row>
    <row r="30" spans="1:9" x14ac:dyDescent="0.3">
      <c r="A30" s="33">
        <v>4</v>
      </c>
      <c r="B30" s="33">
        <v>237.28499442401434</v>
      </c>
      <c r="C30" s="33">
        <v>-37.184994424014349</v>
      </c>
    </row>
    <row r="31" spans="1:9" x14ac:dyDescent="0.3">
      <c r="A31" s="33">
        <v>5</v>
      </c>
      <c r="B31" s="33">
        <v>158.34458035053339</v>
      </c>
      <c r="C31" s="33">
        <v>-12.344580350533391</v>
      </c>
    </row>
    <row r="32" spans="1:9" x14ac:dyDescent="0.3">
      <c r="A32" s="33">
        <v>6</v>
      </c>
      <c r="B32" s="33">
        <v>183.58193351742148</v>
      </c>
      <c r="C32" s="33">
        <v>-5.8819335174214871</v>
      </c>
    </row>
    <row r="33" spans="1:3" x14ac:dyDescent="0.3">
      <c r="A33" s="33">
        <v>7</v>
      </c>
      <c r="B33" s="33">
        <v>43.917513182519926</v>
      </c>
      <c r="C33" s="33">
        <v>-13.017513182519927</v>
      </c>
    </row>
    <row r="34" spans="1:3" x14ac:dyDescent="0.3">
      <c r="A34" s="33">
        <v>8</v>
      </c>
      <c r="B34" s="33">
        <v>307.49299801839834</v>
      </c>
      <c r="C34" s="33">
        <v>-15.592998018398362</v>
      </c>
    </row>
    <row r="35" spans="1:3" x14ac:dyDescent="0.3">
      <c r="A35" s="33">
        <v>9</v>
      </c>
      <c r="B35" s="33">
        <v>157.6016184653507</v>
      </c>
      <c r="C35" s="33">
        <v>2.3983815346493031</v>
      </c>
    </row>
    <row r="36" spans="1:3" x14ac:dyDescent="0.3">
      <c r="A36" s="33">
        <v>10</v>
      </c>
      <c r="B36" s="33">
        <v>306.51152599869783</v>
      </c>
      <c r="C36" s="33">
        <v>32.888474001302143</v>
      </c>
    </row>
    <row r="37" spans="1:3" x14ac:dyDescent="0.3">
      <c r="A37" s="33">
        <v>11</v>
      </c>
      <c r="B37" s="33">
        <v>148.60835714223762</v>
      </c>
      <c r="C37" s="33">
        <v>10.991642857762372</v>
      </c>
    </row>
    <row r="38" spans="1:3" x14ac:dyDescent="0.3">
      <c r="A38" s="33">
        <v>12</v>
      </c>
      <c r="B38" s="33">
        <v>69.340785728856574</v>
      </c>
      <c r="C38" s="33">
        <v>18.959214271143424</v>
      </c>
    </row>
    <row r="39" spans="1:3" x14ac:dyDescent="0.3">
      <c r="A39" s="33">
        <v>13</v>
      </c>
      <c r="B39" s="33">
        <v>218.21969625643271</v>
      </c>
      <c r="C39" s="33">
        <v>19.280303743567288</v>
      </c>
    </row>
    <row r="40" spans="1:3" x14ac:dyDescent="0.3">
      <c r="A40" s="33">
        <v>14</v>
      </c>
      <c r="B40" s="33">
        <v>157.01792276577618</v>
      </c>
      <c r="C40" s="33">
        <v>-49.817922765776174</v>
      </c>
    </row>
    <row r="41" spans="1:3" ht="15" thickBot="1" x14ac:dyDescent="0.35">
      <c r="A41" s="34">
        <v>15</v>
      </c>
      <c r="B41" s="34">
        <v>118.88301394627115</v>
      </c>
      <c r="C41" s="34">
        <v>36.116986053728851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3C28-413F-4700-95AA-CD9B22CDB9B0}">
  <dimension ref="A1:E5"/>
  <sheetViews>
    <sheetView workbookViewId="0">
      <selection activeCell="C3" sqref="C3:E5"/>
    </sheetView>
  </sheetViews>
  <sheetFormatPr defaultRowHeight="14.4" x14ac:dyDescent="0.3"/>
  <cols>
    <col min="2" max="4" width="12.6640625" bestFit="1" customWidth="1"/>
    <col min="5" max="5" width="10.88671875" bestFit="1" customWidth="1"/>
  </cols>
  <sheetData>
    <row r="1" spans="1:5" x14ac:dyDescent="0.3">
      <c r="A1" s="35"/>
      <c r="B1" s="35" t="s">
        <v>132</v>
      </c>
      <c r="C1" s="35" t="s">
        <v>133</v>
      </c>
      <c r="D1" s="35" t="s">
        <v>267</v>
      </c>
      <c r="E1" s="35" t="s">
        <v>268</v>
      </c>
    </row>
    <row r="2" spans="1:5" x14ac:dyDescent="0.3">
      <c r="A2" s="33" t="s">
        <v>132</v>
      </c>
      <c r="B2" s="33">
        <v>1</v>
      </c>
      <c r="C2" s="33"/>
      <c r="D2" s="33"/>
      <c r="E2" s="33"/>
    </row>
    <row r="3" spans="1:5" x14ac:dyDescent="0.3">
      <c r="A3" s="33" t="s">
        <v>133</v>
      </c>
      <c r="B3" s="33">
        <v>0.89098996643461392</v>
      </c>
      <c r="C3" s="33">
        <v>1</v>
      </c>
      <c r="D3" s="33"/>
      <c r="E3" s="33"/>
    </row>
    <row r="4" spans="1:5" x14ac:dyDescent="0.3">
      <c r="A4" s="33" t="s">
        <v>267</v>
      </c>
      <c r="B4" s="33">
        <v>-0.79768295339325546</v>
      </c>
      <c r="C4" s="33">
        <v>-0.61744081068609558</v>
      </c>
      <c r="D4" s="33">
        <v>1</v>
      </c>
      <c r="E4" s="33"/>
    </row>
    <row r="5" spans="1:5" ht="15" thickBot="1" x14ac:dyDescent="0.35">
      <c r="A5" s="34" t="s">
        <v>268</v>
      </c>
      <c r="B5" s="34">
        <v>0.53419240575691118</v>
      </c>
      <c r="C5" s="34">
        <v>0.66184877183508251</v>
      </c>
      <c r="D5" s="34">
        <v>-0.47252274802696259</v>
      </c>
      <c r="E5" s="3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7E86-4427-44B8-B972-E8C1A270F775}">
  <dimension ref="A1:H16"/>
  <sheetViews>
    <sheetView workbookViewId="0">
      <selection activeCell="H5" sqref="E5:H5"/>
    </sheetView>
  </sheetViews>
  <sheetFormatPr defaultRowHeight="14.4" x14ac:dyDescent="0.3"/>
  <sheetData>
    <row r="1" spans="1:8" x14ac:dyDescent="0.3">
      <c r="A1" s="19" t="s">
        <v>91</v>
      </c>
      <c r="B1" s="19" t="s">
        <v>257</v>
      </c>
      <c r="C1" s="19" t="s">
        <v>258</v>
      </c>
      <c r="E1" s="113" t="s">
        <v>213</v>
      </c>
      <c r="F1" s="113"/>
      <c r="G1" s="113"/>
    </row>
    <row r="2" spans="1:8" x14ac:dyDescent="0.3">
      <c r="A2" s="54">
        <v>79.3</v>
      </c>
      <c r="B2" s="54">
        <v>10</v>
      </c>
      <c r="C2" s="54">
        <v>3</v>
      </c>
      <c r="E2" s="113" t="s">
        <v>270</v>
      </c>
      <c r="F2" s="113"/>
      <c r="G2" s="113"/>
    </row>
    <row r="3" spans="1:8" x14ac:dyDescent="0.3">
      <c r="A3" s="54">
        <v>200.1</v>
      </c>
      <c r="B3" s="54">
        <v>8</v>
      </c>
      <c r="C3" s="54">
        <v>6</v>
      </c>
    </row>
    <row r="4" spans="1:8" x14ac:dyDescent="0.3">
      <c r="A4" s="54">
        <v>163.19999999999999</v>
      </c>
      <c r="B4" s="54">
        <v>12</v>
      </c>
      <c r="C4" s="54">
        <v>9</v>
      </c>
    </row>
    <row r="5" spans="1:8" x14ac:dyDescent="0.3">
      <c r="A5" s="54">
        <v>200.1</v>
      </c>
      <c r="B5" s="54">
        <v>7</v>
      </c>
      <c r="C5" s="54">
        <v>16</v>
      </c>
      <c r="E5" t="s">
        <v>200</v>
      </c>
      <c r="F5" t="s">
        <v>271</v>
      </c>
      <c r="G5" t="s">
        <v>272</v>
      </c>
      <c r="H5" t="s">
        <v>273</v>
      </c>
    </row>
    <row r="6" spans="1:8" x14ac:dyDescent="0.3">
      <c r="A6" s="54">
        <v>146</v>
      </c>
      <c r="B6" s="54">
        <v>8</v>
      </c>
      <c r="C6" s="54">
        <v>15</v>
      </c>
    </row>
    <row r="7" spans="1:8" x14ac:dyDescent="0.3">
      <c r="A7" s="54">
        <v>177.7</v>
      </c>
      <c r="B7" s="54">
        <v>12</v>
      </c>
      <c r="C7" s="54">
        <v>9</v>
      </c>
    </row>
    <row r="8" spans="1:8" x14ac:dyDescent="0.3">
      <c r="A8" s="54">
        <v>30.9</v>
      </c>
      <c r="B8" s="54">
        <v>12</v>
      </c>
      <c r="C8" s="54">
        <v>8</v>
      </c>
    </row>
    <row r="9" spans="1:8" x14ac:dyDescent="0.3">
      <c r="A9" s="54">
        <v>291.89999999999998</v>
      </c>
      <c r="B9" s="54">
        <v>5</v>
      </c>
      <c r="C9" s="54">
        <v>10</v>
      </c>
    </row>
    <row r="10" spans="1:8" x14ac:dyDescent="0.3">
      <c r="A10" s="54">
        <v>160</v>
      </c>
      <c r="B10" s="54">
        <v>8</v>
      </c>
      <c r="C10" s="54">
        <v>4</v>
      </c>
    </row>
    <row r="11" spans="1:8" x14ac:dyDescent="0.3">
      <c r="A11" s="54">
        <v>339.4</v>
      </c>
      <c r="B11" s="54">
        <v>5</v>
      </c>
      <c r="C11" s="54">
        <v>16</v>
      </c>
    </row>
    <row r="12" spans="1:8" x14ac:dyDescent="0.3">
      <c r="A12" s="54">
        <v>159.6</v>
      </c>
      <c r="B12" s="54">
        <v>11</v>
      </c>
      <c r="C12" s="54">
        <v>7</v>
      </c>
    </row>
    <row r="13" spans="1:8" x14ac:dyDescent="0.3">
      <c r="A13" s="54">
        <v>88.3</v>
      </c>
      <c r="B13" s="54">
        <v>12</v>
      </c>
      <c r="C13" s="54">
        <v>8</v>
      </c>
    </row>
    <row r="14" spans="1:8" x14ac:dyDescent="0.3">
      <c r="A14" s="54">
        <v>237.5</v>
      </c>
      <c r="B14" s="54">
        <v>6</v>
      </c>
      <c r="C14" s="54">
        <v>10</v>
      </c>
    </row>
    <row r="15" spans="1:8" x14ac:dyDescent="0.3">
      <c r="A15" s="54">
        <v>107.2</v>
      </c>
      <c r="B15" s="54">
        <v>10</v>
      </c>
      <c r="C15" s="54">
        <v>4</v>
      </c>
    </row>
    <row r="16" spans="1:8" x14ac:dyDescent="0.3">
      <c r="A16" s="54">
        <v>155</v>
      </c>
      <c r="B16" s="54">
        <v>10</v>
      </c>
      <c r="C16" s="54">
        <v>4</v>
      </c>
    </row>
  </sheetData>
  <mergeCells count="2">
    <mergeCell ref="E1:G1"/>
    <mergeCell ref="E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0142-AAFD-45BB-831C-5D2D8CA2F582}">
  <dimension ref="A1:I40"/>
  <sheetViews>
    <sheetView workbookViewId="0">
      <selection activeCell="H7" sqref="H7"/>
    </sheetView>
  </sheetViews>
  <sheetFormatPr defaultRowHeight="14.4" x14ac:dyDescent="0.3"/>
  <cols>
    <col min="1" max="1" width="24.88671875" bestFit="1" customWidth="1"/>
    <col min="2" max="2" width="16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664062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134</v>
      </c>
    </row>
    <row r="2" spans="1:9" ht="15" thickBot="1" x14ac:dyDescent="0.35"/>
    <row r="3" spans="1:9" x14ac:dyDescent="0.3">
      <c r="A3" s="36" t="s">
        <v>135</v>
      </c>
      <c r="B3" s="36"/>
    </row>
    <row r="4" spans="1:9" x14ac:dyDescent="0.3">
      <c r="A4" s="33" t="s">
        <v>136</v>
      </c>
      <c r="B4" s="33">
        <v>0.81739928969449926</v>
      </c>
    </row>
    <row r="5" spans="1:9" x14ac:dyDescent="0.3">
      <c r="A5" s="33" t="s">
        <v>137</v>
      </c>
      <c r="B5" s="33">
        <v>0.668141598793072</v>
      </c>
    </row>
    <row r="6" spans="1:9" x14ac:dyDescent="0.3">
      <c r="A6" s="33" t="s">
        <v>138</v>
      </c>
      <c r="B6" s="33">
        <v>0.61283186525858391</v>
      </c>
    </row>
    <row r="7" spans="1:9" x14ac:dyDescent="0.3">
      <c r="A7" s="33" t="s">
        <v>139</v>
      </c>
      <c r="B7" s="33">
        <v>49.672673713605718</v>
      </c>
    </row>
    <row r="8" spans="1:9" ht="15" thickBot="1" x14ac:dyDescent="0.35">
      <c r="A8" s="34" t="s">
        <v>140</v>
      </c>
      <c r="B8" s="34">
        <v>15</v>
      </c>
    </row>
    <row r="10" spans="1:9" ht="15" thickBot="1" x14ac:dyDescent="0.35">
      <c r="A10" t="s">
        <v>141</v>
      </c>
    </row>
    <row r="11" spans="1:9" x14ac:dyDescent="0.3">
      <c r="A11" s="35"/>
      <c r="B11" s="35" t="s">
        <v>146</v>
      </c>
      <c r="C11" s="35" t="s">
        <v>147</v>
      </c>
      <c r="D11" s="35" t="s">
        <v>148</v>
      </c>
      <c r="E11" s="35" t="s">
        <v>149</v>
      </c>
      <c r="F11" s="35" t="s">
        <v>150</v>
      </c>
    </row>
    <row r="12" spans="1:9" x14ac:dyDescent="0.3">
      <c r="A12" s="33" t="s">
        <v>142</v>
      </c>
      <c r="B12" s="33">
        <v>2</v>
      </c>
      <c r="C12" s="33">
        <v>59611.76983369996</v>
      </c>
      <c r="D12" s="33">
        <v>29805.88491684998</v>
      </c>
      <c r="E12" s="33">
        <v>12.080000319951946</v>
      </c>
      <c r="F12" s="33">
        <v>1.3357245228578188E-3</v>
      </c>
    </row>
    <row r="13" spans="1:9" x14ac:dyDescent="0.3">
      <c r="A13" s="33" t="s">
        <v>143</v>
      </c>
      <c r="B13" s="33">
        <v>12</v>
      </c>
      <c r="C13" s="33">
        <v>29608.494166300035</v>
      </c>
      <c r="D13" s="33">
        <v>2467.3745138583363</v>
      </c>
      <c r="E13" s="33"/>
      <c r="F13" s="33"/>
    </row>
    <row r="14" spans="1:9" ht="15" thickBot="1" x14ac:dyDescent="0.35">
      <c r="A14" s="34" t="s">
        <v>144</v>
      </c>
      <c r="B14" s="34">
        <v>14</v>
      </c>
      <c r="C14" s="34">
        <v>89220.263999999996</v>
      </c>
      <c r="D14" s="34"/>
      <c r="E14" s="34"/>
      <c r="F14" s="34"/>
    </row>
    <row r="15" spans="1:9" ht="15" thickBot="1" x14ac:dyDescent="0.35"/>
    <row r="16" spans="1:9" x14ac:dyDescent="0.3">
      <c r="A16" s="35"/>
      <c r="B16" s="35" t="s">
        <v>151</v>
      </c>
      <c r="C16" s="35" t="s">
        <v>139</v>
      </c>
      <c r="D16" s="35" t="s">
        <v>152</v>
      </c>
      <c r="E16" s="35" t="s">
        <v>153</v>
      </c>
      <c r="F16" s="35" t="s">
        <v>154</v>
      </c>
      <c r="G16" s="35" t="s">
        <v>155</v>
      </c>
      <c r="H16" s="35" t="s">
        <v>156</v>
      </c>
      <c r="I16" s="35" t="s">
        <v>157</v>
      </c>
    </row>
    <row r="17" spans="1:9" x14ac:dyDescent="0.3">
      <c r="A17" s="33" t="s">
        <v>145</v>
      </c>
      <c r="B17" s="33">
        <v>336.16829180498343</v>
      </c>
      <c r="C17" s="33">
        <v>73.924124377753174</v>
      </c>
      <c r="D17" s="33">
        <v>4.5474774931003497</v>
      </c>
      <c r="E17" s="33">
        <v>6.6909899228150558E-4</v>
      </c>
      <c r="F17" s="33">
        <v>175.10146118881889</v>
      </c>
      <c r="G17" s="33">
        <v>497.23512242114793</v>
      </c>
      <c r="H17" s="33">
        <v>175.10146118881889</v>
      </c>
      <c r="I17" s="33">
        <v>497.23512242114793</v>
      </c>
    </row>
    <row r="18" spans="1:9" x14ac:dyDescent="0.3">
      <c r="A18" s="33" t="s">
        <v>158</v>
      </c>
      <c r="B18" s="33">
        <v>-21.989329280486345</v>
      </c>
      <c r="C18" s="33">
        <v>5.9104848410690698</v>
      </c>
      <c r="D18" s="33">
        <v>-3.7203934823913674</v>
      </c>
      <c r="E18" s="33">
        <v>2.9247662365420109E-3</v>
      </c>
      <c r="F18" s="33">
        <v>-34.867169481761302</v>
      </c>
      <c r="G18" s="33">
        <v>-9.1114890792113865</v>
      </c>
      <c r="H18" s="33">
        <v>-34.867169481761302</v>
      </c>
      <c r="I18" s="33">
        <v>-9.1114890792113865</v>
      </c>
    </row>
    <row r="19" spans="1:9" ht="15" thickBot="1" x14ac:dyDescent="0.35">
      <c r="A19" s="34" t="s">
        <v>259</v>
      </c>
      <c r="B19" s="34">
        <v>3.7536775586929538</v>
      </c>
      <c r="C19" s="34">
        <v>3.4981007966660012</v>
      </c>
      <c r="D19" s="34">
        <v>1.0730615773766554</v>
      </c>
      <c r="E19" s="34">
        <v>0.30434877834548868</v>
      </c>
      <c r="F19" s="34">
        <v>-3.8680293365520821</v>
      </c>
      <c r="G19" s="34">
        <v>11.37538445393799</v>
      </c>
      <c r="H19" s="34">
        <v>-3.8680293365520821</v>
      </c>
      <c r="I19" s="34">
        <v>11.37538445393799</v>
      </c>
    </row>
    <row r="23" spans="1:9" x14ac:dyDescent="0.3">
      <c r="A23" t="s">
        <v>159</v>
      </c>
    </row>
    <row r="24" spans="1:9" ht="15" thickBot="1" x14ac:dyDescent="0.35"/>
    <row r="25" spans="1:9" x14ac:dyDescent="0.3">
      <c r="A25" s="35" t="s">
        <v>160</v>
      </c>
      <c r="B25" s="35" t="s">
        <v>161</v>
      </c>
      <c r="C25" s="35" t="s">
        <v>162</v>
      </c>
    </row>
    <row r="26" spans="1:9" x14ac:dyDescent="0.3">
      <c r="A26" s="33">
        <v>1</v>
      </c>
      <c r="B26" s="33">
        <v>127.53603167619883</v>
      </c>
      <c r="C26" s="33">
        <v>-48.236031676198834</v>
      </c>
    </row>
    <row r="27" spans="1:9" x14ac:dyDescent="0.3">
      <c r="A27" s="33">
        <v>2</v>
      </c>
      <c r="B27" s="33">
        <v>182.77572291325038</v>
      </c>
      <c r="C27" s="33">
        <v>17.324277086749618</v>
      </c>
    </row>
    <row r="28" spans="1:9" x14ac:dyDescent="0.3">
      <c r="A28" s="33">
        <v>3</v>
      </c>
      <c r="B28" s="33">
        <v>106.07943846738388</v>
      </c>
      <c r="C28" s="33">
        <v>57.120561532616108</v>
      </c>
    </row>
    <row r="29" spans="1:9" x14ac:dyDescent="0.3">
      <c r="A29" s="33">
        <v>4</v>
      </c>
      <c r="B29" s="33">
        <v>242.30182778066626</v>
      </c>
      <c r="C29" s="33">
        <v>-42.201827780666264</v>
      </c>
    </row>
    <row r="30" spans="1:9" x14ac:dyDescent="0.3">
      <c r="A30" s="33">
        <v>5</v>
      </c>
      <c r="B30" s="33">
        <v>216.55882094148697</v>
      </c>
      <c r="C30" s="33">
        <v>-70.558820941486971</v>
      </c>
    </row>
    <row r="31" spans="1:9" x14ac:dyDescent="0.3">
      <c r="A31" s="33">
        <v>6</v>
      </c>
      <c r="B31" s="33">
        <v>106.07943846738388</v>
      </c>
      <c r="C31" s="33">
        <v>71.620561532616108</v>
      </c>
    </row>
    <row r="32" spans="1:9" x14ac:dyDescent="0.3">
      <c r="A32" s="33">
        <v>7</v>
      </c>
      <c r="B32" s="33">
        <v>102.32576090869091</v>
      </c>
      <c r="C32" s="33">
        <v>-71.425760908690904</v>
      </c>
    </row>
    <row r="33" spans="1:3" x14ac:dyDescent="0.3">
      <c r="A33" s="33">
        <v>8</v>
      </c>
      <c r="B33" s="33">
        <v>263.75842098948124</v>
      </c>
      <c r="C33" s="33">
        <v>28.14157901051874</v>
      </c>
    </row>
    <row r="34" spans="1:3" x14ac:dyDescent="0.3">
      <c r="A34" s="33">
        <v>9</v>
      </c>
      <c r="B34" s="33">
        <v>175.26836779586449</v>
      </c>
      <c r="C34" s="33">
        <v>-15.268367795864492</v>
      </c>
    </row>
    <row r="35" spans="1:3" x14ac:dyDescent="0.3">
      <c r="A35" s="33">
        <v>10</v>
      </c>
      <c r="B35" s="33">
        <v>286.28048634163895</v>
      </c>
      <c r="C35" s="33">
        <v>53.119513658361029</v>
      </c>
    </row>
    <row r="36" spans="1:3" x14ac:dyDescent="0.3">
      <c r="A36" s="33">
        <v>11</v>
      </c>
      <c r="B36" s="33">
        <v>120.56141263048431</v>
      </c>
      <c r="C36" s="33">
        <v>39.038587369515682</v>
      </c>
    </row>
    <row r="37" spans="1:3" x14ac:dyDescent="0.3">
      <c r="A37" s="33">
        <v>12</v>
      </c>
      <c r="B37" s="33">
        <v>102.32576090869091</v>
      </c>
      <c r="C37" s="33">
        <v>-14.025760908690913</v>
      </c>
    </row>
    <row r="38" spans="1:3" x14ac:dyDescent="0.3">
      <c r="A38" s="33">
        <v>13</v>
      </c>
      <c r="B38" s="33">
        <v>241.76909170899489</v>
      </c>
      <c r="C38" s="33">
        <v>-4.2690917089948925</v>
      </c>
    </row>
    <row r="39" spans="1:3" x14ac:dyDescent="0.3">
      <c r="A39" s="33">
        <v>14</v>
      </c>
      <c r="B39" s="33">
        <v>131.2897092348918</v>
      </c>
      <c r="C39" s="33">
        <v>-24.089709234891799</v>
      </c>
    </row>
    <row r="40" spans="1:3" ht="15" thickBot="1" x14ac:dyDescent="0.35">
      <c r="A40" s="34">
        <v>15</v>
      </c>
      <c r="B40" s="34">
        <v>131.2897092348918</v>
      </c>
      <c r="C40" s="34">
        <v>23.710290765108198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3F18-3B79-468E-8BA5-999B0A31960C}">
  <dimension ref="A1:N36"/>
  <sheetViews>
    <sheetView topLeftCell="A3" workbookViewId="0">
      <selection activeCell="H25" sqref="H25"/>
    </sheetView>
  </sheetViews>
  <sheetFormatPr defaultRowHeight="14.4" x14ac:dyDescent="0.3"/>
  <sheetData>
    <row r="1" spans="1:14" ht="19.2" thickTop="1" thickBot="1" x14ac:dyDescent="0.35">
      <c r="A1" s="114">
        <v>2019</v>
      </c>
      <c r="B1" s="115"/>
      <c r="C1" s="115"/>
      <c r="D1" s="116"/>
      <c r="E1" s="117">
        <v>2020</v>
      </c>
      <c r="F1" s="118"/>
      <c r="G1" s="118"/>
      <c r="H1" s="119"/>
      <c r="I1" s="120">
        <v>2021</v>
      </c>
      <c r="J1" s="121"/>
      <c r="K1" s="121"/>
      <c r="L1" s="122"/>
      <c r="N1" s="64" t="s">
        <v>314</v>
      </c>
    </row>
    <row r="2" spans="1:14" ht="19.2" thickTop="1" thickBot="1" x14ac:dyDescent="0.35">
      <c r="A2" s="65">
        <v>1</v>
      </c>
      <c r="B2" s="66">
        <v>2</v>
      </c>
      <c r="C2" s="66">
        <v>3</v>
      </c>
      <c r="D2" s="67">
        <v>4</v>
      </c>
      <c r="E2" s="66">
        <v>1</v>
      </c>
      <c r="F2" s="66">
        <v>2</v>
      </c>
      <c r="G2" s="66">
        <v>3</v>
      </c>
      <c r="H2" s="67">
        <v>4</v>
      </c>
      <c r="I2" s="66">
        <v>1</v>
      </c>
      <c r="J2" s="66">
        <v>2</v>
      </c>
      <c r="K2" s="66">
        <v>3</v>
      </c>
      <c r="L2" s="67">
        <v>4</v>
      </c>
      <c r="N2" s="73">
        <v>4</v>
      </c>
    </row>
    <row r="3" spans="1:14" ht="18.600000000000001" thickBot="1" x14ac:dyDescent="0.35">
      <c r="A3" s="68">
        <v>410</v>
      </c>
      <c r="B3" s="69">
        <v>560</v>
      </c>
      <c r="C3" s="69">
        <v>715</v>
      </c>
      <c r="D3" s="70">
        <v>500</v>
      </c>
      <c r="E3" s="69">
        <v>520</v>
      </c>
      <c r="F3" s="69">
        <v>740</v>
      </c>
      <c r="G3" s="69">
        <v>975</v>
      </c>
      <c r="H3" s="70">
        <v>670</v>
      </c>
      <c r="I3" s="69">
        <v>705</v>
      </c>
      <c r="J3" s="69">
        <v>950</v>
      </c>
      <c r="K3" s="69">
        <v>1200</v>
      </c>
      <c r="L3" s="70">
        <v>900</v>
      </c>
    </row>
    <row r="4" spans="1:14" ht="15" thickTop="1" x14ac:dyDescent="0.3"/>
    <row r="5" spans="1:14" ht="18" x14ac:dyDescent="0.3">
      <c r="A5" s="16">
        <v>410</v>
      </c>
      <c r="B5" s="16">
        <v>560</v>
      </c>
      <c r="C5" s="16">
        <v>715</v>
      </c>
      <c r="D5" s="16">
        <v>500</v>
      </c>
      <c r="E5" s="16">
        <v>520</v>
      </c>
      <c r="F5" s="16">
        <v>740</v>
      </c>
      <c r="G5" s="16">
        <v>975</v>
      </c>
      <c r="H5" s="16">
        <v>670</v>
      </c>
      <c r="I5" s="16">
        <v>705</v>
      </c>
      <c r="J5" s="16">
        <v>950</v>
      </c>
      <c r="K5" s="16">
        <v>1200</v>
      </c>
      <c r="L5" s="109" t="s">
        <v>304</v>
      </c>
      <c r="M5" s="62" t="s">
        <v>305</v>
      </c>
    </row>
    <row r="6" spans="1:14" ht="18" x14ac:dyDescent="0.3">
      <c r="A6" s="16">
        <v>560</v>
      </c>
      <c r="B6" s="16">
        <v>715</v>
      </c>
      <c r="C6" s="16">
        <v>500</v>
      </c>
      <c r="D6" s="16">
        <v>520</v>
      </c>
      <c r="E6" s="16">
        <v>740</v>
      </c>
      <c r="F6" s="16">
        <v>975</v>
      </c>
      <c r="G6" s="16">
        <v>670</v>
      </c>
      <c r="H6" s="16">
        <v>705</v>
      </c>
      <c r="I6" s="16">
        <v>950</v>
      </c>
      <c r="J6" s="16">
        <v>1200</v>
      </c>
      <c r="K6" s="16">
        <v>900</v>
      </c>
      <c r="L6" s="109"/>
      <c r="M6" s="19">
        <f>CORREL(A5:K5,A6:K6)</f>
        <v>0.53662539163619305</v>
      </c>
    </row>
    <row r="8" spans="1:14" ht="18" x14ac:dyDescent="0.3">
      <c r="A8" s="16">
        <v>410</v>
      </c>
      <c r="B8" s="16">
        <v>560</v>
      </c>
      <c r="C8" s="16">
        <v>715</v>
      </c>
      <c r="D8" s="16">
        <v>500</v>
      </c>
      <c r="E8" s="16">
        <v>520</v>
      </c>
      <c r="F8" s="16">
        <v>740</v>
      </c>
      <c r="G8" s="16">
        <v>975</v>
      </c>
      <c r="H8" s="16">
        <v>670</v>
      </c>
      <c r="I8" s="16">
        <v>705</v>
      </c>
      <c r="J8" s="16">
        <v>950</v>
      </c>
      <c r="K8" s="109" t="s">
        <v>306</v>
      </c>
      <c r="L8" s="62" t="s">
        <v>305</v>
      </c>
    </row>
    <row r="9" spans="1:14" ht="18" x14ac:dyDescent="0.3">
      <c r="A9" s="16">
        <v>715</v>
      </c>
      <c r="B9" s="16">
        <v>500</v>
      </c>
      <c r="C9" s="16">
        <v>520</v>
      </c>
      <c r="D9" s="16">
        <v>740</v>
      </c>
      <c r="E9" s="16">
        <v>975</v>
      </c>
      <c r="F9" s="16">
        <v>670</v>
      </c>
      <c r="G9" s="16">
        <v>705</v>
      </c>
      <c r="H9" s="16">
        <v>950</v>
      </c>
      <c r="I9" s="16">
        <v>1200</v>
      </c>
      <c r="J9" s="16">
        <v>900</v>
      </c>
      <c r="K9" s="109"/>
      <c r="L9" s="19">
        <f>CORREL(A8:J8,A9:J9)</f>
        <v>8.4997463241187579E-2</v>
      </c>
    </row>
    <row r="11" spans="1:14" ht="18" x14ac:dyDescent="0.3">
      <c r="A11" s="16">
        <v>410</v>
      </c>
      <c r="B11" s="16">
        <v>560</v>
      </c>
      <c r="C11" s="16">
        <v>715</v>
      </c>
      <c r="D11" s="16">
        <v>500</v>
      </c>
      <c r="E11" s="16">
        <v>520</v>
      </c>
      <c r="F11" s="16">
        <v>740</v>
      </c>
      <c r="G11" s="16">
        <v>975</v>
      </c>
      <c r="H11" s="16">
        <v>670</v>
      </c>
      <c r="I11" s="16">
        <v>705</v>
      </c>
      <c r="J11" s="109" t="s">
        <v>307</v>
      </c>
      <c r="K11" s="62" t="s">
        <v>305</v>
      </c>
    </row>
    <row r="12" spans="1:14" ht="18" x14ac:dyDescent="0.3">
      <c r="A12" s="16">
        <v>500</v>
      </c>
      <c r="B12" s="16">
        <v>520</v>
      </c>
      <c r="C12" s="16">
        <v>740</v>
      </c>
      <c r="D12" s="16">
        <v>975</v>
      </c>
      <c r="E12" s="16">
        <v>670</v>
      </c>
      <c r="F12" s="16">
        <v>705</v>
      </c>
      <c r="G12" s="16">
        <v>950</v>
      </c>
      <c r="H12" s="16">
        <v>1200</v>
      </c>
      <c r="I12" s="16">
        <v>900</v>
      </c>
      <c r="J12" s="109"/>
      <c r="K12" s="19">
        <f>CORREL(A11:I11,A12:I12)</f>
        <v>0.44539109934489812</v>
      </c>
    </row>
    <row r="14" spans="1:14" ht="18" x14ac:dyDescent="0.3">
      <c r="A14" s="16">
        <v>410</v>
      </c>
      <c r="B14" s="16">
        <v>560</v>
      </c>
      <c r="C14" s="16">
        <v>715</v>
      </c>
      <c r="D14" s="16">
        <v>500</v>
      </c>
      <c r="E14" s="16">
        <v>520</v>
      </c>
      <c r="F14" s="16">
        <v>740</v>
      </c>
      <c r="G14" s="16">
        <v>975</v>
      </c>
      <c r="H14" s="16">
        <v>670</v>
      </c>
      <c r="I14" s="109" t="s">
        <v>308</v>
      </c>
      <c r="J14" s="62" t="s">
        <v>305</v>
      </c>
    </row>
    <row r="15" spans="1:14" ht="18" x14ac:dyDescent="0.3">
      <c r="A15" s="16">
        <v>520</v>
      </c>
      <c r="B15" s="16">
        <v>740</v>
      </c>
      <c r="C15" s="16">
        <v>975</v>
      </c>
      <c r="D15" s="16">
        <v>670</v>
      </c>
      <c r="E15" s="16">
        <v>705</v>
      </c>
      <c r="F15" s="16">
        <v>950</v>
      </c>
      <c r="G15" s="16">
        <v>1200</v>
      </c>
      <c r="H15" s="16">
        <v>900</v>
      </c>
      <c r="I15" s="109"/>
      <c r="J15" s="19">
        <f>CORREL(A14:H14,A15:H15)</f>
        <v>0.98999826149650105</v>
      </c>
    </row>
    <row r="17" spans="1:9" ht="18" x14ac:dyDescent="0.3">
      <c r="A17" s="16">
        <v>410</v>
      </c>
      <c r="B17" s="16">
        <v>560</v>
      </c>
      <c r="C17" s="16">
        <v>715</v>
      </c>
      <c r="D17" s="16">
        <v>500</v>
      </c>
      <c r="E17" s="16">
        <v>520</v>
      </c>
      <c r="F17" s="16">
        <v>740</v>
      </c>
      <c r="G17" s="16">
        <v>975</v>
      </c>
      <c r="H17" s="109" t="s">
        <v>309</v>
      </c>
      <c r="I17" s="62" t="s">
        <v>305</v>
      </c>
    </row>
    <row r="18" spans="1:9" ht="18" x14ac:dyDescent="0.3">
      <c r="A18" s="16">
        <v>740</v>
      </c>
      <c r="B18" s="16">
        <v>975</v>
      </c>
      <c r="C18" s="16">
        <v>670</v>
      </c>
      <c r="D18" s="16">
        <v>705</v>
      </c>
      <c r="E18" s="16">
        <v>950</v>
      </c>
      <c r="F18" s="16">
        <v>1200</v>
      </c>
      <c r="G18" s="16">
        <v>900</v>
      </c>
      <c r="H18" s="109"/>
      <c r="I18" s="19">
        <f>CORREL(A17:G17,A18:G18)</f>
        <v>0.29420859864217097</v>
      </c>
    </row>
    <row r="20" spans="1:9" ht="18" x14ac:dyDescent="0.3">
      <c r="A20" s="16">
        <v>410</v>
      </c>
      <c r="B20" s="16">
        <v>560</v>
      </c>
      <c r="C20" s="16">
        <v>715</v>
      </c>
      <c r="D20" s="16">
        <v>500</v>
      </c>
      <c r="E20" s="16">
        <v>520</v>
      </c>
      <c r="F20" s="16">
        <v>740</v>
      </c>
      <c r="G20" s="109" t="s">
        <v>310</v>
      </c>
      <c r="H20" s="62" t="s">
        <v>305</v>
      </c>
    </row>
    <row r="21" spans="1:9" ht="18" x14ac:dyDescent="0.3">
      <c r="A21" s="16">
        <v>975</v>
      </c>
      <c r="B21" s="16">
        <v>670</v>
      </c>
      <c r="C21" s="16">
        <v>705</v>
      </c>
      <c r="D21" s="16">
        <v>950</v>
      </c>
      <c r="E21" s="16">
        <v>1200</v>
      </c>
      <c r="F21" s="16">
        <v>900</v>
      </c>
      <c r="G21" s="109"/>
      <c r="H21" s="19">
        <f>CORREL(A20:F20,A21:F21)</f>
        <v>-0.45106182189708971</v>
      </c>
    </row>
    <row r="23" spans="1:9" ht="18" x14ac:dyDescent="0.3">
      <c r="A23" s="16">
        <v>410</v>
      </c>
      <c r="B23" s="16">
        <v>560</v>
      </c>
      <c r="C23" s="16">
        <v>715</v>
      </c>
      <c r="D23" s="16">
        <v>500</v>
      </c>
      <c r="E23" s="16">
        <v>520</v>
      </c>
      <c r="F23" s="109" t="s">
        <v>311</v>
      </c>
      <c r="G23" s="62" t="s">
        <v>305</v>
      </c>
    </row>
    <row r="24" spans="1:9" ht="18" x14ac:dyDescent="0.3">
      <c r="A24" s="16">
        <v>670</v>
      </c>
      <c r="B24" s="16">
        <v>705</v>
      </c>
      <c r="C24" s="16">
        <v>950</v>
      </c>
      <c r="D24" s="16">
        <v>1200</v>
      </c>
      <c r="E24" s="16">
        <v>900</v>
      </c>
      <c r="F24" s="109"/>
      <c r="G24" s="19">
        <f>CORREL(A23:E23,A24:E24)</f>
        <v>0.2392655451175329</v>
      </c>
    </row>
    <row r="26" spans="1:9" ht="18" x14ac:dyDescent="0.3">
      <c r="A26" s="16">
        <v>410</v>
      </c>
      <c r="B26" s="16">
        <v>560</v>
      </c>
      <c r="C26" s="16">
        <v>715</v>
      </c>
      <c r="D26" s="16">
        <v>500</v>
      </c>
      <c r="E26" s="109" t="s">
        <v>312</v>
      </c>
      <c r="F26" s="62" t="s">
        <v>305</v>
      </c>
    </row>
    <row r="27" spans="1:9" ht="18" x14ac:dyDescent="0.3">
      <c r="A27" s="16">
        <v>705</v>
      </c>
      <c r="B27" s="16">
        <v>950</v>
      </c>
      <c r="C27" s="16">
        <v>1200</v>
      </c>
      <c r="D27" s="16">
        <v>900</v>
      </c>
      <c r="E27" s="109"/>
      <c r="F27" s="19">
        <f>CORREL(A26:D26,A27:D27)</f>
        <v>0.9933206673284154</v>
      </c>
    </row>
    <row r="29" spans="1:9" ht="18" x14ac:dyDescent="0.3">
      <c r="A29" s="16">
        <v>410</v>
      </c>
      <c r="B29" s="16">
        <v>560</v>
      </c>
      <c r="C29" s="16">
        <v>715</v>
      </c>
      <c r="D29" s="109" t="s">
        <v>313</v>
      </c>
      <c r="E29" s="62" t="s">
        <v>305</v>
      </c>
    </row>
    <row r="30" spans="1:9" ht="18" x14ac:dyDescent="0.3">
      <c r="A30" s="16">
        <v>950</v>
      </c>
      <c r="B30" s="16">
        <v>1200</v>
      </c>
      <c r="C30" s="16">
        <v>900</v>
      </c>
      <c r="D30" s="109"/>
      <c r="E30" s="19">
        <f>CORREL(A29:C29,A30:C30)</f>
        <v>-0.1648849335031333</v>
      </c>
    </row>
    <row r="32" spans="1:9" ht="18" x14ac:dyDescent="0.3">
      <c r="A32" s="13"/>
      <c r="B32" s="13"/>
      <c r="C32" s="71"/>
      <c r="D32" s="63"/>
    </row>
    <row r="33" spans="1:4" ht="18" x14ac:dyDescent="0.3">
      <c r="A33" s="13"/>
      <c r="B33" s="13"/>
      <c r="C33" s="71"/>
      <c r="D33" s="58"/>
    </row>
    <row r="35" spans="1:4" ht="18" x14ac:dyDescent="0.3">
      <c r="A35" s="13"/>
      <c r="B35" s="71"/>
      <c r="C35" s="63"/>
    </row>
    <row r="36" spans="1:4" ht="18" x14ac:dyDescent="0.3">
      <c r="A36" s="13"/>
      <c r="B36" s="71"/>
      <c r="C36" s="58"/>
    </row>
  </sheetData>
  <mergeCells count="12">
    <mergeCell ref="D29:D30"/>
    <mergeCell ref="J11:J12"/>
    <mergeCell ref="I14:I15"/>
    <mergeCell ref="H17:H18"/>
    <mergeCell ref="G20:G21"/>
    <mergeCell ref="F23:F24"/>
    <mergeCell ref="E26:E27"/>
    <mergeCell ref="A1:D1"/>
    <mergeCell ref="E1:H1"/>
    <mergeCell ref="I1:L1"/>
    <mergeCell ref="L5:L6"/>
    <mergeCell ref="K8:K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70EC-6071-47CE-8164-21376254CCA2}">
  <dimension ref="A1:P12"/>
  <sheetViews>
    <sheetView workbookViewId="0">
      <selection activeCell="F6" sqref="F6"/>
    </sheetView>
  </sheetViews>
  <sheetFormatPr defaultRowHeight="14.4" x14ac:dyDescent="0.3"/>
  <cols>
    <col min="1" max="1" width="15" customWidth="1"/>
  </cols>
  <sheetData>
    <row r="1" spans="1:16" ht="15.6" thickBot="1" x14ac:dyDescent="0.35">
      <c r="A1" s="74" t="s">
        <v>315</v>
      </c>
      <c r="B1" s="75">
        <v>1</v>
      </c>
      <c r="C1" s="75">
        <v>2</v>
      </c>
      <c r="D1" s="75">
        <v>3</v>
      </c>
      <c r="E1" s="75">
        <v>4</v>
      </c>
      <c r="F1" s="75">
        <v>5</v>
      </c>
      <c r="G1" s="75">
        <v>6</v>
      </c>
      <c r="H1" s="75">
        <v>7</v>
      </c>
      <c r="I1" s="75">
        <v>8</v>
      </c>
      <c r="J1" s="76">
        <v>9</v>
      </c>
      <c r="K1" s="76">
        <v>10</v>
      </c>
      <c r="L1" s="76">
        <v>11</v>
      </c>
      <c r="M1" s="76">
        <v>12</v>
      </c>
      <c r="N1" s="76">
        <v>13</v>
      </c>
      <c r="O1" s="76">
        <v>14</v>
      </c>
      <c r="P1" s="76">
        <v>15</v>
      </c>
    </row>
    <row r="2" spans="1:16" ht="15.6" thickBot="1" x14ac:dyDescent="0.35">
      <c r="A2" s="77" t="s">
        <v>316</v>
      </c>
      <c r="B2" s="76">
        <v>14.1</v>
      </c>
      <c r="C2" s="76">
        <v>9.3000000000000007</v>
      </c>
      <c r="D2" s="76">
        <v>19.399999999999999</v>
      </c>
      <c r="E2" s="76">
        <v>19.7</v>
      </c>
      <c r="F2" s="76">
        <v>5.4</v>
      </c>
      <c r="G2" s="76">
        <v>24.2</v>
      </c>
      <c r="H2" s="76">
        <v>13.8</v>
      </c>
      <c r="I2" s="76">
        <v>24.5</v>
      </c>
      <c r="J2" s="76">
        <v>14.7</v>
      </c>
      <c r="K2" s="76">
        <v>16.600000000000001</v>
      </c>
      <c r="L2" s="76">
        <v>5.6</v>
      </c>
      <c r="M2" s="76">
        <v>16.2</v>
      </c>
      <c r="N2" s="76">
        <v>25.3</v>
      </c>
      <c r="O2" s="76">
        <v>11.9</v>
      </c>
      <c r="P2" s="76">
        <v>18.5</v>
      </c>
    </row>
    <row r="5" spans="1:16" x14ac:dyDescent="0.3">
      <c r="B5" s="78"/>
      <c r="C5" s="78"/>
      <c r="D5" s="58"/>
      <c r="E5" s="60" t="s">
        <v>317</v>
      </c>
      <c r="F5" s="19" t="s">
        <v>318</v>
      </c>
      <c r="H5" s="19" t="s">
        <v>321</v>
      </c>
      <c r="I5" s="19">
        <f>E7/F7</f>
        <v>1.2944070768667062</v>
      </c>
      <c r="K5" t="s">
        <v>323</v>
      </c>
    </row>
    <row r="6" spans="1:16" x14ac:dyDescent="0.3">
      <c r="B6" s="58"/>
      <c r="C6" s="78"/>
      <c r="D6" s="79" t="s">
        <v>319</v>
      </c>
      <c r="E6" s="60">
        <f>AVERAGE(B1:I1)</f>
        <v>4.5</v>
      </c>
      <c r="F6" s="60">
        <f>AVERAGE(J1:P1)</f>
        <v>12</v>
      </c>
      <c r="H6" s="19" t="s">
        <v>322</v>
      </c>
      <c r="I6" s="19">
        <v>4.21</v>
      </c>
    </row>
    <row r="7" spans="1:16" x14ac:dyDescent="0.3">
      <c r="B7" s="58"/>
      <c r="C7" s="19" t="s">
        <v>114</v>
      </c>
      <c r="D7" s="19" t="s">
        <v>320</v>
      </c>
      <c r="E7" s="19">
        <f>_xlfn.VAR.S(B2:I2)</f>
        <v>47.102857142857182</v>
      </c>
      <c r="F7" s="19">
        <f>_xlfn.VAR.S(J2:P2)</f>
        <v>36.389523809523858</v>
      </c>
    </row>
    <row r="9" spans="1:16" x14ac:dyDescent="0.3">
      <c r="C9" s="101" t="s">
        <v>324</v>
      </c>
      <c r="D9" s="101"/>
      <c r="F9" s="19" t="s">
        <v>327</v>
      </c>
      <c r="G9" s="19">
        <f xml:space="preserve"> (ABS(C11-D11)/SQRT(7*E7 + 6*F7))*SQRT((8*7*(8+7-2))/(8+7))</f>
        <v>0.22531233510592485</v>
      </c>
    </row>
    <row r="10" spans="1:16" x14ac:dyDescent="0.3">
      <c r="C10" s="19" t="s">
        <v>325</v>
      </c>
      <c r="D10" s="19" t="s">
        <v>326</v>
      </c>
      <c r="F10" s="19" t="s">
        <v>328</v>
      </c>
      <c r="G10" s="19">
        <v>2.16</v>
      </c>
    </row>
    <row r="11" spans="1:16" x14ac:dyDescent="0.3">
      <c r="C11" s="19">
        <f>AVERAGE(B2:I2)</f>
        <v>16.3</v>
      </c>
      <c r="D11" s="19">
        <f>AVERAGE(J2:P2)</f>
        <v>15.542857142857143</v>
      </c>
    </row>
    <row r="12" spans="1:16" x14ac:dyDescent="0.3">
      <c r="F12" t="s">
        <v>329</v>
      </c>
    </row>
  </sheetData>
  <mergeCells count="1">
    <mergeCell ref="C9:D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763B-C3F2-40FC-862C-B8F395B1E115}">
  <dimension ref="A1:Q20"/>
  <sheetViews>
    <sheetView workbookViewId="0">
      <selection activeCell="Q4" sqref="Q4"/>
    </sheetView>
  </sheetViews>
  <sheetFormatPr defaultRowHeight="14.4" x14ac:dyDescent="0.3"/>
  <sheetData>
    <row r="1" spans="1:17" ht="21.6" thickBot="1" x14ac:dyDescent="0.35">
      <c r="A1" s="80" t="s">
        <v>327</v>
      </c>
      <c r="B1" s="81">
        <v>1</v>
      </c>
      <c r="C1" s="81">
        <v>2</v>
      </c>
      <c r="D1" s="81">
        <v>3</v>
      </c>
      <c r="E1" s="81">
        <v>4</v>
      </c>
      <c r="F1" s="81">
        <v>5</v>
      </c>
      <c r="G1" s="81">
        <v>6</v>
      </c>
      <c r="H1" s="81">
        <v>7</v>
      </c>
      <c r="I1" s="81">
        <v>8</v>
      </c>
      <c r="J1" s="81">
        <v>9</v>
      </c>
      <c r="K1" s="81">
        <v>10</v>
      </c>
      <c r="L1" s="81">
        <v>11</v>
      </c>
      <c r="M1" s="81">
        <v>12</v>
      </c>
      <c r="N1" s="81">
        <v>13</v>
      </c>
      <c r="O1" s="81">
        <v>14</v>
      </c>
      <c r="P1" s="81">
        <v>15</v>
      </c>
      <c r="Q1" s="81">
        <v>16</v>
      </c>
    </row>
    <row r="2" spans="1:17" ht="21.6" thickBot="1" x14ac:dyDescent="0.35">
      <c r="A2" s="82" t="s">
        <v>330</v>
      </c>
      <c r="B2" s="83">
        <v>10</v>
      </c>
      <c r="C2" s="83">
        <v>14</v>
      </c>
      <c r="D2" s="83">
        <v>7</v>
      </c>
      <c r="E2" s="83">
        <v>16</v>
      </c>
      <c r="F2" s="83">
        <v>15</v>
      </c>
      <c r="G2" s="83">
        <v>17</v>
      </c>
      <c r="H2" s="83">
        <v>16</v>
      </c>
      <c r="I2" s="83">
        <v>20</v>
      </c>
      <c r="J2" s="83">
        <v>17</v>
      </c>
      <c r="K2" s="83">
        <v>7</v>
      </c>
      <c r="L2" s="83">
        <v>15</v>
      </c>
      <c r="M2" s="83">
        <v>16</v>
      </c>
      <c r="N2" s="83">
        <v>20</v>
      </c>
      <c r="O2" s="83">
        <v>14</v>
      </c>
      <c r="P2" s="83">
        <v>19</v>
      </c>
      <c r="Q2" s="83">
        <v>21</v>
      </c>
    </row>
    <row r="3" spans="1:17" x14ac:dyDescent="0.3">
      <c r="A3" s="123" t="s">
        <v>333</v>
      </c>
      <c r="B3" s="123"/>
      <c r="C3" t="s">
        <v>332</v>
      </c>
      <c r="D3" t="s">
        <v>86</v>
      </c>
      <c r="E3" t="s">
        <v>332</v>
      </c>
      <c r="F3" t="s">
        <v>86</v>
      </c>
      <c r="G3" t="s">
        <v>332</v>
      </c>
      <c r="H3" t="s">
        <v>86</v>
      </c>
      <c r="I3" t="s">
        <v>332</v>
      </c>
      <c r="J3" t="s">
        <v>86</v>
      </c>
      <c r="K3" t="s">
        <v>86</v>
      </c>
      <c r="L3" t="s">
        <v>332</v>
      </c>
      <c r="M3" t="s">
        <v>332</v>
      </c>
      <c r="N3" t="s">
        <v>332</v>
      </c>
      <c r="O3" t="s">
        <v>86</v>
      </c>
      <c r="P3" t="s">
        <v>332</v>
      </c>
      <c r="Q3" t="s">
        <v>332</v>
      </c>
    </row>
    <row r="5" spans="1:17" x14ac:dyDescent="0.3">
      <c r="A5" s="113" t="s">
        <v>331</v>
      </c>
      <c r="B5" s="113"/>
      <c r="C5" s="113"/>
      <c r="D5" s="113"/>
      <c r="E5" s="113"/>
    </row>
    <row r="8" spans="1:17" x14ac:dyDescent="0.3">
      <c r="A8" s="19" t="s">
        <v>337</v>
      </c>
      <c r="B8" s="19"/>
      <c r="C8" s="19"/>
      <c r="D8" s="19">
        <v>10</v>
      </c>
      <c r="F8" t="s">
        <v>334</v>
      </c>
      <c r="G8" t="s">
        <v>335</v>
      </c>
      <c r="H8" t="s">
        <v>336</v>
      </c>
    </row>
    <row r="9" spans="1:17" x14ac:dyDescent="0.3">
      <c r="A9" s="101" t="s">
        <v>345</v>
      </c>
      <c r="B9" s="101"/>
      <c r="C9" s="101"/>
      <c r="D9" s="19">
        <v>16</v>
      </c>
    </row>
    <row r="10" spans="1:17" x14ac:dyDescent="0.3">
      <c r="A10" s="101"/>
      <c r="B10" s="101"/>
      <c r="C10" s="101"/>
      <c r="D10" s="19" t="s">
        <v>335</v>
      </c>
      <c r="F10" t="s">
        <v>341</v>
      </c>
      <c r="G10" t="s">
        <v>342</v>
      </c>
      <c r="H10" t="s">
        <v>344</v>
      </c>
    </row>
    <row r="11" spans="1:17" x14ac:dyDescent="0.3">
      <c r="A11" s="101" t="s">
        <v>338</v>
      </c>
      <c r="B11" s="101"/>
      <c r="C11" s="101"/>
      <c r="D11" s="19">
        <v>11</v>
      </c>
      <c r="G11" t="s">
        <v>343</v>
      </c>
    </row>
    <row r="12" spans="1:17" x14ac:dyDescent="0.3">
      <c r="A12" s="101" t="s">
        <v>339</v>
      </c>
      <c r="B12" s="101"/>
      <c r="C12" s="101"/>
      <c r="D12" s="19">
        <v>3</v>
      </c>
    </row>
    <row r="13" spans="1:17" x14ac:dyDescent="0.3">
      <c r="A13" s="101"/>
      <c r="B13" s="101"/>
      <c r="C13" s="101"/>
      <c r="D13" s="19"/>
    </row>
    <row r="14" spans="1:17" x14ac:dyDescent="0.3">
      <c r="A14" s="19" t="s">
        <v>340</v>
      </c>
      <c r="B14" s="19"/>
      <c r="C14" s="19"/>
      <c r="D14" s="19">
        <f xml:space="preserve"> 1/3*(2*D9 - 1) - 1.96 * SQRT((16 * D9 - 29)/90)</f>
        <v>7.2205582227786218</v>
      </c>
    </row>
    <row r="16" spans="1:17" x14ac:dyDescent="0.3">
      <c r="A16" s="101" t="s">
        <v>346</v>
      </c>
      <c r="B16" s="101"/>
      <c r="C16" s="101"/>
      <c r="D16" s="19">
        <v>9</v>
      </c>
    </row>
    <row r="17" spans="1:6" x14ac:dyDescent="0.3">
      <c r="A17" s="101" t="s">
        <v>347</v>
      </c>
      <c r="B17" s="101"/>
      <c r="C17" s="101"/>
      <c r="D17" s="19">
        <v>6</v>
      </c>
    </row>
    <row r="18" spans="1:6" x14ac:dyDescent="0.3">
      <c r="A18" s="101" t="s">
        <v>348</v>
      </c>
      <c r="B18" s="101"/>
      <c r="C18" s="101"/>
      <c r="D18" s="19">
        <f xml:space="preserve"> (D11- 2 * D16 * D17/(D16+D17))/(2 * D16 * D17/(D16+D17) ^ 1.5)</f>
        <v>2.0440745438316914</v>
      </c>
    </row>
    <row r="19" spans="1:6" x14ac:dyDescent="0.3">
      <c r="A19" s="109" t="s">
        <v>349</v>
      </c>
      <c r="B19" s="101" t="s">
        <v>350</v>
      </c>
      <c r="C19" s="101"/>
      <c r="D19" s="19">
        <f xml:space="preserve"> 1.96</f>
        <v>1.96</v>
      </c>
      <c r="F19" t="s">
        <v>352</v>
      </c>
    </row>
    <row r="20" spans="1:6" x14ac:dyDescent="0.3">
      <c r="A20" s="109"/>
      <c r="B20" s="101" t="s">
        <v>351</v>
      </c>
      <c r="C20" s="101"/>
      <c r="D20" s="19">
        <f xml:space="preserve"> 2.575</f>
        <v>2.5750000000000002</v>
      </c>
      <c r="F20" t="s">
        <v>353</v>
      </c>
    </row>
  </sheetData>
  <mergeCells count="13">
    <mergeCell ref="A3:B3"/>
    <mergeCell ref="A5:E5"/>
    <mergeCell ref="A9:C9"/>
    <mergeCell ref="A12:C12"/>
    <mergeCell ref="A10:C10"/>
    <mergeCell ref="A11:C11"/>
    <mergeCell ref="A19:A20"/>
    <mergeCell ref="B19:C19"/>
    <mergeCell ref="B20:C20"/>
    <mergeCell ref="A13:C13"/>
    <mergeCell ref="A16:C16"/>
    <mergeCell ref="A17:C17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C8C-62AA-44A0-BC83-6F94B8EE5407}">
  <dimension ref="A1:U48"/>
  <sheetViews>
    <sheetView topLeftCell="C16" zoomScaleNormal="100" workbookViewId="0">
      <selection activeCell="E24" sqref="E24:G24"/>
    </sheetView>
  </sheetViews>
  <sheetFormatPr defaultRowHeight="14.4" x14ac:dyDescent="0.3"/>
  <cols>
    <col min="1" max="3" width="20.77734375" customWidth="1"/>
    <col min="10" max="11" width="9.44140625" customWidth="1"/>
    <col min="13" max="14" width="9" bestFit="1" customWidth="1"/>
    <col min="15" max="15" width="9.44140625" bestFit="1" customWidth="1"/>
    <col min="16" max="16" width="9" bestFit="1" customWidth="1"/>
    <col min="17" max="17" width="11.44140625" bestFit="1" customWidth="1"/>
    <col min="18" max="18" width="14.88671875" bestFit="1" customWidth="1"/>
    <col min="19" max="19" width="11.109375" bestFit="1" customWidth="1"/>
    <col min="20" max="20" width="15.6640625" bestFit="1" customWidth="1"/>
    <col min="21" max="21" width="16.5546875" bestFit="1" customWidth="1"/>
  </cols>
  <sheetData>
    <row r="1" spans="1:21" ht="47.4" customHeight="1" x14ac:dyDescent="0.3">
      <c r="A1" s="15" t="s">
        <v>87</v>
      </c>
      <c r="B1" s="15" t="s">
        <v>88</v>
      </c>
      <c r="C1" s="15" t="s">
        <v>89</v>
      </c>
      <c r="M1" s="18" t="s">
        <v>90</v>
      </c>
      <c r="N1" s="18" t="s">
        <v>91</v>
      </c>
      <c r="O1" s="18" t="s">
        <v>92</v>
      </c>
      <c r="P1" s="18" t="s">
        <v>93</v>
      </c>
      <c r="Q1" s="18" t="s">
        <v>94</v>
      </c>
      <c r="R1" s="20" t="s">
        <v>102</v>
      </c>
      <c r="S1" s="20" t="s">
        <v>105</v>
      </c>
      <c r="T1" s="20" t="s">
        <v>110</v>
      </c>
      <c r="U1" s="28" t="s">
        <v>111</v>
      </c>
    </row>
    <row r="2" spans="1:21" ht="18" x14ac:dyDescent="0.3">
      <c r="A2" s="16"/>
      <c r="B2" s="17"/>
      <c r="C2" s="17"/>
      <c r="M2" s="11">
        <v>16</v>
      </c>
      <c r="N2" s="11">
        <v>509</v>
      </c>
      <c r="O2" s="22">
        <f>M2*N2</f>
        <v>8144</v>
      </c>
      <c r="P2" s="21">
        <f>M2^2</f>
        <v>256</v>
      </c>
      <c r="Q2" s="19">
        <f>N2^2</f>
        <v>259081</v>
      </c>
      <c r="R2" s="21">
        <f>$J$18+$K$18*M2</f>
        <v>509.0526043116904</v>
      </c>
      <c r="S2" s="23">
        <f>ABS(N2-R2)/N2</f>
        <v>1.0334835302633012E-4</v>
      </c>
      <c r="T2" s="21">
        <f>(N2-R2)^2</f>
        <v>2.7672136084209674E-3</v>
      </c>
      <c r="U2" s="21">
        <f t="shared" ref="U2:U20" si="0">(M2-M$23)^2</f>
        <v>3.5681221606648235</v>
      </c>
    </row>
    <row r="3" spans="1:21" ht="18" x14ac:dyDescent="0.3">
      <c r="A3" s="16"/>
      <c r="B3" s="17"/>
      <c r="C3" s="17"/>
      <c r="M3" s="11">
        <v>16.5</v>
      </c>
      <c r="N3" s="11">
        <v>514</v>
      </c>
      <c r="O3" s="22">
        <f t="shared" ref="O3:O20" si="1">M3*N3</f>
        <v>8481</v>
      </c>
      <c r="P3" s="21">
        <f t="shared" ref="P3:P20" si="2">M3^2</f>
        <v>272.25</v>
      </c>
      <c r="Q3" s="19">
        <f t="shared" ref="Q3:Q20" si="3">N3^2</f>
        <v>264196</v>
      </c>
      <c r="R3" s="21">
        <f t="shared" ref="R3:R19" si="4">$J$18+$K$18*M3</f>
        <v>517.52293752536946</v>
      </c>
      <c r="S3" s="23">
        <f t="shared" ref="S3:S19" si="5">ABS(N3-R3)/N3</f>
        <v>6.8539640571390215E-3</v>
      </c>
      <c r="T3" s="21">
        <f t="shared" ref="T3:T20" si="6">(N3-R3)^2</f>
        <v>12.411088807656274</v>
      </c>
      <c r="U3" s="21">
        <f t="shared" si="0"/>
        <v>1.9291747922437701</v>
      </c>
    </row>
    <row r="4" spans="1:21" ht="18" x14ac:dyDescent="0.3">
      <c r="A4" s="16">
        <v>3</v>
      </c>
      <c r="B4" s="17">
        <v>16</v>
      </c>
      <c r="C4" s="17">
        <v>509</v>
      </c>
      <c r="M4" s="11">
        <v>16.5</v>
      </c>
      <c r="N4" s="11">
        <v>512</v>
      </c>
      <c r="O4" s="22">
        <f t="shared" si="1"/>
        <v>8448</v>
      </c>
      <c r="P4" s="21">
        <f t="shared" si="2"/>
        <v>272.25</v>
      </c>
      <c r="Q4" s="19">
        <f t="shared" si="3"/>
        <v>262144</v>
      </c>
      <c r="R4" s="21">
        <f t="shared" si="4"/>
        <v>517.52293752536946</v>
      </c>
      <c r="S4" s="23">
        <f t="shared" si="5"/>
        <v>1.0786987354237221E-2</v>
      </c>
      <c r="T4" s="21">
        <f t="shared" si="6"/>
        <v>30.502838909134102</v>
      </c>
      <c r="U4" s="21">
        <f t="shared" si="0"/>
        <v>1.9291747922437701</v>
      </c>
    </row>
    <row r="5" spans="1:21" ht="18" x14ac:dyDescent="0.3">
      <c r="A5" s="16">
        <v>4</v>
      </c>
      <c r="B5" s="17">
        <v>16.5</v>
      </c>
      <c r="C5" s="17">
        <v>514</v>
      </c>
      <c r="M5" s="11">
        <v>16.8</v>
      </c>
      <c r="N5" s="11">
        <v>519</v>
      </c>
      <c r="O5" s="22">
        <f t="shared" si="1"/>
        <v>8719.2000000000007</v>
      </c>
      <c r="P5" s="21">
        <f t="shared" si="2"/>
        <v>282.24</v>
      </c>
      <c r="Q5" s="19">
        <f t="shared" si="3"/>
        <v>269361</v>
      </c>
      <c r="R5" s="21">
        <f t="shared" si="4"/>
        <v>522.60513745357684</v>
      </c>
      <c r="S5" s="23">
        <f t="shared" si="5"/>
        <v>6.9463149394544208E-3</v>
      </c>
      <c r="T5" s="21">
        <f t="shared" si="6"/>
        <v>12.997016059182535</v>
      </c>
      <c r="U5" s="21">
        <f t="shared" si="0"/>
        <v>1.1858063711911362</v>
      </c>
    </row>
    <row r="6" spans="1:21" ht="18" x14ac:dyDescent="0.3">
      <c r="A6" s="16">
        <v>5</v>
      </c>
      <c r="B6" s="17">
        <v>16.5</v>
      </c>
      <c r="C6" s="17">
        <v>512</v>
      </c>
      <c r="M6" s="11">
        <v>16.82</v>
      </c>
      <c r="N6" s="11">
        <v>516</v>
      </c>
      <c r="O6" s="22">
        <f t="shared" si="1"/>
        <v>8679.1200000000008</v>
      </c>
      <c r="P6" s="21">
        <f t="shared" si="2"/>
        <v>282.91239999999999</v>
      </c>
      <c r="Q6" s="19">
        <f t="shared" si="3"/>
        <v>266256</v>
      </c>
      <c r="R6" s="21">
        <f t="shared" si="4"/>
        <v>522.94395078212403</v>
      </c>
      <c r="S6" s="23">
        <f t="shared" si="5"/>
        <v>1.3457268957604717E-2</v>
      </c>
      <c r="T6" s="21">
        <f t="shared" si="6"/>
        <v>48.218452464560983</v>
      </c>
      <c r="U6" s="21">
        <f t="shared" si="0"/>
        <v>1.142648476454295</v>
      </c>
    </row>
    <row r="7" spans="1:21" ht="18" x14ac:dyDescent="0.3">
      <c r="A7" s="16">
        <v>6</v>
      </c>
      <c r="B7" s="17">
        <v>16.8</v>
      </c>
      <c r="C7" s="17">
        <v>519</v>
      </c>
      <c r="M7" s="11">
        <v>17.05</v>
      </c>
      <c r="N7" s="11">
        <v>534</v>
      </c>
      <c r="O7" s="22">
        <f t="shared" si="1"/>
        <v>9104.7000000000007</v>
      </c>
      <c r="P7" s="21">
        <f t="shared" si="2"/>
        <v>290.70250000000004</v>
      </c>
      <c r="Q7" s="19">
        <f t="shared" si="3"/>
        <v>285156</v>
      </c>
      <c r="R7" s="21">
        <f t="shared" si="4"/>
        <v>526.84030406041643</v>
      </c>
      <c r="S7" s="23">
        <f t="shared" si="5"/>
        <v>1.3407670298845639E-2</v>
      </c>
      <c r="T7" s="21">
        <f t="shared" si="6"/>
        <v>51.261245947289474</v>
      </c>
      <c r="U7" s="21">
        <f t="shared" si="0"/>
        <v>0.70383268698060986</v>
      </c>
    </row>
    <row r="8" spans="1:21" ht="18" x14ac:dyDescent="0.3">
      <c r="A8" s="16">
        <v>7</v>
      </c>
      <c r="B8" s="17">
        <v>16.82</v>
      </c>
      <c r="C8" s="17">
        <v>516</v>
      </c>
      <c r="M8" s="11">
        <v>17.28</v>
      </c>
      <c r="N8" s="11">
        <v>537</v>
      </c>
      <c r="O8" s="22">
        <f t="shared" si="1"/>
        <v>9279.36</v>
      </c>
      <c r="P8" s="21">
        <f t="shared" si="2"/>
        <v>298.59840000000003</v>
      </c>
      <c r="Q8" s="19">
        <f t="shared" si="3"/>
        <v>288369</v>
      </c>
      <c r="R8" s="21">
        <f t="shared" si="4"/>
        <v>530.73665733870882</v>
      </c>
      <c r="S8" s="23">
        <f t="shared" si="5"/>
        <v>1.1663580374843904E-2</v>
      </c>
      <c r="T8" s="21">
        <f t="shared" si="6"/>
        <v>39.229461292750031</v>
      </c>
      <c r="U8" s="21">
        <f t="shared" si="0"/>
        <v>0.37081689750692498</v>
      </c>
    </row>
    <row r="9" spans="1:21" ht="18" x14ac:dyDescent="0.3">
      <c r="A9" s="16">
        <v>8</v>
      </c>
      <c r="B9" s="17">
        <v>17.05</v>
      </c>
      <c r="C9" s="17">
        <v>534</v>
      </c>
      <c r="M9" s="11">
        <v>17.350000000000001</v>
      </c>
      <c r="N9" s="11">
        <v>537</v>
      </c>
      <c r="O9" s="22">
        <f t="shared" si="1"/>
        <v>9316.9500000000007</v>
      </c>
      <c r="P9" s="21">
        <f t="shared" si="2"/>
        <v>301.02250000000004</v>
      </c>
      <c r="Q9" s="19">
        <f t="shared" si="3"/>
        <v>288369</v>
      </c>
      <c r="R9" s="21">
        <f t="shared" si="4"/>
        <v>531.92250398862393</v>
      </c>
      <c r="S9" s="23">
        <f t="shared" si="5"/>
        <v>9.4552998349647487E-3</v>
      </c>
      <c r="T9" s="21">
        <f t="shared" si="6"/>
        <v>25.780965745539898</v>
      </c>
      <c r="U9" s="21">
        <f t="shared" si="0"/>
        <v>0.29046426592797736</v>
      </c>
    </row>
    <row r="10" spans="1:21" ht="18" x14ac:dyDescent="0.3">
      <c r="A10" s="16">
        <v>9</v>
      </c>
      <c r="B10" s="17">
        <v>17.28</v>
      </c>
      <c r="C10" s="17">
        <v>537</v>
      </c>
      <c r="M10" s="11">
        <v>17.45</v>
      </c>
      <c r="N10" s="11">
        <v>538</v>
      </c>
      <c r="O10" s="22">
        <f t="shared" si="1"/>
        <v>9388.1</v>
      </c>
      <c r="P10" s="21">
        <f t="shared" si="2"/>
        <v>304.5025</v>
      </c>
      <c r="Q10" s="19">
        <f t="shared" si="3"/>
        <v>289444</v>
      </c>
      <c r="R10" s="21">
        <f t="shared" si="4"/>
        <v>533.61657063135965</v>
      </c>
      <c r="S10" s="23">
        <f t="shared" si="5"/>
        <v>8.1476382316735124E-3</v>
      </c>
      <c r="T10" s="21">
        <f t="shared" si="6"/>
        <v>19.214453029858735</v>
      </c>
      <c r="U10" s="21">
        <f t="shared" si="0"/>
        <v>0.19267479224376879</v>
      </c>
    </row>
    <row r="11" spans="1:21" ht="18" x14ac:dyDescent="0.3">
      <c r="A11" s="16">
        <v>10</v>
      </c>
      <c r="B11" s="17">
        <v>17.350000000000001</v>
      </c>
      <c r="C11" s="17">
        <v>537</v>
      </c>
      <c r="M11" s="11">
        <v>17.899999999999999</v>
      </c>
      <c r="N11" s="11">
        <v>542</v>
      </c>
      <c r="O11" s="22">
        <f t="shared" si="1"/>
        <v>9701.7999999999993</v>
      </c>
      <c r="P11" s="21">
        <f t="shared" si="2"/>
        <v>320.40999999999997</v>
      </c>
      <c r="Q11" s="19">
        <f t="shared" si="3"/>
        <v>293764</v>
      </c>
      <c r="R11" s="21">
        <f t="shared" si="4"/>
        <v>541.23987052367079</v>
      </c>
      <c r="S11" s="23">
        <f t="shared" si="5"/>
        <v>1.4024529083564792E-3</v>
      </c>
      <c r="T11" s="21">
        <f t="shared" si="6"/>
        <v>0.57779682078452155</v>
      </c>
      <c r="U11" s="21">
        <f t="shared" si="0"/>
        <v>1.2216066481989186E-4</v>
      </c>
    </row>
    <row r="12" spans="1:21" ht="18" x14ac:dyDescent="0.3">
      <c r="A12" s="16">
        <v>11</v>
      </c>
      <c r="B12" s="17">
        <v>17.45</v>
      </c>
      <c r="C12" s="17">
        <v>538</v>
      </c>
      <c r="M12" s="11">
        <v>18.3</v>
      </c>
      <c r="N12" s="11">
        <v>550</v>
      </c>
      <c r="O12" s="22">
        <f t="shared" si="1"/>
        <v>10065</v>
      </c>
      <c r="P12" s="21">
        <f t="shared" si="2"/>
        <v>334.89000000000004</v>
      </c>
      <c r="Q12" s="19">
        <f t="shared" si="3"/>
        <v>302500</v>
      </c>
      <c r="R12" s="21">
        <f t="shared" si="4"/>
        <v>548.01613709461412</v>
      </c>
      <c r="S12" s="23">
        <f t="shared" si="5"/>
        <v>3.6070234643379578E-3</v>
      </c>
      <c r="T12" s="21">
        <f t="shared" si="6"/>
        <v>3.9357120273660922</v>
      </c>
      <c r="U12" s="21">
        <f t="shared" si="0"/>
        <v>0.16896426592797764</v>
      </c>
    </row>
    <row r="13" spans="1:21" ht="18" x14ac:dyDescent="0.3">
      <c r="A13" s="16">
        <v>12</v>
      </c>
      <c r="B13" s="17">
        <v>17.899999999999999</v>
      </c>
      <c r="C13" s="17">
        <v>542</v>
      </c>
      <c r="M13" s="11">
        <v>18.5</v>
      </c>
      <c r="N13" s="11">
        <v>552</v>
      </c>
      <c r="O13" s="22">
        <f t="shared" si="1"/>
        <v>10212</v>
      </c>
      <c r="P13" s="21">
        <f t="shared" si="2"/>
        <v>342.25</v>
      </c>
      <c r="Q13" s="19">
        <f t="shared" si="3"/>
        <v>304704</v>
      </c>
      <c r="R13" s="21">
        <f t="shared" si="4"/>
        <v>551.40427038008568</v>
      </c>
      <c r="S13" s="23">
        <f t="shared" si="5"/>
        <v>1.0792203259317444E-3</v>
      </c>
      <c r="T13" s="21">
        <f t="shared" si="6"/>
        <v>0.35489378004326366</v>
      </c>
      <c r="U13" s="21">
        <f t="shared" si="0"/>
        <v>0.37338531855955559</v>
      </c>
    </row>
    <row r="14" spans="1:21" ht="18" x14ac:dyDescent="0.3">
      <c r="A14" s="16">
        <v>13</v>
      </c>
      <c r="B14" s="17">
        <v>18.3</v>
      </c>
      <c r="C14" s="17">
        <v>550</v>
      </c>
      <c r="M14" s="11">
        <v>18.77</v>
      </c>
      <c r="N14" s="11">
        <v>559</v>
      </c>
      <c r="O14" s="22">
        <f t="shared" si="1"/>
        <v>10492.43</v>
      </c>
      <c r="P14" s="21">
        <f t="shared" si="2"/>
        <v>352.31289999999996</v>
      </c>
      <c r="Q14" s="19">
        <f t="shared" si="3"/>
        <v>312481</v>
      </c>
      <c r="R14" s="21">
        <f t="shared" si="4"/>
        <v>555.97825031547245</v>
      </c>
      <c r="S14" s="23">
        <f t="shared" si="5"/>
        <v>5.4056344982603742E-3</v>
      </c>
      <c r="T14" s="21">
        <f t="shared" si="6"/>
        <v>9.1309711559423423</v>
      </c>
      <c r="U14" s="21">
        <f t="shared" si="0"/>
        <v>0.77625373961218591</v>
      </c>
    </row>
    <row r="15" spans="1:21" ht="18" x14ac:dyDescent="0.3">
      <c r="A15" s="16">
        <v>14</v>
      </c>
      <c r="B15" s="17">
        <v>18.5</v>
      </c>
      <c r="C15" s="17">
        <v>552</v>
      </c>
      <c r="E15" t="s">
        <v>186</v>
      </c>
      <c r="M15" s="11">
        <v>18.8</v>
      </c>
      <c r="N15" s="11">
        <v>555</v>
      </c>
      <c r="O15" s="22">
        <f t="shared" si="1"/>
        <v>10434</v>
      </c>
      <c r="P15" s="21">
        <f t="shared" si="2"/>
        <v>353.44000000000005</v>
      </c>
      <c r="Q15" s="19">
        <f t="shared" si="3"/>
        <v>308025</v>
      </c>
      <c r="R15" s="21">
        <f t="shared" si="4"/>
        <v>556.48647030829306</v>
      </c>
      <c r="S15" s="23">
        <f t="shared" si="5"/>
        <v>2.6783248798073235E-3</v>
      </c>
      <c r="T15" s="21">
        <f t="shared" si="6"/>
        <v>2.2095939774368785</v>
      </c>
      <c r="U15" s="21">
        <f t="shared" si="0"/>
        <v>0.83001689750692476</v>
      </c>
    </row>
    <row r="16" spans="1:21" ht="18" x14ac:dyDescent="0.3">
      <c r="A16" s="16">
        <v>15</v>
      </c>
      <c r="B16" s="17">
        <v>18.77</v>
      </c>
      <c r="C16" s="17">
        <v>559</v>
      </c>
      <c r="M16" s="11">
        <v>18.87</v>
      </c>
      <c r="N16" s="11">
        <v>560</v>
      </c>
      <c r="O16" s="22">
        <f t="shared" si="1"/>
        <v>10567.2</v>
      </c>
      <c r="P16" s="21">
        <f t="shared" si="2"/>
        <v>356.07690000000002</v>
      </c>
      <c r="Q16" s="19">
        <f t="shared" si="3"/>
        <v>313600</v>
      </c>
      <c r="R16" s="21">
        <f t="shared" si="4"/>
        <v>557.67231695820828</v>
      </c>
      <c r="S16" s="23">
        <f t="shared" si="5"/>
        <v>4.1565768603423489E-3</v>
      </c>
      <c r="T16" s="21">
        <f t="shared" si="6"/>
        <v>5.4181083430447323</v>
      </c>
      <c r="U16" s="21">
        <f t="shared" si="0"/>
        <v>0.96246426592797785</v>
      </c>
    </row>
    <row r="17" spans="1:21" ht="18" x14ac:dyDescent="0.3">
      <c r="A17" s="16">
        <v>16</v>
      </c>
      <c r="B17" s="17">
        <v>18.8</v>
      </c>
      <c r="C17" s="17">
        <v>555</v>
      </c>
      <c r="E17" s="105" t="s">
        <v>103</v>
      </c>
      <c r="F17" s="106"/>
      <c r="G17" s="105" t="s">
        <v>104</v>
      </c>
      <c r="H17" s="106"/>
      <c r="J17" s="20" t="s">
        <v>100</v>
      </c>
      <c r="K17" s="20" t="s">
        <v>101</v>
      </c>
      <c r="M17" s="11">
        <v>19</v>
      </c>
      <c r="N17" s="11">
        <v>558</v>
      </c>
      <c r="O17" s="22">
        <f t="shared" si="1"/>
        <v>10602</v>
      </c>
      <c r="P17" s="21">
        <f t="shared" si="2"/>
        <v>361</v>
      </c>
      <c r="Q17" s="19">
        <f t="shared" si="3"/>
        <v>311364</v>
      </c>
      <c r="R17" s="21">
        <f t="shared" si="4"/>
        <v>559.87460359376473</v>
      </c>
      <c r="S17" s="23">
        <f t="shared" si="5"/>
        <v>3.3595046483238925E-3</v>
      </c>
      <c r="T17" s="21">
        <f t="shared" si="6"/>
        <v>3.5141386337556488</v>
      </c>
      <c r="U17" s="21">
        <f t="shared" si="0"/>
        <v>1.2344379501385021</v>
      </c>
    </row>
    <row r="18" spans="1:21" ht="18" x14ac:dyDescent="0.3">
      <c r="A18" s="16">
        <v>17</v>
      </c>
      <c r="B18" s="17">
        <v>18.87</v>
      </c>
      <c r="C18" s="17">
        <v>560</v>
      </c>
      <c r="E18" s="102">
        <f>P23-M23^2</f>
        <v>1.1559883656508987</v>
      </c>
      <c r="F18" s="101"/>
      <c r="G18" s="102">
        <f>Q23-N23^2</f>
        <v>346.99722991685849</v>
      </c>
      <c r="H18" s="101"/>
      <c r="J18" s="21">
        <f>N23 - K18*M23</f>
        <v>238.00194147396058</v>
      </c>
      <c r="K18" s="21">
        <f>(O23-M23*N23)/(P23 - M23^2)</f>
        <v>16.940666427358114</v>
      </c>
      <c r="M18" s="11">
        <v>19.2</v>
      </c>
      <c r="N18" s="11">
        <v>560</v>
      </c>
      <c r="O18" s="22">
        <f t="shared" si="1"/>
        <v>10752</v>
      </c>
      <c r="P18" s="21">
        <f t="shared" si="2"/>
        <v>368.64</v>
      </c>
      <c r="Q18" s="19">
        <f t="shared" si="3"/>
        <v>313600</v>
      </c>
      <c r="R18" s="21">
        <f t="shared" si="4"/>
        <v>563.2627368792364</v>
      </c>
      <c r="S18" s="23">
        <f t="shared" si="5"/>
        <v>5.8263158557792846E-3</v>
      </c>
      <c r="T18" s="21">
        <f t="shared" si="6"/>
        <v>10.645451943129279</v>
      </c>
      <c r="U18" s="21">
        <f t="shared" si="0"/>
        <v>1.7188590027700787</v>
      </c>
    </row>
    <row r="19" spans="1:21" ht="18" x14ac:dyDescent="0.3">
      <c r="A19" s="16">
        <v>18</v>
      </c>
      <c r="B19" s="17">
        <v>19</v>
      </c>
      <c r="C19" s="17">
        <v>558</v>
      </c>
      <c r="M19" s="11">
        <v>19.3</v>
      </c>
      <c r="N19" s="11">
        <v>562</v>
      </c>
      <c r="O19" s="22">
        <f t="shared" si="1"/>
        <v>10846.6</v>
      </c>
      <c r="P19" s="21">
        <f t="shared" si="2"/>
        <v>372.49</v>
      </c>
      <c r="Q19" s="19">
        <f t="shared" si="3"/>
        <v>315844</v>
      </c>
      <c r="R19" s="21">
        <f t="shared" si="4"/>
        <v>564.95680352197223</v>
      </c>
      <c r="S19" s="23">
        <f t="shared" si="5"/>
        <v>5.2612162312673186E-3</v>
      </c>
      <c r="T19" s="21">
        <f t="shared" si="6"/>
        <v>8.7426870675474024</v>
      </c>
      <c r="U19" s="21">
        <f t="shared" si="0"/>
        <v>1.9910695290858718</v>
      </c>
    </row>
    <row r="20" spans="1:21" ht="18" x14ac:dyDescent="0.3">
      <c r="A20" s="16">
        <v>19</v>
      </c>
      <c r="B20" s="17">
        <v>19.2</v>
      </c>
      <c r="C20" s="17">
        <v>560</v>
      </c>
      <c r="E20" s="101" t="s">
        <v>106</v>
      </c>
      <c r="F20" s="101"/>
      <c r="G20" s="101" t="s">
        <v>108</v>
      </c>
      <c r="H20" s="101"/>
      <c r="M20" s="11">
        <v>19.5</v>
      </c>
      <c r="N20" s="11">
        <v>566</v>
      </c>
      <c r="O20" s="22">
        <f t="shared" si="1"/>
        <v>11037</v>
      </c>
      <c r="P20" s="21">
        <f t="shared" si="2"/>
        <v>380.25</v>
      </c>
      <c r="Q20" s="19">
        <f t="shared" si="3"/>
        <v>320356</v>
      </c>
      <c r="R20" s="21">
        <f>$J$18+$K$18*M20</f>
        <v>568.34493680744379</v>
      </c>
      <c r="S20" s="23">
        <f>ABS(N20-R20)/N20</f>
        <v>4.1429978930102246E-3</v>
      </c>
      <c r="T20" s="21">
        <f t="shared" si="6"/>
        <v>5.4987286309046608</v>
      </c>
      <c r="U20" s="21">
        <f t="shared" si="0"/>
        <v>2.5954905817174483</v>
      </c>
    </row>
    <row r="21" spans="1:21" ht="18" x14ac:dyDescent="0.3">
      <c r="A21" s="16">
        <v>20</v>
      </c>
      <c r="B21" s="17">
        <v>19.3</v>
      </c>
      <c r="C21" s="17">
        <v>562</v>
      </c>
      <c r="E21" s="102">
        <f>(O23-M23*N23)/(SQRT(E18)*SQRT(G18))</f>
        <v>0.97778690950097613</v>
      </c>
      <c r="F21" s="102"/>
      <c r="G21" s="102">
        <f>E21^2</f>
        <v>0.95606724039147006</v>
      </c>
      <c r="H21" s="102"/>
    </row>
    <row r="22" spans="1:21" ht="18" x14ac:dyDescent="0.3">
      <c r="A22" s="16">
        <v>21</v>
      </c>
      <c r="B22" s="17">
        <v>19.5</v>
      </c>
      <c r="C22" s="17">
        <v>566</v>
      </c>
      <c r="M22" s="19" t="s">
        <v>95</v>
      </c>
      <c r="N22" s="19" t="s">
        <v>96</v>
      </c>
      <c r="O22" s="19" t="s">
        <v>97</v>
      </c>
      <c r="P22" s="19" t="s">
        <v>98</v>
      </c>
      <c r="Q22" s="19" t="s">
        <v>99</v>
      </c>
      <c r="S22" s="24" t="s">
        <v>109</v>
      </c>
      <c r="T22" s="26" t="s">
        <v>114</v>
      </c>
    </row>
    <row r="23" spans="1:21" ht="18" x14ac:dyDescent="0.3">
      <c r="A23" s="13"/>
      <c r="B23" s="14"/>
      <c r="C23" s="14"/>
      <c r="E23" s="107" t="s">
        <v>107</v>
      </c>
      <c r="F23" s="107"/>
      <c r="G23" s="107"/>
      <c r="J23" s="19" t="s">
        <v>119</v>
      </c>
      <c r="M23" s="21">
        <f>AVERAGE(M2:M20)</f>
        <v>17.888947368421054</v>
      </c>
      <c r="N23" s="21">
        <f>AVERAGE(N2:N20)</f>
        <v>541.0526315789474</v>
      </c>
      <c r="O23" s="21">
        <f>AVERAGE(O2:O20)</f>
        <v>9698.4452631578952</v>
      </c>
      <c r="P23" s="21">
        <f>AVERAGE(P2:P20)</f>
        <v>321.17042631578943</v>
      </c>
      <c r="Q23" s="21">
        <f>AVERAGE(Q2:Q20)</f>
        <v>293084.94736842107</v>
      </c>
      <c r="S23" s="25">
        <f>AVERAGE(S2:S20)</f>
        <v>6.1969126298529716E-3</v>
      </c>
      <c r="T23" s="31">
        <f>SUM(T2:T20)/17</f>
        <v>17.038021873502075</v>
      </c>
    </row>
    <row r="24" spans="1:21" ht="18" x14ac:dyDescent="0.3">
      <c r="A24" s="13"/>
      <c r="B24" s="14"/>
      <c r="C24" s="14"/>
      <c r="E24" s="108">
        <f>G21/(1-G21) * (17/1)</f>
        <v>369.95497736726054</v>
      </c>
      <c r="F24" s="108"/>
      <c r="G24" s="108"/>
      <c r="J24" s="19">
        <v>2.1097999999999999</v>
      </c>
    </row>
    <row r="26" spans="1:21" x14ac:dyDescent="0.3">
      <c r="E26" s="29" t="s">
        <v>112</v>
      </c>
      <c r="F26" s="107" t="s">
        <v>113</v>
      </c>
      <c r="G26" s="107"/>
      <c r="H26" s="107"/>
      <c r="J26" s="19" t="s">
        <v>115</v>
      </c>
      <c r="K26" s="19" t="s">
        <v>116</v>
      </c>
    </row>
    <row r="27" spans="1:21" x14ac:dyDescent="0.3">
      <c r="E27" s="30">
        <f>SQRT((SUM(T2:T20)/17)/SUM(U2:U20))</f>
        <v>0.88075689889689557</v>
      </c>
      <c r="F27" s="108">
        <f>K18/E27</f>
        <v>19.234213718422712</v>
      </c>
      <c r="G27" s="108"/>
      <c r="H27" s="108"/>
      <c r="J27" s="21">
        <f>SQRT((T23* SUM(P2:P20))/(19*SUM(U2:U20)))</f>
        <v>15.784245524225538</v>
      </c>
      <c r="K27" s="21">
        <f>J18/J27</f>
        <v>15.078449021125339</v>
      </c>
    </row>
    <row r="29" spans="1:21" x14ac:dyDescent="0.3">
      <c r="E29" s="101" t="s">
        <v>117</v>
      </c>
      <c r="F29" s="101"/>
      <c r="G29" s="101" t="s">
        <v>118</v>
      </c>
      <c r="H29" s="101"/>
    </row>
    <row r="30" spans="1:21" x14ac:dyDescent="0.3">
      <c r="E30" s="102">
        <f>J18 - J24*J27</f>
        <v>204.70034026694955</v>
      </c>
      <c r="F30" s="102"/>
      <c r="G30" s="102">
        <f>J18 + J24*J27</f>
        <v>271.30354268097165</v>
      </c>
      <c r="H30" s="102"/>
      <c r="I30">
        <f>2*J24*J27/J18</f>
        <v>0.27984310548705765</v>
      </c>
    </row>
    <row r="32" spans="1:21" x14ac:dyDescent="0.3">
      <c r="E32" s="19" t="s">
        <v>120</v>
      </c>
      <c r="F32" s="19" t="s">
        <v>121</v>
      </c>
    </row>
    <row r="33" spans="1:12" x14ac:dyDescent="0.3">
      <c r="E33" s="21">
        <f xml:space="preserve"> SQRT((1-G21)/17)</f>
        <v>5.0835813920624397E-2</v>
      </c>
      <c r="F33" s="21">
        <f>E21/E33</f>
        <v>19.234213718456509</v>
      </c>
    </row>
    <row r="36" spans="1:12" x14ac:dyDescent="0.3">
      <c r="A36" s="103" t="s">
        <v>122</v>
      </c>
      <c r="B36" s="101"/>
      <c r="C36" s="101"/>
      <c r="D36" s="104"/>
    </row>
    <row r="37" spans="1:12" x14ac:dyDescent="0.3">
      <c r="D37" s="19" t="s">
        <v>125</v>
      </c>
      <c r="E37" s="19" t="s">
        <v>123</v>
      </c>
      <c r="F37" s="19" t="s">
        <v>124</v>
      </c>
      <c r="G37" s="101" t="s">
        <v>127</v>
      </c>
      <c r="H37" s="101"/>
      <c r="I37" s="101"/>
      <c r="J37" s="101" t="s">
        <v>128</v>
      </c>
      <c r="K37" s="101"/>
      <c r="L37" s="101"/>
    </row>
    <row r="38" spans="1:12" x14ac:dyDescent="0.3">
      <c r="D38" s="19">
        <v>1.1000000000000001</v>
      </c>
      <c r="E38" s="21">
        <f>1.1*M23</f>
        <v>19.67784210526316</v>
      </c>
      <c r="F38" s="21">
        <f xml:space="preserve"> J18 + K18*E38</f>
        <v>571.35770058944604</v>
      </c>
      <c r="G38" s="102">
        <f>T23*(1/19 + ((E38-M23)^2)/SUM(U2:U20))</f>
        <v>3.3791946810991353</v>
      </c>
      <c r="H38" s="102"/>
      <c r="I38" s="102"/>
      <c r="J38" s="102">
        <f xml:space="preserve"> SQRT(T23)*SQRT(1 + 1/17 + ((E38-M23)^2)/SUM(U2:U20))</f>
        <v>4.5302003423748527</v>
      </c>
      <c r="K38" s="102"/>
      <c r="L38" s="102"/>
    </row>
    <row r="39" spans="1:12" x14ac:dyDescent="0.3">
      <c r="E39" s="32"/>
      <c r="F39" s="32"/>
      <c r="G39" s="32"/>
      <c r="H39" s="32"/>
      <c r="I39" s="32"/>
      <c r="J39" s="32"/>
      <c r="K39" s="32"/>
      <c r="L39" s="32"/>
    </row>
    <row r="40" spans="1:12" x14ac:dyDescent="0.3">
      <c r="D40" s="19" t="s">
        <v>126</v>
      </c>
      <c r="E40" s="21" t="s">
        <v>123</v>
      </c>
      <c r="F40" s="21" t="s">
        <v>124</v>
      </c>
      <c r="G40" s="102" t="s">
        <v>127</v>
      </c>
      <c r="H40" s="102"/>
      <c r="I40" s="102"/>
      <c r="J40" s="102" t="s">
        <v>128</v>
      </c>
      <c r="K40" s="102"/>
      <c r="L40" s="102"/>
    </row>
    <row r="41" spans="1:12" x14ac:dyDescent="0.3">
      <c r="D41" s="19">
        <v>1.25</v>
      </c>
      <c r="E41" s="21">
        <f>D41*M23</f>
        <v>22.361184210526318</v>
      </c>
      <c r="F41" s="21">
        <f xml:space="preserve"> J18 + K18*E41</f>
        <v>616.81530410519417</v>
      </c>
      <c r="G41" s="102">
        <f>T23*(1/17 + ((E41-M23)^2)/SUM(U2:U20))</f>
        <v>16.51759087927498</v>
      </c>
      <c r="H41" s="102"/>
      <c r="I41" s="102"/>
      <c r="J41" s="102">
        <f xml:space="preserve"> SQRT(T23)*SQRT(1 + 1/17 + ((E41-M23)^2)/SUM(U2:U20))</f>
        <v>5.7927206693208548</v>
      </c>
      <c r="K41" s="102"/>
      <c r="L41" s="102"/>
    </row>
    <row r="44" spans="1:12" x14ac:dyDescent="0.3">
      <c r="D44" s="19" t="s">
        <v>125</v>
      </c>
      <c r="E44" s="101" t="s">
        <v>129</v>
      </c>
      <c r="F44" s="101"/>
      <c r="G44" s="101" t="s">
        <v>130</v>
      </c>
      <c r="H44" s="101"/>
      <c r="I44" s="19" t="s">
        <v>131</v>
      </c>
    </row>
    <row r="45" spans="1:12" x14ac:dyDescent="0.3">
      <c r="D45" s="19"/>
      <c r="E45" s="102">
        <f>F38 - SQRT(G38)* 2.1098</f>
        <v>567.47934259480724</v>
      </c>
      <c r="F45" s="102"/>
      <c r="G45" s="101">
        <f>F38 + SQRT(G38)* 2.1098</f>
        <v>575.23605858408484</v>
      </c>
      <c r="H45" s="101"/>
      <c r="I45" s="19">
        <f>F38/J38</f>
        <v>126.12194989370492</v>
      </c>
    </row>
    <row r="46" spans="1:12" x14ac:dyDescent="0.3">
      <c r="E46" s="32"/>
    </row>
    <row r="47" spans="1:12" x14ac:dyDescent="0.3">
      <c r="D47" s="19" t="s">
        <v>126</v>
      </c>
      <c r="E47" s="102" t="s">
        <v>129</v>
      </c>
      <c r="F47" s="102"/>
      <c r="G47" s="101" t="s">
        <v>130</v>
      </c>
      <c r="H47" s="101"/>
      <c r="I47" s="19" t="s">
        <v>131</v>
      </c>
    </row>
    <row r="48" spans="1:12" x14ac:dyDescent="0.3">
      <c r="D48" s="19"/>
      <c r="E48" s="102">
        <f t="shared" ref="E48" si="7">F41 - SQRT(G41)* 2.1098</f>
        <v>608.24068888539443</v>
      </c>
      <c r="F48" s="102"/>
      <c r="G48" s="101">
        <f>F41 + SQRT(G41)* 2.1098</f>
        <v>625.38991932499391</v>
      </c>
      <c r="H48" s="101"/>
      <c r="I48" s="19">
        <f t="shared" ref="I48" si="8">F41/J41</f>
        <v>106.48110608404501</v>
      </c>
    </row>
  </sheetData>
  <mergeCells count="33">
    <mergeCell ref="A36:D36"/>
    <mergeCell ref="E17:F17"/>
    <mergeCell ref="G17:H17"/>
    <mergeCell ref="E20:F20"/>
    <mergeCell ref="E21:F21"/>
    <mergeCell ref="E23:G23"/>
    <mergeCell ref="E24:G24"/>
    <mergeCell ref="G20:H20"/>
    <mergeCell ref="G21:H21"/>
    <mergeCell ref="E18:F18"/>
    <mergeCell ref="G18:H18"/>
    <mergeCell ref="F26:H26"/>
    <mergeCell ref="F27:H27"/>
    <mergeCell ref="G41:I41"/>
    <mergeCell ref="J41:L41"/>
    <mergeCell ref="J40:L40"/>
    <mergeCell ref="E29:F29"/>
    <mergeCell ref="G29:H29"/>
    <mergeCell ref="E30:F30"/>
    <mergeCell ref="G30:H30"/>
    <mergeCell ref="G37:I37"/>
    <mergeCell ref="G40:I40"/>
    <mergeCell ref="J37:L37"/>
    <mergeCell ref="G38:I38"/>
    <mergeCell ref="J38:L38"/>
    <mergeCell ref="E44:F44"/>
    <mergeCell ref="E45:F45"/>
    <mergeCell ref="E48:F48"/>
    <mergeCell ref="G45:H45"/>
    <mergeCell ref="G48:H48"/>
    <mergeCell ref="G44:H44"/>
    <mergeCell ref="E47:F47"/>
    <mergeCell ref="G47:H47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6BCF-7A74-425E-BD83-934D642081AB}">
  <dimension ref="A1:W16"/>
  <sheetViews>
    <sheetView workbookViewId="0">
      <selection activeCell="E15" sqref="E15"/>
    </sheetView>
  </sheetViews>
  <sheetFormatPr defaultRowHeight="14.4" x14ac:dyDescent="0.3"/>
  <sheetData>
    <row r="1" spans="1:23" x14ac:dyDescent="0.3">
      <c r="A1" s="19">
        <v>27</v>
      </c>
      <c r="B1" s="19">
        <v>38</v>
      </c>
      <c r="C1" s="19">
        <v>45</v>
      </c>
      <c r="D1" s="19">
        <v>21</v>
      </c>
      <c r="E1" s="19">
        <v>29</v>
      </c>
      <c r="F1" s="19">
        <v>52</v>
      </c>
      <c r="G1" s="19">
        <v>38</v>
      </c>
      <c r="H1" s="19">
        <v>46</v>
      </c>
      <c r="I1" s="19">
        <v>18</v>
      </c>
      <c r="J1" s="19">
        <v>17</v>
      </c>
      <c r="K1" s="19">
        <v>55</v>
      </c>
      <c r="L1" s="19">
        <v>50</v>
      </c>
      <c r="M1" s="19">
        <v>32</v>
      </c>
      <c r="N1" s="19">
        <v>31</v>
      </c>
      <c r="O1" s="19">
        <v>31</v>
      </c>
      <c r="P1" s="19">
        <v>31</v>
      </c>
      <c r="Q1" s="19">
        <v>58</v>
      </c>
      <c r="R1" s="19">
        <v>57</v>
      </c>
      <c r="S1" s="19">
        <v>38</v>
      </c>
      <c r="T1" s="19">
        <v>49</v>
      </c>
      <c r="U1" s="19">
        <v>27</v>
      </c>
      <c r="V1" s="19">
        <v>39</v>
      </c>
      <c r="W1" s="19">
        <v>31</v>
      </c>
    </row>
    <row r="2" spans="1:23" x14ac:dyDescent="0.3">
      <c r="A2" s="19" t="s">
        <v>86</v>
      </c>
      <c r="B2" s="19"/>
      <c r="C2" s="19" t="s">
        <v>332</v>
      </c>
      <c r="D2" s="19" t="s">
        <v>86</v>
      </c>
      <c r="E2" s="19" t="s">
        <v>86</v>
      </c>
      <c r="F2" s="19" t="s">
        <v>332</v>
      </c>
      <c r="G2" s="19"/>
      <c r="H2" s="19" t="s">
        <v>332</v>
      </c>
      <c r="I2" s="19" t="s">
        <v>86</v>
      </c>
      <c r="J2" s="19" t="s">
        <v>86</v>
      </c>
      <c r="K2" s="19" t="s">
        <v>332</v>
      </c>
      <c r="L2" s="19" t="s">
        <v>332</v>
      </c>
      <c r="M2" s="19" t="s">
        <v>86</v>
      </c>
      <c r="N2" s="19" t="s">
        <v>86</v>
      </c>
      <c r="O2" s="19" t="s">
        <v>86</v>
      </c>
      <c r="P2" s="19" t="s">
        <v>86</v>
      </c>
      <c r="Q2" s="19" t="s">
        <v>332</v>
      </c>
      <c r="R2" s="19" t="s">
        <v>332</v>
      </c>
      <c r="S2" s="19"/>
      <c r="T2" s="19" t="s">
        <v>332</v>
      </c>
      <c r="U2" s="19" t="s">
        <v>86</v>
      </c>
      <c r="V2" s="19" t="s">
        <v>332</v>
      </c>
      <c r="W2" s="19" t="s">
        <v>86</v>
      </c>
    </row>
    <row r="4" spans="1:23" x14ac:dyDescent="0.3">
      <c r="A4" s="101" t="s">
        <v>354</v>
      </c>
      <c r="B4" s="101"/>
      <c r="C4" s="101"/>
      <c r="D4" s="19">
        <f>MEDIAN(A1:W1)</f>
        <v>38</v>
      </c>
    </row>
    <row r="6" spans="1:23" x14ac:dyDescent="0.3">
      <c r="A6" s="101" t="s">
        <v>355</v>
      </c>
      <c r="B6" s="101"/>
      <c r="C6" s="101"/>
      <c r="D6" s="19">
        <v>11</v>
      </c>
    </row>
    <row r="7" spans="1:23" x14ac:dyDescent="0.3">
      <c r="A7" s="19" t="s">
        <v>339</v>
      </c>
      <c r="B7" s="19"/>
      <c r="C7" s="19"/>
      <c r="D7" s="19">
        <v>4</v>
      </c>
    </row>
    <row r="9" spans="1:23" x14ac:dyDescent="0.3">
      <c r="A9" s="109" t="s">
        <v>356</v>
      </c>
      <c r="B9" s="109"/>
      <c r="C9" s="109"/>
      <c r="D9" s="19" t="s">
        <v>357</v>
      </c>
      <c r="E9" s="19">
        <f>3.3 * (LOG10(23) + 1)</f>
        <v>7.7937018588580571</v>
      </c>
      <c r="F9" t="s">
        <v>341</v>
      </c>
      <c r="G9" t="s">
        <v>359</v>
      </c>
      <c r="H9" t="s">
        <v>361</v>
      </c>
    </row>
    <row r="10" spans="1:23" x14ac:dyDescent="0.3">
      <c r="A10" s="109"/>
      <c r="B10" s="109"/>
      <c r="C10" s="109"/>
      <c r="D10" s="19" t="s">
        <v>358</v>
      </c>
      <c r="E10" s="19">
        <f>0.5 * (23 + 1 - 1.96 * SQRT(23 - 1))</f>
        <v>7.4033925553730393</v>
      </c>
      <c r="G10" t="s">
        <v>360</v>
      </c>
    </row>
    <row r="12" spans="1:23" x14ac:dyDescent="0.3">
      <c r="A12" s="19" t="s">
        <v>317</v>
      </c>
      <c r="B12" s="19">
        <v>9</v>
      </c>
    </row>
    <row r="13" spans="1:23" x14ac:dyDescent="0.3">
      <c r="A13" s="19" t="s">
        <v>318</v>
      </c>
      <c r="B13" s="19">
        <v>11</v>
      </c>
    </row>
    <row r="15" spans="1:23" x14ac:dyDescent="0.3">
      <c r="A15" s="101" t="s">
        <v>362</v>
      </c>
      <c r="B15" s="101"/>
      <c r="C15" s="19">
        <f xml:space="preserve"> (11 - 2 * B12 *B13 / (B12+B13))/(2*B12*B13/(B12+B13) ^ 1.5)</f>
        <v>0.49690399499995308</v>
      </c>
      <c r="E15" t="s">
        <v>364</v>
      </c>
    </row>
    <row r="16" spans="1:23" x14ac:dyDescent="0.3">
      <c r="E16" t="s">
        <v>363</v>
      </c>
    </row>
  </sheetData>
  <sortState ref="A1:W1">
    <sortCondition ref="A1"/>
  </sortState>
  <mergeCells count="4">
    <mergeCell ref="A15:B15"/>
    <mergeCell ref="A4:C4"/>
    <mergeCell ref="A6:C6"/>
    <mergeCell ref="A9:C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B2D-FFEE-4079-8593-4EA7FF140CAB}">
  <dimension ref="A1:L17"/>
  <sheetViews>
    <sheetView workbookViewId="0">
      <selection activeCell="L5" sqref="L5"/>
    </sheetView>
  </sheetViews>
  <sheetFormatPr defaultRowHeight="14.4" x14ac:dyDescent="0.3"/>
  <cols>
    <col min="1" max="1" width="15.6640625" bestFit="1" customWidth="1"/>
  </cols>
  <sheetData>
    <row r="1" spans="1:12" ht="19.2" thickTop="1" thickBot="1" x14ac:dyDescent="0.35">
      <c r="A1" s="114">
        <v>2019</v>
      </c>
      <c r="B1" s="115"/>
      <c r="C1" s="115"/>
      <c r="D1" s="116"/>
      <c r="E1" s="117">
        <v>2020</v>
      </c>
      <c r="F1" s="118"/>
      <c r="G1" s="118"/>
      <c r="H1" s="119"/>
      <c r="I1" s="117">
        <v>2021</v>
      </c>
      <c r="J1" s="118"/>
      <c r="K1" s="118"/>
      <c r="L1" s="119"/>
    </row>
    <row r="2" spans="1:12" ht="19.2" thickTop="1" thickBot="1" x14ac:dyDescent="0.35">
      <c r="A2" s="65">
        <v>1</v>
      </c>
      <c r="B2" s="66">
        <v>2</v>
      </c>
      <c r="C2" s="66">
        <v>3</v>
      </c>
      <c r="D2" s="67">
        <v>4</v>
      </c>
      <c r="E2" s="66">
        <v>1</v>
      </c>
      <c r="F2" s="66">
        <v>2</v>
      </c>
      <c r="G2" s="66">
        <v>3</v>
      </c>
      <c r="H2" s="67">
        <v>4</v>
      </c>
      <c r="I2" s="66">
        <v>1</v>
      </c>
      <c r="J2" s="66">
        <v>2</v>
      </c>
      <c r="K2" s="66">
        <v>3</v>
      </c>
      <c r="L2" s="67">
        <v>4</v>
      </c>
    </row>
    <row r="3" spans="1:12" ht="18.600000000000001" thickBot="1" x14ac:dyDescent="0.35">
      <c r="A3" s="68">
        <v>410</v>
      </c>
      <c r="B3" s="69">
        <v>560</v>
      </c>
      <c r="C3" s="69">
        <v>715</v>
      </c>
      <c r="D3" s="70">
        <v>500</v>
      </c>
      <c r="E3" s="69">
        <v>520</v>
      </c>
      <c r="F3" s="69">
        <v>740</v>
      </c>
      <c r="G3" s="69">
        <v>975</v>
      </c>
      <c r="H3" s="70">
        <v>670</v>
      </c>
      <c r="I3" s="69">
        <v>705</v>
      </c>
      <c r="J3" s="69">
        <v>950</v>
      </c>
      <c r="K3" s="69">
        <v>1200</v>
      </c>
      <c r="L3" s="70">
        <v>900</v>
      </c>
    </row>
    <row r="4" spans="1:12" ht="15" thickTop="1" x14ac:dyDescent="0.3"/>
    <row r="5" spans="1:12" x14ac:dyDescent="0.3">
      <c r="A5" s="19" t="s">
        <v>96</v>
      </c>
      <c r="B5" s="19">
        <f>AVERAGE(A3:D3)</f>
        <v>546.25</v>
      </c>
      <c r="C5" s="19">
        <f t="shared" ref="C5:J5" si="0">AVERAGE(B3:E3)</f>
        <v>573.75</v>
      </c>
      <c r="D5" s="19">
        <f t="shared" si="0"/>
        <v>618.75</v>
      </c>
      <c r="E5" s="19">
        <f t="shared" si="0"/>
        <v>683.75</v>
      </c>
      <c r="F5" s="19">
        <f t="shared" si="0"/>
        <v>726.25</v>
      </c>
      <c r="G5" s="19">
        <f t="shared" si="0"/>
        <v>772.5</v>
      </c>
      <c r="H5" s="19">
        <f t="shared" si="0"/>
        <v>825</v>
      </c>
      <c r="I5" s="19">
        <f t="shared" si="0"/>
        <v>881.25</v>
      </c>
      <c r="J5" s="19">
        <f t="shared" si="0"/>
        <v>938.75</v>
      </c>
    </row>
    <row r="6" spans="1:12" x14ac:dyDescent="0.3">
      <c r="A6" s="19" t="s">
        <v>365</v>
      </c>
      <c r="B6" s="19"/>
      <c r="C6" s="19">
        <f>AVERAGE(B5:C5)</f>
        <v>560</v>
      </c>
      <c r="D6" s="19">
        <f t="shared" ref="D6:J6" si="1">AVERAGE(C5:D5)</f>
        <v>596.25</v>
      </c>
      <c r="E6" s="19">
        <f t="shared" si="1"/>
        <v>651.25</v>
      </c>
      <c r="F6" s="19">
        <f t="shared" si="1"/>
        <v>705</v>
      </c>
      <c r="G6" s="19">
        <f t="shared" si="1"/>
        <v>749.375</v>
      </c>
      <c r="H6" s="19">
        <f t="shared" si="1"/>
        <v>798.75</v>
      </c>
      <c r="I6" s="19">
        <f t="shared" si="1"/>
        <v>853.125</v>
      </c>
      <c r="J6" s="19">
        <f t="shared" si="1"/>
        <v>910</v>
      </c>
    </row>
    <row r="8" spans="1:12" x14ac:dyDescent="0.3">
      <c r="A8" s="19" t="s">
        <v>366</v>
      </c>
      <c r="B8" s="19"/>
      <c r="C8" s="19">
        <f>C3-C6</f>
        <v>155</v>
      </c>
      <c r="D8" s="19">
        <f t="shared" ref="D8:J8" si="2">D3-D6</f>
        <v>-96.25</v>
      </c>
      <c r="E8" s="19">
        <f t="shared" si="2"/>
        <v>-131.25</v>
      </c>
      <c r="F8" s="19">
        <f t="shared" si="2"/>
        <v>35</v>
      </c>
      <c r="G8" s="19">
        <f t="shared" si="2"/>
        <v>225.625</v>
      </c>
      <c r="H8" s="19">
        <f t="shared" si="2"/>
        <v>-128.75</v>
      </c>
      <c r="I8" s="19">
        <f t="shared" si="2"/>
        <v>-148.125</v>
      </c>
      <c r="J8" s="19">
        <f t="shared" si="2"/>
        <v>40</v>
      </c>
    </row>
    <row r="10" spans="1:12" x14ac:dyDescent="0.3">
      <c r="B10" t="s">
        <v>367</v>
      </c>
    </row>
    <row r="11" spans="1:12" x14ac:dyDescent="0.3">
      <c r="A11" s="72" t="s">
        <v>368</v>
      </c>
      <c r="B11" s="72">
        <v>1</v>
      </c>
      <c r="C11" s="72">
        <v>2</v>
      </c>
      <c r="D11" s="72">
        <v>3</v>
      </c>
      <c r="E11" s="72">
        <v>4</v>
      </c>
    </row>
    <row r="12" spans="1:12" x14ac:dyDescent="0.3">
      <c r="A12" s="72">
        <v>1</v>
      </c>
      <c r="B12" s="72" t="s">
        <v>86</v>
      </c>
      <c r="C12" s="72" t="s">
        <v>86</v>
      </c>
      <c r="D12" s="19">
        <f>C8</f>
        <v>155</v>
      </c>
      <c r="E12" s="19">
        <f>D8</f>
        <v>-96.25</v>
      </c>
    </row>
    <row r="13" spans="1:12" x14ac:dyDescent="0.3">
      <c r="A13" s="72">
        <v>2</v>
      </c>
      <c r="B13" s="72">
        <f>E8</f>
        <v>-131.25</v>
      </c>
      <c r="C13" s="72">
        <f>F8</f>
        <v>35</v>
      </c>
      <c r="D13" s="72">
        <f>G8</f>
        <v>225.625</v>
      </c>
      <c r="E13" s="72">
        <f>H8</f>
        <v>-128.75</v>
      </c>
    </row>
    <row r="14" spans="1:12" x14ac:dyDescent="0.3">
      <c r="A14" s="72">
        <v>3</v>
      </c>
      <c r="B14" s="72">
        <f>I8</f>
        <v>-148.125</v>
      </c>
      <c r="C14" s="72">
        <f>J8</f>
        <v>40</v>
      </c>
      <c r="D14" s="72" t="s">
        <v>86</v>
      </c>
      <c r="E14" s="72" t="s">
        <v>86</v>
      </c>
    </row>
    <row r="15" spans="1:12" x14ac:dyDescent="0.3">
      <c r="G15" s="19" t="s">
        <v>237</v>
      </c>
      <c r="H15" s="19" t="s">
        <v>238</v>
      </c>
    </row>
    <row r="16" spans="1:12" x14ac:dyDescent="0.3">
      <c r="A16" s="19" t="s">
        <v>369</v>
      </c>
      <c r="B16" s="19">
        <f>AVERAGE(B12:B14)</f>
        <v>-139.6875</v>
      </c>
      <c r="C16" s="19">
        <f t="shared" ref="C16:E16" si="3">AVERAGE(C12:C14)</f>
        <v>37.5</v>
      </c>
      <c r="D16" s="19">
        <f t="shared" si="3"/>
        <v>190.3125</v>
      </c>
      <c r="E16" s="19">
        <f t="shared" si="3"/>
        <v>-112.5</v>
      </c>
      <c r="G16" s="39">
        <f>SUM(B16:E16)</f>
        <v>-24.375</v>
      </c>
      <c r="H16" s="19">
        <f>AVERAGE(B16:E16)</f>
        <v>-6.09375</v>
      </c>
    </row>
    <row r="17" spans="1:8" x14ac:dyDescent="0.3">
      <c r="A17" s="19" t="s">
        <v>370</v>
      </c>
      <c r="B17" s="19">
        <f>B16-$H$16</f>
        <v>-133.59375</v>
      </c>
      <c r="C17" s="19">
        <f t="shared" ref="C17:E17" si="4">C16-$H$16</f>
        <v>43.59375</v>
      </c>
      <c r="D17" s="19">
        <f t="shared" si="4"/>
        <v>196.40625</v>
      </c>
      <c r="E17" s="19">
        <f t="shared" si="4"/>
        <v>-106.40625</v>
      </c>
      <c r="G17" s="39">
        <f>SUM(B17:E17)</f>
        <v>0</v>
      </c>
      <c r="H17" s="19">
        <f>AVERAGE(B17:E17)</f>
        <v>0</v>
      </c>
    </row>
  </sheetData>
  <mergeCells count="3">
    <mergeCell ref="A1:D1"/>
    <mergeCell ref="E1:H1"/>
    <mergeCell ref="I1:L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F795-B417-4195-B646-2DB7359B2EEC}">
  <dimension ref="A1:H15"/>
  <sheetViews>
    <sheetView workbookViewId="0">
      <selection activeCell="L22" sqref="L22"/>
    </sheetView>
  </sheetViews>
  <sheetFormatPr defaultRowHeight="14.4" x14ac:dyDescent="0.3"/>
  <cols>
    <col min="3" max="3" width="17.33203125" bestFit="1" customWidth="1"/>
    <col min="4" max="4" width="11" bestFit="1" customWidth="1"/>
    <col min="5" max="5" width="9" bestFit="1" customWidth="1"/>
    <col min="6" max="6" width="11" bestFit="1" customWidth="1"/>
    <col min="7" max="7" width="9.6640625" bestFit="1" customWidth="1"/>
    <col min="8" max="8" width="9.21875" customWidth="1"/>
  </cols>
  <sheetData>
    <row r="1" spans="1:8" x14ac:dyDescent="0.3">
      <c r="A1" s="19" t="s">
        <v>327</v>
      </c>
      <c r="B1" s="19" t="s">
        <v>91</v>
      </c>
      <c r="C1" s="19" t="s">
        <v>372</v>
      </c>
      <c r="D1" s="39" t="s">
        <v>371</v>
      </c>
      <c r="E1" s="39" t="s">
        <v>314</v>
      </c>
      <c r="F1" s="39" t="s">
        <v>211</v>
      </c>
      <c r="G1" s="39" t="s">
        <v>373</v>
      </c>
      <c r="H1" s="39" t="s">
        <v>374</v>
      </c>
    </row>
    <row r="2" spans="1:8" x14ac:dyDescent="0.3">
      <c r="A2" s="19">
        <v>1</v>
      </c>
      <c r="B2" s="19">
        <v>410</v>
      </c>
      <c r="C2" s="19">
        <f>Сезонная!$B$17</f>
        <v>-133.59375</v>
      </c>
      <c r="D2" s="19">
        <f>B2-C2</f>
        <v>543.59375</v>
      </c>
      <c r="E2" s="19">
        <f xml:space="preserve"> 50.717 * A2 + 407.42</f>
        <v>458.137</v>
      </c>
      <c r="F2" s="19">
        <f>E2 + C2</f>
        <v>324.54325</v>
      </c>
      <c r="G2" s="19">
        <f>D2-E2</f>
        <v>85.45675</v>
      </c>
      <c r="H2" s="84">
        <f>ABS(B2-E2-C2)/B2</f>
        <v>0.20843109756097561</v>
      </c>
    </row>
    <row r="3" spans="1:8" x14ac:dyDescent="0.3">
      <c r="A3" s="19">
        <v>2</v>
      </c>
      <c r="B3" s="19">
        <v>560</v>
      </c>
      <c r="C3" s="19">
        <f>Сезонная!$C$17</f>
        <v>43.59375</v>
      </c>
      <c r="D3" s="19">
        <f t="shared" ref="D3:D13" si="0">B3-C3</f>
        <v>516.40625</v>
      </c>
      <c r="E3" s="19">
        <f t="shared" ref="E3:E13" si="1" xml:space="preserve"> 50.717 * A3 + 407.42</f>
        <v>508.85400000000004</v>
      </c>
      <c r="F3" s="19">
        <f t="shared" ref="F3:F13" si="2">E3 + C3</f>
        <v>552.44775000000004</v>
      </c>
      <c r="G3" s="19">
        <f t="shared" ref="G3:G13" si="3">D3-E3</f>
        <v>7.5522499999999582</v>
      </c>
      <c r="H3" s="84">
        <f t="shared" ref="H3:H13" si="4">ABS(B3-E3-C3)/B3</f>
        <v>1.348616071428564E-2</v>
      </c>
    </row>
    <row r="4" spans="1:8" x14ac:dyDescent="0.3">
      <c r="A4" s="19">
        <v>3</v>
      </c>
      <c r="B4" s="19">
        <v>715</v>
      </c>
      <c r="C4" s="19">
        <f>Сезонная!$D$17</f>
        <v>196.40625</v>
      </c>
      <c r="D4" s="19">
        <f t="shared" si="0"/>
        <v>518.59375</v>
      </c>
      <c r="E4" s="19">
        <f t="shared" si="1"/>
        <v>559.57100000000003</v>
      </c>
      <c r="F4" s="19">
        <f t="shared" si="2"/>
        <v>755.97725000000003</v>
      </c>
      <c r="G4" s="19">
        <f t="shared" si="3"/>
        <v>-40.977250000000026</v>
      </c>
      <c r="H4" s="84">
        <f t="shared" si="4"/>
        <v>5.7310839160839198E-2</v>
      </c>
    </row>
    <row r="5" spans="1:8" x14ac:dyDescent="0.3">
      <c r="A5" s="19">
        <v>4</v>
      </c>
      <c r="B5" s="19">
        <v>500</v>
      </c>
      <c r="C5" s="19">
        <f>Сезонная!$E$17</f>
        <v>-106.40625</v>
      </c>
      <c r="D5" s="19">
        <f t="shared" si="0"/>
        <v>606.40625</v>
      </c>
      <c r="E5" s="19">
        <f t="shared" si="1"/>
        <v>610.28800000000001</v>
      </c>
      <c r="F5" s="19">
        <f t="shared" si="2"/>
        <v>503.88175000000001</v>
      </c>
      <c r="G5" s="19">
        <f t="shared" si="3"/>
        <v>-3.8817500000000109</v>
      </c>
      <c r="H5" s="84">
        <f t="shared" si="4"/>
        <v>7.7635000000000221E-3</v>
      </c>
    </row>
    <row r="6" spans="1:8" x14ac:dyDescent="0.3">
      <c r="A6" s="19">
        <v>5</v>
      </c>
      <c r="B6" s="19">
        <v>520</v>
      </c>
      <c r="C6" s="19">
        <f>Сезонная!$B$17</f>
        <v>-133.59375</v>
      </c>
      <c r="D6" s="19">
        <f t="shared" si="0"/>
        <v>653.59375</v>
      </c>
      <c r="E6" s="19">
        <f t="shared" si="1"/>
        <v>661.005</v>
      </c>
      <c r="F6" s="19">
        <f t="shared" si="2"/>
        <v>527.41125</v>
      </c>
      <c r="G6" s="19">
        <f t="shared" si="3"/>
        <v>-7.4112499999999955</v>
      </c>
      <c r="H6" s="84">
        <f t="shared" si="4"/>
        <v>1.4252403846153838E-2</v>
      </c>
    </row>
    <row r="7" spans="1:8" x14ac:dyDescent="0.3">
      <c r="A7" s="19">
        <v>6</v>
      </c>
      <c r="B7" s="19">
        <v>740</v>
      </c>
      <c r="C7" s="19">
        <f>Сезонная!$C$17</f>
        <v>43.59375</v>
      </c>
      <c r="D7" s="19">
        <f t="shared" si="0"/>
        <v>696.40625</v>
      </c>
      <c r="E7" s="19">
        <f t="shared" si="1"/>
        <v>711.72199999999998</v>
      </c>
      <c r="F7" s="19">
        <f t="shared" si="2"/>
        <v>755.31574999999998</v>
      </c>
      <c r="G7" s="19">
        <f t="shared" si="3"/>
        <v>-15.31574999999998</v>
      </c>
      <c r="H7" s="84">
        <f t="shared" si="4"/>
        <v>2.0696959459459433E-2</v>
      </c>
    </row>
    <row r="8" spans="1:8" x14ac:dyDescent="0.3">
      <c r="A8" s="19">
        <v>7</v>
      </c>
      <c r="B8" s="19">
        <v>975</v>
      </c>
      <c r="C8" s="19">
        <f>Сезонная!$D$17</f>
        <v>196.40625</v>
      </c>
      <c r="D8" s="19">
        <f t="shared" si="0"/>
        <v>778.59375</v>
      </c>
      <c r="E8" s="19">
        <f t="shared" si="1"/>
        <v>762.43900000000008</v>
      </c>
      <c r="F8" s="19">
        <f t="shared" si="2"/>
        <v>958.84525000000008</v>
      </c>
      <c r="G8" s="19">
        <f t="shared" si="3"/>
        <v>16.154749999999922</v>
      </c>
      <c r="H8" s="84">
        <f t="shared" si="4"/>
        <v>1.6568974358974278E-2</v>
      </c>
    </row>
    <row r="9" spans="1:8" x14ac:dyDescent="0.3">
      <c r="A9" s="19">
        <v>8</v>
      </c>
      <c r="B9" s="19">
        <v>670</v>
      </c>
      <c r="C9" s="19">
        <f>Сезонная!$E$17</f>
        <v>-106.40625</v>
      </c>
      <c r="D9" s="19">
        <f t="shared" si="0"/>
        <v>776.40625</v>
      </c>
      <c r="E9" s="19">
        <f t="shared" si="1"/>
        <v>813.15599999999995</v>
      </c>
      <c r="F9" s="19">
        <f t="shared" si="2"/>
        <v>706.74974999999995</v>
      </c>
      <c r="G9" s="19">
        <f t="shared" si="3"/>
        <v>-36.749749999999949</v>
      </c>
      <c r="H9" s="84">
        <f t="shared" si="4"/>
        <v>5.4850373134328285E-2</v>
      </c>
    </row>
    <row r="10" spans="1:8" x14ac:dyDescent="0.3">
      <c r="A10" s="19">
        <v>9</v>
      </c>
      <c r="B10" s="19">
        <v>705</v>
      </c>
      <c r="C10" s="19">
        <f>Сезонная!$B$17</f>
        <v>-133.59375</v>
      </c>
      <c r="D10" s="19">
        <f t="shared" si="0"/>
        <v>838.59375</v>
      </c>
      <c r="E10" s="19">
        <f t="shared" si="1"/>
        <v>863.87300000000005</v>
      </c>
      <c r="F10" s="19">
        <f t="shared" si="2"/>
        <v>730.27925000000005</v>
      </c>
      <c r="G10" s="19">
        <f t="shared" si="3"/>
        <v>-25.279250000000047</v>
      </c>
      <c r="H10" s="84">
        <f t="shared" si="4"/>
        <v>3.585709219858163E-2</v>
      </c>
    </row>
    <row r="11" spans="1:8" x14ac:dyDescent="0.3">
      <c r="A11" s="19">
        <v>10</v>
      </c>
      <c r="B11" s="19">
        <v>950</v>
      </c>
      <c r="C11" s="19">
        <f>Сезонная!$C$17</f>
        <v>43.59375</v>
      </c>
      <c r="D11" s="19">
        <f t="shared" si="0"/>
        <v>906.40625</v>
      </c>
      <c r="E11" s="19">
        <f t="shared" si="1"/>
        <v>914.58999999999992</v>
      </c>
      <c r="F11" s="19">
        <f t="shared" si="2"/>
        <v>958.18374999999992</v>
      </c>
      <c r="G11" s="19">
        <f t="shared" si="3"/>
        <v>-8.1837499999999181</v>
      </c>
      <c r="H11" s="84">
        <f t="shared" si="4"/>
        <v>8.614473684210441E-3</v>
      </c>
    </row>
    <row r="12" spans="1:8" x14ac:dyDescent="0.3">
      <c r="A12" s="19">
        <v>11</v>
      </c>
      <c r="B12" s="19">
        <v>1200</v>
      </c>
      <c r="C12" s="19">
        <f>Сезонная!$D$17</f>
        <v>196.40625</v>
      </c>
      <c r="D12" s="19">
        <f t="shared" si="0"/>
        <v>1003.59375</v>
      </c>
      <c r="E12" s="19">
        <f t="shared" si="1"/>
        <v>965.30700000000002</v>
      </c>
      <c r="F12" s="19">
        <f t="shared" si="2"/>
        <v>1161.71325</v>
      </c>
      <c r="G12" s="19">
        <f t="shared" si="3"/>
        <v>38.286749999999984</v>
      </c>
      <c r="H12" s="84">
        <f t="shared" si="4"/>
        <v>3.1905624999999986E-2</v>
      </c>
    </row>
    <row r="13" spans="1:8" x14ac:dyDescent="0.3">
      <c r="A13" s="19">
        <v>12</v>
      </c>
      <c r="B13" s="19">
        <v>900</v>
      </c>
      <c r="C13" s="19">
        <f>Сезонная!$E$17</f>
        <v>-106.40625</v>
      </c>
      <c r="D13" s="19">
        <f t="shared" si="0"/>
        <v>1006.40625</v>
      </c>
      <c r="E13" s="19">
        <f t="shared" si="1"/>
        <v>1016.0240000000001</v>
      </c>
      <c r="F13" s="19">
        <f t="shared" si="2"/>
        <v>909.61775000000011</v>
      </c>
      <c r="G13" s="19">
        <f t="shared" si="3"/>
        <v>-9.6177500000001146</v>
      </c>
      <c r="H13" s="84">
        <f t="shared" si="4"/>
        <v>1.0686388888889016E-2</v>
      </c>
    </row>
    <row r="14" spans="1:8" x14ac:dyDescent="0.3">
      <c r="H14" s="19" t="s">
        <v>375</v>
      </c>
    </row>
    <row r="15" spans="1:8" x14ac:dyDescent="0.3">
      <c r="H15" s="85">
        <f>AVERAGE(H2:H13)</f>
        <v>4.0035324000558113E-2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1796-8F11-46ED-ACF4-303DA37DFFE8}">
  <dimension ref="A1:K22"/>
  <sheetViews>
    <sheetView workbookViewId="0">
      <selection activeCell="C2" sqref="C2"/>
    </sheetView>
  </sheetViews>
  <sheetFormatPr defaultRowHeight="14.4" x14ac:dyDescent="0.3"/>
  <sheetData>
    <row r="1" spans="1:11" x14ac:dyDescent="0.3">
      <c r="A1" s="86"/>
      <c r="B1" s="86" t="s">
        <v>91</v>
      </c>
      <c r="D1" s="19" t="s">
        <v>376</v>
      </c>
      <c r="E1" s="19" t="s">
        <v>377</v>
      </c>
      <c r="F1" s="19" t="s">
        <v>378</v>
      </c>
      <c r="H1" s="19" t="s">
        <v>379</v>
      </c>
      <c r="I1" s="39" t="s">
        <v>381</v>
      </c>
      <c r="J1" s="39" t="s">
        <v>380</v>
      </c>
      <c r="K1" s="39" t="s">
        <v>119</v>
      </c>
    </row>
    <row r="2" spans="1:11" x14ac:dyDescent="0.3">
      <c r="A2" s="86">
        <v>1</v>
      </c>
      <c r="B2" s="86">
        <v>509</v>
      </c>
      <c r="D2" s="19"/>
      <c r="E2" s="19"/>
      <c r="F2" s="19"/>
      <c r="H2" s="19">
        <f>SUM(F3:F21)</f>
        <v>3</v>
      </c>
      <c r="I2" s="19">
        <f>SQRT(2 * LN(20) - 0.8456)</f>
        <v>2.2684498114589138</v>
      </c>
      <c r="J2" s="19">
        <f>H2/I2</f>
        <v>1.3224890340732742</v>
      </c>
      <c r="K2" s="19">
        <v>2.093</v>
      </c>
    </row>
    <row r="3" spans="1:11" x14ac:dyDescent="0.3">
      <c r="A3" s="86">
        <v>2</v>
      </c>
      <c r="B3" s="86">
        <v>507</v>
      </c>
      <c r="D3" s="19">
        <v>0</v>
      </c>
      <c r="E3" s="19">
        <v>1</v>
      </c>
      <c r="F3" s="19">
        <f>D3-E3</f>
        <v>-1</v>
      </c>
    </row>
    <row r="4" spans="1:11" x14ac:dyDescent="0.3">
      <c r="A4" s="86">
        <v>3</v>
      </c>
      <c r="B4" s="86">
        <v>508</v>
      </c>
      <c r="D4" s="19">
        <v>0</v>
      </c>
      <c r="E4" s="19">
        <v>0</v>
      </c>
      <c r="F4" s="19">
        <f t="shared" ref="F4:F21" si="0">D4-E4</f>
        <v>0</v>
      </c>
      <c r="H4" s="19" t="s">
        <v>382</v>
      </c>
      <c r="J4" t="s">
        <v>383</v>
      </c>
    </row>
    <row r="5" spans="1:11" x14ac:dyDescent="0.3">
      <c r="A5" s="86">
        <v>4</v>
      </c>
      <c r="B5" s="86">
        <v>509</v>
      </c>
      <c r="D5" s="19">
        <v>0</v>
      </c>
      <c r="E5" s="19">
        <v>0</v>
      </c>
      <c r="F5" s="19">
        <f t="shared" si="0"/>
        <v>0</v>
      </c>
      <c r="H5" s="19">
        <v>0.05</v>
      </c>
    </row>
    <row r="6" spans="1:11" x14ac:dyDescent="0.3">
      <c r="A6" s="86">
        <v>5</v>
      </c>
      <c r="B6" s="86">
        <v>518</v>
      </c>
      <c r="D6" s="19">
        <v>1</v>
      </c>
      <c r="E6" s="19">
        <v>0</v>
      </c>
      <c r="F6" s="19">
        <f t="shared" si="0"/>
        <v>1</v>
      </c>
      <c r="H6" s="19" t="s">
        <v>284</v>
      </c>
    </row>
    <row r="7" spans="1:11" x14ac:dyDescent="0.3">
      <c r="A7" s="86">
        <v>6</v>
      </c>
      <c r="B7" s="86">
        <v>515</v>
      </c>
      <c r="D7" s="19">
        <v>0</v>
      </c>
      <c r="E7" s="19">
        <v>0</v>
      </c>
      <c r="F7" s="19">
        <f t="shared" si="0"/>
        <v>0</v>
      </c>
      <c r="H7" s="19">
        <v>20</v>
      </c>
    </row>
    <row r="8" spans="1:11" x14ac:dyDescent="0.3">
      <c r="A8" s="86">
        <v>7</v>
      </c>
      <c r="B8" s="86">
        <v>520</v>
      </c>
      <c r="D8" s="19">
        <v>1</v>
      </c>
      <c r="E8" s="19">
        <v>0</v>
      </c>
      <c r="F8" s="19">
        <f t="shared" si="0"/>
        <v>1</v>
      </c>
    </row>
    <row r="9" spans="1:11" x14ac:dyDescent="0.3">
      <c r="A9" s="86">
        <v>8</v>
      </c>
      <c r="B9" s="86">
        <v>519</v>
      </c>
      <c r="D9" s="19">
        <v>0</v>
      </c>
      <c r="E9" s="19">
        <v>0</v>
      </c>
      <c r="F9" s="19">
        <f t="shared" si="0"/>
        <v>0</v>
      </c>
    </row>
    <row r="10" spans="1:11" x14ac:dyDescent="0.3">
      <c r="A10" s="86">
        <v>9</v>
      </c>
      <c r="B10" s="86">
        <v>512</v>
      </c>
      <c r="D10" s="19">
        <v>0</v>
      </c>
      <c r="E10" s="19">
        <v>0</v>
      </c>
      <c r="F10" s="19">
        <f t="shared" si="0"/>
        <v>0</v>
      </c>
    </row>
    <row r="11" spans="1:11" x14ac:dyDescent="0.3">
      <c r="A11" s="86">
        <v>10</v>
      </c>
      <c r="B11" s="86">
        <v>517</v>
      </c>
      <c r="D11" s="19">
        <v>0</v>
      </c>
      <c r="E11" s="19">
        <v>0</v>
      </c>
      <c r="F11" s="19">
        <f t="shared" si="0"/>
        <v>0</v>
      </c>
    </row>
    <row r="12" spans="1:11" x14ac:dyDescent="0.3">
      <c r="A12" s="86">
        <v>11</v>
      </c>
      <c r="B12" s="86">
        <v>517</v>
      </c>
      <c r="D12" s="19">
        <v>0</v>
      </c>
      <c r="E12" s="19">
        <v>0</v>
      </c>
      <c r="F12" s="19">
        <f t="shared" si="0"/>
        <v>0</v>
      </c>
    </row>
    <row r="13" spans="1:11" x14ac:dyDescent="0.3">
      <c r="A13" s="86">
        <v>12</v>
      </c>
      <c r="B13" s="86">
        <v>524</v>
      </c>
      <c r="D13" s="19">
        <v>1</v>
      </c>
      <c r="E13" s="19">
        <v>0</v>
      </c>
      <c r="F13" s="19">
        <f t="shared" si="0"/>
        <v>1</v>
      </c>
    </row>
    <row r="14" spans="1:11" x14ac:dyDescent="0.3">
      <c r="A14" s="86">
        <v>13</v>
      </c>
      <c r="B14" s="86">
        <v>526</v>
      </c>
      <c r="D14" s="19">
        <v>1</v>
      </c>
      <c r="E14" s="19">
        <v>0</v>
      </c>
      <c r="F14" s="19">
        <f t="shared" si="0"/>
        <v>1</v>
      </c>
    </row>
    <row r="15" spans="1:11" x14ac:dyDescent="0.3">
      <c r="A15" s="86">
        <v>14</v>
      </c>
      <c r="B15" s="86">
        <v>519</v>
      </c>
      <c r="D15" s="19">
        <v>0</v>
      </c>
      <c r="E15" s="19">
        <v>0</v>
      </c>
      <c r="F15" s="19">
        <f t="shared" si="0"/>
        <v>0</v>
      </c>
    </row>
    <row r="16" spans="1:11" x14ac:dyDescent="0.3">
      <c r="A16" s="86">
        <v>15</v>
      </c>
      <c r="B16" s="86">
        <v>514</v>
      </c>
      <c r="D16" s="19">
        <v>0</v>
      </c>
      <c r="E16" s="19">
        <v>0</v>
      </c>
      <c r="F16" s="19">
        <f t="shared" si="0"/>
        <v>0</v>
      </c>
    </row>
    <row r="17" spans="1:6" x14ac:dyDescent="0.3">
      <c r="A17" s="86">
        <v>16</v>
      </c>
      <c r="B17" s="86">
        <v>510</v>
      </c>
      <c r="D17" s="19">
        <v>0</v>
      </c>
      <c r="E17" s="19">
        <v>0</v>
      </c>
      <c r="F17" s="19">
        <f t="shared" si="0"/>
        <v>0</v>
      </c>
    </row>
    <row r="18" spans="1:6" x14ac:dyDescent="0.3">
      <c r="A18" s="86">
        <v>17</v>
      </c>
      <c r="B18" s="86">
        <v>516</v>
      </c>
      <c r="D18" s="19">
        <v>0</v>
      </c>
      <c r="E18" s="19">
        <v>0</v>
      </c>
      <c r="F18" s="19">
        <f t="shared" si="0"/>
        <v>0</v>
      </c>
    </row>
    <row r="19" spans="1:6" x14ac:dyDescent="0.3">
      <c r="A19" s="86">
        <v>18</v>
      </c>
      <c r="B19" s="86">
        <v>518</v>
      </c>
      <c r="D19" s="19">
        <v>0</v>
      </c>
      <c r="E19" s="19">
        <v>0</v>
      </c>
      <c r="F19" s="19">
        <f t="shared" si="0"/>
        <v>0</v>
      </c>
    </row>
    <row r="20" spans="1:6" x14ac:dyDescent="0.3">
      <c r="A20" s="86">
        <v>19</v>
      </c>
      <c r="B20" s="86">
        <v>524</v>
      </c>
      <c r="D20" s="19">
        <v>0</v>
      </c>
      <c r="E20" s="19">
        <v>0</v>
      </c>
      <c r="F20" s="19">
        <f t="shared" si="0"/>
        <v>0</v>
      </c>
    </row>
    <row r="21" spans="1:6" x14ac:dyDescent="0.3">
      <c r="A21" s="86">
        <v>20</v>
      </c>
      <c r="B21" s="86">
        <v>521</v>
      </c>
      <c r="D21" s="19">
        <v>0</v>
      </c>
      <c r="E21" s="19">
        <v>0</v>
      </c>
      <c r="F21" s="19">
        <f t="shared" si="0"/>
        <v>0</v>
      </c>
    </row>
    <row r="22" spans="1:6" x14ac:dyDescent="0.3">
      <c r="A22" s="87"/>
      <c r="B22" s="8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777C-7454-4B8A-A1A1-DB778A6CE012}">
  <dimension ref="A1:AC28"/>
  <sheetViews>
    <sheetView topLeftCell="I1" workbookViewId="0">
      <selection activeCell="AA13" sqref="AA13"/>
    </sheetView>
  </sheetViews>
  <sheetFormatPr defaultRowHeight="14.4" x14ac:dyDescent="0.3"/>
  <cols>
    <col min="1" max="1" width="8" customWidth="1"/>
    <col min="2" max="2" width="14.44140625" bestFit="1" customWidth="1"/>
    <col min="3" max="3" width="14.21875" bestFit="1" customWidth="1"/>
    <col min="4" max="5" width="17.77734375" bestFit="1" customWidth="1"/>
    <col min="8" max="8" width="9.88671875" customWidth="1"/>
    <col min="9" max="9" width="9.33203125" customWidth="1"/>
    <col min="10" max="10" width="10" bestFit="1" customWidth="1"/>
    <col min="13" max="13" width="11" bestFit="1" customWidth="1"/>
    <col min="14" max="14" width="10" bestFit="1" customWidth="1"/>
    <col min="18" max="19" width="12" bestFit="1" customWidth="1"/>
    <col min="21" max="21" width="10" bestFit="1" customWidth="1"/>
    <col min="28" max="28" width="10" bestFit="1" customWidth="1"/>
  </cols>
  <sheetData>
    <row r="1" spans="1:29" ht="35.4" customHeight="1" x14ac:dyDescent="0.3">
      <c r="A1" s="86" t="s">
        <v>384</v>
      </c>
      <c r="B1" s="86" t="s">
        <v>385</v>
      </c>
      <c r="C1" s="92" t="s">
        <v>395</v>
      </c>
      <c r="D1" s="92" t="s">
        <v>396</v>
      </c>
      <c r="E1" t="s">
        <v>397</v>
      </c>
      <c r="G1" s="19" t="s">
        <v>389</v>
      </c>
      <c r="M1" s="19" t="s">
        <v>389</v>
      </c>
      <c r="S1" s="19" t="s">
        <v>389</v>
      </c>
      <c r="Y1" s="19" t="s">
        <v>389</v>
      </c>
    </row>
    <row r="2" spans="1:29" x14ac:dyDescent="0.3">
      <c r="A2" s="89">
        <v>0.25</v>
      </c>
      <c r="B2" s="86">
        <v>5</v>
      </c>
      <c r="C2" s="86">
        <v>5</v>
      </c>
      <c r="D2" s="86">
        <v>5</v>
      </c>
      <c r="E2" s="86">
        <v>5</v>
      </c>
      <c r="G2" s="19">
        <f t="shared" ref="G2:G22" si="0">(B2-$B$24) ^ 2</f>
        <v>1630.6213151927436</v>
      </c>
      <c r="H2" s="19" t="s">
        <v>387</v>
      </c>
      <c r="I2" s="90" t="s">
        <v>388</v>
      </c>
      <c r="J2" s="19" t="s">
        <v>392</v>
      </c>
      <c r="M2" s="19">
        <f t="shared" ref="M2:M22" si="1">(C2-$C$24) ^ 2</f>
        <v>1712.3832199546484</v>
      </c>
      <c r="N2" s="19" t="s">
        <v>387</v>
      </c>
      <c r="O2" s="90" t="s">
        <v>388</v>
      </c>
      <c r="P2" s="19" t="s">
        <v>392</v>
      </c>
      <c r="S2" s="19">
        <f t="shared" ref="S2:S22" si="2">(D2-$D$24) ^ 2</f>
        <v>1564.0141723356012</v>
      </c>
      <c r="T2" s="19" t="s">
        <v>387</v>
      </c>
      <c r="U2" s="90" t="s">
        <v>388</v>
      </c>
      <c r="V2" s="19" t="s">
        <v>392</v>
      </c>
      <c r="Y2" s="19">
        <f>(E2-$E$24) ^ 2</f>
        <v>1538.6940192743764</v>
      </c>
      <c r="Z2" s="19" t="s">
        <v>387</v>
      </c>
      <c r="AA2" s="90" t="s">
        <v>388</v>
      </c>
      <c r="AB2" s="19" t="s">
        <v>392</v>
      </c>
    </row>
    <row r="3" spans="1:29" x14ac:dyDescent="0.3">
      <c r="A3" s="89">
        <v>0.2638888888888889</v>
      </c>
      <c r="B3" s="86">
        <v>9</v>
      </c>
      <c r="C3" s="86">
        <v>9</v>
      </c>
      <c r="D3" s="86">
        <v>9</v>
      </c>
      <c r="E3" s="86">
        <v>9</v>
      </c>
      <c r="G3" s="19">
        <f t="shared" si="0"/>
        <v>1323.5736961451246</v>
      </c>
      <c r="H3" s="19">
        <f t="shared" ref="H3:H22" si="3">ABS(B3-B2)/$I$3</f>
        <v>0.17086410799467733</v>
      </c>
      <c r="I3" s="90">
        <f>SQRT(1/20 * SUM(G2:G22))</f>
        <v>23.410416891794537</v>
      </c>
      <c r="J3" s="50">
        <v>1.2629999999999999</v>
      </c>
      <c r="K3" s="19">
        <v>0</v>
      </c>
      <c r="M3" s="19">
        <f t="shared" si="1"/>
        <v>1397.3356009070294</v>
      </c>
      <c r="N3" s="19">
        <f t="shared" ref="N3:N22" si="4">ABS(C3-C2)/$O$3</f>
        <v>0.16304846627507391</v>
      </c>
      <c r="O3" s="90">
        <f>SQRT(1/20 * SUM(M2:M22))</f>
        <v>24.532582804254819</v>
      </c>
      <c r="P3" s="50">
        <v>1.2629999999999999</v>
      </c>
      <c r="Q3" s="19">
        <v>0</v>
      </c>
      <c r="S3" s="19">
        <f t="shared" si="2"/>
        <v>1263.6332199546487</v>
      </c>
      <c r="T3" s="19">
        <f t="shared" ref="T3:T22" si="5">ABS(D2-D3)/$O$3</f>
        <v>0.16304846627507391</v>
      </c>
      <c r="U3" s="90">
        <f>SQRT(1/20 * SUM(S2:S22))</f>
        <v>20.300187660404006</v>
      </c>
      <c r="V3" s="50">
        <v>1.2629999999999999</v>
      </c>
      <c r="W3" s="19">
        <v>0</v>
      </c>
      <c r="Y3" s="19">
        <f t="shared" ref="Y3:Y22" si="6">(E3-$E$24) ^ 2</f>
        <v>1240.8844954648525</v>
      </c>
      <c r="Z3" s="19">
        <f>ABS(E2-E3)/$AA$3</f>
        <v>0.20709843433855721</v>
      </c>
      <c r="AA3" s="90">
        <f>SQRT(1/20 * SUM(Y2:Y22))</f>
        <v>19.314486914280295</v>
      </c>
      <c r="AB3" s="50">
        <v>1.2629999999999999</v>
      </c>
      <c r="AC3" s="19">
        <v>0</v>
      </c>
    </row>
    <row r="4" spans="1:29" x14ac:dyDescent="0.3">
      <c r="A4" s="89">
        <v>0.27777777777777779</v>
      </c>
      <c r="B4" s="86">
        <v>9</v>
      </c>
      <c r="C4" s="86">
        <v>9</v>
      </c>
      <c r="D4" s="86">
        <v>9</v>
      </c>
      <c r="E4" s="86">
        <v>9</v>
      </c>
      <c r="G4" s="19">
        <f t="shared" si="0"/>
        <v>1323.5736961451246</v>
      </c>
      <c r="H4" s="19">
        <f t="shared" si="3"/>
        <v>0</v>
      </c>
      <c r="K4" s="19">
        <v>0</v>
      </c>
      <c r="M4" s="19">
        <f t="shared" si="1"/>
        <v>1397.3356009070294</v>
      </c>
      <c r="N4" s="19">
        <f t="shared" si="4"/>
        <v>0</v>
      </c>
      <c r="Q4" s="19">
        <v>0</v>
      </c>
      <c r="S4" s="19">
        <f t="shared" si="2"/>
        <v>1263.6332199546487</v>
      </c>
      <c r="T4" s="19">
        <f t="shared" si="5"/>
        <v>0</v>
      </c>
      <c r="W4" s="19">
        <v>0</v>
      </c>
      <c r="Y4" s="19">
        <f t="shared" si="6"/>
        <v>1240.8844954648525</v>
      </c>
      <c r="Z4" s="19">
        <f t="shared" ref="Z4:Z21" si="7">ABS(E3-E4)/$AA$3</f>
        <v>0</v>
      </c>
      <c r="AC4" s="19">
        <v>0</v>
      </c>
    </row>
    <row r="5" spans="1:29" x14ac:dyDescent="0.3">
      <c r="A5" s="89">
        <v>0.29166666666666669</v>
      </c>
      <c r="B5" s="86">
        <v>34</v>
      </c>
      <c r="C5" s="86">
        <v>34</v>
      </c>
      <c r="D5" s="86">
        <v>34</v>
      </c>
      <c r="E5" s="86">
        <v>34</v>
      </c>
      <c r="G5" s="19">
        <f t="shared" si="0"/>
        <v>129.52607709750563</v>
      </c>
      <c r="H5" s="19">
        <f t="shared" si="3"/>
        <v>1.0679006749667332</v>
      </c>
      <c r="K5" s="19">
        <v>0</v>
      </c>
      <c r="M5" s="19">
        <f t="shared" si="1"/>
        <v>153.28798185941039</v>
      </c>
      <c r="N5" s="19">
        <f t="shared" si="4"/>
        <v>1.019052914219212</v>
      </c>
      <c r="Q5" s="19">
        <v>0</v>
      </c>
      <c r="S5" s="19">
        <f t="shared" si="2"/>
        <v>111.25226757369622</v>
      </c>
      <c r="T5" s="19">
        <f t="shared" si="5"/>
        <v>1.019052914219212</v>
      </c>
      <c r="W5" s="19">
        <v>0</v>
      </c>
      <c r="Y5" s="19">
        <f t="shared" si="6"/>
        <v>104.57497165532877</v>
      </c>
      <c r="Z5" s="19">
        <f t="shared" si="7"/>
        <v>1.2943652146159825</v>
      </c>
      <c r="AC5" s="19">
        <v>0</v>
      </c>
    </row>
    <row r="6" spans="1:29" x14ac:dyDescent="0.3">
      <c r="A6" s="89">
        <v>0.30555555555555552</v>
      </c>
      <c r="B6" s="86">
        <v>43</v>
      </c>
      <c r="C6" s="86">
        <v>43</v>
      </c>
      <c r="D6" s="86">
        <v>43</v>
      </c>
      <c r="E6" s="86">
        <v>43</v>
      </c>
      <c r="G6" s="19">
        <f t="shared" si="0"/>
        <v>5.6689342403628054</v>
      </c>
      <c r="H6" s="19">
        <f t="shared" si="3"/>
        <v>0.38444424298802399</v>
      </c>
      <c r="K6" s="19">
        <v>0</v>
      </c>
      <c r="M6" s="19">
        <f t="shared" si="1"/>
        <v>11.430839002267565</v>
      </c>
      <c r="N6" s="19">
        <f t="shared" si="4"/>
        <v>0.36685904911891631</v>
      </c>
      <c r="Q6" s="19">
        <v>0</v>
      </c>
      <c r="S6" s="19">
        <f t="shared" si="2"/>
        <v>2.3951247165532985</v>
      </c>
      <c r="T6" s="19">
        <f t="shared" si="5"/>
        <v>0.36685904911891631</v>
      </c>
      <c r="W6" s="19">
        <v>0</v>
      </c>
      <c r="Y6" s="19">
        <f t="shared" si="6"/>
        <v>1.5035430839002226</v>
      </c>
      <c r="Z6" s="19">
        <f t="shared" si="7"/>
        <v>0.4659714772617537</v>
      </c>
      <c r="AC6" s="19">
        <v>0</v>
      </c>
    </row>
    <row r="7" spans="1:29" x14ac:dyDescent="0.3">
      <c r="A7" s="89">
        <v>0.31944444444444448</v>
      </c>
      <c r="B7" s="86">
        <v>37</v>
      </c>
      <c r="C7" s="86">
        <v>37</v>
      </c>
      <c r="D7" s="86">
        <v>37</v>
      </c>
      <c r="E7" s="86">
        <v>37</v>
      </c>
      <c r="G7" s="19">
        <f t="shared" si="0"/>
        <v>70.240362811791357</v>
      </c>
      <c r="H7" s="19">
        <f t="shared" si="3"/>
        <v>0.25629616199201599</v>
      </c>
      <c r="K7" s="19">
        <v>0</v>
      </c>
      <c r="M7" s="19">
        <f t="shared" si="1"/>
        <v>88.002267573696116</v>
      </c>
      <c r="N7" s="19">
        <f t="shared" si="4"/>
        <v>0.24457269941261087</v>
      </c>
      <c r="Q7" s="19">
        <v>0</v>
      </c>
      <c r="S7" s="19">
        <f t="shared" si="2"/>
        <v>56.96655328798191</v>
      </c>
      <c r="T7" s="19">
        <f t="shared" si="5"/>
        <v>0.24457269941261087</v>
      </c>
      <c r="W7" s="19">
        <v>0</v>
      </c>
      <c r="Y7" s="19">
        <f t="shared" si="6"/>
        <v>52.21782879818592</v>
      </c>
      <c r="Z7" s="19">
        <f t="shared" si="7"/>
        <v>0.3106476515078358</v>
      </c>
      <c r="AC7" s="19">
        <v>0</v>
      </c>
    </row>
    <row r="8" spans="1:29" x14ac:dyDescent="0.3">
      <c r="A8" s="89">
        <v>0.33333333333333331</v>
      </c>
      <c r="B8" s="86">
        <v>38</v>
      </c>
      <c r="C8" s="86">
        <v>38</v>
      </c>
      <c r="D8" s="86">
        <v>38</v>
      </c>
      <c r="E8" s="86">
        <v>38</v>
      </c>
      <c r="G8" s="19">
        <f t="shared" si="0"/>
        <v>54.478458049886598</v>
      </c>
      <c r="H8" s="19">
        <f t="shared" si="3"/>
        <v>4.2716026998669332E-2</v>
      </c>
      <c r="K8" s="19">
        <v>0</v>
      </c>
      <c r="M8" s="19">
        <f t="shared" si="1"/>
        <v>70.240362811791357</v>
      </c>
      <c r="N8" s="19">
        <f t="shared" si="4"/>
        <v>4.0762116568768478E-2</v>
      </c>
      <c r="Q8" s="19">
        <v>0</v>
      </c>
      <c r="S8" s="19">
        <f t="shared" si="2"/>
        <v>42.871315192743808</v>
      </c>
      <c r="T8" s="19">
        <f t="shared" si="5"/>
        <v>4.0762116568768478E-2</v>
      </c>
      <c r="W8" s="19">
        <v>0</v>
      </c>
      <c r="Y8" s="19">
        <f t="shared" si="6"/>
        <v>38.765447845804971</v>
      </c>
      <c r="Z8" s="19">
        <f t="shared" si="7"/>
        <v>5.1774608584639302E-2</v>
      </c>
      <c r="AC8" s="19">
        <v>0</v>
      </c>
    </row>
    <row r="9" spans="1:29" x14ac:dyDescent="0.3">
      <c r="A9" s="89">
        <v>0.34722222222222227</v>
      </c>
      <c r="B9" s="86">
        <v>40</v>
      </c>
      <c r="C9" s="86">
        <v>40</v>
      </c>
      <c r="D9" s="86">
        <v>40</v>
      </c>
      <c r="E9" s="86">
        <v>40</v>
      </c>
      <c r="G9" s="19">
        <f t="shared" si="0"/>
        <v>28.954648526077083</v>
      </c>
      <c r="H9" s="19">
        <f t="shared" si="3"/>
        <v>8.5432053997338664E-2</v>
      </c>
      <c r="K9" s="19">
        <v>0</v>
      </c>
      <c r="M9" s="19">
        <f t="shared" si="1"/>
        <v>40.716553287981839</v>
      </c>
      <c r="N9" s="19">
        <f t="shared" si="4"/>
        <v>8.1524233137536956E-2</v>
      </c>
      <c r="Q9" s="19">
        <v>0</v>
      </c>
      <c r="S9" s="19">
        <f t="shared" si="2"/>
        <v>20.680839002267604</v>
      </c>
      <c r="T9" s="19">
        <f t="shared" si="5"/>
        <v>8.1524233137536956E-2</v>
      </c>
      <c r="W9" s="19">
        <v>0</v>
      </c>
      <c r="Y9" s="19">
        <f t="shared" si="6"/>
        <v>17.860685941043069</v>
      </c>
      <c r="Z9" s="19">
        <f t="shared" si="7"/>
        <v>0.1035492171692786</v>
      </c>
      <c r="AC9" s="19">
        <v>0</v>
      </c>
    </row>
    <row r="10" spans="1:29" x14ac:dyDescent="0.3">
      <c r="A10" s="89">
        <v>0.3611111111111111</v>
      </c>
      <c r="B10" s="86">
        <v>32</v>
      </c>
      <c r="C10" s="86">
        <v>32</v>
      </c>
      <c r="D10" s="86">
        <v>32</v>
      </c>
      <c r="E10" s="86">
        <v>32</v>
      </c>
      <c r="G10" s="19">
        <f t="shared" si="0"/>
        <v>179.04988662131515</v>
      </c>
      <c r="H10" s="19">
        <f t="shared" si="3"/>
        <v>0.34172821598935466</v>
      </c>
      <c r="K10" s="19">
        <v>0</v>
      </c>
      <c r="M10" s="19">
        <f t="shared" si="1"/>
        <v>206.81179138321991</v>
      </c>
      <c r="N10" s="19">
        <f t="shared" si="4"/>
        <v>0.32609693255014782</v>
      </c>
      <c r="Q10" s="19">
        <v>0</v>
      </c>
      <c r="S10" s="19">
        <f t="shared" si="2"/>
        <v>157.44274376417243</v>
      </c>
      <c r="T10" s="19">
        <f t="shared" si="5"/>
        <v>0.32609693255014782</v>
      </c>
      <c r="W10" s="19">
        <v>0</v>
      </c>
      <c r="Y10" s="19">
        <f t="shared" si="6"/>
        <v>149.47973356009066</v>
      </c>
      <c r="Z10" s="19">
        <f t="shared" si="7"/>
        <v>0.41419686867711442</v>
      </c>
      <c r="AC10" s="19">
        <v>0</v>
      </c>
    </row>
    <row r="11" spans="1:29" x14ac:dyDescent="0.3">
      <c r="A11" s="89">
        <v>0.375</v>
      </c>
      <c r="B11" s="86">
        <v>44</v>
      </c>
      <c r="C11" s="86">
        <v>44</v>
      </c>
      <c r="D11" s="86">
        <v>44</v>
      </c>
      <c r="E11" s="86">
        <v>44</v>
      </c>
      <c r="G11" s="19">
        <f t="shared" si="0"/>
        <v>1.9070294784580462</v>
      </c>
      <c r="H11" s="19">
        <f t="shared" si="3"/>
        <v>0.51259232398403198</v>
      </c>
      <c r="K11" s="19">
        <v>0</v>
      </c>
      <c r="M11" s="19">
        <f t="shared" si="1"/>
        <v>5.6689342403628054</v>
      </c>
      <c r="N11" s="19">
        <f t="shared" si="4"/>
        <v>0.48914539882522173</v>
      </c>
      <c r="Q11" s="19">
        <v>0</v>
      </c>
      <c r="S11" s="19">
        <f t="shared" si="2"/>
        <v>0.29988662131519644</v>
      </c>
      <c r="T11" s="19">
        <f t="shared" si="5"/>
        <v>0.48914539882522173</v>
      </c>
      <c r="W11" s="19">
        <v>0</v>
      </c>
      <c r="Y11" s="19">
        <f t="shared" si="6"/>
        <v>5.116213151927361E-2</v>
      </c>
      <c r="Z11" s="19">
        <f t="shared" si="7"/>
        <v>0.6212953030156716</v>
      </c>
      <c r="AC11" s="19">
        <v>0</v>
      </c>
    </row>
    <row r="12" spans="1:29" x14ac:dyDescent="0.3">
      <c r="A12" s="89">
        <v>0.3888888888888889</v>
      </c>
      <c r="B12" s="86">
        <v>61</v>
      </c>
      <c r="C12" s="86">
        <v>61</v>
      </c>
      <c r="D12" s="86">
        <v>61</v>
      </c>
      <c r="E12" s="86">
        <v>61</v>
      </c>
      <c r="G12" s="19">
        <f t="shared" si="0"/>
        <v>243.95464852607714</v>
      </c>
      <c r="H12" s="19">
        <f t="shared" si="3"/>
        <v>0.72617245897737859</v>
      </c>
      <c r="K12" s="19">
        <v>0</v>
      </c>
      <c r="M12" s="19">
        <f t="shared" si="1"/>
        <v>213.7165532879819</v>
      </c>
      <c r="N12" s="19">
        <f t="shared" si="4"/>
        <v>0.69295598166906414</v>
      </c>
      <c r="Q12" s="19">
        <v>0</v>
      </c>
      <c r="S12" s="19">
        <f t="shared" si="2"/>
        <v>270.68083900226748</v>
      </c>
      <c r="T12" s="19">
        <f t="shared" si="5"/>
        <v>0.69295598166906414</v>
      </c>
      <c r="W12" s="19">
        <v>0</v>
      </c>
      <c r="Y12" s="19">
        <f t="shared" si="6"/>
        <v>281.36068594104313</v>
      </c>
      <c r="Z12" s="19">
        <f t="shared" si="7"/>
        <v>0.88016834593886817</v>
      </c>
      <c r="AC12" s="19">
        <v>0</v>
      </c>
    </row>
    <row r="13" spans="1:29" x14ac:dyDescent="0.3">
      <c r="A13" s="89">
        <v>0.40277777777777773</v>
      </c>
      <c r="B13" s="86">
        <v>47</v>
      </c>
      <c r="C13" s="86">
        <v>47</v>
      </c>
      <c r="D13" s="86">
        <v>47</v>
      </c>
      <c r="E13" s="86">
        <v>47</v>
      </c>
      <c r="G13" s="19">
        <f t="shared" si="0"/>
        <v>2.6213151927437686</v>
      </c>
      <c r="H13" s="19">
        <f t="shared" si="3"/>
        <v>0.59802437798137065</v>
      </c>
      <c r="K13" s="19">
        <v>0</v>
      </c>
      <c r="M13" s="19">
        <f t="shared" si="1"/>
        <v>0.38321995464852776</v>
      </c>
      <c r="N13" s="19">
        <f t="shared" si="4"/>
        <v>0.57066963196275866</v>
      </c>
      <c r="Q13" s="19">
        <v>0</v>
      </c>
      <c r="S13" s="19">
        <f t="shared" si="2"/>
        <v>6.0141723356008905</v>
      </c>
      <c r="T13" s="19">
        <f t="shared" si="5"/>
        <v>0.57066963196275866</v>
      </c>
      <c r="W13" s="19">
        <v>0</v>
      </c>
      <c r="Y13" s="19">
        <f t="shared" si="6"/>
        <v>7.6940192743764264</v>
      </c>
      <c r="Z13" s="19">
        <f t="shared" si="7"/>
        <v>0.72484452018495027</v>
      </c>
      <c r="AC13" s="19">
        <v>0</v>
      </c>
    </row>
    <row r="14" spans="1:29" x14ac:dyDescent="0.3">
      <c r="A14" s="89">
        <v>0.41666666666666669</v>
      </c>
      <c r="B14" s="86">
        <v>49</v>
      </c>
      <c r="C14" s="86">
        <v>49</v>
      </c>
      <c r="D14" s="86">
        <v>49</v>
      </c>
      <c r="E14" s="86">
        <v>49</v>
      </c>
      <c r="G14" s="19">
        <f t="shared" si="0"/>
        <v>13.09750566893425</v>
      </c>
      <c r="H14" s="19">
        <f t="shared" si="3"/>
        <v>8.5432053997338664E-2</v>
      </c>
      <c r="K14" s="19">
        <v>0</v>
      </c>
      <c r="M14" s="19">
        <f t="shared" si="1"/>
        <v>6.8594104308390094</v>
      </c>
      <c r="N14" s="19">
        <f t="shared" si="4"/>
        <v>8.1524233137536956E-2</v>
      </c>
      <c r="Q14" s="19">
        <v>0</v>
      </c>
      <c r="S14" s="19">
        <f t="shared" si="2"/>
        <v>19.823696145124686</v>
      </c>
      <c r="T14" s="19">
        <f t="shared" si="5"/>
        <v>8.1524233137536956E-2</v>
      </c>
      <c r="W14" s="19">
        <v>0</v>
      </c>
      <c r="Y14" s="19">
        <f t="shared" si="6"/>
        <v>22.789257369614528</v>
      </c>
      <c r="Z14" s="19">
        <f t="shared" si="7"/>
        <v>0.1035492171692786</v>
      </c>
      <c r="AC14" s="19">
        <v>0</v>
      </c>
    </row>
    <row r="15" spans="1:29" x14ac:dyDescent="0.3">
      <c r="A15" s="89">
        <v>0.43055555555555558</v>
      </c>
      <c r="B15" s="86">
        <v>54</v>
      </c>
      <c r="C15" s="86">
        <v>54</v>
      </c>
      <c r="D15" s="86">
        <v>54</v>
      </c>
      <c r="E15" s="86">
        <v>54</v>
      </c>
      <c r="G15" s="19">
        <f t="shared" si="0"/>
        <v>74.287981859410451</v>
      </c>
      <c r="H15" s="19">
        <f t="shared" si="3"/>
        <v>0.21358013499334666</v>
      </c>
      <c r="K15" s="19">
        <v>0</v>
      </c>
      <c r="M15" s="19">
        <f t="shared" si="1"/>
        <v>58.04988662131521</v>
      </c>
      <c r="N15" s="19">
        <f t="shared" si="4"/>
        <v>0.2038105828438424</v>
      </c>
      <c r="Q15" s="19">
        <v>0</v>
      </c>
      <c r="S15" s="19">
        <f t="shared" si="2"/>
        <v>89.347505668934176</v>
      </c>
      <c r="T15" s="19">
        <f t="shared" si="5"/>
        <v>0.2038105828438424</v>
      </c>
      <c r="W15" s="19">
        <v>0</v>
      </c>
      <c r="Y15" s="19">
        <f t="shared" si="6"/>
        <v>95.527352607709787</v>
      </c>
      <c r="Z15" s="19">
        <f t="shared" si="7"/>
        <v>0.25887304292319652</v>
      </c>
      <c r="AC15" s="19">
        <v>0</v>
      </c>
    </row>
    <row r="16" spans="1:29" x14ac:dyDescent="0.3">
      <c r="A16" s="89">
        <v>0.44444444444444442</v>
      </c>
      <c r="B16" s="86">
        <v>63</v>
      </c>
      <c r="C16" s="86">
        <v>63</v>
      </c>
      <c r="D16" s="86">
        <v>63</v>
      </c>
      <c r="E16" s="86">
        <v>63</v>
      </c>
      <c r="G16" s="19">
        <f t="shared" si="0"/>
        <v>310.43083900226765</v>
      </c>
      <c r="H16" s="19">
        <f t="shared" si="3"/>
        <v>0.38444424298802399</v>
      </c>
      <c r="K16" s="19">
        <v>0</v>
      </c>
      <c r="M16" s="19">
        <f t="shared" si="1"/>
        <v>276.19274376417241</v>
      </c>
      <c r="N16" s="19">
        <f t="shared" si="4"/>
        <v>0.36685904911891631</v>
      </c>
      <c r="Q16" s="19">
        <v>0</v>
      </c>
      <c r="S16" s="19">
        <f t="shared" si="2"/>
        <v>340.49036281179127</v>
      </c>
      <c r="T16" s="19">
        <f t="shared" si="5"/>
        <v>0.36685904911891631</v>
      </c>
      <c r="W16" s="19">
        <v>0</v>
      </c>
      <c r="Y16" s="19">
        <f t="shared" si="6"/>
        <v>352.45592403628126</v>
      </c>
      <c r="Z16" s="19">
        <f t="shared" si="7"/>
        <v>0.4659714772617537</v>
      </c>
      <c r="AC16" s="19">
        <v>0</v>
      </c>
    </row>
    <row r="17" spans="1:29" x14ac:dyDescent="0.3">
      <c r="A17" s="89">
        <v>0.45833333333333331</v>
      </c>
      <c r="B17" s="86">
        <v>51</v>
      </c>
      <c r="C17" s="86">
        <v>51</v>
      </c>
      <c r="D17" s="86">
        <v>51</v>
      </c>
      <c r="E17" s="86">
        <v>51</v>
      </c>
      <c r="G17" s="19">
        <f t="shared" si="0"/>
        <v>31.573696145124732</v>
      </c>
      <c r="H17" s="19">
        <f t="shared" si="3"/>
        <v>0.51259232398403198</v>
      </c>
      <c r="K17" s="19">
        <v>0</v>
      </c>
      <c r="M17" s="19">
        <f t="shared" si="1"/>
        <v>21.335600907029491</v>
      </c>
      <c r="N17" s="19">
        <f t="shared" si="4"/>
        <v>0.48914539882522173</v>
      </c>
      <c r="Q17" s="19">
        <v>0</v>
      </c>
      <c r="S17" s="19">
        <f t="shared" si="2"/>
        <v>41.633219954648482</v>
      </c>
      <c r="T17" s="19">
        <f t="shared" si="5"/>
        <v>0.48914539882522173</v>
      </c>
      <c r="W17" s="19">
        <v>0</v>
      </c>
      <c r="Y17" s="19">
        <f t="shared" si="6"/>
        <v>45.884495464852634</v>
      </c>
      <c r="Z17" s="19">
        <f t="shared" si="7"/>
        <v>0.6212953030156716</v>
      </c>
      <c r="AC17" s="19">
        <v>0</v>
      </c>
    </row>
    <row r="18" spans="1:29" x14ac:dyDescent="0.3">
      <c r="A18" s="89">
        <v>0.47222222222222227</v>
      </c>
      <c r="B18" s="86">
        <v>69</v>
      </c>
      <c r="C18" s="86">
        <v>69</v>
      </c>
      <c r="D18" s="86">
        <v>69</v>
      </c>
      <c r="E18" s="86">
        <v>69</v>
      </c>
      <c r="G18" s="19">
        <f t="shared" si="0"/>
        <v>557.85941043083903</v>
      </c>
      <c r="H18" s="19">
        <f t="shared" si="3"/>
        <v>0.76888848597604798</v>
      </c>
      <c r="K18" s="19">
        <v>0</v>
      </c>
      <c r="M18" s="19">
        <f t="shared" si="1"/>
        <v>511.62131519274385</v>
      </c>
      <c r="N18" s="19">
        <f t="shared" si="4"/>
        <v>0.73371809823783263</v>
      </c>
      <c r="Q18" s="19">
        <v>0</v>
      </c>
      <c r="S18" s="19">
        <f t="shared" si="2"/>
        <v>597.91893424036266</v>
      </c>
      <c r="T18" s="19">
        <f t="shared" si="5"/>
        <v>0.73371809823783263</v>
      </c>
      <c r="W18" s="19">
        <v>0</v>
      </c>
      <c r="Y18" s="19">
        <f t="shared" si="6"/>
        <v>613.74163832199554</v>
      </c>
      <c r="Z18" s="19">
        <f t="shared" si="7"/>
        <v>0.93194295452350739</v>
      </c>
      <c r="AC18" s="19">
        <v>0</v>
      </c>
    </row>
    <row r="19" spans="1:29" x14ac:dyDescent="0.3">
      <c r="A19" s="89">
        <v>0.4861111111111111</v>
      </c>
      <c r="B19" s="86">
        <v>114</v>
      </c>
      <c r="C19" s="86">
        <v>114</v>
      </c>
      <c r="D19" s="86">
        <f>AVERAGE(C18,C20)</f>
        <v>75.5</v>
      </c>
      <c r="E19" s="86">
        <f>AVERAGE(D18,D20)</f>
        <v>75.5</v>
      </c>
      <c r="G19" s="19">
        <f t="shared" si="0"/>
        <v>4708.5736961451248</v>
      </c>
      <c r="H19" s="91">
        <f t="shared" si="3"/>
        <v>1.9222212149401199</v>
      </c>
      <c r="K19" s="91">
        <v>1</v>
      </c>
      <c r="M19" s="19">
        <f t="shared" si="1"/>
        <v>4572.3356009070294</v>
      </c>
      <c r="N19" s="91">
        <f t="shared" si="4"/>
        <v>1.8342952455945816</v>
      </c>
      <c r="Q19" s="91">
        <v>1</v>
      </c>
      <c r="S19" s="19">
        <f t="shared" si="2"/>
        <v>958.04988662131495</v>
      </c>
      <c r="T19" s="19">
        <f t="shared" si="5"/>
        <v>0.26495375769699508</v>
      </c>
      <c r="W19" s="93">
        <v>0</v>
      </c>
      <c r="Y19" s="19">
        <f t="shared" si="6"/>
        <v>978.05116213151939</v>
      </c>
      <c r="Z19" s="19">
        <f t="shared" si="7"/>
        <v>0.33653495580015547</v>
      </c>
      <c r="AC19" s="93">
        <v>0</v>
      </c>
    </row>
    <row r="20" spans="1:29" x14ac:dyDescent="0.3">
      <c r="A20" s="89">
        <v>0.5</v>
      </c>
      <c r="B20" s="86">
        <v>61</v>
      </c>
      <c r="C20" s="86">
        <f>(B19+B21)/2</f>
        <v>82</v>
      </c>
      <c r="D20" s="86">
        <f>(C19+C21)/2</f>
        <v>82</v>
      </c>
      <c r="E20" s="86">
        <f>(D19+D21)/2</f>
        <v>62.75</v>
      </c>
      <c r="G20" s="19">
        <f t="shared" si="0"/>
        <v>243.95464852607714</v>
      </c>
      <c r="H20" s="91">
        <f t="shared" si="3"/>
        <v>2.2639494309294745</v>
      </c>
      <c r="K20" s="91">
        <v>1</v>
      </c>
      <c r="M20" s="19">
        <f t="shared" si="1"/>
        <v>1268.7165532879819</v>
      </c>
      <c r="N20" s="91">
        <f t="shared" si="4"/>
        <v>1.3043877302005913</v>
      </c>
      <c r="Q20" s="91">
        <v>1</v>
      </c>
      <c r="S20" s="19">
        <f t="shared" si="2"/>
        <v>1402.6808390022672</v>
      </c>
      <c r="T20" s="19">
        <f t="shared" si="5"/>
        <v>0.26495375769699508</v>
      </c>
      <c r="W20" s="93">
        <v>0</v>
      </c>
      <c r="Y20" s="19">
        <f t="shared" si="6"/>
        <v>343.1315192743765</v>
      </c>
      <c r="Z20" s="19">
        <f t="shared" si="7"/>
        <v>0.66012625945415104</v>
      </c>
      <c r="AC20" s="93">
        <v>0</v>
      </c>
    </row>
    <row r="21" spans="1:29" x14ac:dyDescent="0.3">
      <c r="A21" s="89">
        <v>0.51388888888888895</v>
      </c>
      <c r="B21" s="86">
        <v>50</v>
      </c>
      <c r="C21" s="86">
        <v>50</v>
      </c>
      <c r="D21" s="86">
        <v>50</v>
      </c>
      <c r="E21" s="86">
        <f>AVERAGE(D20,D22)</f>
        <v>62.5</v>
      </c>
      <c r="G21" s="19">
        <f t="shared" si="0"/>
        <v>21.335600907029491</v>
      </c>
      <c r="H21" s="19">
        <f t="shared" si="3"/>
        <v>0.46987629698536265</v>
      </c>
      <c r="K21" s="19">
        <v>0</v>
      </c>
      <c r="M21" s="19">
        <f t="shared" si="1"/>
        <v>13.09750566893425</v>
      </c>
      <c r="N21" s="91">
        <f t="shared" si="4"/>
        <v>1.3043877302005913</v>
      </c>
      <c r="Q21" s="91">
        <v>1</v>
      </c>
      <c r="S21" s="19">
        <f t="shared" si="2"/>
        <v>29.728458049886584</v>
      </c>
      <c r="T21" s="91">
        <f t="shared" si="5"/>
        <v>1.3043877302005913</v>
      </c>
      <c r="W21" s="91">
        <v>1</v>
      </c>
      <c r="Y21" s="19">
        <f t="shared" si="6"/>
        <v>333.93211451247174</v>
      </c>
      <c r="Z21" s="19">
        <f t="shared" si="7"/>
        <v>1.2943652146159825E-2</v>
      </c>
      <c r="AC21" s="93">
        <v>0</v>
      </c>
    </row>
    <row r="22" spans="1:29" x14ac:dyDescent="0.3">
      <c r="A22" s="89">
        <v>0.52777777777777779</v>
      </c>
      <c r="B22" s="86">
        <v>43</v>
      </c>
      <c r="C22" s="86">
        <v>43</v>
      </c>
      <c r="D22" s="86">
        <v>43</v>
      </c>
      <c r="E22" s="86">
        <v>43</v>
      </c>
      <c r="G22" s="19">
        <f t="shared" si="0"/>
        <v>5.6689342403628054</v>
      </c>
      <c r="H22" s="19">
        <f t="shared" si="3"/>
        <v>0.29901218899068532</v>
      </c>
      <c r="K22" s="19">
        <v>0</v>
      </c>
      <c r="M22" s="19">
        <f t="shared" si="1"/>
        <v>11.430839002267565</v>
      </c>
      <c r="N22" s="19">
        <f t="shared" si="4"/>
        <v>0.28533481598137933</v>
      </c>
      <c r="Q22" s="19">
        <v>0</v>
      </c>
      <c r="S22" s="19">
        <f t="shared" si="2"/>
        <v>2.3951247165532985</v>
      </c>
      <c r="T22" s="19">
        <f t="shared" si="5"/>
        <v>0.28533481598137933</v>
      </c>
      <c r="W22" s="19">
        <v>0</v>
      </c>
      <c r="Y22" s="19">
        <f t="shared" si="6"/>
        <v>1.5035430839002226</v>
      </c>
      <c r="Z22" s="19">
        <f>ABS(E21-E22)/$AA$3</f>
        <v>1.0096048674004663</v>
      </c>
      <c r="AC22" s="19">
        <v>0</v>
      </c>
    </row>
    <row r="23" spans="1:29" x14ac:dyDescent="0.3">
      <c r="A23" s="88"/>
      <c r="B23" s="87"/>
    </row>
    <row r="24" spans="1:29" x14ac:dyDescent="0.3">
      <c r="A24" s="19" t="s">
        <v>390</v>
      </c>
      <c r="B24" s="19">
        <f>AVERAGE(B2:B22)</f>
        <v>45.38095238095238</v>
      </c>
      <c r="C24" s="19">
        <f>AVERAGE(C2:C22)</f>
        <v>46.38095238095238</v>
      </c>
      <c r="D24" s="19">
        <f>AVERAGE(D2:D22)</f>
        <v>44.547619047619051</v>
      </c>
      <c r="E24" s="19">
        <f>AVERAGE(E2:E22)</f>
        <v>44.226190476190474</v>
      </c>
    </row>
    <row r="25" spans="1:29" x14ac:dyDescent="0.3">
      <c r="H25" t="s">
        <v>393</v>
      </c>
    </row>
    <row r="26" spans="1:29" x14ac:dyDescent="0.3">
      <c r="A26" t="s">
        <v>386</v>
      </c>
    </row>
    <row r="27" spans="1:29" x14ac:dyDescent="0.3">
      <c r="H27" t="s">
        <v>394</v>
      </c>
    </row>
    <row r="28" spans="1:29" x14ac:dyDescent="0.3">
      <c r="A28" t="s">
        <v>391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8590-69AD-4C2D-9B8F-3B70FB16E0D8}">
  <dimension ref="A1:W34"/>
  <sheetViews>
    <sheetView topLeftCell="G10" workbookViewId="0">
      <selection activeCell="K21" activeCellId="5" sqref="M21:M32 C21:C32 E21:E32 G21:G32 I21:I32 K21:K32"/>
    </sheetView>
  </sheetViews>
  <sheetFormatPr defaultRowHeight="14.4" x14ac:dyDescent="0.3"/>
  <cols>
    <col min="10" max="10" width="9" customWidth="1"/>
  </cols>
  <sheetData>
    <row r="1" spans="1:23" x14ac:dyDescent="0.3">
      <c r="A1" s="19" t="s">
        <v>284</v>
      </c>
      <c r="B1" s="19" t="s">
        <v>91</v>
      </c>
      <c r="C1" s="19" t="s">
        <v>327</v>
      </c>
      <c r="D1" s="19" t="s">
        <v>401</v>
      </c>
      <c r="E1" s="19" t="s">
        <v>404</v>
      </c>
      <c r="F1" s="19" t="s">
        <v>402</v>
      </c>
      <c r="G1" s="19" t="s">
        <v>403</v>
      </c>
      <c r="H1" s="39" t="s">
        <v>398</v>
      </c>
      <c r="I1" s="39" t="s">
        <v>409</v>
      </c>
      <c r="J1" s="39" t="s">
        <v>399</v>
      </c>
      <c r="K1" s="39" t="s">
        <v>400</v>
      </c>
      <c r="L1" s="39" t="s">
        <v>413</v>
      </c>
      <c r="M1" s="39" t="s">
        <v>414</v>
      </c>
      <c r="N1" s="39" t="s">
        <v>415</v>
      </c>
      <c r="O1" s="39" t="s">
        <v>416</v>
      </c>
      <c r="P1" s="39" t="s">
        <v>421</v>
      </c>
      <c r="Q1" s="39" t="s">
        <v>422</v>
      </c>
      <c r="R1" s="39" t="s">
        <v>423</v>
      </c>
      <c r="S1" s="39" t="s">
        <v>424</v>
      </c>
      <c r="T1" s="39" t="s">
        <v>427</v>
      </c>
      <c r="U1" s="39" t="s">
        <v>428</v>
      </c>
      <c r="V1" s="39" t="s">
        <v>429</v>
      </c>
      <c r="W1" s="39" t="s">
        <v>430</v>
      </c>
    </row>
    <row r="2" spans="1:23" x14ac:dyDescent="0.3">
      <c r="A2" s="19">
        <v>1</v>
      </c>
      <c r="B2" s="19">
        <v>39</v>
      </c>
      <c r="C2" s="19">
        <v>0</v>
      </c>
      <c r="D2" s="19">
        <f>COS(C2)</f>
        <v>1</v>
      </c>
      <c r="E2" s="19">
        <f>SIN(C2)</f>
        <v>0</v>
      </c>
      <c r="F2" s="19">
        <f>B2 * D2</f>
        <v>39</v>
      </c>
      <c r="G2" s="19">
        <f>B2 * E2</f>
        <v>0</v>
      </c>
      <c r="H2" s="19">
        <f>COS(2 * $C2)</f>
        <v>1</v>
      </c>
      <c r="I2" s="19">
        <f>SIN(2 * $C2)</f>
        <v>0</v>
      </c>
      <c r="J2" s="19">
        <f>$B2 * H2</f>
        <v>39</v>
      </c>
      <c r="K2" s="19">
        <f>$B2 * I2</f>
        <v>0</v>
      </c>
      <c r="L2" s="19">
        <f>COS(3 * $C2)</f>
        <v>1</v>
      </c>
      <c r="M2" s="19">
        <f>SIN(3 * $C2)</f>
        <v>0</v>
      </c>
      <c r="N2" s="19">
        <f>$B2 * L2</f>
        <v>39</v>
      </c>
      <c r="O2" s="19">
        <f t="shared" ref="O2:O12" si="0">$B2 * M2</f>
        <v>0</v>
      </c>
      <c r="P2" s="19">
        <f>COS(4 * $C2)</f>
        <v>1</v>
      </c>
      <c r="Q2" s="19">
        <f>SIN(4 * $C2)</f>
        <v>0</v>
      </c>
      <c r="R2" s="19">
        <f>$B2 * P2</f>
        <v>39</v>
      </c>
      <c r="S2" s="19">
        <f>$B2 * Q2</f>
        <v>0</v>
      </c>
      <c r="T2" s="19">
        <f>COS(5 * $C2)</f>
        <v>1</v>
      </c>
      <c r="U2" s="19">
        <f>SIN(5 * $C2)</f>
        <v>0</v>
      </c>
      <c r="V2" s="19">
        <f>$B2 * T2</f>
        <v>39</v>
      </c>
      <c r="W2" s="19">
        <f>$B2 * U2</f>
        <v>0</v>
      </c>
    </row>
    <row r="3" spans="1:23" x14ac:dyDescent="0.3">
      <c r="A3" s="19">
        <v>2</v>
      </c>
      <c r="B3" s="19">
        <v>62</v>
      </c>
      <c r="C3" s="19">
        <f>PI()/6</f>
        <v>0.52359877559829882</v>
      </c>
      <c r="D3" s="19">
        <f t="shared" ref="D3:D13" si="1">COS(C3)</f>
        <v>0.86602540378443871</v>
      </c>
      <c r="E3" s="19">
        <f t="shared" ref="E3:E13" si="2">SIN(C3)</f>
        <v>0.49999999999999994</v>
      </c>
      <c r="F3" s="19">
        <f t="shared" ref="F3:F13" si="3">B3 * D3</f>
        <v>53.693575034635202</v>
      </c>
      <c r="G3" s="19">
        <f t="shared" ref="G3:G13" si="4">B3 * E3</f>
        <v>30.999999999999996</v>
      </c>
      <c r="H3" s="19">
        <f t="shared" ref="H3:H13" si="5">COS(2 * $C3)</f>
        <v>0.50000000000000011</v>
      </c>
      <c r="I3" s="19">
        <f t="shared" ref="I3:I13" si="6">SIN(2 * $C3)</f>
        <v>0.8660254037844386</v>
      </c>
      <c r="J3" s="19">
        <f t="shared" ref="J3:J13" si="7">$B3 * H3</f>
        <v>31.000000000000007</v>
      </c>
      <c r="K3" s="19">
        <f t="shared" ref="K3:K13" si="8">$B3 * I3</f>
        <v>53.693575034635195</v>
      </c>
      <c r="L3" s="19">
        <f t="shared" ref="L3:L13" si="9">COS(3 * $C3)</f>
        <v>6.1257422745431001E-17</v>
      </c>
      <c r="M3" s="19">
        <f t="shared" ref="M3:M13" si="10">SIN(3 * $C3)</f>
        <v>1</v>
      </c>
      <c r="N3" s="19">
        <f t="shared" ref="N3:N13" si="11">$B3 * L3</f>
        <v>3.797960210216722E-15</v>
      </c>
      <c r="O3" s="19">
        <f t="shared" si="0"/>
        <v>62</v>
      </c>
      <c r="P3" s="19">
        <f t="shared" ref="P3:P13" si="12">COS(4 * $C3)</f>
        <v>-0.49999999999999978</v>
      </c>
      <c r="Q3" s="19">
        <f t="shared" ref="Q3:Q13" si="13">SIN(4 * $C3)</f>
        <v>0.86602540378443871</v>
      </c>
      <c r="R3" s="19">
        <f t="shared" ref="R3:R13" si="14">$B3 * P3</f>
        <v>-30.999999999999986</v>
      </c>
      <c r="S3" s="19">
        <f t="shared" ref="S3:S13" si="15">$B3 * Q3</f>
        <v>53.693575034635202</v>
      </c>
      <c r="T3" s="19">
        <f t="shared" ref="T3:T13" si="16">COS(5 * $C3)</f>
        <v>-0.86602540378443849</v>
      </c>
      <c r="U3" s="19">
        <f t="shared" ref="U3:U13" si="17">SIN(5 * $C3)</f>
        <v>0.50000000000000033</v>
      </c>
      <c r="V3" s="19">
        <f t="shared" ref="V3:V13" si="18">$B3 * T3</f>
        <v>-53.693575034635188</v>
      </c>
      <c r="W3" s="19">
        <f t="shared" ref="W3:W13" si="19">$B3 * U3</f>
        <v>31.000000000000021</v>
      </c>
    </row>
    <row r="4" spans="1:23" x14ac:dyDescent="0.3">
      <c r="A4" s="19">
        <v>3</v>
      </c>
      <c r="B4" s="19">
        <v>125</v>
      </c>
      <c r="C4" s="19">
        <f>PI()/3</f>
        <v>1.0471975511965976</v>
      </c>
      <c r="D4" s="19">
        <f t="shared" si="1"/>
        <v>0.50000000000000011</v>
      </c>
      <c r="E4" s="19">
        <f t="shared" si="2"/>
        <v>0.8660254037844386</v>
      </c>
      <c r="F4" s="19">
        <f t="shared" si="3"/>
        <v>62.500000000000014</v>
      </c>
      <c r="G4" s="19">
        <f t="shared" si="4"/>
        <v>108.25317547305482</v>
      </c>
      <c r="H4" s="19">
        <f t="shared" si="5"/>
        <v>-0.49999999999999978</v>
      </c>
      <c r="I4" s="19">
        <f t="shared" si="6"/>
        <v>0.86602540378443871</v>
      </c>
      <c r="J4" s="19">
        <f t="shared" si="7"/>
        <v>-62.499999999999972</v>
      </c>
      <c r="K4" s="19">
        <f t="shared" si="8"/>
        <v>108.25317547305484</v>
      </c>
      <c r="L4" s="19">
        <f t="shared" si="9"/>
        <v>-1</v>
      </c>
      <c r="M4" s="19">
        <f t="shared" si="10"/>
        <v>1.22514845490862E-16</v>
      </c>
      <c r="N4" s="19">
        <f t="shared" si="11"/>
        <v>-125</v>
      </c>
      <c r="O4" s="19">
        <f t="shared" si="0"/>
        <v>1.531435568635775E-14</v>
      </c>
      <c r="P4" s="19">
        <f t="shared" si="12"/>
        <v>-0.50000000000000044</v>
      </c>
      <c r="Q4" s="19">
        <f t="shared" si="13"/>
        <v>-0.86602540378443837</v>
      </c>
      <c r="R4" s="19">
        <f t="shared" si="14"/>
        <v>-62.500000000000057</v>
      </c>
      <c r="S4" s="19">
        <f t="shared" si="15"/>
        <v>-108.2531754730548</v>
      </c>
      <c r="T4" s="19">
        <f t="shared" si="16"/>
        <v>0.49999999999999933</v>
      </c>
      <c r="U4" s="19">
        <f t="shared" si="17"/>
        <v>-0.86602540378443904</v>
      </c>
      <c r="V4" s="19">
        <f t="shared" si="18"/>
        <v>62.499999999999915</v>
      </c>
      <c r="W4" s="19">
        <f t="shared" si="19"/>
        <v>-108.25317547305488</v>
      </c>
    </row>
    <row r="5" spans="1:23" x14ac:dyDescent="0.3">
      <c r="A5" s="19">
        <v>4</v>
      </c>
      <c r="B5" s="19">
        <v>256</v>
      </c>
      <c r="C5" s="19">
        <f>PI()/2</f>
        <v>1.5707963267948966</v>
      </c>
      <c r="D5" s="19">
        <f t="shared" si="1"/>
        <v>6.1257422745431001E-17</v>
      </c>
      <c r="E5" s="19">
        <f t="shared" si="2"/>
        <v>1</v>
      </c>
      <c r="F5" s="19">
        <f t="shared" si="3"/>
        <v>1.5681900222830336E-14</v>
      </c>
      <c r="G5" s="19">
        <f t="shared" si="4"/>
        <v>256</v>
      </c>
      <c r="H5" s="19">
        <f t="shared" si="5"/>
        <v>-1</v>
      </c>
      <c r="I5" s="19">
        <f t="shared" si="6"/>
        <v>1.22514845490862E-16</v>
      </c>
      <c r="J5" s="19">
        <f t="shared" si="7"/>
        <v>-256</v>
      </c>
      <c r="K5" s="19">
        <f t="shared" si="8"/>
        <v>3.1363800445660672E-14</v>
      </c>
      <c r="L5" s="19">
        <f t="shared" si="9"/>
        <v>-1.83772268236293E-16</v>
      </c>
      <c r="M5" s="19">
        <f t="shared" si="10"/>
        <v>-1</v>
      </c>
      <c r="N5" s="19">
        <f t="shared" si="11"/>
        <v>-4.7045700668491008E-14</v>
      </c>
      <c r="O5" s="19">
        <f t="shared" si="0"/>
        <v>-256</v>
      </c>
      <c r="P5" s="19">
        <f t="shared" si="12"/>
        <v>1</v>
      </c>
      <c r="Q5" s="19">
        <f t="shared" si="13"/>
        <v>-2.45029690981724E-16</v>
      </c>
      <c r="R5" s="19">
        <f t="shared" si="14"/>
        <v>256</v>
      </c>
      <c r="S5" s="19">
        <f t="shared" si="15"/>
        <v>-6.2727600891321345E-14</v>
      </c>
      <c r="T5" s="19">
        <f t="shared" si="16"/>
        <v>3.06287113727155E-16</v>
      </c>
      <c r="U5" s="19">
        <f t="shared" si="17"/>
        <v>1</v>
      </c>
      <c r="V5" s="19">
        <f t="shared" si="18"/>
        <v>7.8409501114151681E-14</v>
      </c>
      <c r="W5" s="19">
        <f t="shared" si="19"/>
        <v>256</v>
      </c>
    </row>
    <row r="6" spans="1:23" x14ac:dyDescent="0.3">
      <c r="A6" s="19">
        <v>5</v>
      </c>
      <c r="B6" s="19">
        <v>276</v>
      </c>
      <c r="C6" s="19">
        <f>2* PI()/3</f>
        <v>2.0943951023931953</v>
      </c>
      <c r="D6" s="19">
        <f t="shared" si="1"/>
        <v>-0.49999999999999978</v>
      </c>
      <c r="E6" s="19">
        <f t="shared" si="2"/>
        <v>0.86602540378443871</v>
      </c>
      <c r="F6" s="19">
        <f t="shared" si="3"/>
        <v>-137.99999999999994</v>
      </c>
      <c r="G6" s="19">
        <f t="shared" si="4"/>
        <v>239.02301144450507</v>
      </c>
      <c r="H6" s="19">
        <f t="shared" si="5"/>
        <v>-0.50000000000000044</v>
      </c>
      <c r="I6" s="19">
        <f t="shared" si="6"/>
        <v>-0.86602540378443837</v>
      </c>
      <c r="J6" s="19">
        <f t="shared" si="7"/>
        <v>-138.00000000000011</v>
      </c>
      <c r="K6" s="19">
        <f t="shared" si="8"/>
        <v>-239.02301144450499</v>
      </c>
      <c r="L6" s="19">
        <f t="shared" si="9"/>
        <v>1</v>
      </c>
      <c r="M6" s="19">
        <f t="shared" si="10"/>
        <v>-2.45029690981724E-16</v>
      </c>
      <c r="N6" s="19">
        <f t="shared" si="11"/>
        <v>276</v>
      </c>
      <c r="O6" s="19">
        <f t="shared" si="0"/>
        <v>-6.7628194710955825E-14</v>
      </c>
      <c r="P6" s="19">
        <f t="shared" si="12"/>
        <v>-0.49999999999999922</v>
      </c>
      <c r="Q6" s="19">
        <f t="shared" si="13"/>
        <v>0.86602540378443915</v>
      </c>
      <c r="R6" s="19">
        <f t="shared" si="14"/>
        <v>-137.99999999999977</v>
      </c>
      <c r="S6" s="19">
        <f t="shared" si="15"/>
        <v>239.02301144450522</v>
      </c>
      <c r="T6" s="19">
        <f t="shared" si="16"/>
        <v>-0.50000000000000133</v>
      </c>
      <c r="U6" s="19">
        <f t="shared" si="17"/>
        <v>-0.86602540378443782</v>
      </c>
      <c r="V6" s="19">
        <f t="shared" si="18"/>
        <v>-138.00000000000037</v>
      </c>
      <c r="W6" s="19">
        <f t="shared" si="19"/>
        <v>-239.02301144450485</v>
      </c>
    </row>
    <row r="7" spans="1:23" x14ac:dyDescent="0.3">
      <c r="A7" s="19">
        <v>6</v>
      </c>
      <c r="B7" s="19">
        <v>255</v>
      </c>
      <c r="C7" s="19">
        <f>5 * PI()/6</f>
        <v>2.6179938779914944</v>
      </c>
      <c r="D7" s="19">
        <f t="shared" si="1"/>
        <v>-0.86602540378443871</v>
      </c>
      <c r="E7" s="19">
        <f t="shared" si="2"/>
        <v>0.49999999999999994</v>
      </c>
      <c r="F7" s="19">
        <f t="shared" si="3"/>
        <v>-220.83647796503186</v>
      </c>
      <c r="G7" s="19">
        <f t="shared" si="4"/>
        <v>127.49999999999999</v>
      </c>
      <c r="H7" s="19">
        <f t="shared" si="5"/>
        <v>0.50000000000000011</v>
      </c>
      <c r="I7" s="19">
        <f t="shared" si="6"/>
        <v>-0.8660254037844386</v>
      </c>
      <c r="J7" s="19">
        <f t="shared" si="7"/>
        <v>127.50000000000003</v>
      </c>
      <c r="K7" s="19">
        <f t="shared" si="8"/>
        <v>-220.83647796503183</v>
      </c>
      <c r="L7" s="19">
        <f t="shared" si="9"/>
        <v>3.06287113727155E-16</v>
      </c>
      <c r="M7" s="19">
        <f t="shared" si="10"/>
        <v>1</v>
      </c>
      <c r="N7" s="19">
        <f t="shared" si="11"/>
        <v>7.8103214000424526E-14</v>
      </c>
      <c r="O7" s="19">
        <f t="shared" si="0"/>
        <v>255</v>
      </c>
      <c r="P7" s="19">
        <f t="shared" si="12"/>
        <v>-0.49999999999999983</v>
      </c>
      <c r="Q7" s="19">
        <f t="shared" si="13"/>
        <v>-0.86602540378443871</v>
      </c>
      <c r="R7" s="19">
        <f t="shared" si="14"/>
        <v>-127.49999999999996</v>
      </c>
      <c r="S7" s="19">
        <f t="shared" si="15"/>
        <v>-220.83647796503186</v>
      </c>
      <c r="T7" s="19">
        <f t="shared" si="16"/>
        <v>0.86602540378443826</v>
      </c>
      <c r="U7" s="19">
        <f t="shared" si="17"/>
        <v>0.50000000000000056</v>
      </c>
      <c r="V7" s="19">
        <f t="shared" si="18"/>
        <v>220.83647796503175</v>
      </c>
      <c r="W7" s="19">
        <f t="shared" si="19"/>
        <v>127.50000000000014</v>
      </c>
    </row>
    <row r="8" spans="1:23" x14ac:dyDescent="0.3">
      <c r="A8" s="19">
        <v>7</v>
      </c>
      <c r="B8" s="19">
        <v>178</v>
      </c>
      <c r="C8" s="19">
        <f>PI()</f>
        <v>3.1415926535897931</v>
      </c>
      <c r="D8" s="19">
        <f t="shared" si="1"/>
        <v>-1</v>
      </c>
      <c r="E8" s="19">
        <f t="shared" si="2"/>
        <v>1.22514845490862E-16</v>
      </c>
      <c r="F8" s="19">
        <f t="shared" si="3"/>
        <v>-178</v>
      </c>
      <c r="G8" s="19">
        <f t="shared" si="4"/>
        <v>2.1807642497373436E-14</v>
      </c>
      <c r="H8" s="19">
        <f t="shared" si="5"/>
        <v>1</v>
      </c>
      <c r="I8" s="19">
        <f t="shared" si="6"/>
        <v>-2.45029690981724E-16</v>
      </c>
      <c r="J8" s="19">
        <f t="shared" si="7"/>
        <v>178</v>
      </c>
      <c r="K8" s="19">
        <f t="shared" si="8"/>
        <v>-4.3615284994746872E-14</v>
      </c>
      <c r="L8" s="19">
        <f t="shared" si="9"/>
        <v>-1</v>
      </c>
      <c r="M8" s="19">
        <f t="shared" si="10"/>
        <v>3.67544536472586E-16</v>
      </c>
      <c r="N8" s="19">
        <f t="shared" si="11"/>
        <v>-178</v>
      </c>
      <c r="O8" s="19">
        <f t="shared" si="0"/>
        <v>6.5422927492120309E-14</v>
      </c>
      <c r="P8" s="19">
        <f t="shared" si="12"/>
        <v>1</v>
      </c>
      <c r="Q8" s="19">
        <f t="shared" si="13"/>
        <v>-4.90059381963448E-16</v>
      </c>
      <c r="R8" s="19">
        <f t="shared" si="14"/>
        <v>178</v>
      </c>
      <c r="S8" s="19">
        <f t="shared" si="15"/>
        <v>-8.7230569989493745E-14</v>
      </c>
      <c r="T8" s="19">
        <f t="shared" si="16"/>
        <v>-1</v>
      </c>
      <c r="U8" s="19">
        <f t="shared" si="17"/>
        <v>6.1257422745431001E-16</v>
      </c>
      <c r="V8" s="19">
        <f t="shared" si="18"/>
        <v>-178</v>
      </c>
      <c r="W8" s="19">
        <f t="shared" si="19"/>
        <v>1.0903821248686718E-13</v>
      </c>
    </row>
    <row r="9" spans="1:23" x14ac:dyDescent="0.3">
      <c r="A9" s="19">
        <v>8</v>
      </c>
      <c r="B9" s="19">
        <v>144</v>
      </c>
      <c r="C9" s="19">
        <f>7 * PI()/6</f>
        <v>3.6651914291880918</v>
      </c>
      <c r="D9" s="19">
        <f t="shared" si="1"/>
        <v>-0.86602540378443882</v>
      </c>
      <c r="E9" s="19">
        <f t="shared" si="2"/>
        <v>-0.49999999999999972</v>
      </c>
      <c r="F9" s="19">
        <f t="shared" si="3"/>
        <v>-124.7076581449592</v>
      </c>
      <c r="G9" s="19">
        <f t="shared" si="4"/>
        <v>-71.999999999999957</v>
      </c>
      <c r="H9" s="19">
        <f t="shared" si="5"/>
        <v>0.50000000000000056</v>
      </c>
      <c r="I9" s="19">
        <f t="shared" si="6"/>
        <v>0.86602540378443837</v>
      </c>
      <c r="J9" s="19">
        <f t="shared" si="7"/>
        <v>72.000000000000085</v>
      </c>
      <c r="K9" s="19">
        <f t="shared" si="8"/>
        <v>124.70765814495913</v>
      </c>
      <c r="L9" s="19">
        <f t="shared" si="9"/>
        <v>-4.28801959218017E-16</v>
      </c>
      <c r="M9" s="19">
        <f t="shared" si="10"/>
        <v>-1</v>
      </c>
      <c r="N9" s="19">
        <f t="shared" si="11"/>
        <v>-6.1747482127394449E-14</v>
      </c>
      <c r="O9" s="19">
        <f t="shared" si="0"/>
        <v>-144</v>
      </c>
      <c r="P9" s="19">
        <f t="shared" si="12"/>
        <v>-0.499999999999999</v>
      </c>
      <c r="Q9" s="19">
        <f t="shared" si="13"/>
        <v>0.86602540378443926</v>
      </c>
      <c r="R9" s="19">
        <f t="shared" si="14"/>
        <v>-71.999999999999858</v>
      </c>
      <c r="S9" s="19">
        <f t="shared" si="15"/>
        <v>124.70765814495925</v>
      </c>
      <c r="T9" s="19">
        <f t="shared" si="16"/>
        <v>0.8660254037844386</v>
      </c>
      <c r="U9" s="19">
        <f t="shared" si="17"/>
        <v>-0.50000000000000011</v>
      </c>
      <c r="V9" s="19">
        <f t="shared" si="18"/>
        <v>124.70765814495915</v>
      </c>
      <c r="W9" s="19">
        <f t="shared" si="19"/>
        <v>-72.000000000000014</v>
      </c>
    </row>
    <row r="10" spans="1:23" x14ac:dyDescent="0.3">
      <c r="A10" s="19">
        <v>9</v>
      </c>
      <c r="B10" s="19">
        <v>86</v>
      </c>
      <c r="C10" s="19">
        <f>4* PI()/3</f>
        <v>4.1887902047863905</v>
      </c>
      <c r="D10" s="19">
        <f t="shared" si="1"/>
        <v>-0.50000000000000044</v>
      </c>
      <c r="E10" s="19">
        <f t="shared" si="2"/>
        <v>-0.86602540378443837</v>
      </c>
      <c r="F10" s="19">
        <f t="shared" si="3"/>
        <v>-43.000000000000036</v>
      </c>
      <c r="G10" s="19">
        <f t="shared" si="4"/>
        <v>-74.478184725461702</v>
      </c>
      <c r="H10" s="19">
        <f t="shared" si="5"/>
        <v>-0.49999999999999922</v>
      </c>
      <c r="I10" s="19">
        <f t="shared" si="6"/>
        <v>0.86602540378443915</v>
      </c>
      <c r="J10" s="19">
        <f t="shared" si="7"/>
        <v>-42.999999999999936</v>
      </c>
      <c r="K10" s="19">
        <f t="shared" si="8"/>
        <v>74.478184725461773</v>
      </c>
      <c r="L10" s="19">
        <f t="shared" si="9"/>
        <v>1</v>
      </c>
      <c r="M10" s="19">
        <f t="shared" si="10"/>
        <v>-4.90059381963448E-16</v>
      </c>
      <c r="N10" s="19">
        <f t="shared" si="11"/>
        <v>86</v>
      </c>
      <c r="O10" s="19">
        <f t="shared" si="0"/>
        <v>-4.2145106848856528E-14</v>
      </c>
      <c r="P10" s="19">
        <f t="shared" si="12"/>
        <v>-0.50000000000000155</v>
      </c>
      <c r="Q10" s="19">
        <f t="shared" si="13"/>
        <v>-0.86602540378443771</v>
      </c>
      <c r="R10" s="19">
        <f t="shared" si="14"/>
        <v>-43.000000000000135</v>
      </c>
      <c r="S10" s="19">
        <f t="shared" si="15"/>
        <v>-74.478184725461645</v>
      </c>
      <c r="T10" s="19">
        <f t="shared" si="16"/>
        <v>-0.49999999999999722</v>
      </c>
      <c r="U10" s="19">
        <f t="shared" si="17"/>
        <v>0.86602540378444026</v>
      </c>
      <c r="V10" s="19">
        <f t="shared" si="18"/>
        <v>-42.999999999999758</v>
      </c>
      <c r="W10" s="19">
        <f t="shared" si="19"/>
        <v>74.478184725461858</v>
      </c>
    </row>
    <row r="11" spans="1:23" x14ac:dyDescent="0.3">
      <c r="A11" s="19">
        <v>10</v>
      </c>
      <c r="B11" s="19">
        <v>52</v>
      </c>
      <c r="C11" s="19">
        <f>3* PI()/2</f>
        <v>4.7123889803846897</v>
      </c>
      <c r="D11" s="19">
        <f t="shared" si="1"/>
        <v>-1.83772268236293E-16</v>
      </c>
      <c r="E11" s="19">
        <f t="shared" si="2"/>
        <v>-1</v>
      </c>
      <c r="F11" s="19">
        <f t="shared" si="3"/>
        <v>-9.5561579482872361E-15</v>
      </c>
      <c r="G11" s="19">
        <f t="shared" si="4"/>
        <v>-52</v>
      </c>
      <c r="H11" s="19">
        <f t="shared" si="5"/>
        <v>-1</v>
      </c>
      <c r="I11" s="19">
        <f t="shared" si="6"/>
        <v>3.67544536472586E-16</v>
      </c>
      <c r="J11" s="19">
        <f t="shared" si="7"/>
        <v>-52</v>
      </c>
      <c r="K11" s="19">
        <f t="shared" si="8"/>
        <v>1.9112315896574472E-14</v>
      </c>
      <c r="L11" s="19">
        <f t="shared" si="9"/>
        <v>5.51316804708879E-16</v>
      </c>
      <c r="M11" s="19">
        <f t="shared" si="10"/>
        <v>1</v>
      </c>
      <c r="N11" s="19">
        <f t="shared" si="11"/>
        <v>2.8668473844861708E-14</v>
      </c>
      <c r="O11" s="19">
        <f t="shared" si="0"/>
        <v>52</v>
      </c>
      <c r="P11" s="19">
        <f t="shared" si="12"/>
        <v>1</v>
      </c>
      <c r="Q11" s="19">
        <f t="shared" si="13"/>
        <v>-7.3508907294517201E-16</v>
      </c>
      <c r="R11" s="19">
        <f t="shared" si="14"/>
        <v>52</v>
      </c>
      <c r="S11" s="19">
        <f t="shared" si="15"/>
        <v>-3.8224631793148944E-14</v>
      </c>
      <c r="T11" s="19">
        <f t="shared" si="16"/>
        <v>-2.6952181805817155E-15</v>
      </c>
      <c r="U11" s="19">
        <f t="shared" si="17"/>
        <v>-1</v>
      </c>
      <c r="V11" s="19">
        <f t="shared" si="18"/>
        <v>-1.401513453902492E-13</v>
      </c>
      <c r="W11" s="19">
        <f t="shared" si="19"/>
        <v>-52</v>
      </c>
    </row>
    <row r="12" spans="1:23" x14ac:dyDescent="0.3">
      <c r="A12" s="19">
        <v>11</v>
      </c>
      <c r="B12" s="19">
        <v>38</v>
      </c>
      <c r="C12" s="19">
        <f>5 * PI()/3</f>
        <v>5.2359877559829888</v>
      </c>
      <c r="D12" s="19">
        <f t="shared" si="1"/>
        <v>0.50000000000000011</v>
      </c>
      <c r="E12" s="19">
        <f t="shared" si="2"/>
        <v>-0.8660254037844386</v>
      </c>
      <c r="F12" s="19">
        <f t="shared" si="3"/>
        <v>19.000000000000004</v>
      </c>
      <c r="G12" s="19">
        <f t="shared" si="4"/>
        <v>-32.908965343808667</v>
      </c>
      <c r="H12" s="19">
        <f t="shared" si="5"/>
        <v>-0.49999999999999983</v>
      </c>
      <c r="I12" s="19">
        <f t="shared" si="6"/>
        <v>-0.86602540378443871</v>
      </c>
      <c r="J12" s="19">
        <f t="shared" si="7"/>
        <v>-18.999999999999993</v>
      </c>
      <c r="K12" s="19">
        <f t="shared" si="8"/>
        <v>-32.908965343808674</v>
      </c>
      <c r="L12" s="19">
        <f t="shared" si="9"/>
        <v>-1</v>
      </c>
      <c r="M12" s="19">
        <f t="shared" si="10"/>
        <v>6.1257422745431001E-16</v>
      </c>
      <c r="N12" s="19">
        <f t="shared" si="11"/>
        <v>-38</v>
      </c>
      <c r="O12" s="19">
        <f t="shared" si="0"/>
        <v>2.327782064326378E-14</v>
      </c>
      <c r="P12" s="19">
        <f t="shared" si="12"/>
        <v>-0.50000000000000033</v>
      </c>
      <c r="Q12" s="19">
        <f t="shared" si="13"/>
        <v>0.86602540378443849</v>
      </c>
      <c r="R12" s="19">
        <f t="shared" si="14"/>
        <v>-19.000000000000014</v>
      </c>
      <c r="S12" s="19">
        <f t="shared" si="15"/>
        <v>32.90896534380866</v>
      </c>
      <c r="T12" s="19">
        <f t="shared" si="16"/>
        <v>0.49999999999999883</v>
      </c>
      <c r="U12" s="19">
        <f t="shared" si="17"/>
        <v>0.86602540378443937</v>
      </c>
      <c r="V12" s="19">
        <f t="shared" si="18"/>
        <v>18.999999999999957</v>
      </c>
      <c r="W12" s="19">
        <f t="shared" si="19"/>
        <v>32.908965343808696</v>
      </c>
    </row>
    <row r="13" spans="1:23" x14ac:dyDescent="0.3">
      <c r="A13" s="19">
        <v>12</v>
      </c>
      <c r="B13" s="19">
        <v>37</v>
      </c>
      <c r="C13" s="19">
        <f>11 * PI()/6</f>
        <v>5.7595865315812871</v>
      </c>
      <c r="D13" s="19">
        <f t="shared" si="1"/>
        <v>0.86602540378443837</v>
      </c>
      <c r="E13" s="19">
        <f t="shared" si="2"/>
        <v>-0.50000000000000044</v>
      </c>
      <c r="F13" s="19">
        <f t="shared" si="3"/>
        <v>32.042939940024219</v>
      </c>
      <c r="G13" s="19">
        <f t="shared" si="4"/>
        <v>-18.500000000000018</v>
      </c>
      <c r="H13" s="19">
        <f t="shared" si="5"/>
        <v>0.49999999999999911</v>
      </c>
      <c r="I13" s="19">
        <f t="shared" si="6"/>
        <v>-0.86602540378443915</v>
      </c>
      <c r="J13" s="19">
        <f t="shared" si="7"/>
        <v>18.499999999999968</v>
      </c>
      <c r="K13" s="19">
        <f t="shared" si="8"/>
        <v>-32.042939940024247</v>
      </c>
      <c r="L13" s="19">
        <f t="shared" si="9"/>
        <v>-2.4501884895999915E-15</v>
      </c>
      <c r="M13" s="19">
        <f t="shared" si="10"/>
        <v>-1</v>
      </c>
      <c r="N13" s="19">
        <f t="shared" si="11"/>
        <v>-9.0656974115199684E-14</v>
      </c>
      <c r="O13" s="19">
        <f>$B13 * M13</f>
        <v>-37</v>
      </c>
      <c r="P13" s="19">
        <f t="shared" si="12"/>
        <v>-0.50000000000000178</v>
      </c>
      <c r="Q13" s="19">
        <f t="shared" si="13"/>
        <v>-0.8660254037844376</v>
      </c>
      <c r="R13" s="19">
        <f t="shared" si="14"/>
        <v>-18.500000000000064</v>
      </c>
      <c r="S13" s="19">
        <f t="shared" si="15"/>
        <v>-32.042939940024191</v>
      </c>
      <c r="T13" s="19">
        <f t="shared" si="16"/>
        <v>-0.86602540378443948</v>
      </c>
      <c r="U13" s="19">
        <f t="shared" si="17"/>
        <v>-0.4999999999999985</v>
      </c>
      <c r="V13" s="19">
        <f t="shared" si="18"/>
        <v>-32.042939940024262</v>
      </c>
      <c r="W13" s="19">
        <f t="shared" si="19"/>
        <v>-18.499999999999943</v>
      </c>
    </row>
    <row r="14" spans="1:23" x14ac:dyDescent="0.3">
      <c r="B14" s="101" t="s">
        <v>237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</row>
    <row r="15" spans="1:23" x14ac:dyDescent="0.3">
      <c r="B15" s="19">
        <f t="shared" ref="B15" si="20">SUM(B2:B13)</f>
        <v>1548</v>
      </c>
      <c r="C15" s="101"/>
      <c r="D15" s="101"/>
      <c r="E15" s="101"/>
      <c r="F15" s="19">
        <f>SUM(F2:F13)</f>
        <v>-498.30762113533149</v>
      </c>
      <c r="G15" s="19">
        <f>SUM(G2:G13)</f>
        <v>511.88903684828961</v>
      </c>
      <c r="H15" s="101"/>
      <c r="I15" s="101"/>
      <c r="J15" s="19">
        <f t="shared" ref="J15:O15" si="21">SUM(J2:J13)</f>
        <v>-104.5</v>
      </c>
      <c r="K15" s="19">
        <f t="shared" si="21"/>
        <v>-163.67880131525882</v>
      </c>
      <c r="L15" s="101"/>
      <c r="M15" s="101"/>
      <c r="N15" s="19">
        <f t="shared" si="21"/>
        <v>59.999999999999908</v>
      </c>
      <c r="O15" s="19">
        <f t="shared" si="21"/>
        <v>-68.000000000000014</v>
      </c>
      <c r="P15" s="101"/>
      <c r="Q15" s="101"/>
      <c r="R15" s="19">
        <f t="shared" ref="R15:S15" si="22">SUM(R2:R13)</f>
        <v>13.500000000000142</v>
      </c>
      <c r="S15" s="19">
        <f t="shared" si="22"/>
        <v>14.72243186433564</v>
      </c>
      <c r="T15" s="101"/>
      <c r="U15" s="101"/>
      <c r="V15" s="19">
        <f t="shared" ref="V15:W15" si="23">SUM(V2:V13)</f>
        <v>21.307621135331139</v>
      </c>
      <c r="W15" s="19">
        <f t="shared" si="23"/>
        <v>32.110963151711154</v>
      </c>
    </row>
    <row r="17" spans="1:23" x14ac:dyDescent="0.3">
      <c r="F17" s="39" t="s">
        <v>405</v>
      </c>
      <c r="G17" s="39" t="s">
        <v>410</v>
      </c>
      <c r="J17" s="39" t="s">
        <v>411</v>
      </c>
      <c r="K17" s="39" t="s">
        <v>406</v>
      </c>
      <c r="N17" s="39" t="s">
        <v>417</v>
      </c>
      <c r="O17" s="39" t="s">
        <v>418</v>
      </c>
      <c r="R17" s="39" t="s">
        <v>425</v>
      </c>
      <c r="S17" s="39" t="s">
        <v>426</v>
      </c>
      <c r="V17" s="39" t="s">
        <v>431</v>
      </c>
      <c r="W17" s="39" t="s">
        <v>432</v>
      </c>
    </row>
    <row r="18" spans="1:23" x14ac:dyDescent="0.3">
      <c r="F18" s="19">
        <f>2 * F15/12</f>
        <v>-83.05127018922191</v>
      </c>
      <c r="G18" s="19">
        <f>2 * G15/12</f>
        <v>85.31483947471493</v>
      </c>
      <c r="J18" s="19">
        <f>2 * J15/12</f>
        <v>-17.416666666666668</v>
      </c>
      <c r="K18" s="19">
        <f>2 * K15/12</f>
        <v>-27.279800219209804</v>
      </c>
      <c r="N18" s="19">
        <f>2 * N15/12</f>
        <v>9.999999999999984</v>
      </c>
      <c r="O18" s="19">
        <f>2 * O15/12</f>
        <v>-11.333333333333336</v>
      </c>
      <c r="R18" s="19">
        <f>2 * R15/12</f>
        <v>2.2500000000000235</v>
      </c>
      <c r="S18" s="19">
        <f>2 * S15/12</f>
        <v>2.4537386440559401</v>
      </c>
      <c r="V18" s="19">
        <f>2 * V15/12</f>
        <v>3.5512701892218566</v>
      </c>
      <c r="W18" s="19">
        <f>2 * W15/12</f>
        <v>5.351827191951859</v>
      </c>
    </row>
    <row r="20" spans="1:23" x14ac:dyDescent="0.3">
      <c r="A20" s="101" t="s">
        <v>407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M20" s="19" t="s">
        <v>284</v>
      </c>
      <c r="N20" s="101" t="s">
        <v>419</v>
      </c>
      <c r="O20" s="101"/>
      <c r="P20" s="101"/>
      <c r="Q20" s="101"/>
      <c r="R20" s="101"/>
    </row>
    <row r="21" spans="1:23" x14ac:dyDescent="0.3">
      <c r="A21" s="94" t="s">
        <v>408</v>
      </c>
      <c r="B21" s="124" t="s">
        <v>325</v>
      </c>
      <c r="C21" s="59">
        <f t="shared" ref="C21:C32" si="24">A$22 + F$18 * D2 + G$18 * E2</f>
        <v>45.94872981077809</v>
      </c>
      <c r="D21" s="124" t="s">
        <v>326</v>
      </c>
      <c r="E21" s="59">
        <f>C21 + $J$18 * H2 + $K$18 * I2</f>
        <v>28.532063144111422</v>
      </c>
      <c r="F21" s="124" t="s">
        <v>412</v>
      </c>
      <c r="G21" s="59">
        <f>E21 + $N$18 * L2 + $O$18 * M2</f>
        <v>38.532063144111405</v>
      </c>
      <c r="H21" s="124" t="s">
        <v>420</v>
      </c>
      <c r="I21" s="59">
        <f>G21 + $R$18 * P2 + $S$18 * Q2</f>
        <v>40.782063144111426</v>
      </c>
      <c r="J21" s="124" t="s">
        <v>433</v>
      </c>
      <c r="K21" s="59">
        <f>I21 + $R$18 * T2 + $S$18 * U2</f>
        <v>43.032063144111447</v>
      </c>
      <c r="M21" s="19">
        <v>1</v>
      </c>
      <c r="N21" s="97">
        <f t="shared" ref="N21:N32" si="25" xml:space="preserve"> ABS(($B2 - C21)/$B2)</f>
        <v>0.17817255925072026</v>
      </c>
      <c r="O21" s="97">
        <f t="shared" ref="O21:O32" si="26" xml:space="preserve"> ABS(($B2 - E21)/$B2)</f>
        <v>0.26840863733047637</v>
      </c>
      <c r="P21" s="97">
        <f t="shared" ref="P21:P32" si="27" xml:space="preserve"> ABS(($B2 - G21)/$B2)</f>
        <v>1.1998380920220396E-2</v>
      </c>
      <c r="Q21" s="97">
        <f t="shared" ref="Q21:Q32" si="28" xml:space="preserve"> ABS(($B2 - I21)/$B2)</f>
        <v>4.5693926772087841E-2</v>
      </c>
      <c r="R21" s="97">
        <f xml:space="preserve"> ABS(($B2 - K21)/$B2)</f>
        <v>0.10338623446439608</v>
      </c>
    </row>
    <row r="22" spans="1:23" x14ac:dyDescent="0.3">
      <c r="A22" s="50">
        <f>B15/12</f>
        <v>129</v>
      </c>
      <c r="B22" s="109"/>
      <c r="C22" s="19">
        <f t="shared" si="24"/>
        <v>99.732909936926035</v>
      </c>
      <c r="D22" s="109"/>
      <c r="E22" s="19">
        <f t="shared" ref="E22:E32" si="29">C22 + $J$18 * H3 + $K$18 * I3</f>
        <v>67.399576603592706</v>
      </c>
      <c r="F22" s="109"/>
      <c r="G22" s="19">
        <f t="shared" ref="G22:G32" si="30">E22 + $N$18 * L3 + $O$18 * M3</f>
        <v>56.06624327025937</v>
      </c>
      <c r="H22" s="109"/>
      <c r="I22" s="59">
        <f t="shared" ref="I22:I32" si="31">G22 + $R$18 * P3 + $S$18 * Q3</f>
        <v>57.066243270259385</v>
      </c>
      <c r="J22" s="109"/>
      <c r="K22" s="59">
        <f t="shared" ref="K22:K32" si="32">I22 + $R$18 * T3 + $S$18 * U3</f>
        <v>56.344555433772349</v>
      </c>
      <c r="M22" s="19">
        <v>2</v>
      </c>
      <c r="N22" s="95">
        <f t="shared" si="25"/>
        <v>0.60859532156332319</v>
      </c>
      <c r="O22" s="95">
        <f t="shared" si="26"/>
        <v>8.70899452192372E-2</v>
      </c>
      <c r="P22" s="95">
        <f t="shared" si="27"/>
        <v>9.5705753705494029E-2</v>
      </c>
      <c r="Q22" s="95">
        <f t="shared" si="28"/>
        <v>7.9576721447429277E-2</v>
      </c>
      <c r="R22" s="97">
        <f t="shared" ref="R22:R32" si="33" xml:space="preserve"> ABS(($B3 - K22)/$B3)</f>
        <v>9.121684784238146E-2</v>
      </c>
    </row>
    <row r="23" spans="1:23" x14ac:dyDescent="0.3">
      <c r="B23" s="109"/>
      <c r="C23" s="19">
        <f t="shared" si="24"/>
        <v>161.35918321028359</v>
      </c>
      <c r="D23" s="109"/>
      <c r="E23" s="19">
        <f t="shared" si="29"/>
        <v>146.44251654361693</v>
      </c>
      <c r="F23" s="109"/>
      <c r="G23" s="19">
        <f t="shared" si="30"/>
        <v>136.44251654361696</v>
      </c>
      <c r="H23" s="109"/>
      <c r="I23" s="59">
        <f t="shared" si="31"/>
        <v>133.19251654361693</v>
      </c>
      <c r="J23" s="109"/>
      <c r="K23" s="59">
        <f t="shared" si="32"/>
        <v>132.1925165436169</v>
      </c>
      <c r="M23" s="19">
        <v>3</v>
      </c>
      <c r="N23" s="95">
        <f t="shared" si="25"/>
        <v>0.29087346568226874</v>
      </c>
      <c r="O23" s="95">
        <f t="shared" si="26"/>
        <v>0.17154013234893545</v>
      </c>
      <c r="P23" s="95">
        <f t="shared" si="27"/>
        <v>9.1540132348935682E-2</v>
      </c>
      <c r="Q23" s="95">
        <f t="shared" si="28"/>
        <v>6.5540132348935465E-2</v>
      </c>
      <c r="R23" s="97">
        <f t="shared" si="33"/>
        <v>5.7540132348935229E-2</v>
      </c>
    </row>
    <row r="24" spans="1:23" x14ac:dyDescent="0.3">
      <c r="B24" s="109"/>
      <c r="C24" s="19">
        <f t="shared" si="24"/>
        <v>214.31483947471492</v>
      </c>
      <c r="D24" s="109"/>
      <c r="E24" s="19">
        <f t="shared" si="29"/>
        <v>231.73150614138157</v>
      </c>
      <c r="F24" s="109"/>
      <c r="G24" s="19">
        <f t="shared" si="30"/>
        <v>243.06483947471492</v>
      </c>
      <c r="H24" s="109"/>
      <c r="I24" s="59">
        <f t="shared" si="31"/>
        <v>245.31483947471494</v>
      </c>
      <c r="J24" s="109"/>
      <c r="K24" s="59">
        <f t="shared" si="32"/>
        <v>247.76857811877088</v>
      </c>
      <c r="M24" s="19">
        <v>4</v>
      </c>
      <c r="N24" s="95">
        <f t="shared" si="25"/>
        <v>0.16283265830189486</v>
      </c>
      <c r="O24" s="95">
        <f t="shared" si="26"/>
        <v>9.4798804135228232E-2</v>
      </c>
      <c r="P24" s="95">
        <f t="shared" si="27"/>
        <v>5.0527970801894861E-2</v>
      </c>
      <c r="Q24" s="95">
        <f t="shared" si="28"/>
        <v>4.173890830189475E-2</v>
      </c>
      <c r="R24" s="97">
        <f t="shared" si="33"/>
        <v>3.2153991723551267E-2</v>
      </c>
    </row>
    <row r="25" spans="1:23" x14ac:dyDescent="0.3">
      <c r="B25" s="109"/>
      <c r="C25" s="19">
        <f t="shared" si="24"/>
        <v>244.41045339950551</v>
      </c>
      <c r="D25" s="109"/>
      <c r="E25" s="19">
        <f t="shared" si="29"/>
        <v>276.74378673283883</v>
      </c>
      <c r="F25" s="109"/>
      <c r="G25" s="19">
        <f t="shared" si="30"/>
        <v>286.74378673283883</v>
      </c>
      <c r="H25" s="109"/>
      <c r="I25" s="59">
        <f t="shared" si="31"/>
        <v>287.74378673283883</v>
      </c>
      <c r="J25" s="109"/>
      <c r="K25" s="59">
        <f t="shared" si="32"/>
        <v>284.49378673283883</v>
      </c>
      <c r="M25" s="19">
        <v>5</v>
      </c>
      <c r="N25" s="95">
        <f t="shared" si="25"/>
        <v>0.11445487898729886</v>
      </c>
      <c r="O25" s="95">
        <f t="shared" si="26"/>
        <v>2.6948794668073474E-3</v>
      </c>
      <c r="P25" s="95">
        <f t="shared" si="27"/>
        <v>3.8926763524778363E-2</v>
      </c>
      <c r="Q25" s="95">
        <f t="shared" si="28"/>
        <v>4.2549951930575466E-2</v>
      </c>
      <c r="R25" s="97">
        <f t="shared" si="33"/>
        <v>3.0774589611734883E-2</v>
      </c>
    </row>
    <row r="26" spans="1:23" x14ac:dyDescent="0.3">
      <c r="B26" s="109"/>
      <c r="C26" s="19">
        <f t="shared" si="24"/>
        <v>243.58192953778888</v>
      </c>
      <c r="D26" s="109"/>
      <c r="E26" s="19">
        <f t="shared" si="29"/>
        <v>258.49859620445551</v>
      </c>
      <c r="F26" s="109"/>
      <c r="G26" s="19">
        <f t="shared" si="30"/>
        <v>247.16526287112217</v>
      </c>
      <c r="H26" s="109"/>
      <c r="I26" s="59">
        <f t="shared" si="31"/>
        <v>243.91526287112214</v>
      </c>
      <c r="J26" s="109"/>
      <c r="K26" s="59">
        <f t="shared" si="32"/>
        <v>247.09068935166511</v>
      </c>
      <c r="M26" s="19">
        <v>6</v>
      </c>
      <c r="N26" s="95">
        <f t="shared" si="25"/>
        <v>4.477674691063184E-2</v>
      </c>
      <c r="O26" s="95">
        <f t="shared" si="26"/>
        <v>1.3719985115511802E-2</v>
      </c>
      <c r="P26" s="95">
        <f t="shared" si="27"/>
        <v>3.0724459328932679E-2</v>
      </c>
      <c r="Q26" s="95">
        <f t="shared" si="28"/>
        <v>4.3469557368148476E-2</v>
      </c>
      <c r="R26" s="97">
        <f t="shared" si="33"/>
        <v>3.1016904503274097E-2</v>
      </c>
    </row>
    <row r="27" spans="1:23" x14ac:dyDescent="0.3">
      <c r="B27" s="109"/>
      <c r="C27" s="19">
        <f t="shared" si="24"/>
        <v>212.0512701892219</v>
      </c>
      <c r="D27" s="109"/>
      <c r="E27" s="19">
        <f t="shared" si="29"/>
        <v>194.63460352255524</v>
      </c>
      <c r="F27" s="109"/>
      <c r="G27" s="19">
        <f t="shared" si="30"/>
        <v>184.63460352255527</v>
      </c>
      <c r="H27" s="109"/>
      <c r="I27" s="59">
        <f t="shared" si="31"/>
        <v>186.8846035225553</v>
      </c>
      <c r="J27" s="109"/>
      <c r="K27" s="59">
        <f t="shared" si="32"/>
        <v>184.63460352255527</v>
      </c>
      <c r="M27" s="19">
        <v>7</v>
      </c>
      <c r="N27" s="95">
        <f t="shared" si="25"/>
        <v>0.1912992707259657</v>
      </c>
      <c r="O27" s="95">
        <f t="shared" si="26"/>
        <v>9.3452828778400221E-2</v>
      </c>
      <c r="P27" s="95">
        <f t="shared" si="27"/>
        <v>3.7273053497501499E-2</v>
      </c>
      <c r="Q27" s="95">
        <f t="shared" si="28"/>
        <v>4.9913502935703909E-2</v>
      </c>
      <c r="R27" s="97">
        <f t="shared" si="33"/>
        <v>3.7273053497501499E-2</v>
      </c>
    </row>
    <row r="28" spans="1:23" x14ac:dyDescent="0.3">
      <c r="B28" s="109"/>
      <c r="C28" s="19">
        <f t="shared" si="24"/>
        <v>158.26709006307402</v>
      </c>
      <c r="D28" s="109"/>
      <c r="E28" s="19">
        <f t="shared" si="29"/>
        <v>125.93375672974069</v>
      </c>
      <c r="F28" s="109"/>
      <c r="G28" s="19">
        <f t="shared" si="30"/>
        <v>137.26709006307402</v>
      </c>
      <c r="H28" s="109"/>
      <c r="I28" s="59">
        <f t="shared" si="31"/>
        <v>138.26709006307405</v>
      </c>
      <c r="J28" s="109"/>
      <c r="K28" s="59">
        <f t="shared" si="32"/>
        <v>138.98877789956109</v>
      </c>
      <c r="M28" s="19">
        <v>8</v>
      </c>
      <c r="N28" s="95">
        <f t="shared" si="25"/>
        <v>9.9077014326902926E-2</v>
      </c>
      <c r="O28" s="95">
        <f t="shared" si="26"/>
        <v>0.12546002271013407</v>
      </c>
      <c r="P28" s="95">
        <f t="shared" si="27"/>
        <v>4.6756319006430402E-2</v>
      </c>
      <c r="Q28" s="95">
        <f t="shared" si="28"/>
        <v>3.9811874561985761E-2</v>
      </c>
      <c r="R28" s="97">
        <f t="shared" si="33"/>
        <v>3.480015347527024E-2</v>
      </c>
    </row>
    <row r="29" spans="1:23" x14ac:dyDescent="0.3">
      <c r="B29" s="109"/>
      <c r="C29" s="19">
        <f t="shared" si="24"/>
        <v>96.640816789716467</v>
      </c>
      <c r="D29" s="109"/>
      <c r="E29" s="19">
        <f t="shared" si="29"/>
        <v>81.724150123049782</v>
      </c>
      <c r="F29" s="109"/>
      <c r="G29" s="19">
        <f t="shared" si="30"/>
        <v>91.724150123049768</v>
      </c>
      <c r="H29" s="109"/>
      <c r="I29" s="59">
        <f t="shared" si="31"/>
        <v>88.474150123049725</v>
      </c>
      <c r="J29" s="109"/>
      <c r="K29" s="59">
        <f t="shared" si="32"/>
        <v>89.474150123049753</v>
      </c>
      <c r="M29" s="19">
        <v>9</v>
      </c>
      <c r="N29" s="95">
        <f t="shared" si="25"/>
        <v>0.12373042778740079</v>
      </c>
      <c r="O29" s="95">
        <f t="shared" si="26"/>
        <v>4.9719184615700213E-2</v>
      </c>
      <c r="P29" s="95">
        <f t="shared" si="27"/>
        <v>6.655988515174148E-2</v>
      </c>
      <c r="Q29" s="95">
        <f t="shared" si="28"/>
        <v>2.8769187477322381E-2</v>
      </c>
      <c r="R29" s="97">
        <f t="shared" si="33"/>
        <v>4.0397094454066897E-2</v>
      </c>
    </row>
    <row r="30" spans="1:23" x14ac:dyDescent="0.3">
      <c r="B30" s="109"/>
      <c r="C30" s="19">
        <f t="shared" si="24"/>
        <v>43.685160525285099</v>
      </c>
      <c r="D30" s="109"/>
      <c r="E30" s="19">
        <f t="shared" si="29"/>
        <v>61.101827191951763</v>
      </c>
      <c r="F30" s="109"/>
      <c r="G30" s="19">
        <f t="shared" si="30"/>
        <v>49.768493858618434</v>
      </c>
      <c r="H30" s="109"/>
      <c r="I30" s="59">
        <f t="shared" si="31"/>
        <v>52.018493858618456</v>
      </c>
      <c r="J30" s="109"/>
      <c r="K30" s="59">
        <f t="shared" si="32"/>
        <v>49.56475521456251</v>
      </c>
      <c r="M30" s="19">
        <v>10</v>
      </c>
      <c r="N30" s="95">
        <f t="shared" si="25"/>
        <v>0.15990075912913271</v>
      </c>
      <c r="O30" s="95">
        <f t="shared" si="26"/>
        <v>0.17503513830676468</v>
      </c>
      <c r="P30" s="95">
        <f t="shared" si="27"/>
        <v>4.2913579641953185E-2</v>
      </c>
      <c r="Q30" s="95">
        <f t="shared" si="28"/>
        <v>3.5565112727799539E-4</v>
      </c>
      <c r="R30" s="95">
        <f t="shared" si="33"/>
        <v>4.6831630489182499E-2</v>
      </c>
    </row>
    <row r="31" spans="1:23" x14ac:dyDescent="0.3">
      <c r="B31" s="109"/>
      <c r="C31" s="19">
        <f t="shared" si="24"/>
        <v>13.589546600494486</v>
      </c>
      <c r="D31" s="109"/>
      <c r="E31" s="19">
        <f t="shared" si="29"/>
        <v>45.922879933827801</v>
      </c>
      <c r="F31" s="109"/>
      <c r="G31" s="19">
        <f t="shared" si="30"/>
        <v>35.922879933827808</v>
      </c>
      <c r="H31" s="109"/>
      <c r="I31" s="59">
        <f t="shared" si="31"/>
        <v>36.922879933827822</v>
      </c>
      <c r="J31" s="109"/>
      <c r="K31" s="59">
        <f t="shared" si="32"/>
        <v>40.172879933827858</v>
      </c>
      <c r="M31" s="19">
        <v>11</v>
      </c>
      <c r="N31" s="95">
        <f t="shared" si="25"/>
        <v>0.64238035261856619</v>
      </c>
      <c r="O31" s="95">
        <f t="shared" si="26"/>
        <v>0.20849684036388949</v>
      </c>
      <c r="P31" s="95">
        <f t="shared" si="27"/>
        <v>5.466105437295242E-2</v>
      </c>
      <c r="Q31" s="95">
        <f t="shared" si="28"/>
        <v>2.8345264899267836E-2</v>
      </c>
      <c r="R31" s="95">
        <f t="shared" si="33"/>
        <v>5.718105089020678E-2</v>
      </c>
    </row>
    <row r="32" spans="1:23" x14ac:dyDescent="0.3">
      <c r="B32" s="109"/>
      <c r="C32" s="19">
        <f t="shared" si="24"/>
        <v>14.418070462211105</v>
      </c>
      <c r="D32" s="109"/>
      <c r="E32" s="19">
        <f t="shared" si="29"/>
        <v>29.334737128877791</v>
      </c>
      <c r="F32" s="109"/>
      <c r="G32" s="19">
        <f t="shared" si="30"/>
        <v>40.668070462211105</v>
      </c>
      <c r="H32" s="109"/>
      <c r="I32" s="59">
        <f t="shared" si="31"/>
        <v>37.41807046221107</v>
      </c>
      <c r="J32" s="109"/>
      <c r="K32" s="59">
        <f t="shared" si="32"/>
        <v>34.242643981668095</v>
      </c>
      <c r="M32" s="19">
        <v>12</v>
      </c>
      <c r="N32" s="95">
        <f t="shared" si="25"/>
        <v>0.61032241994024039</v>
      </c>
      <c r="O32" s="95">
        <f t="shared" si="26"/>
        <v>0.20716926678708675</v>
      </c>
      <c r="P32" s="95">
        <f t="shared" si="27"/>
        <v>9.9137039519219053E-2</v>
      </c>
      <c r="Q32" s="95">
        <f t="shared" si="28"/>
        <v>1.129920168138026E-2</v>
      </c>
      <c r="R32" s="95">
        <f t="shared" si="33"/>
        <v>7.4523135630592013E-2</v>
      </c>
    </row>
    <row r="33" spans="2:18" x14ac:dyDescent="0.3">
      <c r="B33" s="101" t="s">
        <v>390</v>
      </c>
      <c r="C33" s="101"/>
      <c r="D33" s="101"/>
      <c r="E33" s="101"/>
      <c r="F33" s="101"/>
      <c r="G33" s="101"/>
      <c r="H33" s="101"/>
      <c r="I33" s="101"/>
      <c r="J33" s="101"/>
      <c r="K33" s="101"/>
      <c r="N33" s="101" t="s">
        <v>390</v>
      </c>
      <c r="O33" s="101"/>
      <c r="P33" s="101"/>
      <c r="Q33" s="101"/>
      <c r="R33" s="101"/>
    </row>
    <row r="34" spans="2:18" x14ac:dyDescent="0.3">
      <c r="B34" s="92"/>
      <c r="C34" s="39">
        <f>AVERAGE(C21:C32)</f>
        <v>129</v>
      </c>
      <c r="D34" s="92"/>
      <c r="E34" s="19">
        <f>C34 + $J$18 * H14 + $K$18 * I14</f>
        <v>129</v>
      </c>
      <c r="F34" s="92"/>
      <c r="G34" s="39">
        <f>AVERAGE(G21:G32)</f>
        <v>129</v>
      </c>
      <c r="H34" s="19"/>
      <c r="I34" s="39">
        <f>AVERAGE(I21:I32)</f>
        <v>129</v>
      </c>
      <c r="J34" s="39"/>
      <c r="K34" s="39">
        <f t="shared" ref="K34" si="34">AVERAGE(K21:K32)</f>
        <v>129</v>
      </c>
      <c r="N34" s="96">
        <f>AVERAGE(N21:N32)</f>
        <v>0.26886798960202885</v>
      </c>
      <c r="O34" s="96">
        <f t="shared" ref="O34:R34" si="35">AVERAGE(O21:O32)</f>
        <v>0.12479880543151432</v>
      </c>
      <c r="P34" s="96">
        <f t="shared" si="35"/>
        <v>5.5560365985004502E-2</v>
      </c>
      <c r="Q34" s="96">
        <f t="shared" si="35"/>
        <v>3.9755323404334117E-2</v>
      </c>
      <c r="R34" s="96">
        <f t="shared" si="35"/>
        <v>5.3091234910924406E-2</v>
      </c>
    </row>
  </sheetData>
  <mergeCells count="15">
    <mergeCell ref="T15:U15"/>
    <mergeCell ref="B14:W14"/>
    <mergeCell ref="J21:J32"/>
    <mergeCell ref="A20:K20"/>
    <mergeCell ref="B33:K33"/>
    <mergeCell ref="N20:R20"/>
    <mergeCell ref="N33:R33"/>
    <mergeCell ref="H21:H32"/>
    <mergeCell ref="H15:I15"/>
    <mergeCell ref="C15:E15"/>
    <mergeCell ref="F21:F32"/>
    <mergeCell ref="L15:M15"/>
    <mergeCell ref="B21:B32"/>
    <mergeCell ref="D21:D32"/>
    <mergeCell ref="P15:Q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FB43-8C0D-4D82-AC9C-809AD5C83B29}">
  <dimension ref="A1:U37"/>
  <sheetViews>
    <sheetView topLeftCell="B1" workbookViewId="0">
      <selection activeCell="U14" sqref="U14"/>
    </sheetView>
  </sheetViews>
  <sheetFormatPr defaultRowHeight="14.4" x14ac:dyDescent="0.3"/>
  <cols>
    <col min="1" max="1" width="19" bestFit="1" customWidth="1"/>
    <col min="2" max="2" width="5" bestFit="1" customWidth="1"/>
    <col min="3" max="3" width="4" bestFit="1" customWidth="1"/>
    <col min="15" max="15" width="18.88671875" bestFit="1" customWidth="1"/>
    <col min="16" max="16" width="6.44140625" bestFit="1" customWidth="1"/>
    <col min="17" max="17" width="7" bestFit="1" customWidth="1"/>
    <col min="18" max="18" width="6.44140625" bestFit="1" customWidth="1"/>
    <col min="19" max="19" width="10.44140625" bestFit="1" customWidth="1"/>
    <col min="20" max="20" width="15.88671875" bestFit="1" customWidth="1"/>
    <col min="21" max="21" width="21.44140625" bestFit="1" customWidth="1"/>
  </cols>
  <sheetData>
    <row r="1" spans="1:21" x14ac:dyDescent="0.3">
      <c r="A1" s="19" t="s">
        <v>179</v>
      </c>
      <c r="B1" t="s">
        <v>178</v>
      </c>
    </row>
    <row r="2" spans="1:21" x14ac:dyDescent="0.3">
      <c r="A2" s="19" t="s">
        <v>180</v>
      </c>
      <c r="O2" t="s">
        <v>181</v>
      </c>
      <c r="P2" t="s">
        <v>46</v>
      </c>
      <c r="Q2" t="s">
        <v>182</v>
      </c>
      <c r="R2" t="s">
        <v>149</v>
      </c>
      <c r="S2" t="s">
        <v>187</v>
      </c>
      <c r="T2" t="s">
        <v>188</v>
      </c>
      <c r="U2" t="s">
        <v>189</v>
      </c>
    </row>
    <row r="3" spans="1:21" x14ac:dyDescent="0.3">
      <c r="O3" t="s">
        <v>183</v>
      </c>
      <c r="P3" s="32">
        <f>SQRT(Q3)</f>
        <v>0.94223139408533829</v>
      </c>
      <c r="Q3" s="32">
        <v>0.88780000000000003</v>
      </c>
      <c r="R3" s="32">
        <f>Q3/(1-Q3)*8</f>
        <v>63.301247771836032</v>
      </c>
      <c r="S3" s="32">
        <f>0.441*Степенная!B2+148.21</f>
        <v>347.983</v>
      </c>
      <c r="T3" s="32">
        <f xml:space="preserve"> ABS((Степенная!C2 - S3)/Степенная!C2)</f>
        <v>0.37542687747035575</v>
      </c>
      <c r="U3" s="32">
        <f>AVERAGE(T3:T12)*100</f>
        <v>11.08843369244182</v>
      </c>
    </row>
    <row r="4" spans="1:21" x14ac:dyDescent="0.3">
      <c r="S4" s="32">
        <f>0.441*Степенная!B3+148.21</f>
        <v>362.536</v>
      </c>
      <c r="T4" s="32">
        <f xml:space="preserve"> ABS((Степенная!C3 - S4)/Степенная!C3)</f>
        <v>0.12588819875776397</v>
      </c>
    </row>
    <row r="5" spans="1:21" x14ac:dyDescent="0.3">
      <c r="S5" s="32">
        <f>0.441*Степенная!B4+148.21</f>
        <v>379.29399999999998</v>
      </c>
      <c r="T5" s="32">
        <f xml:space="preserve"> ABS((Степенная!C4 - S5)/Степенная!C4)</f>
        <v>7.0357843137254947E-2</v>
      </c>
    </row>
    <row r="6" spans="1:21" x14ac:dyDescent="0.3">
      <c r="S6" s="32">
        <f>0.441*Степенная!B5+148.21</f>
        <v>483.81100000000004</v>
      </c>
      <c r="T6" s="32">
        <f xml:space="preserve"> ABS((Степенная!C5 - S6)/Степенная!C5)</f>
        <v>0.10735977859778591</v>
      </c>
    </row>
    <row r="7" spans="1:21" x14ac:dyDescent="0.3">
      <c r="S7" s="32">
        <f>0.441*Степенная!B6+148.21</f>
        <v>486.45699999999999</v>
      </c>
      <c r="T7" s="32">
        <f xml:space="preserve"> ABS((Степенная!C6 - S7)/Степенная!C6)</f>
        <v>3.4807539682539697E-2</v>
      </c>
    </row>
    <row r="8" spans="1:21" x14ac:dyDescent="0.3">
      <c r="S8" s="32">
        <f>0.441*Степенная!B7+148.21</f>
        <v>561.42700000000002</v>
      </c>
      <c r="T8" s="32">
        <f xml:space="preserve"> ABS((Степенная!C7 - S8)/Степенная!C7)</f>
        <v>0.12550311526479749</v>
      </c>
    </row>
    <row r="9" spans="1:21" x14ac:dyDescent="0.3">
      <c r="S9" s="32">
        <f>0.441*Степенная!B8+148.21</f>
        <v>587.88700000000006</v>
      </c>
      <c r="T9" s="32">
        <f xml:space="preserve"> ABS((Степенная!C8 - S9)/Степенная!C8)</f>
        <v>9.6947772657449985E-2</v>
      </c>
    </row>
    <row r="10" spans="1:21" x14ac:dyDescent="0.3">
      <c r="S10" s="32">
        <f>0.441*Степенная!B9+148.21</f>
        <v>591.85599999999999</v>
      </c>
      <c r="T10" s="32">
        <f xml:space="preserve"> ABS((Степенная!C9 - S10)/Степенная!C9)</f>
        <v>2.0441379310344818E-2</v>
      </c>
    </row>
    <row r="11" spans="1:21" x14ac:dyDescent="0.3">
      <c r="S11" s="32">
        <f>0.441*Степенная!B10+148.21</f>
        <v>612.14200000000005</v>
      </c>
      <c r="T11" s="32">
        <f xml:space="preserve"> ABS((Степенная!C10 - S11)/Степенная!C10)</f>
        <v>9.8998204667863646E-2</v>
      </c>
    </row>
    <row r="12" spans="1:21" x14ac:dyDescent="0.3">
      <c r="S12" s="32">
        <f>0.441*Степенная!B11+148.21</f>
        <v>906.73</v>
      </c>
      <c r="T12" s="32">
        <f xml:space="preserve"> ABS((Степенная!C11 - S12)/Степенная!C11)</f>
        <v>5.3112659698025574E-2</v>
      </c>
    </row>
    <row r="13" spans="1:21" x14ac:dyDescent="0.3">
      <c r="S13" s="32"/>
      <c r="T13" s="32"/>
    </row>
    <row r="14" spans="1:21" ht="16.2" x14ac:dyDescent="0.3">
      <c r="O14" t="s">
        <v>184</v>
      </c>
      <c r="P14" s="32">
        <f t="shared" ref="P14" si="0">SQRT(Q14)</f>
        <v>0.94350410703928578</v>
      </c>
      <c r="Q14" s="32">
        <v>0.89019999999999999</v>
      </c>
      <c r="R14" s="32">
        <f t="shared" ref="R14" si="1">Q14/(1-Q14)*8</f>
        <v>64.859744990892523</v>
      </c>
      <c r="S14" s="32">
        <f>2.078* Степенная!B2^ 0.8206</f>
        <v>314.22427132485717</v>
      </c>
      <c r="T14" s="32">
        <f xml:space="preserve"> ABS((Степенная!C2 - S14)/Степенная!C2)</f>
        <v>0.24199316729192558</v>
      </c>
      <c r="U14" s="32">
        <f>AVERAGE(T14:T23) *100</f>
        <v>10.090227235527101</v>
      </c>
    </row>
    <row r="15" spans="1:21" x14ac:dyDescent="0.3">
      <c r="S15" s="32">
        <f>2.078* Степенная!B3^ 0.8206</f>
        <v>332.88886297312047</v>
      </c>
      <c r="T15" s="32">
        <f xml:space="preserve"> ABS((Степенная!C3 - S15)/Степенная!C3)</f>
        <v>3.3816344637020088E-2</v>
      </c>
    </row>
    <row r="16" spans="1:21" x14ac:dyDescent="0.3">
      <c r="S16" s="32">
        <f>2.078* Степенная!B4^ 0.8206</f>
        <v>354.10234050711699</v>
      </c>
      <c r="T16" s="32">
        <f xml:space="preserve"> ABS((Степенная!C4 - S16)/Степенная!C4)</f>
        <v>0.13210210660020344</v>
      </c>
    </row>
    <row r="17" spans="15:21" x14ac:dyDescent="0.3">
      <c r="S17" s="32">
        <f>2.078* Степенная!B5^ 0.8206</f>
        <v>480.9609232390651</v>
      </c>
      <c r="T17" s="32">
        <f xml:space="preserve"> ABS((Степенная!C5 - S17)/Степенная!C5)</f>
        <v>0.11261822280615295</v>
      </c>
    </row>
    <row r="18" spans="15:21" x14ac:dyDescent="0.3">
      <c r="S18" s="32">
        <f>2.078* Степенная!B6^ 0.8206</f>
        <v>484.07050223297153</v>
      </c>
      <c r="T18" s="32">
        <f xml:space="preserve"> ABS((Степенная!C6 - S18)/Степенная!C6)</f>
        <v>3.9542654299659655E-2</v>
      </c>
    </row>
    <row r="19" spans="15:21" x14ac:dyDescent="0.3">
      <c r="S19" s="32">
        <f>2.078* Степенная!B7^ 0.8206</f>
        <v>570.49921543738935</v>
      </c>
      <c r="T19" s="32">
        <f xml:space="preserve"> ABS((Степенная!C7 - S19)/Степенная!C7)</f>
        <v>0.11137193857104462</v>
      </c>
    </row>
    <row r="20" spans="15:21" x14ac:dyDescent="0.3">
      <c r="S20" s="32">
        <f>2.078* Степенная!B8^ 0.8206</f>
        <v>600.30891106936724</v>
      </c>
      <c r="T20" s="32">
        <f xml:space="preserve"> ABS((Степенная!C8 - S20)/Степенная!C8)</f>
        <v>7.7866496053199327E-2</v>
      </c>
    </row>
    <row r="21" spans="15:21" x14ac:dyDescent="0.3">
      <c r="S21" s="32">
        <f>2.078* Степенная!B9^ 0.8206</f>
        <v>604.75218504929603</v>
      </c>
      <c r="T21" s="32">
        <f xml:space="preserve"> ABS((Степенная!C9 - S21)/Степенная!C9)</f>
        <v>4.2676181119475916E-2</v>
      </c>
    </row>
    <row r="22" spans="15:21" x14ac:dyDescent="0.3">
      <c r="S22" s="32">
        <f>2.078* Степенная!B10^ 0.8206</f>
        <v>627.35253801943486</v>
      </c>
      <c r="T22" s="32">
        <f xml:space="preserve"> ABS((Степенная!C10 - S22)/Степенная!C10)</f>
        <v>0.12630617238677713</v>
      </c>
    </row>
    <row r="23" spans="15:21" x14ac:dyDescent="0.3">
      <c r="S23" s="32">
        <f>2.078* Степенная!B11^ 0.8206</f>
        <v>939.11804765682348</v>
      </c>
      <c r="T23" s="32">
        <f xml:space="preserve"> ABS((Степенная!C11 - S23)/Степенная!C11)</f>
        <v>9.0729439787251426E-2</v>
      </c>
    </row>
    <row r="24" spans="15:21" x14ac:dyDescent="0.3">
      <c r="S24" s="32"/>
      <c r="T24" s="32"/>
    </row>
    <row r="25" spans="15:21" x14ac:dyDescent="0.3">
      <c r="O25" t="s">
        <v>185</v>
      </c>
      <c r="P25" s="32">
        <f>SQRT(Q25)</f>
        <v>0.96607453128627707</v>
      </c>
      <c r="Q25" s="32">
        <v>0.93330000000000002</v>
      </c>
      <c r="R25" s="32">
        <f>Q25/(1-Q25)*8</f>
        <v>111.94002998500753</v>
      </c>
      <c r="S25" s="32">
        <f>408.5* LN(Степенная!B2) - 2201.3</f>
        <v>297.04193325981942</v>
      </c>
      <c r="T25" s="32">
        <f xml:space="preserve"> ABS((Степенная!C2 - S25)/Степенная!C2)</f>
        <v>0.17407878758821904</v>
      </c>
      <c r="U25" s="32">
        <f>AVERAGE(T25:T34) *100</f>
        <v>7.5997840757084738</v>
      </c>
    </row>
    <row r="26" spans="15:21" x14ac:dyDescent="0.3">
      <c r="S26" s="32">
        <f>408.5* LN(Степенная!B3) - 2201.3</f>
        <v>325.76622286335169</v>
      </c>
      <c r="T26" s="32">
        <f xml:space="preserve"> ABS((Степенная!C3 - S26)/Степенная!C3)</f>
        <v>1.1696344296123248E-2</v>
      </c>
    </row>
    <row r="27" spans="15:21" x14ac:dyDescent="0.3">
      <c r="S27" s="32">
        <f>408.5* LN(Степенная!B4) - 2201.3</f>
        <v>356.51935304514564</v>
      </c>
      <c r="T27" s="32">
        <f xml:space="preserve"> ABS((Степенная!C4 - S27)/Степенная!C4)</f>
        <v>0.12617805626189796</v>
      </c>
    </row>
    <row r="28" spans="15:21" x14ac:dyDescent="0.3">
      <c r="S28" s="32">
        <f>408.5* LN(Степенная!B5) - 2201.3</f>
        <v>508.94772668649875</v>
      </c>
      <c r="T28" s="32">
        <f xml:space="preserve"> ABS((Степенная!C5 - S28)/Степенная!C5)</f>
        <v>6.0982054083950639E-2</v>
      </c>
    </row>
    <row r="29" spans="15:21" x14ac:dyDescent="0.3">
      <c r="S29" s="32">
        <f>408.5* LN(Степенная!B6) - 2201.3</f>
        <v>512.1558583585238</v>
      </c>
      <c r="T29" s="32">
        <f xml:space="preserve"> ABS((Степенная!C6 - S29)/Степенная!C6)</f>
        <v>1.6182258647864683E-2</v>
      </c>
    </row>
    <row r="30" spans="15:21" x14ac:dyDescent="0.3">
      <c r="S30" s="32">
        <f>408.5* LN(Степенная!B7) - 2201.3</f>
        <v>593.93612079439526</v>
      </c>
      <c r="T30" s="32">
        <f xml:space="preserve"> ABS((Степенная!C7 - S30)/Степенная!C7)</f>
        <v>7.4865855460443512E-2</v>
      </c>
    </row>
    <row r="31" spans="15:21" x14ac:dyDescent="0.3">
      <c r="S31" s="32">
        <f>408.5* LN(Степенная!B8) - 2201.3</f>
        <v>619.29068952941088</v>
      </c>
      <c r="T31" s="32">
        <f xml:space="preserve"> ABS((Степенная!C8 - S31)/Степенная!C8)</f>
        <v>4.8708618234391883E-2</v>
      </c>
    </row>
    <row r="32" spans="15:21" x14ac:dyDescent="0.3">
      <c r="S32" s="32">
        <f>408.5* LN(Степенная!B9) - 2201.3</f>
        <v>622.96170774448092</v>
      </c>
      <c r="T32" s="32">
        <f xml:space="preserve"> ABS((Степенная!C9 - S32)/Степенная!C9)</f>
        <v>7.407190990427745E-2</v>
      </c>
    </row>
    <row r="33" spans="19:20" x14ac:dyDescent="0.3">
      <c r="S33" s="32">
        <f>408.5* LN(Степенная!B10) - 2201.3</f>
        <v>641.22616866209228</v>
      </c>
      <c r="T33" s="32">
        <f xml:space="preserve"> ABS((Степенная!C10 - S33)/Степенная!C10)</f>
        <v>0.15121394732871146</v>
      </c>
    </row>
    <row r="34" spans="19:20" x14ac:dyDescent="0.3">
      <c r="S34" s="32">
        <f>408.5* LN(Степенная!B11) - 2201.3</f>
        <v>842.05750426636314</v>
      </c>
      <c r="T34" s="32">
        <f xml:space="preserve"> ABS((Степенная!C11 - S34)/Степенная!C11)</f>
        <v>2.2000575764967317E-2</v>
      </c>
    </row>
    <row r="35" spans="19:20" x14ac:dyDescent="0.3">
      <c r="S35" s="32"/>
    </row>
    <row r="36" spans="19:20" x14ac:dyDescent="0.3">
      <c r="S36" s="32"/>
    </row>
    <row r="37" spans="19:20" x14ac:dyDescent="0.3">
      <c r="S37" s="32"/>
    </row>
  </sheetData>
  <sortState ref="B5:C15">
    <sortCondition ref="C5:C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194E-3637-4192-90B1-331F57ACE1BD}">
  <dimension ref="A1:C3"/>
  <sheetViews>
    <sheetView workbookViewId="0">
      <selection activeCell="L27" sqref="L27"/>
    </sheetView>
  </sheetViews>
  <sheetFormatPr defaultRowHeight="14.4" x14ac:dyDescent="0.3"/>
  <cols>
    <col min="1" max="1" width="9.6640625" bestFit="1" customWidth="1"/>
    <col min="2" max="2" width="11" bestFit="1" customWidth="1"/>
    <col min="3" max="3" width="10.88671875" bestFit="1" customWidth="1"/>
  </cols>
  <sheetData>
    <row r="1" spans="1:3" x14ac:dyDescent="0.3">
      <c r="A1" s="35"/>
      <c r="B1" s="35" t="s">
        <v>132</v>
      </c>
      <c r="C1" s="35" t="s">
        <v>133</v>
      </c>
    </row>
    <row r="2" spans="1:3" x14ac:dyDescent="0.3">
      <c r="A2" s="33" t="s">
        <v>132</v>
      </c>
      <c r="B2" s="33">
        <v>1</v>
      </c>
      <c r="C2" s="33"/>
    </row>
    <row r="3" spans="1:3" ht="15" thickBot="1" x14ac:dyDescent="0.35">
      <c r="A3" s="34" t="s">
        <v>133</v>
      </c>
      <c r="B3" s="34">
        <v>0.97778690950089808</v>
      </c>
      <c r="C3" s="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58E1-1671-4D7B-ACE9-B9A69D535F59}">
  <dimension ref="A1:I43"/>
  <sheetViews>
    <sheetView topLeftCell="A4" workbookViewId="0">
      <selection activeCell="E3" sqref="E3"/>
    </sheetView>
  </sheetViews>
  <sheetFormatPr defaultRowHeight="14.4" x14ac:dyDescent="0.3"/>
  <cols>
    <col min="1" max="1" width="24.88671875" bestFit="1" customWidth="1"/>
    <col min="2" max="2" width="16" bestFit="1" customWidth="1"/>
    <col min="3" max="3" width="21" bestFit="1" customWidth="1"/>
    <col min="4" max="4" width="22.6640625" bestFit="1" customWidth="1"/>
    <col min="5" max="5" width="12" bestFit="1" customWidth="1"/>
    <col min="6" max="6" width="20.664062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134</v>
      </c>
    </row>
    <row r="2" spans="1:9" ht="15" thickBot="1" x14ac:dyDescent="0.35"/>
    <row r="3" spans="1:9" x14ac:dyDescent="0.3">
      <c r="A3" s="36" t="s">
        <v>135</v>
      </c>
      <c r="B3" s="36"/>
    </row>
    <row r="4" spans="1:9" x14ac:dyDescent="0.3">
      <c r="A4" s="33" t="s">
        <v>136</v>
      </c>
      <c r="B4" s="33">
        <v>0.97778690950089819</v>
      </c>
    </row>
    <row r="5" spans="1:9" x14ac:dyDescent="0.3">
      <c r="A5" s="33" t="s">
        <v>137</v>
      </c>
      <c r="B5" s="33">
        <v>0.95606724039131763</v>
      </c>
    </row>
    <row r="6" spans="1:9" x14ac:dyDescent="0.3">
      <c r="A6" s="33" t="s">
        <v>138</v>
      </c>
      <c r="B6" s="33">
        <v>0.95348296041433633</v>
      </c>
    </row>
    <row r="7" spans="1:9" x14ac:dyDescent="0.3">
      <c r="A7" s="33" t="s">
        <v>139</v>
      </c>
      <c r="B7" s="33">
        <v>4.1277138798010453</v>
      </c>
    </row>
    <row r="8" spans="1:9" ht="15" thickBot="1" x14ac:dyDescent="0.35">
      <c r="A8" s="34" t="s">
        <v>140</v>
      </c>
      <c r="B8" s="34">
        <v>19</v>
      </c>
    </row>
    <row r="10" spans="1:9" ht="15" thickBot="1" x14ac:dyDescent="0.35">
      <c r="A10" t="s">
        <v>141</v>
      </c>
    </row>
    <row r="11" spans="1:9" x14ac:dyDescent="0.3">
      <c r="A11" s="35"/>
      <c r="B11" s="35" t="s">
        <v>146</v>
      </c>
      <c r="C11" s="35" t="s">
        <v>147</v>
      </c>
      <c r="D11" s="35" t="s">
        <v>148</v>
      </c>
      <c r="E11" s="35" t="s">
        <v>149</v>
      </c>
      <c r="F11" s="35" t="s">
        <v>150</v>
      </c>
    </row>
    <row r="12" spans="1:9" x14ac:dyDescent="0.3">
      <c r="A12" s="33" t="s">
        <v>142</v>
      </c>
      <c r="B12" s="33">
        <v>1</v>
      </c>
      <c r="C12" s="33">
        <v>6303.3009965715164</v>
      </c>
      <c r="D12" s="33">
        <v>6303.3009965715164</v>
      </c>
      <c r="E12" s="33">
        <v>369.95497736591767</v>
      </c>
      <c r="F12" s="33">
        <v>5.659078396320843E-13</v>
      </c>
    </row>
    <row r="13" spans="1:9" x14ac:dyDescent="0.3">
      <c r="A13" s="33" t="s">
        <v>143</v>
      </c>
      <c r="B13" s="33">
        <v>17</v>
      </c>
      <c r="C13" s="33">
        <v>289.64637184953739</v>
      </c>
      <c r="D13" s="33">
        <v>17.038021873502199</v>
      </c>
      <c r="E13" s="33"/>
      <c r="F13" s="33"/>
    </row>
    <row r="14" spans="1:9" ht="15" thickBot="1" x14ac:dyDescent="0.35">
      <c r="A14" s="34" t="s">
        <v>144</v>
      </c>
      <c r="B14" s="34">
        <v>18</v>
      </c>
      <c r="C14" s="34">
        <v>6592.9473684210534</v>
      </c>
      <c r="D14" s="34"/>
      <c r="E14" s="34"/>
      <c r="F14" s="34"/>
    </row>
    <row r="15" spans="1:9" ht="15" thickBot="1" x14ac:dyDescent="0.35"/>
    <row r="16" spans="1:9" x14ac:dyDescent="0.3">
      <c r="A16" s="35"/>
      <c r="B16" s="35" t="s">
        <v>151</v>
      </c>
      <c r="C16" s="35" t="s">
        <v>139</v>
      </c>
      <c r="D16" s="35" t="s">
        <v>152</v>
      </c>
      <c r="E16" s="35" t="s">
        <v>153</v>
      </c>
      <c r="F16" s="35" t="s">
        <v>154</v>
      </c>
      <c r="G16" s="35" t="s">
        <v>155</v>
      </c>
      <c r="H16" s="35" t="s">
        <v>156</v>
      </c>
      <c r="I16" s="35" t="s">
        <v>157</v>
      </c>
    </row>
    <row r="17" spans="1:9" x14ac:dyDescent="0.3">
      <c r="A17" s="33" t="s">
        <v>145</v>
      </c>
      <c r="B17" s="33">
        <v>238.00194147397707</v>
      </c>
      <c r="C17" s="33">
        <v>15.784245524225595</v>
      </c>
      <c r="D17" s="33">
        <v>15.07844902112633</v>
      </c>
      <c r="E17" s="33">
        <v>2.8501106143877786E-11</v>
      </c>
      <c r="F17" s="33">
        <v>204.70009438262011</v>
      </c>
      <c r="G17" s="33">
        <v>271.30378856533406</v>
      </c>
      <c r="H17" s="33">
        <v>204.70009438262011</v>
      </c>
      <c r="I17" s="33">
        <v>271.30378856533406</v>
      </c>
    </row>
    <row r="18" spans="1:9" ht="15" thickBot="1" x14ac:dyDescent="0.35">
      <c r="A18" s="34" t="s">
        <v>158</v>
      </c>
      <c r="B18" s="34">
        <v>16.940666427357193</v>
      </c>
      <c r="C18" s="34">
        <v>0.88075689889689879</v>
      </c>
      <c r="D18" s="34">
        <v>19.234213718421596</v>
      </c>
      <c r="E18" s="34">
        <v>5.659078396320843E-13</v>
      </c>
      <c r="F18" s="34">
        <v>15.082431801780352</v>
      </c>
      <c r="G18" s="34">
        <v>18.798901052934035</v>
      </c>
      <c r="H18" s="34">
        <v>15.082431801780352</v>
      </c>
      <c r="I18" s="34">
        <v>18.798901052934035</v>
      </c>
    </row>
    <row r="22" spans="1:9" x14ac:dyDescent="0.3">
      <c r="A22" t="s">
        <v>159</v>
      </c>
      <c r="F22" t="s">
        <v>164</v>
      </c>
    </row>
    <row r="23" spans="1:9" ht="15" thickBot="1" x14ac:dyDescent="0.35"/>
    <row r="24" spans="1:9" x14ac:dyDescent="0.3">
      <c r="A24" s="35" t="s">
        <v>160</v>
      </c>
      <c r="B24" s="35" t="s">
        <v>161</v>
      </c>
      <c r="C24" s="35" t="s">
        <v>162</v>
      </c>
      <c r="D24" s="35" t="s">
        <v>163</v>
      </c>
      <c r="F24" s="35" t="s">
        <v>165</v>
      </c>
      <c r="G24" s="35" t="s">
        <v>166</v>
      </c>
    </row>
    <row r="25" spans="1:9" x14ac:dyDescent="0.3">
      <c r="A25" s="33">
        <v>1</v>
      </c>
      <c r="B25" s="33">
        <v>509.05260431169216</v>
      </c>
      <c r="C25" s="33">
        <v>-5.2604311692164174E-2</v>
      </c>
      <c r="D25" s="33">
        <v>-1.3113648799761094E-2</v>
      </c>
      <c r="F25" s="33">
        <v>2.6315789473684212</v>
      </c>
      <c r="G25" s="33">
        <v>509</v>
      </c>
    </row>
    <row r="26" spans="1:9" x14ac:dyDescent="0.3">
      <c r="A26" s="33">
        <v>2</v>
      </c>
      <c r="B26" s="33">
        <v>517.52293752537071</v>
      </c>
      <c r="C26" s="33">
        <v>-3.5229375253707076</v>
      </c>
      <c r="D26" s="33">
        <v>-0.87822773390821762</v>
      </c>
      <c r="F26" s="33">
        <v>7.8947368421052637</v>
      </c>
      <c r="G26" s="33">
        <v>512</v>
      </c>
    </row>
    <row r="27" spans="1:9" x14ac:dyDescent="0.3">
      <c r="A27" s="33">
        <v>3</v>
      </c>
      <c r="B27" s="33">
        <v>517.52293752537071</v>
      </c>
      <c r="C27" s="33">
        <v>-5.5229375253707076</v>
      </c>
      <c r="D27" s="33">
        <v>-1.3768046899760402</v>
      </c>
      <c r="F27" s="33">
        <v>13.157894736842106</v>
      </c>
      <c r="G27" s="33">
        <v>514</v>
      </c>
    </row>
    <row r="28" spans="1:9" x14ac:dyDescent="0.3">
      <c r="A28" s="33">
        <v>4</v>
      </c>
      <c r="B28" s="33">
        <v>522.60513745357798</v>
      </c>
      <c r="C28" s="33">
        <v>-3.6051374535779814</v>
      </c>
      <c r="D28" s="33">
        <v>-0.89871922890550571</v>
      </c>
      <c r="F28" s="33">
        <v>18.421052631578949</v>
      </c>
      <c r="G28" s="33">
        <v>516</v>
      </c>
    </row>
    <row r="29" spans="1:9" x14ac:dyDescent="0.3">
      <c r="A29" s="33">
        <v>5</v>
      </c>
      <c r="B29" s="33">
        <v>522.94395078212506</v>
      </c>
      <c r="C29" s="33">
        <v>-6.9439507821250572</v>
      </c>
      <c r="D29" s="33">
        <v>-1.7310469220183438</v>
      </c>
      <c r="F29" s="33">
        <v>23.684210526315791</v>
      </c>
      <c r="G29" s="33">
        <v>519</v>
      </c>
    </row>
    <row r="30" spans="1:9" x14ac:dyDescent="0.3">
      <c r="A30" s="33">
        <v>6</v>
      </c>
      <c r="B30" s="33">
        <v>526.84030406041722</v>
      </c>
      <c r="C30" s="33">
        <v>7.1596959395827753</v>
      </c>
      <c r="D30" s="33">
        <v>1.7848297039641647</v>
      </c>
      <c r="F30" s="33">
        <v>28.947368421052634</v>
      </c>
      <c r="G30" s="33">
        <v>534</v>
      </c>
    </row>
    <row r="31" spans="1:9" x14ac:dyDescent="0.3">
      <c r="A31" s="33">
        <v>7</v>
      </c>
      <c r="B31" s="33">
        <v>530.73665733870939</v>
      </c>
      <c r="C31" s="33">
        <v>6.2633426612906078</v>
      </c>
      <c r="D31" s="33">
        <v>1.5613791594380035</v>
      </c>
      <c r="F31" s="33">
        <v>34.21052631578948</v>
      </c>
      <c r="G31" s="33">
        <v>537</v>
      </c>
    </row>
    <row r="32" spans="1:9" x14ac:dyDescent="0.3">
      <c r="A32" s="33">
        <v>8</v>
      </c>
      <c r="B32" s="33">
        <v>531.92250398862438</v>
      </c>
      <c r="C32" s="33">
        <v>5.0774960113756151</v>
      </c>
      <c r="D32" s="33">
        <v>1.2657612528990825</v>
      </c>
      <c r="F32" s="33">
        <v>39.473684210526315</v>
      </c>
      <c r="G32" s="33">
        <v>537</v>
      </c>
    </row>
    <row r="33" spans="1:7" x14ac:dyDescent="0.3">
      <c r="A33" s="33">
        <v>9</v>
      </c>
      <c r="B33" s="33">
        <v>533.6165706313601</v>
      </c>
      <c r="C33" s="33">
        <v>4.3834293686398951</v>
      </c>
      <c r="D33" s="33">
        <v>1.0927384358773884</v>
      </c>
      <c r="F33" s="33">
        <v>44.736842105263165</v>
      </c>
      <c r="G33" s="33">
        <v>538</v>
      </c>
    </row>
    <row r="34" spans="1:7" x14ac:dyDescent="0.3">
      <c r="A34" s="33">
        <v>10</v>
      </c>
      <c r="B34" s="33">
        <v>541.23987052367079</v>
      </c>
      <c r="C34" s="33">
        <v>0.76012947632921168</v>
      </c>
      <c r="D34" s="33">
        <v>0.1894915202628232</v>
      </c>
      <c r="F34" s="33">
        <v>50</v>
      </c>
      <c r="G34" s="33">
        <v>542</v>
      </c>
    </row>
    <row r="35" spans="1:7" x14ac:dyDescent="0.3">
      <c r="A35" s="33">
        <v>11</v>
      </c>
      <c r="B35" s="33">
        <v>548.01613709461367</v>
      </c>
      <c r="C35" s="33">
        <v>1.9838629053863315</v>
      </c>
      <c r="D35" s="33">
        <v>0.49455416431169202</v>
      </c>
      <c r="F35" s="33">
        <v>55.26315789473685</v>
      </c>
      <c r="G35" s="33">
        <v>550</v>
      </c>
    </row>
    <row r="36" spans="1:7" x14ac:dyDescent="0.3">
      <c r="A36" s="33">
        <v>12</v>
      </c>
      <c r="B36" s="33">
        <v>551.40427038008511</v>
      </c>
      <c r="C36" s="33">
        <v>0.59572961991489137</v>
      </c>
      <c r="D36" s="33">
        <v>0.14850853026830374</v>
      </c>
      <c r="F36" s="33">
        <v>60.526315789473685</v>
      </c>
      <c r="G36" s="33">
        <v>552</v>
      </c>
    </row>
    <row r="37" spans="1:7" x14ac:dyDescent="0.3">
      <c r="A37" s="33">
        <v>13</v>
      </c>
      <c r="B37" s="33">
        <v>555.97825031547154</v>
      </c>
      <c r="C37" s="33">
        <v>3.0217496845284586</v>
      </c>
      <c r="D37" s="33">
        <v>0.75328737985555116</v>
      </c>
      <c r="F37" s="33">
        <v>65.789473684210535</v>
      </c>
      <c r="G37" s="33">
        <v>555</v>
      </c>
    </row>
    <row r="38" spans="1:7" x14ac:dyDescent="0.3">
      <c r="A38" s="33">
        <v>14</v>
      </c>
      <c r="B38" s="33">
        <v>556.48647030829238</v>
      </c>
      <c r="C38" s="33">
        <v>-1.4864703082923825</v>
      </c>
      <c r="D38" s="33">
        <v>-0.370559920796807</v>
      </c>
      <c r="F38" s="33">
        <v>71.052631578947384</v>
      </c>
      <c r="G38" s="33">
        <v>558</v>
      </c>
    </row>
    <row r="39" spans="1:7" x14ac:dyDescent="0.3">
      <c r="A39" s="33">
        <v>15</v>
      </c>
      <c r="B39" s="33">
        <v>557.67231695820738</v>
      </c>
      <c r="C39" s="33">
        <v>2.3276830417926249</v>
      </c>
      <c r="D39" s="33">
        <v>0.58026456283382866</v>
      </c>
      <c r="F39" s="33">
        <v>76.31578947368422</v>
      </c>
      <c r="G39" s="33">
        <v>559</v>
      </c>
    </row>
    <row r="40" spans="1:7" x14ac:dyDescent="0.3">
      <c r="A40" s="33">
        <v>16</v>
      </c>
      <c r="B40" s="33">
        <v>559.87460359376382</v>
      </c>
      <c r="C40" s="33">
        <v>-1.8746035937638226</v>
      </c>
      <c r="D40" s="33">
        <v>-0.46731707680628393</v>
      </c>
      <c r="F40" s="33">
        <v>81.578947368421055</v>
      </c>
      <c r="G40" s="33">
        <v>560</v>
      </c>
    </row>
    <row r="41" spans="1:7" x14ac:dyDescent="0.3">
      <c r="A41" s="33">
        <v>17</v>
      </c>
      <c r="B41" s="33">
        <v>563.26273687923515</v>
      </c>
      <c r="C41" s="33">
        <v>-3.262736879235149</v>
      </c>
      <c r="D41" s="33">
        <v>-0.81336271084964384</v>
      </c>
      <c r="F41" s="33">
        <v>86.842105263157904</v>
      </c>
      <c r="G41" s="33">
        <v>560</v>
      </c>
    </row>
    <row r="42" spans="1:7" x14ac:dyDescent="0.3">
      <c r="A42" s="33">
        <v>18</v>
      </c>
      <c r="B42" s="33">
        <v>564.95680352197087</v>
      </c>
      <c r="C42" s="33">
        <v>-2.956803521970869</v>
      </c>
      <c r="D42" s="33">
        <v>-0.73709704983742663</v>
      </c>
      <c r="F42" s="33">
        <v>92.105263157894754</v>
      </c>
      <c r="G42" s="33">
        <v>562</v>
      </c>
    </row>
    <row r="43" spans="1:7" ht="15" thickBot="1" x14ac:dyDescent="0.35">
      <c r="A43" s="34">
        <v>19</v>
      </c>
      <c r="B43" s="34">
        <v>568.34493680744231</v>
      </c>
      <c r="C43" s="34">
        <v>-2.3449368074423091</v>
      </c>
      <c r="D43" s="34">
        <v>-0.58456572781299221</v>
      </c>
      <c r="F43" s="34">
        <v>97.368421052631589</v>
      </c>
      <c r="G43" s="34">
        <v>566</v>
      </c>
    </row>
  </sheetData>
  <sortState ref="G25:G43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2DC2-12E8-4838-B967-F7E9267E8A26}">
  <dimension ref="A1:I34"/>
  <sheetViews>
    <sheetView workbookViewId="0">
      <selection activeCell="F22" sqref="F22"/>
    </sheetView>
  </sheetViews>
  <sheetFormatPr defaultRowHeight="14.4" x14ac:dyDescent="0.3"/>
  <cols>
    <col min="1" max="1" width="24.88671875" bestFit="1" customWidth="1"/>
    <col min="2" max="2" width="16" bestFit="1" customWidth="1"/>
    <col min="3" max="3" width="21" bestFit="1" customWidth="1"/>
    <col min="4" max="4" width="22.6640625" bestFit="1" customWidth="1"/>
    <col min="5" max="5" width="12" bestFit="1" customWidth="1"/>
    <col min="6" max="6" width="20.664062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134</v>
      </c>
    </row>
    <row r="2" spans="1:9" ht="15" thickBot="1" x14ac:dyDescent="0.35"/>
    <row r="3" spans="1:9" x14ac:dyDescent="0.3">
      <c r="A3" s="36" t="s">
        <v>135</v>
      </c>
      <c r="B3" s="36"/>
    </row>
    <row r="4" spans="1:9" x14ac:dyDescent="0.3">
      <c r="A4" s="33" t="s">
        <v>136</v>
      </c>
      <c r="B4" s="33">
        <v>0.94222278164020279</v>
      </c>
    </row>
    <row r="5" spans="1:9" x14ac:dyDescent="0.3">
      <c r="A5" s="33" t="s">
        <v>137</v>
      </c>
      <c r="B5" s="33">
        <v>0.88778377024180133</v>
      </c>
    </row>
    <row r="6" spans="1:9" x14ac:dyDescent="0.3">
      <c r="A6" s="33" t="s">
        <v>138</v>
      </c>
      <c r="B6" s="33">
        <v>0.87375674152202654</v>
      </c>
    </row>
    <row r="7" spans="1:9" x14ac:dyDescent="0.3">
      <c r="A7" s="33" t="s">
        <v>139</v>
      </c>
      <c r="B7" s="33">
        <v>62.179562398660991</v>
      </c>
    </row>
    <row r="8" spans="1:9" ht="15" thickBot="1" x14ac:dyDescent="0.35">
      <c r="A8" s="34" t="s">
        <v>140</v>
      </c>
      <c r="B8" s="34">
        <v>10</v>
      </c>
    </row>
    <row r="10" spans="1:9" ht="15" thickBot="1" x14ac:dyDescent="0.35">
      <c r="A10" t="s">
        <v>141</v>
      </c>
    </row>
    <row r="11" spans="1:9" x14ac:dyDescent="0.3">
      <c r="A11" s="35"/>
      <c r="B11" s="35" t="s">
        <v>146</v>
      </c>
      <c r="C11" s="35" t="s">
        <v>147</v>
      </c>
      <c r="D11" s="35" t="s">
        <v>148</v>
      </c>
      <c r="E11" s="35" t="s">
        <v>149</v>
      </c>
      <c r="F11" s="35" t="s">
        <v>150</v>
      </c>
    </row>
    <row r="12" spans="1:9" x14ac:dyDescent="0.3">
      <c r="A12" s="33" t="s">
        <v>142</v>
      </c>
      <c r="B12" s="33">
        <v>1</v>
      </c>
      <c r="C12" s="33">
        <v>244701.61615928818</v>
      </c>
      <c r="D12" s="33">
        <v>244701.61615928818</v>
      </c>
      <c r="E12" s="33">
        <v>63.290935520095843</v>
      </c>
      <c r="F12" s="33">
        <v>4.545386485817344E-5</v>
      </c>
    </row>
    <row r="13" spans="1:9" x14ac:dyDescent="0.3">
      <c r="A13" s="33" t="s">
        <v>143</v>
      </c>
      <c r="B13" s="33">
        <v>8</v>
      </c>
      <c r="C13" s="33">
        <v>30930.383840711809</v>
      </c>
      <c r="D13" s="33">
        <v>3866.2979800889761</v>
      </c>
      <c r="E13" s="33"/>
      <c r="F13" s="33"/>
    </row>
    <row r="14" spans="1:9" ht="15" thickBot="1" x14ac:dyDescent="0.35">
      <c r="A14" s="34" t="s">
        <v>144</v>
      </c>
      <c r="B14" s="34">
        <v>9</v>
      </c>
      <c r="C14" s="34">
        <v>275632</v>
      </c>
      <c r="D14" s="34"/>
      <c r="E14" s="34"/>
      <c r="F14" s="34"/>
    </row>
    <row r="15" spans="1:9" ht="15" thickBot="1" x14ac:dyDescent="0.35"/>
    <row r="16" spans="1:9" x14ac:dyDescent="0.3">
      <c r="A16" s="35"/>
      <c r="B16" s="35" t="s">
        <v>151</v>
      </c>
      <c r="C16" s="35" t="s">
        <v>139</v>
      </c>
      <c r="D16" s="35" t="s">
        <v>152</v>
      </c>
      <c r="E16" s="35" t="s">
        <v>153</v>
      </c>
      <c r="F16" s="35" t="s">
        <v>154</v>
      </c>
      <c r="G16" s="35" t="s">
        <v>155</v>
      </c>
      <c r="H16" s="35" t="s">
        <v>156</v>
      </c>
      <c r="I16" s="35" t="s">
        <v>157</v>
      </c>
    </row>
    <row r="17" spans="1:9" x14ac:dyDescent="0.3">
      <c r="A17" s="33" t="s">
        <v>145</v>
      </c>
      <c r="B17" s="33">
        <v>148.20672753719913</v>
      </c>
      <c r="C17" s="33">
        <v>52.095434058096245</v>
      </c>
      <c r="D17" s="33">
        <v>2.8449082000530153</v>
      </c>
      <c r="E17" s="33">
        <v>2.1647907431097804E-2</v>
      </c>
      <c r="F17" s="33">
        <v>28.074441173973185</v>
      </c>
      <c r="G17" s="33">
        <v>268.33901390042507</v>
      </c>
      <c r="H17" s="33">
        <v>28.074441173973185</v>
      </c>
      <c r="I17" s="33">
        <v>268.33901390042507</v>
      </c>
    </row>
    <row r="18" spans="1:9" ht="15" thickBot="1" x14ac:dyDescent="0.35">
      <c r="A18" s="34" t="s">
        <v>158</v>
      </c>
      <c r="B18" s="34">
        <v>0.44098962709732376</v>
      </c>
      <c r="C18" s="34">
        <v>5.543162580439287E-2</v>
      </c>
      <c r="D18" s="34">
        <v>7.9555600381177349</v>
      </c>
      <c r="E18" s="34">
        <v>4.545386485817344E-5</v>
      </c>
      <c r="F18" s="34">
        <v>0.31316406877130376</v>
      </c>
      <c r="G18" s="34">
        <v>0.56881518542334375</v>
      </c>
      <c r="H18" s="34">
        <v>0.31316406877130376</v>
      </c>
      <c r="I18" s="34">
        <v>0.56881518542334375</v>
      </c>
    </row>
    <row r="22" spans="1:9" x14ac:dyDescent="0.3">
      <c r="A22" t="s">
        <v>159</v>
      </c>
      <c r="F22" t="s">
        <v>164</v>
      </c>
    </row>
    <row r="23" spans="1:9" ht="15" thickBot="1" x14ac:dyDescent="0.35"/>
    <row r="24" spans="1:9" x14ac:dyDescent="0.3">
      <c r="A24" s="35" t="s">
        <v>160</v>
      </c>
      <c r="B24" s="35" t="s">
        <v>161</v>
      </c>
      <c r="C24" s="35" t="s">
        <v>162</v>
      </c>
      <c r="D24" s="35" t="s">
        <v>163</v>
      </c>
      <c r="F24" s="35" t="s">
        <v>165</v>
      </c>
      <c r="G24" s="35" t="s">
        <v>166</v>
      </c>
    </row>
    <row r="25" spans="1:9" x14ac:dyDescent="0.3">
      <c r="A25" s="33">
        <v>1</v>
      </c>
      <c r="B25" s="33">
        <v>347.97502861228679</v>
      </c>
      <c r="C25" s="33">
        <v>-94.975028612286792</v>
      </c>
      <c r="D25" s="33">
        <v>-1.6200858654622958</v>
      </c>
      <c r="F25" s="33">
        <v>5</v>
      </c>
      <c r="G25" s="33">
        <v>253</v>
      </c>
    </row>
    <row r="26" spans="1:9" x14ac:dyDescent="0.3">
      <c r="A26" s="33">
        <v>2</v>
      </c>
      <c r="B26" s="33">
        <v>362.52768630649848</v>
      </c>
      <c r="C26" s="33">
        <v>-40.527686306498481</v>
      </c>
      <c r="D26" s="33">
        <v>-0.69132205280066528</v>
      </c>
      <c r="F26" s="33">
        <v>15</v>
      </c>
      <c r="G26" s="33">
        <v>322</v>
      </c>
    </row>
    <row r="27" spans="1:9" x14ac:dyDescent="0.3">
      <c r="A27" s="33">
        <v>3</v>
      </c>
      <c r="B27" s="33">
        <v>379.28529213619674</v>
      </c>
      <c r="C27" s="33">
        <v>28.714707863803255</v>
      </c>
      <c r="D27" s="33">
        <v>0.48981603923421635</v>
      </c>
      <c r="F27" s="33">
        <v>25</v>
      </c>
      <c r="G27" s="33">
        <v>408</v>
      </c>
    </row>
    <row r="28" spans="1:9" x14ac:dyDescent="0.3">
      <c r="A28" s="33">
        <v>4</v>
      </c>
      <c r="B28" s="33">
        <v>483.79983375826248</v>
      </c>
      <c r="C28" s="33">
        <v>58.20016624173752</v>
      </c>
      <c r="D28" s="33">
        <v>0.99277955556832276</v>
      </c>
      <c r="F28" s="33">
        <v>35</v>
      </c>
      <c r="G28" s="33">
        <v>504</v>
      </c>
    </row>
    <row r="29" spans="1:9" x14ac:dyDescent="0.3">
      <c r="A29" s="33">
        <v>5</v>
      </c>
      <c r="B29" s="33">
        <v>486.44577152084645</v>
      </c>
      <c r="C29" s="33">
        <v>17.554228479153551</v>
      </c>
      <c r="D29" s="33">
        <v>0.29944036715450062</v>
      </c>
      <c r="F29" s="33">
        <v>45</v>
      </c>
      <c r="G29" s="33">
        <v>542</v>
      </c>
    </row>
    <row r="30" spans="1:9" x14ac:dyDescent="0.3">
      <c r="A30" s="33">
        <v>6</v>
      </c>
      <c r="B30" s="33">
        <v>561.41400812739153</v>
      </c>
      <c r="C30" s="33">
        <v>80.585991872608474</v>
      </c>
      <c r="D30" s="33">
        <v>1.3746373999005308</v>
      </c>
      <c r="F30" s="33">
        <v>55</v>
      </c>
      <c r="G30" s="33">
        <v>557</v>
      </c>
    </row>
    <row r="31" spans="1:9" x14ac:dyDescent="0.3">
      <c r="A31" s="33">
        <v>7</v>
      </c>
      <c r="B31" s="33">
        <v>587.87338575323088</v>
      </c>
      <c r="C31" s="33">
        <v>63.126614246769122</v>
      </c>
      <c r="D31" s="33">
        <v>1.0768150004268684</v>
      </c>
      <c r="F31" s="33">
        <v>65</v>
      </c>
      <c r="G31" s="33">
        <v>580</v>
      </c>
    </row>
    <row r="32" spans="1:9" x14ac:dyDescent="0.3">
      <c r="A32" s="33">
        <v>8</v>
      </c>
      <c r="B32" s="33">
        <v>591.8422923971068</v>
      </c>
      <c r="C32" s="33">
        <v>-11.842292397106803</v>
      </c>
      <c r="D32" s="33">
        <v>-0.20200605156482504</v>
      </c>
      <c r="F32" s="33">
        <v>75</v>
      </c>
      <c r="G32" s="33">
        <v>642</v>
      </c>
    </row>
    <row r="33" spans="1:7" x14ac:dyDescent="0.3">
      <c r="A33" s="33">
        <v>9</v>
      </c>
      <c r="B33" s="33">
        <v>612.12781524358365</v>
      </c>
      <c r="C33" s="33">
        <v>-55.127815243583655</v>
      </c>
      <c r="D33" s="33">
        <v>-0.94037133312737553</v>
      </c>
      <c r="F33" s="33">
        <v>85</v>
      </c>
      <c r="G33" s="33">
        <v>651</v>
      </c>
    </row>
    <row r="34" spans="1:7" ht="15" thickBot="1" x14ac:dyDescent="0.35">
      <c r="A34" s="34">
        <v>10</v>
      </c>
      <c r="B34" s="34">
        <v>906.70888614459591</v>
      </c>
      <c r="C34" s="34">
        <v>-45.708886144595908</v>
      </c>
      <c r="D34" s="34">
        <v>-0.77970305932927253</v>
      </c>
      <c r="F34" s="34">
        <v>95</v>
      </c>
      <c r="G34" s="34">
        <v>861</v>
      </c>
    </row>
  </sheetData>
  <sortState ref="G25:G34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37F1-7AAD-4EDC-94A8-348A1F0F9360}">
  <dimension ref="A1:S39"/>
  <sheetViews>
    <sheetView workbookViewId="0">
      <selection activeCell="I18" sqref="I18"/>
    </sheetView>
  </sheetViews>
  <sheetFormatPr defaultRowHeight="14.4" x14ac:dyDescent="0.3"/>
  <cols>
    <col min="1" max="1" width="19" bestFit="1" customWidth="1"/>
    <col min="2" max="2" width="6.44140625" bestFit="1" customWidth="1"/>
    <col min="3" max="3" width="10.109375" bestFit="1" customWidth="1"/>
    <col min="6" max="6" width="9" bestFit="1" customWidth="1"/>
    <col min="7" max="7" width="10.109375" bestFit="1" customWidth="1"/>
    <col min="8" max="8" width="9" bestFit="1" customWidth="1"/>
    <col min="9" max="9" width="7.77734375" bestFit="1" customWidth="1"/>
    <col min="10" max="11" width="12" bestFit="1" customWidth="1"/>
    <col min="12" max="12" width="8.77734375" bestFit="1" customWidth="1"/>
    <col min="14" max="14" width="10" bestFit="1" customWidth="1"/>
    <col min="15" max="15" width="9.5546875" bestFit="1" customWidth="1"/>
    <col min="16" max="16" width="9.109375" customWidth="1"/>
    <col min="17" max="17" width="10.109375" bestFit="1" customWidth="1"/>
  </cols>
  <sheetData>
    <row r="1" spans="1:19" x14ac:dyDescent="0.3">
      <c r="A1" s="27" t="s">
        <v>167</v>
      </c>
      <c r="B1" s="27" t="s">
        <v>90</v>
      </c>
      <c r="C1" s="27" t="s">
        <v>91</v>
      </c>
      <c r="F1" s="40" t="s">
        <v>92</v>
      </c>
      <c r="G1" s="40" t="s">
        <v>93</v>
      </c>
      <c r="H1" s="40" t="s">
        <v>94</v>
      </c>
      <c r="I1" s="40" t="s">
        <v>190</v>
      </c>
      <c r="J1" s="40" t="s">
        <v>195</v>
      </c>
      <c r="K1" s="40" t="s">
        <v>192</v>
      </c>
      <c r="L1" s="40" t="s">
        <v>194</v>
      </c>
      <c r="N1" s="40" t="s">
        <v>197</v>
      </c>
      <c r="O1" s="40" t="s">
        <v>203</v>
      </c>
      <c r="P1" s="40" t="s">
        <v>198</v>
      </c>
      <c r="R1" s="40" t="s">
        <v>211</v>
      </c>
      <c r="S1" s="40" t="s">
        <v>215</v>
      </c>
    </row>
    <row r="2" spans="1:19" x14ac:dyDescent="0.3">
      <c r="A2" s="37" t="s">
        <v>168</v>
      </c>
      <c r="B2" s="27">
        <v>453</v>
      </c>
      <c r="C2" s="27">
        <v>253</v>
      </c>
      <c r="F2" s="19">
        <f>B2*C2</f>
        <v>114609</v>
      </c>
      <c r="G2" s="19">
        <f>B2^2</f>
        <v>205209</v>
      </c>
      <c r="H2" s="19">
        <f>C2^2</f>
        <v>64009</v>
      </c>
      <c r="I2" s="19">
        <f>1/B2</f>
        <v>2.2075055187637969E-3</v>
      </c>
      <c r="J2" s="41">
        <f>I2^2</f>
        <v>4.8730806153726205E-6</v>
      </c>
      <c r="K2" s="41">
        <f t="shared" ref="K2:K11" si="0">I2*C2</f>
        <v>0.55849889624724058</v>
      </c>
      <c r="L2" s="41">
        <f t="shared" ref="L2:L11" si="1" xml:space="preserve"> I2 - $I$14</f>
        <v>8.687451779469627E-4</v>
      </c>
      <c r="N2" s="21">
        <f>LN(B2)</f>
        <v>6.1158921254830343</v>
      </c>
      <c r="O2" s="21">
        <f>N2^2</f>
        <v>37.40413649054539</v>
      </c>
      <c r="P2" s="21">
        <f t="shared" ref="P2:P11" si="2">C2*N2</f>
        <v>1547.3207077472077</v>
      </c>
      <c r="R2" s="21">
        <f>$C$18/B2 + $B$18</f>
        <v>264.67172027679237</v>
      </c>
      <c r="S2" s="21">
        <f>ABS(C2-R2)/C2 *100</f>
        <v>4.6133281726452058</v>
      </c>
    </row>
    <row r="3" spans="1:19" x14ac:dyDescent="0.3">
      <c r="A3" s="37" t="s">
        <v>169</v>
      </c>
      <c r="B3" s="27">
        <v>486</v>
      </c>
      <c r="C3" s="27">
        <v>322</v>
      </c>
      <c r="F3" s="19">
        <f t="shared" ref="F3:F11" si="3">B3*C3</f>
        <v>156492</v>
      </c>
      <c r="G3" s="19">
        <f t="shared" ref="G3:G11" si="4">B3^2</f>
        <v>236196</v>
      </c>
      <c r="H3" s="19">
        <f t="shared" ref="H3:H11" si="5">C3^2</f>
        <v>103684</v>
      </c>
      <c r="I3" s="19">
        <f t="shared" ref="I3:I11" si="6">1/B3</f>
        <v>2.05761316872428E-3</v>
      </c>
      <c r="J3" s="41">
        <f t="shared" ref="J3:J11" si="7">I3^2</f>
        <v>4.2337719521075723E-6</v>
      </c>
      <c r="K3" s="41">
        <f t="shared" si="0"/>
        <v>0.6625514403292182</v>
      </c>
      <c r="L3" s="41">
        <f t="shared" si="1"/>
        <v>7.188528279074458E-4</v>
      </c>
      <c r="N3" s="21">
        <f t="shared" ref="N3:N11" si="8">LN(B3)</f>
        <v>6.1862086239004936</v>
      </c>
      <c r="O3" s="21">
        <f t="shared" ref="O3:O11" si="9">N3^2</f>
        <v>38.269177138420837</v>
      </c>
      <c r="P3" s="21">
        <f t="shared" si="2"/>
        <v>1991.959176895959</v>
      </c>
      <c r="R3" s="21">
        <f t="shared" ref="R3:R11" si="10">$C$18/B3 + $B$18</f>
        <v>310.79625149367735</v>
      </c>
      <c r="S3" s="21">
        <f t="shared" ref="S3:S11" si="11">ABS(C3-R3)/C3 *100</f>
        <v>3.4794250019635569</v>
      </c>
    </row>
    <row r="4" spans="1:19" x14ac:dyDescent="0.3">
      <c r="A4" s="37" t="s">
        <v>170</v>
      </c>
      <c r="B4" s="27">
        <v>524</v>
      </c>
      <c r="C4" s="27">
        <v>408</v>
      </c>
      <c r="F4" s="19">
        <f t="shared" si="3"/>
        <v>213792</v>
      </c>
      <c r="G4" s="19">
        <f t="shared" si="4"/>
        <v>274576</v>
      </c>
      <c r="H4" s="19">
        <f t="shared" si="5"/>
        <v>166464</v>
      </c>
      <c r="I4" s="19">
        <f t="shared" si="6"/>
        <v>1.9083969465648854E-3</v>
      </c>
      <c r="J4" s="41">
        <f t="shared" si="7"/>
        <v>3.6419789056581781E-6</v>
      </c>
      <c r="K4" s="41">
        <f t="shared" si="0"/>
        <v>0.77862595419847325</v>
      </c>
      <c r="L4" s="41">
        <f t="shared" si="1"/>
        <v>5.6963660574805121E-4</v>
      </c>
      <c r="N4" s="21">
        <f t="shared" si="8"/>
        <v>6.261491684321042</v>
      </c>
      <c r="O4" s="21">
        <f t="shared" si="9"/>
        <v>39.206278112821558</v>
      </c>
      <c r="P4" s="21">
        <f t="shared" si="2"/>
        <v>2554.6886072029852</v>
      </c>
      <c r="R4" s="21">
        <f t="shared" si="10"/>
        <v>356.71272618529531</v>
      </c>
      <c r="S4" s="21">
        <f t="shared" si="11"/>
        <v>12.57041024870213</v>
      </c>
    </row>
    <row r="5" spans="1:19" x14ac:dyDescent="0.3">
      <c r="A5" s="37" t="s">
        <v>171</v>
      </c>
      <c r="B5" s="27">
        <v>761</v>
      </c>
      <c r="C5" s="27">
        <v>542</v>
      </c>
      <c r="F5" s="19">
        <f t="shared" si="3"/>
        <v>412462</v>
      </c>
      <c r="G5" s="19">
        <f t="shared" si="4"/>
        <v>579121</v>
      </c>
      <c r="H5" s="19">
        <f t="shared" si="5"/>
        <v>293764</v>
      </c>
      <c r="I5" s="19">
        <f t="shared" si="6"/>
        <v>1.3140604467805519E-3</v>
      </c>
      <c r="J5" s="41">
        <f t="shared" si="7"/>
        <v>1.7267548577931038E-6</v>
      </c>
      <c r="K5" s="41">
        <f t="shared" si="0"/>
        <v>0.71222076215505914</v>
      </c>
      <c r="L5" s="41">
        <f t="shared" si="1"/>
        <v>-2.4699894036282278E-5</v>
      </c>
      <c r="N5" s="21">
        <f t="shared" si="8"/>
        <v>6.6346333578616861</v>
      </c>
      <c r="O5" s="21">
        <f t="shared" si="9"/>
        <v>44.01835979325103</v>
      </c>
      <c r="P5" s="21">
        <f t="shared" si="2"/>
        <v>3595.9712799610338</v>
      </c>
      <c r="R5" s="21">
        <f t="shared" si="10"/>
        <v>539.60059491515017</v>
      </c>
      <c r="S5" s="21">
        <f t="shared" si="11"/>
        <v>0.44269466510144501</v>
      </c>
    </row>
    <row r="6" spans="1:19" x14ac:dyDescent="0.3">
      <c r="A6" s="37" t="s">
        <v>172</v>
      </c>
      <c r="B6" s="27">
        <v>767</v>
      </c>
      <c r="C6" s="27">
        <v>504</v>
      </c>
      <c r="F6" s="19">
        <f t="shared" si="3"/>
        <v>386568</v>
      </c>
      <c r="G6" s="19">
        <f t="shared" si="4"/>
        <v>588289</v>
      </c>
      <c r="H6" s="19">
        <f t="shared" si="5"/>
        <v>254016</v>
      </c>
      <c r="I6" s="19">
        <f t="shared" si="6"/>
        <v>1.3037809647979139E-3</v>
      </c>
      <c r="J6" s="41">
        <f t="shared" si="7"/>
        <v>1.6998448041693792E-6</v>
      </c>
      <c r="K6" s="41">
        <f t="shared" si="0"/>
        <v>0.65710560625814862</v>
      </c>
      <c r="L6" s="41">
        <f t="shared" si="1"/>
        <v>-3.4979376018920297E-5</v>
      </c>
      <c r="N6" s="21">
        <f t="shared" si="8"/>
        <v>6.642486801367256</v>
      </c>
      <c r="O6" s="21">
        <f t="shared" si="9"/>
        <v>44.122630906338202</v>
      </c>
      <c r="P6" s="21">
        <f t="shared" si="2"/>
        <v>3347.8133478890968</v>
      </c>
      <c r="R6" s="21">
        <f t="shared" si="10"/>
        <v>542.76377360623474</v>
      </c>
      <c r="S6" s="21">
        <f t="shared" si="11"/>
        <v>7.6912249218719708</v>
      </c>
    </row>
    <row r="7" spans="1:19" x14ac:dyDescent="0.3">
      <c r="A7" s="37" t="s">
        <v>173</v>
      </c>
      <c r="B7" s="27">
        <v>937</v>
      </c>
      <c r="C7" s="27">
        <v>642</v>
      </c>
      <c r="F7" s="19">
        <f t="shared" si="3"/>
        <v>601554</v>
      </c>
      <c r="G7" s="19">
        <f t="shared" si="4"/>
        <v>877969</v>
      </c>
      <c r="H7" s="19">
        <f t="shared" si="5"/>
        <v>412164</v>
      </c>
      <c r="I7" s="19">
        <f t="shared" si="6"/>
        <v>1.0672358591248667E-3</v>
      </c>
      <c r="J7" s="41">
        <f t="shared" si="7"/>
        <v>1.1389923790019922E-6</v>
      </c>
      <c r="K7" s="41">
        <f t="shared" si="0"/>
        <v>0.6851654215581644</v>
      </c>
      <c r="L7" s="41">
        <f t="shared" si="1"/>
        <v>-2.7152448169196755E-4</v>
      </c>
      <c r="N7" s="21">
        <f t="shared" si="8"/>
        <v>6.842683282238422</v>
      </c>
      <c r="O7" s="21">
        <f t="shared" si="9"/>
        <v>46.822314501025183</v>
      </c>
      <c r="P7" s="21">
        <f t="shared" si="2"/>
        <v>4393.0026671970672</v>
      </c>
      <c r="R7" s="21">
        <f t="shared" si="10"/>
        <v>615.55289265027807</v>
      </c>
      <c r="S7" s="21">
        <f t="shared" si="11"/>
        <v>4.1194871261249117</v>
      </c>
    </row>
    <row r="8" spans="1:19" x14ac:dyDescent="0.3">
      <c r="A8" s="37" t="s">
        <v>174</v>
      </c>
      <c r="B8" s="27">
        <v>997</v>
      </c>
      <c r="C8" s="27">
        <v>651</v>
      </c>
      <c r="F8" s="19">
        <f t="shared" si="3"/>
        <v>649047</v>
      </c>
      <c r="G8" s="19">
        <f t="shared" si="4"/>
        <v>994009</v>
      </c>
      <c r="H8" s="19">
        <f t="shared" si="5"/>
        <v>423801</v>
      </c>
      <c r="I8" s="19">
        <f t="shared" si="6"/>
        <v>1.0030090270812437E-3</v>
      </c>
      <c r="J8" s="41">
        <f t="shared" si="7"/>
        <v>1.0060271084064632E-6</v>
      </c>
      <c r="K8" s="41">
        <f t="shared" si="0"/>
        <v>0.65295887662988972</v>
      </c>
      <c r="L8" s="41">
        <f t="shared" si="1"/>
        <v>-3.3575131373559048E-4</v>
      </c>
      <c r="N8" s="21">
        <f t="shared" si="8"/>
        <v>6.9047507699618382</v>
      </c>
      <c r="O8" s="21">
        <f t="shared" si="9"/>
        <v>47.675583195288596</v>
      </c>
      <c r="P8" s="21">
        <f t="shared" si="2"/>
        <v>4494.9927512451568</v>
      </c>
      <c r="R8" s="21">
        <f t="shared" si="10"/>
        <v>635.31662654848378</v>
      </c>
      <c r="S8" s="21">
        <f t="shared" si="11"/>
        <v>2.4091203458550261</v>
      </c>
    </row>
    <row r="9" spans="1:19" x14ac:dyDescent="0.3">
      <c r="A9" s="37" t="s">
        <v>175</v>
      </c>
      <c r="B9" s="27">
        <v>1006</v>
      </c>
      <c r="C9" s="27">
        <v>580</v>
      </c>
      <c r="F9" s="19">
        <f t="shared" si="3"/>
        <v>583480</v>
      </c>
      <c r="G9" s="19">
        <f t="shared" si="4"/>
        <v>1012036</v>
      </c>
      <c r="H9" s="19">
        <f t="shared" si="5"/>
        <v>336400</v>
      </c>
      <c r="I9" s="19">
        <f t="shared" si="6"/>
        <v>9.9403578528827028E-4</v>
      </c>
      <c r="J9" s="41">
        <f t="shared" si="7"/>
        <v>9.8810714243366814E-7</v>
      </c>
      <c r="K9" s="41">
        <f t="shared" si="0"/>
        <v>0.57654075546719674</v>
      </c>
      <c r="L9" s="41">
        <f t="shared" si="1"/>
        <v>-3.4472455552856393E-4</v>
      </c>
      <c r="N9" s="21">
        <f t="shared" si="8"/>
        <v>6.9137373506596846</v>
      </c>
      <c r="O9" s="21">
        <f t="shared" si="9"/>
        <v>47.799764153906793</v>
      </c>
      <c r="P9" s="21">
        <f t="shared" si="2"/>
        <v>4009.967663382617</v>
      </c>
      <c r="R9" s="21">
        <f t="shared" si="10"/>
        <v>638.07785199519628</v>
      </c>
      <c r="S9" s="21">
        <f t="shared" si="11"/>
        <v>10.013422757792464</v>
      </c>
    </row>
    <row r="10" spans="1:19" x14ac:dyDescent="0.3">
      <c r="A10" s="37" t="s">
        <v>176</v>
      </c>
      <c r="B10" s="27">
        <v>1052</v>
      </c>
      <c r="C10" s="27">
        <v>557</v>
      </c>
      <c r="F10" s="19">
        <f t="shared" si="3"/>
        <v>585964</v>
      </c>
      <c r="G10" s="19">
        <f t="shared" si="4"/>
        <v>1106704</v>
      </c>
      <c r="H10" s="19">
        <f t="shared" si="5"/>
        <v>310249</v>
      </c>
      <c r="I10" s="19">
        <f t="shared" si="6"/>
        <v>9.5057034220532319E-4</v>
      </c>
      <c r="J10" s="41">
        <f t="shared" si="7"/>
        <v>9.035839754803452E-7</v>
      </c>
      <c r="K10" s="41">
        <f t="shared" si="0"/>
        <v>0.52946768060836502</v>
      </c>
      <c r="L10" s="41">
        <f t="shared" si="1"/>
        <v>-3.8818999861151102E-4</v>
      </c>
      <c r="N10" s="21">
        <f t="shared" si="8"/>
        <v>6.9584483932976555</v>
      </c>
      <c r="O10" s="21">
        <f t="shared" si="9"/>
        <v>48.420004042186726</v>
      </c>
      <c r="P10" s="21">
        <f t="shared" si="2"/>
        <v>3875.8557550667942</v>
      </c>
      <c r="R10" s="21">
        <f t="shared" si="10"/>
        <v>651.45293875450443</v>
      </c>
      <c r="S10" s="21">
        <f t="shared" si="11"/>
        <v>16.957439632765606</v>
      </c>
    </row>
    <row r="11" spans="1:19" x14ac:dyDescent="0.3">
      <c r="A11" s="37" t="s">
        <v>177</v>
      </c>
      <c r="B11" s="27">
        <v>1720</v>
      </c>
      <c r="C11" s="27">
        <v>861</v>
      </c>
      <c r="F11" s="19">
        <f t="shared" si="3"/>
        <v>1480920</v>
      </c>
      <c r="G11" s="19">
        <f t="shared" si="4"/>
        <v>2958400</v>
      </c>
      <c r="H11" s="19">
        <f t="shared" si="5"/>
        <v>741321</v>
      </c>
      <c r="I11" s="19">
        <f t="shared" si="6"/>
        <v>5.8139534883720929E-4</v>
      </c>
      <c r="J11" s="41">
        <f t="shared" si="7"/>
        <v>3.3802055164954027E-7</v>
      </c>
      <c r="K11" s="41">
        <f t="shared" si="0"/>
        <v>0.50058139534883717</v>
      </c>
      <c r="L11" s="41">
        <f t="shared" si="1"/>
        <v>-7.5736499197962492E-4</v>
      </c>
      <c r="N11" s="21">
        <f t="shared" si="8"/>
        <v>7.4500795698074986</v>
      </c>
      <c r="O11" s="21">
        <f t="shared" si="9"/>
        <v>55.503685596463086</v>
      </c>
      <c r="P11" s="21">
        <f t="shared" si="2"/>
        <v>6414.518509604256</v>
      </c>
      <c r="R11" s="21">
        <f t="shared" si="10"/>
        <v>765.05462357438796</v>
      </c>
      <c r="S11" s="21">
        <f t="shared" si="11"/>
        <v>11.143481582533338</v>
      </c>
    </row>
    <row r="12" spans="1:19" x14ac:dyDescent="0.3">
      <c r="S12" s="32"/>
    </row>
    <row r="13" spans="1:19" x14ac:dyDescent="0.3">
      <c r="B13" s="19" t="s">
        <v>95</v>
      </c>
      <c r="C13" s="19" t="s">
        <v>96</v>
      </c>
      <c r="F13" s="19" t="s">
        <v>97</v>
      </c>
      <c r="G13" s="19" t="s">
        <v>98</v>
      </c>
      <c r="H13" s="19" t="s">
        <v>99</v>
      </c>
      <c r="I13" s="39" t="s">
        <v>191</v>
      </c>
      <c r="J13" s="39" t="s">
        <v>196</v>
      </c>
      <c r="K13" s="39" t="s">
        <v>193</v>
      </c>
      <c r="N13" s="19" t="s">
        <v>202</v>
      </c>
      <c r="O13" s="19" t="s">
        <v>204</v>
      </c>
      <c r="P13" s="19" t="s">
        <v>199</v>
      </c>
      <c r="S13" s="21" t="s">
        <v>109</v>
      </c>
    </row>
    <row r="14" spans="1:19" x14ac:dyDescent="0.3">
      <c r="B14" s="19">
        <f>AVERAGE(B2:B11)</f>
        <v>870.3</v>
      </c>
      <c r="C14" s="19">
        <f>AVERAGE(C2:C11)</f>
        <v>532</v>
      </c>
      <c r="F14" s="19">
        <f t="shared" ref="F14:J14" si="12">AVERAGE(F2:F11)</f>
        <v>518488.8</v>
      </c>
      <c r="G14" s="19">
        <f t="shared" si="12"/>
        <v>883250.9</v>
      </c>
      <c r="H14" s="19">
        <f t="shared" si="12"/>
        <v>310587.2</v>
      </c>
      <c r="I14" s="19">
        <f t="shared" si="12"/>
        <v>1.3387603408168342E-3</v>
      </c>
      <c r="J14" s="19">
        <f t="shared" si="12"/>
        <v>2.0550162292072865E-6</v>
      </c>
      <c r="K14" s="19">
        <f>AVERAGE(K2:K11)</f>
        <v>0.63137167888005918</v>
      </c>
      <c r="N14" s="21">
        <f>AVERAGE(N2:N11)</f>
        <v>6.6910411958898619</v>
      </c>
      <c r="O14" s="21">
        <f>AVERAGE(O2:O11)</f>
        <v>44.924193393024737</v>
      </c>
      <c r="P14" s="21">
        <f>AVERAGE(P2:P11)</f>
        <v>3622.6090466192172</v>
      </c>
      <c r="S14" s="21">
        <f>AVERAGE(S2:S11)</f>
        <v>7.3440034455355656</v>
      </c>
    </row>
    <row r="17" spans="1:12" x14ac:dyDescent="0.3">
      <c r="B17" s="19" t="s">
        <v>100</v>
      </c>
      <c r="C17" s="19" t="s">
        <v>101</v>
      </c>
      <c r="E17" s="19" t="s">
        <v>207</v>
      </c>
      <c r="F17" s="40" t="s">
        <v>200</v>
      </c>
      <c r="G17" s="40" t="s">
        <v>201</v>
      </c>
      <c r="I17" s="19" t="s">
        <v>206</v>
      </c>
      <c r="J17" s="19" t="s">
        <v>205</v>
      </c>
    </row>
    <row r="18" spans="1:12" x14ac:dyDescent="0.3">
      <c r="B18" s="21">
        <f xml:space="preserve"> C14 -I14 * C18</f>
        <v>943.96027092546205</v>
      </c>
      <c r="C18" s="21">
        <f>(K14-C14*I14)/(J14 - I14^2)</f>
        <v>-307717.71344384737</v>
      </c>
      <c r="E18" s="19">
        <f>(G14- B14^2)</f>
        <v>125828.81000000006</v>
      </c>
      <c r="F18" s="19">
        <f xml:space="preserve"> SQRT(H14-C14^2)</f>
        <v>166.02168533056161</v>
      </c>
      <c r="G18" s="19">
        <f>SQRT(O14-N14^2)</f>
        <v>0.39263355425829793</v>
      </c>
      <c r="I18" s="19">
        <f xml:space="preserve"> (F14 - B14*C14)/(F18*E18)</f>
        <v>2.6562170250186306E-3</v>
      </c>
      <c r="J18" s="19">
        <f>(P14- C14*O14)/(F18*G18)</f>
        <v>-311.0661800451191</v>
      </c>
    </row>
    <row r="20" spans="1:12" x14ac:dyDescent="0.3">
      <c r="I20" s="19" t="s">
        <v>209</v>
      </c>
      <c r="J20" s="19" t="s">
        <v>210</v>
      </c>
      <c r="K20" s="19" t="s">
        <v>212</v>
      </c>
      <c r="L20" s="19" t="s">
        <v>206</v>
      </c>
    </row>
    <row r="21" spans="1:12" x14ac:dyDescent="0.3">
      <c r="I21" s="19">
        <v>0.90259999999999996</v>
      </c>
      <c r="J21" s="42">
        <f xml:space="preserve"> SQRT(I21)</f>
        <v>0.95005263012108965</v>
      </c>
      <c r="K21" s="19">
        <v>0.90259999999999996</v>
      </c>
      <c r="L21" s="42">
        <f xml:space="preserve"> SQRT(K21)</f>
        <v>0.95005263012108965</v>
      </c>
    </row>
    <row r="29" spans="1:12" x14ac:dyDescent="0.3">
      <c r="A29" s="19" t="s">
        <v>190</v>
      </c>
      <c r="B29" s="38" t="s">
        <v>91</v>
      </c>
    </row>
    <row r="30" spans="1:12" x14ac:dyDescent="0.3">
      <c r="A30" s="45">
        <v>2.2075055187637969E-3</v>
      </c>
      <c r="B30" s="38">
        <v>253</v>
      </c>
    </row>
    <row r="31" spans="1:12" x14ac:dyDescent="0.3">
      <c r="A31" s="45">
        <v>2.05761316872428E-3</v>
      </c>
      <c r="B31" s="38">
        <v>322</v>
      </c>
    </row>
    <row r="32" spans="1:12" x14ac:dyDescent="0.3">
      <c r="A32" s="45">
        <v>1.9083969465648854E-3</v>
      </c>
      <c r="B32" s="38">
        <v>408</v>
      </c>
    </row>
    <row r="33" spans="1:2" x14ac:dyDescent="0.3">
      <c r="A33" s="45">
        <v>1.3140604467805519E-3</v>
      </c>
      <c r="B33" s="38">
        <v>542</v>
      </c>
    </row>
    <row r="34" spans="1:2" x14ac:dyDescent="0.3">
      <c r="A34" s="45">
        <v>1.3037809647979139E-3</v>
      </c>
      <c r="B34" s="38">
        <v>504</v>
      </c>
    </row>
    <row r="35" spans="1:2" x14ac:dyDescent="0.3">
      <c r="A35" s="45">
        <v>1.0672358591248667E-3</v>
      </c>
      <c r="B35" s="38">
        <v>642</v>
      </c>
    </row>
    <row r="36" spans="1:2" x14ac:dyDescent="0.3">
      <c r="A36" s="45">
        <v>1.0030090270812437E-3</v>
      </c>
      <c r="B36" s="38">
        <v>651</v>
      </c>
    </row>
    <row r="37" spans="1:2" x14ac:dyDescent="0.3">
      <c r="A37" s="45">
        <v>9.9403578528827028E-4</v>
      </c>
      <c r="B37" s="38">
        <v>580</v>
      </c>
    </row>
    <row r="38" spans="1:2" x14ac:dyDescent="0.3">
      <c r="A38" s="45">
        <v>9.5057034220532319E-4</v>
      </c>
      <c r="B38" s="38">
        <v>557</v>
      </c>
    </row>
    <row r="39" spans="1:2" x14ac:dyDescent="0.3">
      <c r="A39" s="45">
        <v>5.8139534883720929E-4</v>
      </c>
      <c r="B39" s="38">
        <v>861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10D4-9A17-4F9B-BE74-82BABB7F026A}">
  <dimension ref="A1:E11"/>
  <sheetViews>
    <sheetView workbookViewId="0">
      <selection activeCell="H2" sqref="H2"/>
    </sheetView>
  </sheetViews>
  <sheetFormatPr defaultRowHeight="14.4" x14ac:dyDescent="0.3"/>
  <cols>
    <col min="1" max="1" width="19" bestFit="1" customWidth="1"/>
    <col min="2" max="2" width="5" bestFit="1" customWidth="1"/>
    <col min="3" max="3" width="4" bestFit="1" customWidth="1"/>
  </cols>
  <sheetData>
    <row r="1" spans="1:5" x14ac:dyDescent="0.3">
      <c r="A1" s="38" t="s">
        <v>167</v>
      </c>
      <c r="B1" s="38" t="s">
        <v>90</v>
      </c>
      <c r="C1" s="38" t="s">
        <v>91</v>
      </c>
      <c r="E1" s="40" t="s">
        <v>222</v>
      </c>
    </row>
    <row r="2" spans="1:5" x14ac:dyDescent="0.3">
      <c r="A2" s="37" t="s">
        <v>168</v>
      </c>
      <c r="B2" s="38">
        <v>453</v>
      </c>
      <c r="C2" s="38">
        <v>253</v>
      </c>
      <c r="E2" s="43">
        <f>1/C2</f>
        <v>3.952569169960474E-3</v>
      </c>
    </row>
    <row r="3" spans="1:5" x14ac:dyDescent="0.3">
      <c r="A3" s="37" t="s">
        <v>169</v>
      </c>
      <c r="B3" s="38">
        <v>486</v>
      </c>
      <c r="C3" s="38">
        <v>322</v>
      </c>
      <c r="E3" s="43">
        <f t="shared" ref="E3:E11" si="0">1/C3</f>
        <v>3.105590062111801E-3</v>
      </c>
    </row>
    <row r="4" spans="1:5" x14ac:dyDescent="0.3">
      <c r="A4" s="37" t="s">
        <v>170</v>
      </c>
      <c r="B4" s="38">
        <v>524</v>
      </c>
      <c r="C4" s="38">
        <v>408</v>
      </c>
      <c r="E4" s="43">
        <f t="shared" si="0"/>
        <v>2.4509803921568627E-3</v>
      </c>
    </row>
    <row r="5" spans="1:5" x14ac:dyDescent="0.3">
      <c r="A5" s="37" t="s">
        <v>171</v>
      </c>
      <c r="B5" s="38">
        <v>761</v>
      </c>
      <c r="C5" s="38">
        <v>542</v>
      </c>
      <c r="E5" s="43">
        <f t="shared" si="0"/>
        <v>1.8450184501845018E-3</v>
      </c>
    </row>
    <row r="6" spans="1:5" x14ac:dyDescent="0.3">
      <c r="A6" s="37" t="s">
        <v>172</v>
      </c>
      <c r="B6" s="38">
        <v>767</v>
      </c>
      <c r="C6" s="38">
        <v>504</v>
      </c>
      <c r="E6" s="43">
        <f t="shared" si="0"/>
        <v>1.984126984126984E-3</v>
      </c>
    </row>
    <row r="7" spans="1:5" x14ac:dyDescent="0.3">
      <c r="A7" s="37" t="s">
        <v>173</v>
      </c>
      <c r="B7" s="38">
        <v>937</v>
      </c>
      <c r="C7" s="38">
        <v>642</v>
      </c>
      <c r="E7" s="43">
        <f t="shared" si="0"/>
        <v>1.557632398753894E-3</v>
      </c>
    </row>
    <row r="8" spans="1:5" x14ac:dyDescent="0.3">
      <c r="A8" s="37" t="s">
        <v>174</v>
      </c>
      <c r="B8" s="38">
        <v>997</v>
      </c>
      <c r="C8" s="38">
        <v>651</v>
      </c>
      <c r="E8" s="43">
        <f t="shared" si="0"/>
        <v>1.5360983102918587E-3</v>
      </c>
    </row>
    <row r="9" spans="1:5" x14ac:dyDescent="0.3">
      <c r="A9" s="37" t="s">
        <v>175</v>
      </c>
      <c r="B9" s="38">
        <v>1006</v>
      </c>
      <c r="C9" s="38">
        <v>580</v>
      </c>
      <c r="E9" s="43">
        <f t="shared" si="0"/>
        <v>1.7241379310344827E-3</v>
      </c>
    </row>
    <row r="10" spans="1:5" x14ac:dyDescent="0.3">
      <c r="A10" s="37" t="s">
        <v>176</v>
      </c>
      <c r="B10" s="38">
        <v>1052</v>
      </c>
      <c r="C10" s="38">
        <v>557</v>
      </c>
      <c r="E10" s="43">
        <f t="shared" si="0"/>
        <v>1.7953321364452424E-3</v>
      </c>
    </row>
    <row r="11" spans="1:5" x14ac:dyDescent="0.3">
      <c r="A11" s="37" t="s">
        <v>177</v>
      </c>
      <c r="B11" s="38">
        <v>1720</v>
      </c>
      <c r="C11" s="38">
        <v>861</v>
      </c>
      <c r="E11" s="43">
        <f t="shared" si="0"/>
        <v>1.1614401858304297E-3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DA90-C237-4B9E-ACCF-3A9151037EAC}">
  <dimension ref="A1:L14"/>
  <sheetViews>
    <sheetView workbookViewId="0">
      <selection activeCell="H13" sqref="H13"/>
    </sheetView>
  </sheetViews>
  <sheetFormatPr defaultRowHeight="14.4" x14ac:dyDescent="0.3"/>
  <cols>
    <col min="1" max="1" width="16.6640625" bestFit="1" customWidth="1"/>
    <col min="2" max="2" width="22.21875" bestFit="1" customWidth="1"/>
    <col min="3" max="5" width="6.44140625" bestFit="1" customWidth="1"/>
    <col min="6" max="6" width="5.44140625" bestFit="1" customWidth="1"/>
  </cols>
  <sheetData>
    <row r="1" spans="1:12" x14ac:dyDescent="0.3">
      <c r="A1" s="38" t="s">
        <v>216</v>
      </c>
      <c r="B1" s="38" t="s">
        <v>213</v>
      </c>
      <c r="C1" s="38" t="s">
        <v>208</v>
      </c>
      <c r="D1" s="38" t="s">
        <v>214</v>
      </c>
      <c r="E1" s="38" t="s">
        <v>149</v>
      </c>
      <c r="F1" s="38" t="s">
        <v>215</v>
      </c>
    </row>
    <row r="2" spans="1:12" x14ac:dyDescent="0.3">
      <c r="A2" s="19" t="s">
        <v>217</v>
      </c>
      <c r="B2" s="19" t="s">
        <v>183</v>
      </c>
      <c r="C2" s="44">
        <v>0.88780000000000003</v>
      </c>
      <c r="D2" s="44">
        <f>SQRT(C2)</f>
        <v>0.94223139408533829</v>
      </c>
      <c r="E2" s="21">
        <f>C2/(1-C2)*8</f>
        <v>63.301247771836032</v>
      </c>
      <c r="F2" s="21">
        <v>11.08843369244182</v>
      </c>
    </row>
    <row r="3" spans="1:12" x14ac:dyDescent="0.3">
      <c r="A3" s="19" t="s">
        <v>218</v>
      </c>
      <c r="B3" s="19" t="s">
        <v>221</v>
      </c>
      <c r="C3" s="44">
        <v>0.90259999999999996</v>
      </c>
      <c r="D3" s="44">
        <f t="shared" ref="D3:D5" si="0">SQRT(C3)</f>
        <v>0.95005263012108965</v>
      </c>
      <c r="E3" s="21">
        <f t="shared" ref="E3:E5" si="1">C3/(1-C3)*8</f>
        <v>74.135523613963002</v>
      </c>
      <c r="F3" s="21">
        <v>7.3440034455355656</v>
      </c>
    </row>
    <row r="4" spans="1:12" x14ac:dyDescent="0.3">
      <c r="A4" s="19" t="s">
        <v>219</v>
      </c>
      <c r="B4" s="19" t="s">
        <v>185</v>
      </c>
      <c r="C4" s="44">
        <v>0.93330000000000002</v>
      </c>
      <c r="D4" s="44">
        <f t="shared" si="0"/>
        <v>0.96607453128627707</v>
      </c>
      <c r="E4" s="21">
        <f t="shared" si="1"/>
        <v>111.94002998500753</v>
      </c>
      <c r="F4" s="21">
        <v>7.5997840757084738</v>
      </c>
    </row>
    <row r="5" spans="1:12" ht="16.2" x14ac:dyDescent="0.3">
      <c r="A5" s="19" t="s">
        <v>220</v>
      </c>
      <c r="B5" s="19" t="s">
        <v>184</v>
      </c>
      <c r="C5" s="44">
        <v>0.89019999999999999</v>
      </c>
      <c r="D5" s="44">
        <f t="shared" si="0"/>
        <v>0.94350410703928578</v>
      </c>
      <c r="E5" s="21">
        <f t="shared" si="1"/>
        <v>64.859744990892523</v>
      </c>
      <c r="F5" s="21">
        <v>10.09</v>
      </c>
    </row>
    <row r="8" spans="1:12" x14ac:dyDescent="0.3">
      <c r="B8" s="46"/>
    </row>
    <row r="14" spans="1:12" x14ac:dyDescent="0.3">
      <c r="L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Линейная 1</vt:lpstr>
      <vt:lpstr>Линейная 2</vt:lpstr>
      <vt:lpstr>ЛинСтепЛог</vt:lpstr>
      <vt:lpstr>Пак</vt:lpstr>
      <vt:lpstr>Пакет1</vt:lpstr>
      <vt:lpstr>Пакет2</vt:lpstr>
      <vt:lpstr>Степенная</vt:lpstr>
      <vt:lpstr>Обратная</vt:lpstr>
      <vt:lpstr>Таблица</vt:lpstr>
      <vt:lpstr>Работа1</vt:lpstr>
      <vt:lpstr>Лист1</vt:lpstr>
      <vt:lpstr>Множеств. регрессия</vt:lpstr>
      <vt:lpstr>Мн. Регр. Ан. Данн.</vt:lpstr>
      <vt:lpstr>Мн. Регр.</vt:lpstr>
      <vt:lpstr>Мн. Регр. Лист 2</vt:lpstr>
      <vt:lpstr>Мн. Регр. Ан. Данн. 2</vt:lpstr>
      <vt:lpstr>Коррелограмма</vt:lpstr>
      <vt:lpstr>Критерий средних</vt:lpstr>
      <vt:lpstr>Критерий серий</vt:lpstr>
      <vt:lpstr>Критерий медиан</vt:lpstr>
      <vt:lpstr>Сезонная</vt:lpstr>
      <vt:lpstr>Сезонн 2</vt:lpstr>
      <vt:lpstr>Фостер - Стюарт</vt:lpstr>
      <vt:lpstr>Ирвин</vt:lpstr>
      <vt:lpstr>Фурье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ГлебУшка</dc:creator>
  <cp:lastModifiedBy>ГлебУшка</cp:lastModifiedBy>
  <dcterms:created xsi:type="dcterms:W3CDTF">2022-10-01T15:32:58Z</dcterms:created>
  <dcterms:modified xsi:type="dcterms:W3CDTF">2022-12-21T13:07:45Z</dcterms:modified>
</cp:coreProperties>
</file>