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sley Lacayo\Desktop\Wesley Lacayo\Desktop\Informacion\AGROFORESTAL\Rodrigo Lessa\Opcion Final\"/>
    </mc:Choice>
  </mc:AlternateContent>
  <bookViews>
    <workbookView xWindow="0" yWindow="0" windowWidth="20490" windowHeight="7755"/>
  </bookViews>
  <sheets>
    <sheet name="Costeo Modulo" sheetId="3" r:id="rId1"/>
    <sheet name="PO Modulo" sheetId="10" r:id="rId2"/>
    <sheet name="Costeo Adendum" sheetId="11" r:id="rId3"/>
    <sheet name="PO Adendum" sheetId="12" r:id="rId4"/>
    <sheet name="Wood" sheetId="4" r:id="rId5"/>
  </sheets>
  <definedNames>
    <definedName name="_xlnm.Print_Area" localSheetId="2">'Costeo Adendum'!$A$1:$O$38</definedName>
    <definedName name="_xlnm.Print_Area" localSheetId="0">'Costeo Modulo'!$A$1:$O$71</definedName>
    <definedName name="_xlnm.Print_Area" localSheetId="3">'PO Adendum'!$A$1:$J$54</definedName>
    <definedName name="_xlnm.Print_Area" localSheetId="1">'PO Modulo'!$A$1:$J$61</definedName>
    <definedName name="_xlnm.Print_Titles" localSheetId="2">'Costeo Adendum'!$25:$28</definedName>
    <definedName name="_xlnm.Print_Titles" localSheetId="0">'Costeo Modulo'!$25:$28</definedName>
    <definedName name="_xlnm.Print_Titles" localSheetId="4">Wood!$1:$6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1" l="1"/>
  <c r="J26" i="12"/>
  <c r="J30" i="12" s="1"/>
  <c r="E20" i="12"/>
  <c r="E19" i="12"/>
  <c r="E18" i="12"/>
  <c r="E17" i="12"/>
  <c r="E16" i="12"/>
  <c r="E15" i="12"/>
  <c r="E14" i="12"/>
  <c r="I31" i="11"/>
  <c r="M31" i="11"/>
  <c r="M19" i="11"/>
  <c r="J31" i="11" l="1"/>
  <c r="K31" i="11"/>
  <c r="J32" i="12"/>
  <c r="J33" i="12" s="1"/>
  <c r="J36" i="12" s="1"/>
  <c r="L31" i="11"/>
  <c r="I33" i="10"/>
  <c r="I32" i="10"/>
  <c r="I31" i="10"/>
  <c r="I30" i="10"/>
  <c r="I29" i="10"/>
  <c r="I28" i="10"/>
  <c r="I27" i="10"/>
  <c r="I26" i="10"/>
  <c r="D43" i="3"/>
  <c r="L37" i="4"/>
  <c r="P37" i="4" s="1"/>
  <c r="L36" i="4"/>
  <c r="P36" i="4" s="1"/>
  <c r="M51" i="3"/>
  <c r="L51" i="3"/>
  <c r="K51" i="3"/>
  <c r="J51" i="3"/>
  <c r="I51" i="3"/>
  <c r="N51" i="3" s="1"/>
  <c r="N49" i="3" s="1"/>
  <c r="M53" i="3"/>
  <c r="L53" i="3"/>
  <c r="K53" i="3"/>
  <c r="J53" i="3"/>
  <c r="I53" i="3"/>
  <c r="N53" i="3" s="1"/>
  <c r="N31" i="11" l="1"/>
  <c r="E19" i="11"/>
  <c r="E22" i="11"/>
  <c r="E21" i="11"/>
  <c r="D40" i="11"/>
  <c r="N30" i="11"/>
  <c r="N32" i="11" s="1"/>
  <c r="N33" i="11" s="1"/>
  <c r="Q37" i="4"/>
  <c r="D37" i="4"/>
  <c r="K37" i="4"/>
  <c r="Q36" i="4"/>
  <c r="Q35" i="4" s="1"/>
  <c r="D36" i="4"/>
  <c r="K36" i="4"/>
  <c r="E20" i="11" l="1"/>
  <c r="I70" i="3"/>
  <c r="H50" i="3"/>
  <c r="G20" i="11" l="1"/>
  <c r="E23" i="11"/>
  <c r="F90" i="3"/>
  <c r="P33" i="11" l="1"/>
  <c r="N34" i="11"/>
  <c r="N35" i="11" s="1"/>
  <c r="G21" i="11"/>
  <c r="P30" i="11"/>
  <c r="G22" i="11"/>
  <c r="G19" i="11"/>
  <c r="P31" i="4"/>
  <c r="P26" i="4"/>
  <c r="Q26" i="4" s="1"/>
  <c r="K26" i="4"/>
  <c r="D26" i="4"/>
  <c r="K23" i="4"/>
  <c r="K18" i="4"/>
  <c r="G23" i="11" l="1"/>
  <c r="P32" i="11"/>
  <c r="D31" i="4"/>
  <c r="Q31" i="4"/>
  <c r="K31" i="4"/>
  <c r="P23" i="4"/>
  <c r="J33" i="10"/>
  <c r="J32" i="10"/>
  <c r="N36" i="11" l="1"/>
  <c r="Q23" i="4"/>
  <c r="D23" i="4"/>
  <c r="M61" i="3"/>
  <c r="L61" i="3"/>
  <c r="K61" i="3"/>
  <c r="J61" i="3"/>
  <c r="I61" i="3"/>
  <c r="M20" i="11" l="1"/>
  <c r="P35" i="11"/>
  <c r="N61" i="3"/>
  <c r="N60" i="3" s="1"/>
  <c r="M59" i="3"/>
  <c r="L59" i="3"/>
  <c r="K59" i="3"/>
  <c r="J59" i="3"/>
  <c r="I59" i="3"/>
  <c r="E80" i="3"/>
  <c r="I80" i="3" s="1"/>
  <c r="K79" i="3"/>
  <c r="I79" i="3"/>
  <c r="J79" i="3"/>
  <c r="J78" i="3"/>
  <c r="I78" i="3"/>
  <c r="M78" i="3"/>
  <c r="M77" i="3"/>
  <c r="L77" i="3"/>
  <c r="K77" i="3"/>
  <c r="J77" i="3"/>
  <c r="I77" i="3"/>
  <c r="M76" i="3"/>
  <c r="L76" i="3"/>
  <c r="K76" i="3"/>
  <c r="J76" i="3"/>
  <c r="I76" i="3"/>
  <c r="N59" i="3" l="1"/>
  <c r="L79" i="3"/>
  <c r="M79" i="3"/>
  <c r="N77" i="3"/>
  <c r="N76" i="3"/>
  <c r="K78" i="3"/>
  <c r="D80" i="3"/>
  <c r="L78" i="3"/>
  <c r="M58" i="3"/>
  <c r="L58" i="3"/>
  <c r="K58" i="3"/>
  <c r="J58" i="3"/>
  <c r="I58" i="3"/>
  <c r="N79" i="3" l="1"/>
  <c r="N78" i="3"/>
  <c r="J80" i="3"/>
  <c r="M80" i="3"/>
  <c r="L80" i="3"/>
  <c r="K80" i="3"/>
  <c r="N58" i="3"/>
  <c r="N57" i="3" s="1"/>
  <c r="N80" i="3" l="1"/>
  <c r="N75" i="3" s="1"/>
  <c r="J31" i="10" l="1"/>
  <c r="J30" i="10"/>
  <c r="J28" i="10"/>
  <c r="J27" i="10"/>
  <c r="J26" i="10"/>
  <c r="J29" i="10"/>
  <c r="J37" i="10" l="1"/>
  <c r="J39" i="10" s="1"/>
  <c r="J40" i="10" s="1"/>
  <c r="J43" i="10" s="1"/>
  <c r="E20" i="10"/>
  <c r="E19" i="10"/>
  <c r="E18" i="10"/>
  <c r="E17" i="10"/>
  <c r="E16" i="10"/>
  <c r="E15" i="10"/>
  <c r="E14" i="10"/>
  <c r="M70" i="3" l="1"/>
  <c r="L70" i="3"/>
  <c r="K70" i="3"/>
  <c r="J70" i="3"/>
  <c r="N70" i="3"/>
  <c r="N69" i="3" s="1"/>
  <c r="M48" i="3" l="1"/>
  <c r="L48" i="3"/>
  <c r="K48" i="3"/>
  <c r="J48" i="3"/>
  <c r="I48" i="3"/>
  <c r="C86" i="3" l="1"/>
  <c r="N48" i="3"/>
  <c r="M56" i="3" l="1"/>
  <c r="L56" i="3"/>
  <c r="K56" i="3"/>
  <c r="J56" i="3"/>
  <c r="I56" i="3"/>
  <c r="M55" i="3"/>
  <c r="L55" i="3"/>
  <c r="K55" i="3"/>
  <c r="J55" i="3"/>
  <c r="I55" i="3"/>
  <c r="C88" i="3" l="1"/>
  <c r="N56" i="3"/>
  <c r="N55" i="3"/>
  <c r="N54" i="3" l="1"/>
  <c r="P32" i="4" l="1"/>
  <c r="K30" i="4"/>
  <c r="K34" i="4"/>
  <c r="L33" i="4"/>
  <c r="K33" i="4" s="1"/>
  <c r="P29" i="4"/>
  <c r="I43" i="3"/>
  <c r="K43" i="3"/>
  <c r="M42" i="3"/>
  <c r="L42" i="3"/>
  <c r="K42" i="3"/>
  <c r="J42" i="3"/>
  <c r="I42" i="3"/>
  <c r="I41" i="3"/>
  <c r="I40" i="3"/>
  <c r="P33" i="4" l="1"/>
  <c r="Q32" i="4"/>
  <c r="D32" i="4"/>
  <c r="K32" i="4"/>
  <c r="P30" i="4"/>
  <c r="D29" i="4"/>
  <c r="Q29" i="4"/>
  <c r="K29" i="4"/>
  <c r="P34" i="4"/>
  <c r="N42" i="3"/>
  <c r="L43" i="3"/>
  <c r="M43" i="3"/>
  <c r="J43" i="3"/>
  <c r="P40" i="4"/>
  <c r="D40" i="4" s="1"/>
  <c r="P39" i="4"/>
  <c r="L27" i="4"/>
  <c r="P27" i="4" s="1"/>
  <c r="P25" i="4"/>
  <c r="K24" i="4"/>
  <c r="L22" i="4"/>
  <c r="K22" i="4" s="1"/>
  <c r="K19" i="4"/>
  <c r="L15" i="4"/>
  <c r="K15" i="4" s="1"/>
  <c r="K14" i="4"/>
  <c r="L11" i="4"/>
  <c r="K11" i="4" s="1"/>
  <c r="M52" i="3"/>
  <c r="L52" i="3"/>
  <c r="K52" i="3"/>
  <c r="J52" i="3"/>
  <c r="I52" i="3"/>
  <c r="M50" i="3"/>
  <c r="L50" i="3"/>
  <c r="K50" i="3"/>
  <c r="J50" i="3"/>
  <c r="I50" i="3"/>
  <c r="N50" i="3" s="1"/>
  <c r="M47" i="3"/>
  <c r="L47" i="3"/>
  <c r="K47" i="3"/>
  <c r="J47" i="3"/>
  <c r="I47" i="3"/>
  <c r="I46" i="3"/>
  <c r="I45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I35" i="3"/>
  <c r="I34" i="3"/>
  <c r="I32" i="3"/>
  <c r="I31" i="3"/>
  <c r="C87" i="3" l="1"/>
  <c r="N52" i="3"/>
  <c r="Q33" i="4"/>
  <c r="D33" i="4"/>
  <c r="D30" i="4"/>
  <c r="Q30" i="4"/>
  <c r="Q28" i="4" s="1"/>
  <c r="Q34" i="4"/>
  <c r="D34" i="4"/>
  <c r="P22" i="4"/>
  <c r="D22" i="4" s="1"/>
  <c r="K16" i="4"/>
  <c r="K40" i="4"/>
  <c r="K25" i="4"/>
  <c r="Q14" i="4"/>
  <c r="K17" i="4"/>
  <c r="N47" i="3"/>
  <c r="N43" i="3"/>
  <c r="N38" i="3"/>
  <c r="N37" i="3"/>
  <c r="N36" i="3"/>
  <c r="D27" i="4"/>
  <c r="Q27" i="4"/>
  <c r="D13" i="4"/>
  <c r="Q13" i="4"/>
  <c r="K13" i="4"/>
  <c r="K27" i="4"/>
  <c r="K39" i="4"/>
  <c r="P18" i="4"/>
  <c r="D18" i="4" s="1"/>
  <c r="Q17" i="4"/>
  <c r="D17" i="4"/>
  <c r="Q16" i="4"/>
  <c r="D16" i="4"/>
  <c r="Q25" i="4"/>
  <c r="D25" i="4"/>
  <c r="P11" i="4"/>
  <c r="P15" i="4"/>
  <c r="P24" i="4"/>
  <c r="Q39" i="4"/>
  <c r="D39" i="4"/>
  <c r="Q40" i="4"/>
  <c r="Q18" i="4" l="1"/>
  <c r="D14" i="4"/>
  <c r="Q22" i="4"/>
  <c r="Q11" i="4"/>
  <c r="Q10" i="4" s="1"/>
  <c r="D31" i="3" s="1"/>
  <c r="D11" i="4"/>
  <c r="Q15" i="4"/>
  <c r="D15" i="4"/>
  <c r="Q24" i="4"/>
  <c r="D24" i="4"/>
  <c r="Q19" i="4"/>
  <c r="D19" i="4"/>
  <c r="Q12" i="4" l="1"/>
  <c r="D34" i="3" s="1"/>
  <c r="Q21" i="4"/>
  <c r="Q20" i="4" s="1"/>
  <c r="D40" i="3" s="1"/>
  <c r="Q38" i="4"/>
  <c r="D45" i="3" s="1"/>
  <c r="D46" i="3" l="1"/>
  <c r="J45" i="3"/>
  <c r="L45" i="3"/>
  <c r="M45" i="3"/>
  <c r="K45" i="3"/>
  <c r="Q9" i="4"/>
  <c r="M19" i="3" s="1"/>
  <c r="D41" i="3"/>
  <c r="K40" i="3"/>
  <c r="L40" i="3"/>
  <c r="J40" i="3"/>
  <c r="M40" i="3"/>
  <c r="M31" i="3"/>
  <c r="J31" i="3"/>
  <c r="L31" i="3"/>
  <c r="D32" i="3"/>
  <c r="K31" i="3"/>
  <c r="N45" i="3" l="1"/>
  <c r="K46" i="3"/>
  <c r="L46" i="3"/>
  <c r="J46" i="3"/>
  <c r="M46" i="3"/>
  <c r="N40" i="3"/>
  <c r="J41" i="3"/>
  <c r="K41" i="3"/>
  <c r="M41" i="3"/>
  <c r="L41" i="3"/>
  <c r="N31" i="3"/>
  <c r="J32" i="3"/>
  <c r="M32" i="3"/>
  <c r="L32" i="3"/>
  <c r="K32" i="3"/>
  <c r="N46" i="3" l="1"/>
  <c r="N44" i="3" s="1"/>
  <c r="N41" i="3"/>
  <c r="N39" i="3" s="1"/>
  <c r="N32" i="3"/>
  <c r="N30" i="3" s="1"/>
  <c r="L34" i="3"/>
  <c r="K34" i="3"/>
  <c r="M34" i="3"/>
  <c r="J34" i="3"/>
  <c r="C84" i="3" s="1"/>
  <c r="D35" i="3"/>
  <c r="J35" i="3" s="1"/>
  <c r="C85" i="3" s="1"/>
  <c r="C90" i="3" l="1"/>
  <c r="E20" i="3"/>
  <c r="J67" i="3"/>
  <c r="L35" i="3"/>
  <c r="E19" i="3" s="1"/>
  <c r="K35" i="3"/>
  <c r="E21" i="3" s="1"/>
  <c r="M35" i="3"/>
  <c r="E22" i="3" s="1"/>
  <c r="N34" i="3"/>
  <c r="N35" i="3" l="1"/>
  <c r="N33" i="3" s="1"/>
  <c r="D92" i="3" l="1"/>
  <c r="H85" i="3"/>
  <c r="J85" i="3" s="1"/>
  <c r="N62" i="3"/>
  <c r="P33" i="3" s="1"/>
  <c r="E23" i="3"/>
  <c r="P60" i="3" l="1"/>
  <c r="P63" i="3"/>
  <c r="P54" i="3"/>
  <c r="P30" i="3"/>
  <c r="P49" i="3"/>
  <c r="P57" i="3"/>
  <c r="P39" i="3"/>
  <c r="N64" i="3"/>
  <c r="N65" i="3" s="1"/>
  <c r="P44" i="3"/>
  <c r="G22" i="3"/>
  <c r="G19" i="3"/>
  <c r="G20" i="3"/>
  <c r="G21" i="3"/>
  <c r="N66" i="3" l="1"/>
  <c r="M20" i="3" s="1"/>
  <c r="G23" i="3"/>
  <c r="P62" i="3"/>
  <c r="N71" i="3" l="1"/>
  <c r="P65" i="3"/>
</calcChain>
</file>

<file path=xl/comments1.xml><?xml version="1.0" encoding="utf-8"?>
<comments xmlns="http://schemas.openxmlformats.org/spreadsheetml/2006/main">
  <authors>
    <author>Wesley Lacayo</author>
  </authors>
  <commentList>
    <comment ref="E48" authorId="0" shapeId="0">
      <text>
        <r>
          <rPr>
            <b/>
            <sz val="9"/>
            <color indexed="81"/>
            <rFont val="Tahoma"/>
            <family val="2"/>
          </rPr>
          <t>Wesley Lacayo:</t>
        </r>
        <r>
          <rPr>
            <sz val="9"/>
            <color indexed="81"/>
            <rFont val="Tahoma"/>
            <family val="2"/>
          </rPr>
          <t xml:space="preserve">
4,5 - Isaias 
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Wesley Lacayo:</t>
        </r>
        <r>
          <rPr>
            <sz val="9"/>
            <color indexed="81"/>
            <rFont val="Tahoma"/>
            <family val="2"/>
          </rPr>
          <t xml:space="preserve">
Cairo + Combustible 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Wesley Lacayo:</t>
        </r>
        <r>
          <rPr>
            <sz val="9"/>
            <color indexed="81"/>
            <rFont val="Tahoma"/>
            <family val="2"/>
          </rPr>
          <t xml:space="preserve">
Incluye Fb de Mocheta de Puerta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Wesley Lacayo:</t>
        </r>
        <r>
          <rPr>
            <sz val="9"/>
            <color indexed="81"/>
            <rFont val="Tahoma"/>
            <family val="2"/>
          </rPr>
          <t xml:space="preserve">
Incluye Inst de Puerta
</t>
        </r>
      </text>
    </comment>
  </commentList>
</comments>
</file>

<file path=xl/sharedStrings.xml><?xml version="1.0" encoding="utf-8"?>
<sst xmlns="http://schemas.openxmlformats.org/spreadsheetml/2006/main" count="387" uniqueCount="233">
  <si>
    <t>Monto total en Transporte y Equipos</t>
  </si>
  <si>
    <t>Monto total en Mano de Obra</t>
  </si>
  <si>
    <t>Monto total en Materiales</t>
  </si>
  <si>
    <t>Monto total en Sub-contratos</t>
  </si>
  <si>
    <t>Gran Total</t>
  </si>
  <si>
    <t>COSTO Y PRESUPUESTO</t>
  </si>
  <si>
    <t>ITEM</t>
  </si>
  <si>
    <t xml:space="preserve">DESCRIPCION </t>
  </si>
  <si>
    <t>U/M</t>
  </si>
  <si>
    <t>CANT</t>
  </si>
  <si>
    <t>COSTOS DIRECTOS UNITARIOS (U$)</t>
  </si>
  <si>
    <t>COSTOS DIRECTOS TOTALES (U$)</t>
  </si>
  <si>
    <t>MANO DE OBRA</t>
  </si>
  <si>
    <t>MATERIALES</t>
  </si>
  <si>
    <t>TRANSPORTE Y EQUIPOS</t>
  </si>
  <si>
    <t>SUB-CONTRATOS</t>
  </si>
  <si>
    <t>COSTO UNITARIO</t>
  </si>
  <si>
    <t>COSTO TOTAL</t>
  </si>
  <si>
    <t>PAREDES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</si>
  <si>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</si>
  <si>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Glb.</t>
  </si>
  <si>
    <t>PT</t>
  </si>
  <si>
    <t>TECHO</t>
  </si>
  <si>
    <t>Fijacion de Estructura de Techo</t>
  </si>
  <si>
    <t>PUERTAS Y VENTANAS</t>
  </si>
  <si>
    <t>Und</t>
  </si>
  <si>
    <t xml:space="preserve">COSTOS DIRECTOS </t>
  </si>
  <si>
    <t>COSTOS INDIRECTOS Y ADMINISTRATIVOS</t>
  </si>
  <si>
    <t>SUB - TOTAL</t>
  </si>
  <si>
    <t>UTILIDADES</t>
  </si>
  <si>
    <t>GRAN TOTAL</t>
  </si>
  <si>
    <t>PISO</t>
  </si>
  <si>
    <t>WOODEN HOUSING SOLUTION</t>
  </si>
  <si>
    <t>ROOM + BATHROOM + DECK</t>
  </si>
  <si>
    <t>FUNDACIONES</t>
  </si>
  <si>
    <t>LISTA DE MADERA REQUERIDA</t>
  </si>
  <si>
    <t xml:space="preserve">GENERAL INFORMATION </t>
  </si>
  <si>
    <t>ACTUAL SIZE (in)</t>
  </si>
  <si>
    <t>NOMINAL SIZE (in)</t>
  </si>
  <si>
    <t>Eje</t>
  </si>
  <si>
    <t>Componente</t>
  </si>
  <si>
    <t>Código</t>
  </si>
  <si>
    <t>Descripción</t>
  </si>
  <si>
    <t>Especie</t>
  </si>
  <si>
    <t>Cantidad</t>
  </si>
  <si>
    <t>Diámetro (in)</t>
  </si>
  <si>
    <t>Grosor (in)</t>
  </si>
  <si>
    <t>Ancho (in)</t>
  </si>
  <si>
    <t>Largo Neto (in)</t>
  </si>
  <si>
    <t>Largo (in)</t>
  </si>
  <si>
    <t>Largo (ft)</t>
  </si>
  <si>
    <t>PRINCIPAL FRAMING</t>
  </si>
  <si>
    <t>PILOTES</t>
  </si>
  <si>
    <t>Pilote de madera</t>
  </si>
  <si>
    <t>PANELES DE PISO</t>
  </si>
  <si>
    <t>Diagonales</t>
  </si>
  <si>
    <t>Clavadores de techo</t>
  </si>
  <si>
    <t>WOODEN HOUSING SOLUTIONS</t>
  </si>
  <si>
    <t xml:space="preserve">Fijacion estructural </t>
  </si>
  <si>
    <t>Glb,</t>
  </si>
  <si>
    <t>Piso de Deck con  Acabado Tropical Extreme de Messmers</t>
  </si>
  <si>
    <t>Fabricacion de Pilote de madera de 6" X 6" (16 Unds)</t>
  </si>
  <si>
    <t>Instalacion de Pilote de madera de 6" X 6" (16 Unds)</t>
  </si>
  <si>
    <t>Fabricacion de piezas para paneles de piso en madera, utlizando piezas con dimensiones comerciales de 2" x 6" y 2" x 4"</t>
  </si>
  <si>
    <t>Armado e Instalacion de paneles de piso en Madera, utlizando piezas con dimensiones comerciales de 2" x 6" y 2" x 4"</t>
  </si>
  <si>
    <t>Fijacion de Framing.</t>
  </si>
  <si>
    <t>Fabricacion e Instalacion de Forro Exterior de Paredes con Machimbre de Madera</t>
  </si>
  <si>
    <t>Pieza horizontal 1</t>
  </si>
  <si>
    <t>Piezas verticales</t>
  </si>
  <si>
    <t>Piezas verticales en diagonal</t>
  </si>
  <si>
    <t>Pieza horizontal 2</t>
  </si>
  <si>
    <t>Pieza horizontal 3</t>
  </si>
  <si>
    <t>Fabricacion de piezas de Framing - Paneles de Pared en Madera, utlizando piezas con dimensiones comerciales de 2" x 4"</t>
  </si>
  <si>
    <t>Armado e instalacion de piezas de Framing - Paneles de Pared en Madera, utlizando piezas con dimensiones comerciales de 2" x 4"</t>
  </si>
  <si>
    <t>Alfajias</t>
  </si>
  <si>
    <t>Fabricacion de piezas de Estructura de Techo de Madera, utlizando piezas con dimensiones comerciales de 2" x 5" para Alfajias + Clavadores con diemnsiones comerciales de 1 1/2" x 2 1/2"</t>
  </si>
  <si>
    <t>Armado e Instalacion de piezas de Estructura de Techo de Madera, utlizando piezas con dimensiones comerciales de 2" x 5" para Alfajias + Clavadores con diemnsiones comerciales de 1 1/2" x 2 1/2"</t>
  </si>
  <si>
    <t>CANTIDAD TOTAL MADERA (PT)</t>
  </si>
  <si>
    <t>MONTO TOTAL / M2</t>
  </si>
  <si>
    <t>INSTALACIONES ELECTRICAS</t>
  </si>
  <si>
    <t>Canalizacion y alambrado</t>
  </si>
  <si>
    <t>Instalacion de Accesorios de Iluminacion y Poder</t>
  </si>
  <si>
    <t>TRANSPORTE / LOGISTICA</t>
  </si>
  <si>
    <t>Transporte y logistica</t>
  </si>
  <si>
    <t>T2-60,1</t>
  </si>
  <si>
    <t>T2-60,2</t>
  </si>
  <si>
    <t>T2-60,3</t>
  </si>
  <si>
    <t>T2-60,4</t>
  </si>
  <si>
    <t>T2-80</t>
  </si>
  <si>
    <t>T2-80,1</t>
  </si>
  <si>
    <t>Fabricacion e Instalacion de Cubierta de Piso con Machimbre de Madera</t>
  </si>
  <si>
    <t>TOTAL</t>
  </si>
  <si>
    <t>SUBTOTAL</t>
  </si>
  <si>
    <t xml:space="preserve"> </t>
  </si>
  <si>
    <t>N/A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</si>
  <si>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                 PISO</t>
    </r>
    <r>
      <rPr>
        <sz val="9"/>
        <color theme="1"/>
        <rFont val="Avenir Book"/>
      </rPr>
      <t xml:space="preserve">
Paneles de Piso + Fijacion Estructural + Piso Machimbre en interior + Deck en Terraza 
Incluye acabado
</t>
    </r>
  </si>
  <si>
    <t>Glb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</si>
  <si>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                 INSTALACIONES ELECTRICAS</t>
    </r>
    <r>
      <rPr>
        <sz val="9"/>
        <color theme="1"/>
        <rFont val="Avenir Book"/>
      </rPr>
      <t xml:space="preserve">
Canalizacion y alambrado                                                                                         Suministro e Instalacion de luminarias y poder 
</t>
    </r>
  </si>
  <si>
    <t>IVA</t>
  </si>
  <si>
    <t>COTIZACION</t>
  </si>
  <si>
    <t>Fecha:</t>
  </si>
  <si>
    <t>Fecha Expiracion:</t>
  </si>
  <si>
    <t>No de Cotización:</t>
  </si>
  <si>
    <t>ID Cliente:</t>
  </si>
  <si>
    <t>CLIENTE</t>
  </si>
  <si>
    <t>ENVIAR A</t>
  </si>
  <si>
    <t>DETALLES DE ENVIO</t>
  </si>
  <si>
    <t>Nombre:</t>
  </si>
  <si>
    <t>Tipo de Envio</t>
  </si>
  <si>
    <t>Nombre de Compañia:</t>
  </si>
  <si>
    <t>Fecha Envio Est:</t>
  </si>
  <si>
    <t>Direccion:</t>
  </si>
  <si>
    <t>Peso Bruto Est:</t>
  </si>
  <si>
    <t>Ciudad, Cod Postal:</t>
  </si>
  <si>
    <t>Peso Cubico Est:</t>
  </si>
  <si>
    <t>Contacto:</t>
  </si>
  <si>
    <t>Total Bultos:</t>
  </si>
  <si>
    <t>Telefono:</t>
  </si>
  <si>
    <t>Correo Electronico:</t>
  </si>
  <si>
    <t>NUMERO COTIZACION:</t>
  </si>
  <si>
    <t>TERM DE PAGO:</t>
  </si>
  <si>
    <t>40% de Adelanto / 40% Conforme Avance / 20% a Entrega</t>
  </si>
  <si>
    <t>NUMERO DE ORDEN:</t>
  </si>
  <si>
    <t>TERM DE VENTA:</t>
  </si>
  <si>
    <t>VENDEDOR:</t>
  </si>
  <si>
    <t>CODIGO</t>
  </si>
  <si>
    <t>DESCRIPCION</t>
  </si>
  <si>
    <t>IMAGEN</t>
  </si>
  <si>
    <t>UNIDAD</t>
  </si>
  <si>
    <t>PRECIO UNIT</t>
  </si>
  <si>
    <t>MONTO</t>
  </si>
  <si>
    <t>NOTAS:</t>
  </si>
  <si>
    <t>Cubierta de Techo tipo Termopanel</t>
  </si>
  <si>
    <t>LIMPIEZA Y ENTREGA FINAL</t>
  </si>
  <si>
    <t>Limpieza y Entrega Final</t>
  </si>
  <si>
    <t>Rastra + Camion</t>
  </si>
  <si>
    <t>Hospedaje</t>
  </si>
  <si>
    <t>Traslado Diario</t>
  </si>
  <si>
    <t>Visitas de personal Admon</t>
  </si>
  <si>
    <t>T2-60,5</t>
  </si>
  <si>
    <t>Dia</t>
  </si>
  <si>
    <t>Alimentacion</t>
  </si>
  <si>
    <t>Gira</t>
  </si>
  <si>
    <t>Presupuestado</t>
  </si>
  <si>
    <t>Proyeccion de Pago</t>
  </si>
  <si>
    <t>Fabricacion Madera</t>
  </si>
  <si>
    <t>Instalacion Madera</t>
  </si>
  <si>
    <t>Instalacion Techo</t>
  </si>
  <si>
    <t>Instalaciones Electricas</t>
  </si>
  <si>
    <t>Fabricacion e Instalacion de Gradas de Acceso Principal con Madera. Incluye Acabado</t>
  </si>
  <si>
    <t>Rodrigo Lessa</t>
  </si>
  <si>
    <t>Popoyo</t>
  </si>
  <si>
    <t>Tola, Rivas</t>
  </si>
  <si>
    <t>+1 (954) 303-0759</t>
  </si>
  <si>
    <t>rodrigo@threeaccents,com</t>
  </si>
  <si>
    <t>PRODUCTO:</t>
  </si>
  <si>
    <t>Logistica</t>
  </si>
  <si>
    <t>Fabricacion e Instalacion de Barandal de Madera + Mecate. Incluye Acabado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</si>
  <si>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                 PAREDES</t>
    </r>
    <r>
      <rPr>
        <sz val="9"/>
        <color theme="1"/>
        <rFont val="Avenir Book"/>
      </rPr>
      <t xml:space="preserve">
Paneles de Pared + Fijacion Estructural + Forro exterior de Machimbre de Madera
Incluye acabado
</t>
    </r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</si>
  <si>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                 TECHO</t>
    </r>
    <r>
      <rPr>
        <sz val="9"/>
        <color theme="1"/>
        <rFont val="Avenir Book"/>
      </rPr>
      <t xml:space="preserve">
Estructura Principal de Techo con madera + Fijacion Estructural + Cubierta de Techo con Lamina de Termopanel
Incluye acabado en Estructura
</t>
    </r>
  </si>
  <si>
    <r>
      <rPr>
        <b/>
        <sz val="9"/>
        <color theme="1"/>
        <rFont val="Avenir Book"/>
      </rPr>
      <t xml:space="preserve">
LIMPIEZA Y ENTREGA FINAL</t>
    </r>
    <r>
      <rPr>
        <sz val="9"/>
        <color theme="1"/>
        <rFont val="Avenir Book"/>
      </rPr>
      <t xml:space="preserve">
</t>
    </r>
  </si>
  <si>
    <t>OFICINA</t>
  </si>
  <si>
    <t xml:space="preserve">MODULO OFICINA </t>
  </si>
  <si>
    <t>MODELO: OFICINA + DECK - 12.00 m2</t>
  </si>
  <si>
    <t>V-1: Ventana Corrediza de Aluminio y Vidrio con dimensiones de 100.00 cm x 120.00 cm. Incluye cedazo</t>
  </si>
  <si>
    <t>P-1: Puerta Corrediza de aluminio y vidrio doble hoja + 1 hoja de cedazo, color nogal oscuro con dimensiones de 194.00 cm X 210.00 cm</t>
  </si>
  <si>
    <t>MO-10</t>
  </si>
  <si>
    <t>MO-10,1</t>
  </si>
  <si>
    <t>MO-10,2</t>
  </si>
  <si>
    <t>MO-20</t>
  </si>
  <si>
    <t>MO-20,1</t>
  </si>
  <si>
    <t>MO-20,2</t>
  </si>
  <si>
    <t>MO-20,3</t>
  </si>
  <si>
    <t>MO-20,4</t>
  </si>
  <si>
    <t>MO-20,5</t>
  </si>
  <si>
    <t>MO-30</t>
  </si>
  <si>
    <t>MO-30,1</t>
  </si>
  <si>
    <t>MO-30,2</t>
  </si>
  <si>
    <t>MO-30,3</t>
  </si>
  <si>
    <t>MO-30,4</t>
  </si>
  <si>
    <t>MO-40</t>
  </si>
  <si>
    <t>MO-40,1</t>
  </si>
  <si>
    <t>MO-40,2</t>
  </si>
  <si>
    <t>MO-40,3</t>
  </si>
  <si>
    <t>MO-40,4</t>
  </si>
  <si>
    <t>MO-50</t>
  </si>
  <si>
    <t>MO-50,1</t>
  </si>
  <si>
    <t>MO-50,2</t>
  </si>
  <si>
    <t>MO-60</t>
  </si>
  <si>
    <t>MO-60,1</t>
  </si>
  <si>
    <t>MO-60,2</t>
  </si>
  <si>
    <t>MO-70</t>
  </si>
  <si>
    <t>MO-70,1</t>
  </si>
  <si>
    <t>MO-70,2</t>
  </si>
  <si>
    <t>MO-80</t>
  </si>
  <si>
    <t>MO-80,1</t>
  </si>
  <si>
    <t>OBRAS EXTERIORES</t>
  </si>
  <si>
    <t>Vigas bases 1</t>
  </si>
  <si>
    <t>Vigas Bases 2</t>
  </si>
  <si>
    <t>Vigas superiores 1</t>
  </si>
  <si>
    <t xml:space="preserve">Vigas transversales </t>
  </si>
  <si>
    <t>Piezas longitudinales</t>
  </si>
  <si>
    <t>Vigas Deck 2</t>
  </si>
  <si>
    <t>Vigas Deck 1</t>
  </si>
  <si>
    <t>EJE 1 y 2</t>
  </si>
  <si>
    <t>EJE  A y B</t>
  </si>
  <si>
    <t xml:space="preserve">Piezas horizontales </t>
  </si>
  <si>
    <t>Piezas horizontales 1</t>
  </si>
  <si>
    <t>Piezas horizontales 2</t>
  </si>
  <si>
    <t>Piezas verticales 1</t>
  </si>
  <si>
    <t>Piezas verticales 2</t>
  </si>
  <si>
    <t>Fabricacion e Instalacion de Puertas y Ventanas</t>
  </si>
  <si>
    <t>MODULO OFICINA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</si>
  <si>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                 OBRAS EXTERIORES</t>
    </r>
    <r>
      <rPr>
        <sz val="9"/>
        <color theme="1"/>
        <rFont val="Avenir Book"/>
      </rPr>
      <t xml:space="preserve">
Suministro e Instalacion de Grada de Madera 
Suministro e Instalacion de Barandal de Madera
Incluye Acabado
</t>
    </r>
  </si>
  <si>
    <t xml:space="preserve">1. Costos de transporte a destino e instalacion U$ 1,400.00
2. Dibujos y Cotización deberan ser aprobados y firmados por el cliente o diseñador previo a produccion.
3. Tiempo de Entrega es de 7 Semanas
4. Precios (en Dólares) validos por 2 meses.  Tiempo de entrega valido por 1 mes.
5. Precio incluye empaque (Papel kraft, Microespuma, Celofan y Cartón).                                                                                                   
6. Alimentacion electrica principal debera ser proveida por el cliente y no esta incluido en esta cotizacion. El cliente debera proveer las conexiones adecuadas a los servicios existentes.                                                                                                                                                                                                                                                                                                                                                           7. Mobiliario no incluido.
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</si>
  <si>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FUNDACIONES</t>
    </r>
    <r>
      <rPr>
        <sz val="9"/>
        <color theme="1"/>
        <rFont val="Avenir Book"/>
      </rPr>
      <t xml:space="preserve">
Pilote de madera 6" X 6" x 9`. Cantidad= 12,00 pzs  
Incluye acabado
Embebido en concreto de 3,000 PSI
</t>
    </r>
  </si>
  <si>
    <t>V-2: Ventana de Celosia de Aluminio y Vidrio con dimensiones de 55.00 cm x 110.00 cm. Incluye cedazo,</t>
  </si>
  <si>
    <t>MO-50,3</t>
  </si>
  <si>
    <t>MO-50,4</t>
  </si>
  <si>
    <t>P-2: Puerta con marco de madera de 1 1/2" x 1 1/2", forro a ambas caras con Lamina Metalica, Dimensiones de 90,00 cm x 210,00 cm. Incluye Mocheta de 2" x 4" y Herrajes de Fijacion + Acabado.</t>
  </si>
  <si>
    <r>
      <rPr>
        <b/>
        <sz val="9"/>
        <color theme="1"/>
        <rFont val="Avenir Book"/>
      </rPr>
      <t xml:space="preserve">
PUERTAS Y VENTANAS</t>
    </r>
    <r>
      <rPr>
        <sz val="9"/>
        <color theme="1"/>
        <rFont val="Avenir Book"/>
      </rPr>
      <t xml:space="preserve">
P-1: Puerta Corrediza de aluminio y vidrio doble hoja + 1 hoja de cedazo, color nogal oscuro con dimensiones de 194.00 cm X 210.00 cm (1 Und)
P-2: Puerta con marco de madera de 1 1/2" x 1 1/2", forro a ambas caras con Lamina Metalica, Dimensiones de 90,00 cm x 210,00 cm. Incluye Mocheta de 2" x 4" y Herrajes de Fijacion + Acabado.                              
V-1: Ventana Corrediza de Aluminio y Vidrio con dimensiones de 100.00 cm x 120.00 cm. Incluye cedazo (3 Und)
V-2: Ventana de Celosia de Aluminio y Vidrio con dimensiones de 55.00 cm x 110.00 cm. Incluye cedazo,                                                                         
</t>
    </r>
  </si>
  <si>
    <t>BAÑO</t>
  </si>
  <si>
    <t>Noggins / Horizontales</t>
  </si>
  <si>
    <t>P21-046</t>
  </si>
  <si>
    <t>MO-90</t>
  </si>
  <si>
    <t>MO-90,1</t>
  </si>
  <si>
    <t>Suministro e Instalacion de T/C con USB</t>
  </si>
  <si>
    <t>ADENDUM - MODULO OFICINA</t>
  </si>
  <si>
    <t>50% de Adelanto / 50% a Entrega</t>
  </si>
  <si>
    <t>T/C CON USB</t>
  </si>
  <si>
    <t xml:space="preserve">1. Costos de transporte a destino e instalacion No Aplican
2. Tiempo de Entrega es de 7 Semanas
3. Precios (en Dólares) validos por 2 meses.  Tiempo de entrega valido por 1 mes.
4. Precio incluye empaque (Papel kraft, Microespuma, Celofan y Cartón).                                                                                                   
</t>
  </si>
  <si>
    <r>
      <rPr>
        <b/>
        <sz val="9"/>
        <color theme="1"/>
        <rFont val="Avenir Book"/>
      </rPr>
      <t xml:space="preserve">                                                                                                             TOMACORRIENTES CON USB</t>
    </r>
    <r>
      <rPr>
        <sz val="9"/>
        <color theme="1"/>
        <rFont val="Avenir Book"/>
      </rPr>
      <t xml:space="preserve">
Suministro e Instalacion de 5 Tomacorrientes con USB
Canalizacion y Alambrado para T/C con USB
</t>
    </r>
  </si>
  <si>
    <t>P21-049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</si>
</sst>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[$$-1C0A]* #,##0.00_ ;_-[$$-1C0A]* \-#,##0.00\ ;_-[$$-1C0A]* &quot;-&quot;??_ ;_-@_ "/>
    <numFmt numFmtId="165" formatCode="0&quot;_c/u&quot;"/>
    <numFmt numFmtId="166" formatCode="#\ ??/??&quot;''&quot;"/>
    <numFmt numFmtId="167" formatCode="#\ \-?/?&quot;''&quot;"/>
    <numFmt numFmtId="168" formatCode="#\-?/?&quot;'&quot;"/>
    <numFmt numFmtId="169" formatCode="_-[$$-440A]* #,##0.00_-;\-[$$-440A]* #,##0.00_-;_-[$$-440A]* &quot;-&quot;??_-;_-@_-"/>
    <numFmt numFmtId="170" formatCode="_-[$$-540A]* #,##0.00_ ;_-[$$-540A]* \-#,##0.00\ ;_-[$$-540A]* &quot;-&quot;??_ ;_-@_ "/>
    <numFmt numFmtId="171" formatCode="[$-409]d\-mmm\-yy;@"/>
    <numFmt numFmtId="172" formatCode="[$$-409]#,##0.00"/>
    <numFmt numFmtId="173" formatCode="0.000000000000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8"/>
      <color rgb="FFFF0000"/>
      <name val="Calibri"/>
      <family val="2"/>
      <scheme val="minor"/>
    </font>
    <font>
      <b/>
      <sz val="11"/>
      <name val="Century Gothic"/>
      <family val="2"/>
    </font>
    <font>
      <b/>
      <sz val="12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name val="Calibri"/>
      <family val="2"/>
      <scheme val="minor"/>
    </font>
    <font>
      <b/>
      <sz val="16"/>
      <color theme="0"/>
      <name val="Avenir Book"/>
    </font>
    <font>
      <sz val="14"/>
      <color theme="0"/>
      <name val="Avenir Book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Lucida Console"/>
      <family val="3"/>
    </font>
    <font>
      <sz val="10"/>
      <color theme="1"/>
      <name val="Calibri"/>
      <family val="2"/>
      <scheme val="minor"/>
    </font>
    <font>
      <sz val="11"/>
      <color theme="1"/>
      <name val="Avenir Book"/>
    </font>
    <font>
      <b/>
      <sz val="11"/>
      <name val="Avenir Book"/>
    </font>
    <font>
      <sz val="10"/>
      <color theme="0"/>
      <name val="Lucida Console"/>
      <family val="3"/>
    </font>
    <font>
      <b/>
      <sz val="12"/>
      <color theme="0"/>
      <name val="Avenir Book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Avenir Book"/>
    </font>
    <font>
      <sz val="12"/>
      <color theme="1"/>
      <name val="Avenir Book"/>
    </font>
    <font>
      <b/>
      <sz val="10"/>
      <color theme="0"/>
      <name val="Avenir Book"/>
    </font>
    <font>
      <sz val="9"/>
      <color theme="1" tint="0.249977111117893"/>
      <name val="Avenir Book"/>
    </font>
    <font>
      <sz val="10"/>
      <color theme="1" tint="0.249977111117893"/>
      <name val="Avenir Book"/>
    </font>
    <font>
      <b/>
      <sz val="9"/>
      <color theme="1" tint="0.249977111117893"/>
      <name val="Avenir Book"/>
    </font>
    <font>
      <b/>
      <sz val="9"/>
      <name val="Avenir Book"/>
    </font>
    <font>
      <sz val="9"/>
      <color theme="1"/>
      <name val="Avenir Book"/>
    </font>
    <font>
      <b/>
      <sz val="10"/>
      <name val="Avenir Book"/>
    </font>
    <font>
      <sz val="12"/>
      <color theme="1" tint="0.499984740745262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24"/>
      <color indexed="9"/>
      <name val="Lucida Console"/>
      <family val="3"/>
    </font>
    <font>
      <sz val="12"/>
      <name val="Lucida Console"/>
      <family val="3"/>
    </font>
    <font>
      <b/>
      <sz val="28"/>
      <name val="Dauphin"/>
      <family val="1"/>
    </font>
    <font>
      <sz val="11"/>
      <name val="Lucida Console"/>
      <family val="3"/>
    </font>
    <font>
      <sz val="8"/>
      <name val="Lucida Console"/>
      <family val="3"/>
    </font>
    <font>
      <sz val="8"/>
      <color rgb="FF0000FF"/>
      <name val="Lucida Console"/>
      <family val="3"/>
    </font>
    <font>
      <sz val="8"/>
      <name val="Arial"/>
      <family val="2"/>
    </font>
    <font>
      <b/>
      <sz val="8"/>
      <name val="Lucida Console"/>
      <family val="3"/>
    </font>
    <font>
      <sz val="8"/>
      <name val="Courier New"/>
      <family val="3"/>
    </font>
    <font>
      <sz val="11"/>
      <name val="Arial"/>
      <family val="2"/>
    </font>
    <font>
      <sz val="11"/>
      <name val="Courier New"/>
      <family val="3"/>
    </font>
    <font>
      <b/>
      <sz val="9"/>
      <color theme="1"/>
      <name val="Avenir Book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  <xf numFmtId="0" fontId="71" fillId="0" borderId="0" applyNumberFormat="0" applyFill="0" applyBorder="0" applyAlignment="0" applyProtection="0"/>
  </cellStyleXfs>
  <cellXfs count="443">
    <xf numFmtId="0" fontId="0" fillId="0" borderId="0" xfId="0"/>
    <xf numFmtId="0" fontId="5" fillId="0" borderId="0" xfId="1" applyFont="1" applyAlignment="1">
      <alignment horizontal="left" vertical="center"/>
    </xf>
    <xf numFmtId="0" fontId="4" fillId="0" borderId="0" xfId="1"/>
    <xf numFmtId="0" fontId="7" fillId="0" borderId="0" xfId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left" vertical="center"/>
    </xf>
    <xf numFmtId="164" fontId="8" fillId="0" borderId="0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10" fontId="9" fillId="0" borderId="0" xfId="2" applyNumberFormat="1" applyFont="1" applyBorder="1" applyAlignment="1">
      <alignment horizontal="center" vertical="center"/>
    </xf>
    <xf numFmtId="0" fontId="12" fillId="2" borderId="0" xfId="1" applyFont="1" applyFill="1" applyBorder="1" applyAlignment="1">
      <alignment horizontal="left" vertical="center"/>
    </xf>
    <xf numFmtId="0" fontId="13" fillId="3" borderId="0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 wrapText="1"/>
    </xf>
    <xf numFmtId="0" fontId="13" fillId="3" borderId="18" xfId="1" applyFont="1" applyFill="1" applyBorder="1" applyAlignment="1">
      <alignment horizontal="center" vertical="center" wrapText="1"/>
    </xf>
    <xf numFmtId="0" fontId="13" fillId="3" borderId="19" xfId="1" applyFont="1" applyFill="1" applyBorder="1" applyAlignment="1">
      <alignment horizontal="center" vertical="center" wrapText="1"/>
    </xf>
    <xf numFmtId="0" fontId="13" fillId="3" borderId="20" xfId="1" applyFont="1" applyFill="1" applyBorder="1" applyAlignment="1">
      <alignment horizontal="center" vertical="center" wrapText="1"/>
    </xf>
    <xf numFmtId="0" fontId="13" fillId="3" borderId="0" xfId="1" applyFont="1" applyFill="1" applyBorder="1" applyAlignment="1">
      <alignment horizontal="center" vertical="center" wrapText="1"/>
    </xf>
    <xf numFmtId="0" fontId="4" fillId="3" borderId="0" xfId="1" applyFill="1" applyBorder="1" applyAlignment="1">
      <alignment horizontal="center" vertical="center"/>
    </xf>
    <xf numFmtId="0" fontId="15" fillId="4" borderId="24" xfId="1" applyFont="1" applyFill="1" applyBorder="1" applyAlignment="1">
      <alignment horizontal="center" vertical="center"/>
    </xf>
    <xf numFmtId="164" fontId="15" fillId="4" borderId="27" xfId="1" applyNumberFormat="1" applyFont="1" applyFill="1" applyBorder="1" applyAlignment="1">
      <alignment vertical="center"/>
    </xf>
    <xf numFmtId="164" fontId="15" fillId="4" borderId="0" xfId="1" applyNumberFormat="1" applyFont="1" applyFill="1" applyBorder="1" applyAlignment="1">
      <alignment vertical="center"/>
    </xf>
    <xf numFmtId="10" fontId="16" fillId="0" borderId="0" xfId="2" applyNumberFormat="1" applyFont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/>
    </xf>
    <xf numFmtId="2" fontId="1" fillId="0" borderId="2" xfId="1" applyNumberFormat="1" applyFont="1" applyFill="1" applyBorder="1" applyAlignment="1">
      <alignment horizontal="center" vertical="center"/>
    </xf>
    <xf numFmtId="164" fontId="1" fillId="0" borderId="2" xfId="1" applyNumberFormat="1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164" fontId="1" fillId="0" borderId="5" xfId="1" applyNumberFormat="1" applyFont="1" applyFill="1" applyBorder="1" applyAlignment="1">
      <alignment horizontal="center" vertical="center"/>
    </xf>
    <xf numFmtId="164" fontId="1" fillId="0" borderId="6" xfId="1" applyNumberFormat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2" fontId="4" fillId="0" borderId="0" xfId="1" applyNumberFormat="1"/>
    <xf numFmtId="0" fontId="0" fillId="0" borderId="5" xfId="1" applyFont="1" applyFill="1" applyBorder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8" fillId="3" borderId="16" xfId="0" applyNumberFormat="1" applyFont="1" applyFill="1" applyBorder="1" applyAlignment="1">
      <alignment horizontal="center" vertical="center"/>
    </xf>
    <xf numFmtId="164" fontId="18" fillId="3" borderId="35" xfId="0" applyNumberFormat="1" applyFont="1" applyFill="1" applyBorder="1" applyAlignment="1">
      <alignment horizontal="center" vertical="center"/>
    </xf>
    <xf numFmtId="164" fontId="18" fillId="3" borderId="20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4" fontId="22" fillId="5" borderId="12" xfId="1" applyNumberFormat="1" applyFont="1" applyFill="1" applyBorder="1" applyAlignment="1">
      <alignment horizontal="center" vertical="center"/>
    </xf>
    <xf numFmtId="4" fontId="2" fillId="6" borderId="45" xfId="1" applyNumberFormat="1" applyFont="1" applyFill="1" applyBorder="1" applyAlignment="1">
      <alignment horizontal="center" vertical="center"/>
    </xf>
    <xf numFmtId="4" fontId="3" fillId="7" borderId="45" xfId="1" applyNumberFormat="1" applyFont="1" applyFill="1" applyBorder="1" applyAlignment="1">
      <alignment horizontal="center" vertical="center"/>
    </xf>
    <xf numFmtId="0" fontId="4" fillId="0" borderId="13" xfId="1" applyBorder="1" applyAlignment="1">
      <alignment vertical="center"/>
    </xf>
    <xf numFmtId="0" fontId="4" fillId="0" borderId="14" xfId="1" applyBorder="1"/>
    <xf numFmtId="0" fontId="23" fillId="0" borderId="14" xfId="1" applyFont="1" applyBorder="1" applyAlignment="1">
      <alignment horizontal="center"/>
    </xf>
    <xf numFmtId="0" fontId="23" fillId="0" borderId="14" xfId="1" applyFont="1" applyBorder="1"/>
    <xf numFmtId="0" fontId="23" fillId="0" borderId="14" xfId="1" applyFont="1" applyBorder="1" applyAlignment="1">
      <alignment horizontal="center" vertical="center"/>
    </xf>
    <xf numFmtId="165" fontId="23" fillId="0" borderId="14" xfId="1" applyNumberFormat="1" applyFont="1" applyBorder="1" applyAlignment="1">
      <alignment horizontal="center" vertical="center"/>
    </xf>
    <xf numFmtId="167" fontId="23" fillId="0" borderId="14" xfId="1" applyNumberFormat="1" applyFont="1" applyBorder="1" applyAlignment="1">
      <alignment horizontal="center"/>
    </xf>
    <xf numFmtId="168" fontId="23" fillId="0" borderId="14" xfId="1" applyNumberFormat="1" applyFont="1" applyBorder="1" applyAlignment="1">
      <alignment horizontal="center"/>
    </xf>
    <xf numFmtId="4" fontId="23" fillId="0" borderId="16" xfId="1" applyNumberFormat="1" applyFont="1" applyBorder="1" applyAlignment="1">
      <alignment horizontal="center"/>
    </xf>
    <xf numFmtId="4" fontId="3" fillId="7" borderId="46" xfId="1" applyNumberFormat="1" applyFont="1" applyFill="1" applyBorder="1" applyAlignment="1">
      <alignment horizontal="center" vertical="center"/>
    </xf>
    <xf numFmtId="0" fontId="4" fillId="0" borderId="48" xfId="1" applyBorder="1"/>
    <xf numFmtId="0" fontId="23" fillId="0" borderId="48" xfId="1" applyFont="1" applyBorder="1" applyAlignment="1">
      <alignment horizontal="center"/>
    </xf>
    <xf numFmtId="0" fontId="23" fillId="0" borderId="48" xfId="1" applyFont="1" applyBorder="1"/>
    <xf numFmtId="0" fontId="23" fillId="0" borderId="48" xfId="1" applyFont="1" applyBorder="1" applyAlignment="1">
      <alignment horizontal="center" vertical="center"/>
    </xf>
    <xf numFmtId="165" fontId="23" fillId="0" borderId="48" xfId="1" applyNumberFormat="1" applyFont="1" applyBorder="1" applyAlignment="1">
      <alignment horizontal="center" vertical="center"/>
    </xf>
    <xf numFmtId="167" fontId="23" fillId="0" borderId="48" xfId="1" applyNumberFormat="1" applyFont="1" applyBorder="1" applyAlignment="1">
      <alignment horizontal="center"/>
    </xf>
    <xf numFmtId="167" fontId="23" fillId="0" borderId="48" xfId="1" applyNumberFormat="1" applyFont="1" applyFill="1" applyBorder="1" applyAlignment="1">
      <alignment horizontal="center"/>
    </xf>
    <xf numFmtId="168" fontId="23" fillId="0" borderId="48" xfId="1" applyNumberFormat="1" applyFont="1" applyBorder="1" applyAlignment="1">
      <alignment horizontal="center"/>
    </xf>
    <xf numFmtId="4" fontId="23" fillId="0" borderId="49" xfId="1" applyNumberFormat="1" applyFont="1" applyBorder="1" applyAlignment="1">
      <alignment horizontal="center"/>
    </xf>
    <xf numFmtId="0" fontId="4" fillId="0" borderId="51" xfId="1" applyBorder="1"/>
    <xf numFmtId="0" fontId="23" fillId="0" borderId="51" xfId="1" applyFont="1" applyBorder="1" applyAlignment="1">
      <alignment horizontal="center"/>
    </xf>
    <xf numFmtId="0" fontId="23" fillId="0" borderId="51" xfId="1" applyFont="1" applyBorder="1"/>
    <xf numFmtId="0" fontId="23" fillId="0" borderId="51" xfId="1" applyFont="1" applyBorder="1" applyAlignment="1">
      <alignment horizontal="center" vertical="center"/>
    </xf>
    <xf numFmtId="165" fontId="23" fillId="0" borderId="51" xfId="1" applyNumberFormat="1" applyFont="1" applyBorder="1" applyAlignment="1">
      <alignment horizontal="center" vertical="center"/>
    </xf>
    <xf numFmtId="167" fontId="23" fillId="0" borderId="51" xfId="1" applyNumberFormat="1" applyFont="1" applyBorder="1" applyAlignment="1">
      <alignment horizontal="center"/>
    </xf>
    <xf numFmtId="168" fontId="23" fillId="0" borderId="51" xfId="1" applyNumberFormat="1" applyFont="1" applyBorder="1" applyAlignment="1">
      <alignment horizontal="center"/>
    </xf>
    <xf numFmtId="4" fontId="23" fillId="0" borderId="35" xfId="1" applyNumberFormat="1" applyFont="1" applyBorder="1" applyAlignment="1">
      <alignment horizontal="center"/>
    </xf>
    <xf numFmtId="0" fontId="4" fillId="0" borderId="18" xfId="1" applyBorder="1"/>
    <xf numFmtId="0" fontId="23" fillId="0" borderId="18" xfId="1" applyFont="1" applyBorder="1" applyAlignment="1">
      <alignment horizontal="center"/>
    </xf>
    <xf numFmtId="0" fontId="23" fillId="0" borderId="18" xfId="1" applyFont="1" applyBorder="1"/>
    <xf numFmtId="0" fontId="23" fillId="0" borderId="18" xfId="1" applyFont="1" applyBorder="1" applyAlignment="1">
      <alignment horizontal="center" vertical="center"/>
    </xf>
    <xf numFmtId="165" fontId="23" fillId="0" borderId="18" xfId="1" applyNumberFormat="1" applyFont="1" applyBorder="1" applyAlignment="1">
      <alignment horizontal="center" vertical="center"/>
    </xf>
    <xf numFmtId="167" fontId="23" fillId="0" borderId="18" xfId="1" applyNumberFormat="1" applyFont="1" applyBorder="1" applyAlignment="1">
      <alignment horizontal="center"/>
    </xf>
    <xf numFmtId="168" fontId="23" fillId="0" borderId="18" xfId="1" applyNumberFormat="1" applyFont="1" applyBorder="1" applyAlignment="1">
      <alignment horizontal="center"/>
    </xf>
    <xf numFmtId="4" fontId="23" fillId="0" borderId="20" xfId="1" applyNumberFormat="1" applyFont="1" applyBorder="1" applyAlignment="1">
      <alignment horizontal="center"/>
    </xf>
    <xf numFmtId="167" fontId="23" fillId="0" borderId="14" xfId="1" applyNumberFormat="1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2" fontId="1" fillId="0" borderId="8" xfId="1" applyNumberFormat="1" applyFont="1" applyFill="1" applyBorder="1" applyAlignment="1">
      <alignment horizontal="center" vertical="center"/>
    </xf>
    <xf numFmtId="164" fontId="1" fillId="0" borderId="8" xfId="1" applyNumberFormat="1" applyFont="1" applyFill="1" applyBorder="1" applyAlignment="1">
      <alignment horizontal="center" vertical="center"/>
    </xf>
    <xf numFmtId="164" fontId="1" fillId="0" borderId="9" xfId="1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3" fillId="8" borderId="52" xfId="1" applyFont="1" applyFill="1" applyBorder="1" applyAlignment="1">
      <alignment horizontal="left" vertical="center"/>
    </xf>
    <xf numFmtId="4" fontId="24" fillId="8" borderId="12" xfId="1" applyNumberFormat="1" applyFont="1" applyFill="1" applyBorder="1" applyAlignment="1">
      <alignment vertical="center"/>
    </xf>
    <xf numFmtId="0" fontId="15" fillId="4" borderId="47" xfId="1" applyFont="1" applyFill="1" applyBorder="1" applyAlignment="1">
      <alignment horizontal="center" vertical="center"/>
    </xf>
    <xf numFmtId="164" fontId="15" fillId="4" borderId="55" xfId="1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170" fontId="4" fillId="0" borderId="0" xfId="1" applyNumberFormat="1" applyAlignment="1">
      <alignment horizontal="center" vertical="center"/>
    </xf>
    <xf numFmtId="0" fontId="0" fillId="0" borderId="10" xfId="1" applyFont="1" applyFill="1" applyBorder="1" applyAlignment="1">
      <alignment horizontal="center" vertical="center"/>
    </xf>
    <xf numFmtId="0" fontId="4" fillId="0" borderId="0" xfId="1" applyBorder="1" applyProtection="1">
      <protection locked="0"/>
    </xf>
    <xf numFmtId="0" fontId="4" fillId="0" borderId="0" xfId="1" applyProtection="1">
      <protection locked="0"/>
    </xf>
    <xf numFmtId="0" fontId="4" fillId="0" borderId="0" xfId="1" applyFill="1" applyBorder="1" applyProtection="1">
      <protection locked="0"/>
    </xf>
    <xf numFmtId="0" fontId="4" fillId="0" borderId="0" xfId="1" applyFill="1" applyProtection="1">
      <protection locked="0"/>
    </xf>
    <xf numFmtId="0" fontId="26" fillId="0" borderId="0" xfId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left" vertical="center"/>
      <protection locked="0"/>
    </xf>
    <xf numFmtId="0" fontId="27" fillId="0" borderId="0" xfId="1" applyFont="1" applyFill="1" applyBorder="1" applyProtection="1">
      <protection locked="0"/>
    </xf>
    <xf numFmtId="15" fontId="29" fillId="0" borderId="0" xfId="3" applyNumberFormat="1" applyFont="1" applyFill="1" applyBorder="1" applyAlignment="1" applyProtection="1">
      <alignment horizontal="left"/>
      <protection locked="0"/>
    </xf>
    <xf numFmtId="0" fontId="29" fillId="0" borderId="0" xfId="3" applyFont="1" applyFill="1" applyBorder="1" applyAlignment="1" applyProtection="1">
      <alignment horizontal="left"/>
      <protection locked="0"/>
    </xf>
    <xf numFmtId="0" fontId="30" fillId="0" borderId="0" xfId="1" applyFont="1" applyFill="1" applyBorder="1" applyProtection="1">
      <protection locked="0"/>
    </xf>
    <xf numFmtId="14" fontId="32" fillId="10" borderId="28" xfId="1" applyNumberFormat="1" applyFont="1" applyFill="1" applyBorder="1" applyAlignment="1" applyProtection="1">
      <alignment horizontal="center"/>
    </xf>
    <xf numFmtId="0" fontId="31" fillId="0" borderId="44" xfId="1" applyFont="1" applyFill="1" applyBorder="1" applyAlignment="1" applyProtection="1">
      <alignment horizontal="center"/>
    </xf>
    <xf numFmtId="0" fontId="33" fillId="0" borderId="0" xfId="3" applyFont="1" applyFill="1" applyBorder="1" applyAlignment="1" applyProtection="1">
      <alignment horizontal="left"/>
      <protection locked="0"/>
    </xf>
    <xf numFmtId="0" fontId="26" fillId="0" borderId="0" xfId="1" applyFont="1" applyFill="1" applyBorder="1" applyAlignment="1" applyProtection="1">
      <alignment horizontal="center" vertical="center"/>
      <protection locked="0"/>
    </xf>
    <xf numFmtId="0" fontId="35" fillId="9" borderId="0" xfId="1" applyFont="1" applyFill="1" applyProtection="1"/>
    <xf numFmtId="0" fontId="36" fillId="0" borderId="0" xfId="1" applyFont="1" applyFill="1" applyProtection="1"/>
    <xf numFmtId="0" fontId="37" fillId="0" borderId="0" xfId="1" applyFont="1" applyFill="1" applyBorder="1" applyAlignment="1" applyProtection="1">
      <alignment horizontal="left" vertical="center"/>
    </xf>
    <xf numFmtId="0" fontId="38" fillId="0" borderId="0" xfId="1" applyFont="1" applyFill="1" applyBorder="1" applyAlignment="1" applyProtection="1">
      <alignment horizontal="left" vertical="center"/>
      <protection locked="0"/>
    </xf>
    <xf numFmtId="0" fontId="38" fillId="0" borderId="0" xfId="1" applyFont="1" applyFill="1" applyBorder="1" applyProtection="1">
      <protection locked="0"/>
    </xf>
    <xf numFmtId="0" fontId="31" fillId="0" borderId="0" xfId="1" applyFont="1" applyFill="1" applyBorder="1" applyProtection="1"/>
    <xf numFmtId="0" fontId="41" fillId="11" borderId="3" xfId="1" applyFont="1" applyFill="1" applyBorder="1" applyAlignment="1" applyProtection="1">
      <alignment horizontal="center" vertical="center"/>
      <protection locked="0"/>
    </xf>
    <xf numFmtId="0" fontId="41" fillId="11" borderId="9" xfId="1" applyFont="1" applyFill="1" applyBorder="1" applyAlignment="1" applyProtection="1">
      <alignment horizontal="center" vertical="center"/>
      <protection locked="0"/>
    </xf>
    <xf numFmtId="0" fontId="39" fillId="9" borderId="21" xfId="1" applyFont="1" applyFill="1" applyBorder="1" applyAlignment="1" applyProtection="1">
      <alignment horizontal="center" vertical="center"/>
    </xf>
    <xf numFmtId="0" fontId="39" fillId="9" borderId="23" xfId="1" applyFont="1" applyFill="1" applyBorder="1" applyAlignment="1" applyProtection="1">
      <alignment horizontal="center" vertical="center"/>
    </xf>
    <xf numFmtId="0" fontId="46" fillId="5" borderId="0" xfId="1" applyFont="1" applyFill="1" applyBorder="1" applyProtection="1">
      <protection locked="0"/>
    </xf>
    <xf numFmtId="0" fontId="4" fillId="5" borderId="0" xfId="1" applyFill="1" applyBorder="1" applyProtection="1">
      <protection locked="0"/>
    </xf>
    <xf numFmtId="0" fontId="47" fillId="0" borderId="0" xfId="1" applyFont="1" applyFill="1" applyBorder="1" applyProtection="1">
      <protection locked="0"/>
    </xf>
    <xf numFmtId="172" fontId="4" fillId="0" borderId="0" xfId="1" applyNumberFormat="1" applyFill="1" applyBorder="1" applyAlignment="1" applyProtection="1">
      <protection locked="0"/>
    </xf>
    <xf numFmtId="0" fontId="48" fillId="5" borderId="0" xfId="1" applyFont="1" applyFill="1" applyBorder="1" applyAlignment="1" applyProtection="1">
      <alignment horizontal="center"/>
      <protection locked="0"/>
    </xf>
    <xf numFmtId="0" fontId="49" fillId="0" borderId="0" xfId="1" applyFont="1" applyFill="1" applyBorder="1" applyAlignment="1" applyProtection="1">
      <alignment horizontal="center"/>
      <protection locked="0"/>
    </xf>
    <xf numFmtId="172" fontId="49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Border="1" applyAlignment="1" applyProtection="1">
      <alignment vertical="center"/>
      <protection locked="0"/>
    </xf>
    <xf numFmtId="0" fontId="52" fillId="0" borderId="0" xfId="1" applyFont="1" applyBorder="1" applyAlignment="1" applyProtection="1">
      <alignment horizontal="center"/>
      <protection locked="0"/>
    </xf>
    <xf numFmtId="0" fontId="53" fillId="0" borderId="0" xfId="1" applyFont="1" applyBorder="1" applyProtection="1">
      <protection locked="0"/>
    </xf>
    <xf numFmtId="0" fontId="54" fillId="0" borderId="0" xfId="1" applyFont="1" applyBorder="1" applyProtection="1">
      <protection locked="0"/>
    </xf>
    <xf numFmtId="0" fontId="55" fillId="0" borderId="0" xfId="3" applyFont="1" applyFill="1" applyAlignment="1" applyProtection="1">
      <alignment horizontal="left"/>
      <protection locked="0"/>
    </xf>
    <xf numFmtId="0" fontId="28" fillId="0" borderId="0" xfId="3" applyFill="1" applyProtection="1">
      <protection locked="0"/>
    </xf>
    <xf numFmtId="0" fontId="56" fillId="0" borderId="0" xfId="3" applyFont="1" applyFill="1" applyBorder="1" applyAlignment="1" applyProtection="1">
      <alignment horizontal="right" wrapText="1"/>
      <protection locked="0"/>
    </xf>
    <xf numFmtId="0" fontId="57" fillId="0" borderId="0" xfId="3" applyFont="1" applyFill="1" applyAlignment="1" applyProtection="1">
      <protection locked="0"/>
    </xf>
    <xf numFmtId="0" fontId="58" fillId="0" borderId="0" xfId="3" applyFont="1" applyFill="1" applyAlignment="1" applyProtection="1">
      <alignment horizontal="center"/>
      <protection locked="0"/>
    </xf>
    <xf numFmtId="12" fontId="56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56" fillId="0" borderId="0" xfId="3" applyFont="1" applyFill="1" applyBorder="1" applyAlignment="1" applyProtection="1">
      <alignment horizontal="center" vertical="center" wrapText="1"/>
      <protection locked="0"/>
    </xf>
    <xf numFmtId="0" fontId="59" fillId="0" borderId="0" xfId="3" applyFont="1" applyFill="1" applyBorder="1" applyProtection="1">
      <protection locked="0"/>
    </xf>
    <xf numFmtId="12" fontId="59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59" fillId="0" borderId="0" xfId="3" applyFont="1" applyFill="1" applyBorder="1" applyAlignment="1" applyProtection="1">
      <alignment horizontal="center" vertical="center" wrapText="1"/>
      <protection locked="0"/>
    </xf>
    <xf numFmtId="0" fontId="60" fillId="0" borderId="0" xfId="3" applyFont="1" applyFill="1" applyBorder="1" applyProtection="1">
      <protection locked="0"/>
    </xf>
    <xf numFmtId="0" fontId="61" fillId="0" borderId="0" xfId="3" applyFont="1" applyFill="1" applyProtection="1">
      <protection locked="0"/>
    </xf>
    <xf numFmtId="0" fontId="61" fillId="0" borderId="0" xfId="3" applyFont="1" applyFill="1" applyBorder="1" applyAlignment="1" applyProtection="1">
      <protection locked="0"/>
    </xf>
    <xf numFmtId="0" fontId="62" fillId="0" borderId="0" xfId="3" applyFont="1" applyFill="1" applyBorder="1" applyAlignment="1" applyProtection="1">
      <alignment vertical="top" wrapText="1"/>
      <protection locked="0"/>
    </xf>
    <xf numFmtId="0" fontId="59" fillId="0" borderId="0" xfId="3" applyFont="1" applyFill="1" applyBorder="1" applyAlignment="1" applyProtection="1">
      <alignment horizontal="center" vertical="center"/>
      <protection locked="0"/>
    </xf>
    <xf numFmtId="0" fontId="59" fillId="0" borderId="0" xfId="3" applyFont="1" applyFill="1" applyBorder="1" applyAlignment="1" applyProtection="1">
      <alignment horizontal="center"/>
      <protection locked="0"/>
    </xf>
    <xf numFmtId="0" fontId="62" fillId="0" borderId="0" xfId="3" applyFont="1" applyFill="1" applyBorder="1" applyAlignment="1" applyProtection="1">
      <alignment horizontal="left" vertical="top" wrapText="1"/>
      <protection locked="0"/>
    </xf>
    <xf numFmtId="0" fontId="61" fillId="0" borderId="0" xfId="3" applyFont="1" applyFill="1" applyBorder="1" applyProtection="1">
      <protection locked="0"/>
    </xf>
    <xf numFmtId="0" fontId="63" fillId="0" borderId="0" xfId="3" applyFont="1" applyFill="1" applyBorder="1" applyProtection="1">
      <protection locked="0"/>
    </xf>
    <xf numFmtId="0" fontId="64" fillId="0" borderId="0" xfId="3" applyFont="1" applyFill="1" applyBorder="1" applyProtection="1">
      <protection locked="0"/>
    </xf>
    <xf numFmtId="0" fontId="58" fillId="0" borderId="0" xfId="3" applyFont="1" applyFill="1" applyBorder="1" applyProtection="1">
      <protection locked="0"/>
    </xf>
    <xf numFmtId="0" fontId="65" fillId="0" borderId="0" xfId="3" applyFont="1" applyFill="1" applyBorder="1" applyProtection="1">
      <protection locked="0"/>
    </xf>
    <xf numFmtId="15" fontId="56" fillId="0" borderId="0" xfId="3" applyNumberFormat="1" applyFont="1" applyFill="1" applyBorder="1" applyAlignment="1" applyProtection="1">
      <alignment horizontal="center"/>
      <protection locked="0"/>
    </xf>
    <xf numFmtId="14" fontId="32" fillId="10" borderId="0" xfId="1" applyNumberFormat="1" applyFont="1" applyFill="1" applyBorder="1" applyAlignment="1" applyProtection="1">
      <alignment horizontal="center"/>
    </xf>
    <xf numFmtId="49" fontId="31" fillId="0" borderId="42" xfId="1" applyNumberFormat="1" applyFont="1" applyFill="1" applyBorder="1" applyAlignment="1" applyProtection="1">
      <alignment horizontal="center"/>
    </xf>
    <xf numFmtId="49" fontId="38" fillId="0" borderId="0" xfId="1" applyNumberFormat="1" applyFont="1" applyFill="1" applyBorder="1" applyAlignment="1" applyProtection="1">
      <alignment horizontal="left" vertical="center"/>
      <protection locked="0"/>
    </xf>
    <xf numFmtId="0" fontId="43" fillId="5" borderId="32" xfId="1" applyFont="1" applyFill="1" applyBorder="1" applyAlignment="1" applyProtection="1">
      <alignment horizontal="center" vertical="center"/>
      <protection locked="0"/>
    </xf>
    <xf numFmtId="172" fontId="44" fillId="0" borderId="35" xfId="1" applyNumberFormat="1" applyFont="1" applyFill="1" applyBorder="1" applyAlignment="1" applyProtection="1">
      <alignment horizontal="center" vertical="center"/>
    </xf>
    <xf numFmtId="2" fontId="44" fillId="5" borderId="51" xfId="1" applyNumberFormat="1" applyFont="1" applyFill="1" applyBorder="1" applyAlignment="1" applyProtection="1">
      <alignment horizontal="center" vertical="center" wrapText="1"/>
      <protection locked="0"/>
    </xf>
    <xf numFmtId="172" fontId="44" fillId="0" borderId="51" xfId="1" applyNumberFormat="1" applyFont="1" applyFill="1" applyBorder="1" applyAlignment="1" applyProtection="1">
      <alignment horizontal="center" vertical="center"/>
      <protection locked="0"/>
    </xf>
    <xf numFmtId="0" fontId="43" fillId="5" borderId="32" xfId="1" applyFont="1" applyFill="1" applyBorder="1" applyAlignment="1" applyProtection="1">
      <alignment horizontal="center" vertical="center" wrapText="1"/>
      <protection locked="0"/>
    </xf>
    <xf numFmtId="0" fontId="44" fillId="5" borderId="51" xfId="1" applyFont="1" applyFill="1" applyBorder="1" applyAlignment="1" applyProtection="1">
      <alignment horizontal="center" vertical="center" wrapText="1"/>
      <protection locked="0"/>
    </xf>
    <xf numFmtId="164" fontId="4" fillId="0" borderId="0" xfId="1" applyNumberFormat="1"/>
    <xf numFmtId="0" fontId="4" fillId="0" borderId="52" xfId="1" applyBorder="1" applyAlignment="1" applyProtection="1">
      <alignment horizontal="center"/>
      <protection locked="0"/>
    </xf>
    <xf numFmtId="173" fontId="4" fillId="0" borderId="52" xfId="1" applyNumberFormat="1" applyBorder="1" applyAlignment="1" applyProtection="1">
      <alignment horizontal="center"/>
      <protection locked="0"/>
    </xf>
    <xf numFmtId="49" fontId="31" fillId="0" borderId="0" xfId="1" applyNumberFormat="1" applyFont="1" applyFill="1" applyBorder="1" applyAlignment="1" applyProtection="1">
      <alignment horizontal="center"/>
    </xf>
    <xf numFmtId="0" fontId="31" fillId="0" borderId="0" xfId="1" applyFont="1" applyFill="1" applyBorder="1" applyAlignment="1" applyProtection="1">
      <alignment horizontal="center"/>
    </xf>
    <xf numFmtId="0" fontId="41" fillId="11" borderId="0" xfId="1" applyFont="1" applyFill="1" applyBorder="1" applyAlignment="1" applyProtection="1">
      <alignment horizontal="center" vertical="center"/>
      <protection locked="0"/>
    </xf>
    <xf numFmtId="0" fontId="39" fillId="9" borderId="0" xfId="1" applyFont="1" applyFill="1" applyBorder="1" applyAlignment="1" applyProtection="1">
      <alignment horizontal="center" vertical="center"/>
    </xf>
    <xf numFmtId="172" fontId="44" fillId="0" borderId="0" xfId="1" applyNumberFormat="1" applyFont="1" applyFill="1" applyBorder="1" applyAlignment="1" applyProtection="1">
      <alignment horizontal="center" vertical="center"/>
    </xf>
    <xf numFmtId="172" fontId="51" fillId="0" borderId="0" xfId="1" applyNumberFormat="1" applyFont="1" applyFill="1" applyBorder="1" applyAlignment="1" applyProtection="1">
      <alignment horizontal="center" vertical="center"/>
    </xf>
    <xf numFmtId="172" fontId="51" fillId="0" borderId="0" xfId="1" applyNumberFormat="1" applyFont="1" applyFill="1" applyBorder="1" applyAlignment="1" applyProtection="1">
      <alignment vertical="center"/>
    </xf>
    <xf numFmtId="172" fontId="35" fillId="9" borderId="0" xfId="1" applyNumberFormat="1" applyFont="1" applyFill="1" applyBorder="1" applyAlignment="1" applyProtection="1">
      <alignment horizontal="center" vertical="center"/>
    </xf>
    <xf numFmtId="0" fontId="43" fillId="5" borderId="13" xfId="1" applyFont="1" applyFill="1" applyBorder="1" applyAlignment="1" applyProtection="1">
      <alignment horizontal="center" vertical="center" wrapText="1"/>
      <protection locked="0"/>
    </xf>
    <xf numFmtId="0" fontId="44" fillId="5" borderId="14" xfId="1" applyFont="1" applyFill="1" applyBorder="1" applyAlignment="1" applyProtection="1">
      <alignment horizontal="center" vertical="center" wrapText="1"/>
      <protection locked="0"/>
    </xf>
    <xf numFmtId="2" fontId="44" fillId="5" borderId="14" xfId="1" applyNumberFormat="1" applyFont="1" applyFill="1" applyBorder="1" applyAlignment="1" applyProtection="1">
      <alignment horizontal="center" vertical="center" wrapText="1"/>
      <protection locked="0"/>
    </xf>
    <xf numFmtId="172" fontId="44" fillId="0" borderId="14" xfId="1" applyNumberFormat="1" applyFont="1" applyFill="1" applyBorder="1" applyAlignment="1" applyProtection="1">
      <alignment horizontal="center" vertical="center"/>
      <protection locked="0"/>
    </xf>
    <xf numFmtId="172" fontId="44" fillId="0" borderId="16" xfId="1" applyNumberFormat="1" applyFont="1" applyFill="1" applyBorder="1" applyAlignment="1" applyProtection="1">
      <alignment horizontal="center" vertical="center"/>
    </xf>
    <xf numFmtId="0" fontId="39" fillId="9" borderId="22" xfId="1" applyFont="1" applyFill="1" applyBorder="1" applyAlignment="1" applyProtection="1">
      <alignment horizontal="center" vertical="center"/>
    </xf>
    <xf numFmtId="0" fontId="31" fillId="0" borderId="0" xfId="1" applyFont="1" applyFill="1" applyBorder="1" applyAlignment="1" applyProtection="1"/>
    <xf numFmtId="0" fontId="25" fillId="9" borderId="0" xfId="1" applyFont="1" applyFill="1" applyBorder="1" applyAlignment="1" applyProtection="1">
      <alignment horizontal="center" vertical="center"/>
    </xf>
    <xf numFmtId="0" fontId="34" fillId="9" borderId="0" xfId="1" applyFont="1" applyFill="1" applyBorder="1" applyAlignment="1" applyProtection="1">
      <alignment horizontal="left" vertical="center"/>
    </xf>
    <xf numFmtId="0" fontId="39" fillId="9" borderId="15" xfId="3" applyFont="1" applyFill="1" applyBorder="1" applyAlignment="1" applyProtection="1">
      <alignment horizontal="left" vertical="center" wrapText="1"/>
    </xf>
    <xf numFmtId="0" fontId="39" fillId="9" borderId="39" xfId="3" applyFont="1" applyFill="1" applyBorder="1" applyAlignment="1" applyProtection="1">
      <alignment horizontal="left" vertical="center" wrapText="1"/>
    </xf>
    <xf numFmtId="172" fontId="4" fillId="0" borderId="0" xfId="1" applyNumberFormat="1" applyProtection="1">
      <protection locked="0"/>
    </xf>
    <xf numFmtId="2" fontId="16" fillId="0" borderId="0" xfId="2" applyNumberFormat="1" applyFont="1" applyAlignment="1">
      <alignment horizontal="center" vertical="center"/>
    </xf>
    <xf numFmtId="0" fontId="67" fillId="9" borderId="24" xfId="1" applyFont="1" applyFill="1" applyBorder="1" applyAlignment="1" applyProtection="1">
      <alignment horizontal="center" vertical="center"/>
    </xf>
    <xf numFmtId="172" fontId="67" fillId="9" borderId="27" xfId="1" applyNumberFormat="1" applyFont="1" applyFill="1" applyBorder="1" applyAlignment="1" applyProtection="1">
      <alignment horizontal="center" vertical="center"/>
    </xf>
    <xf numFmtId="0" fontId="4" fillId="2" borderId="7" xfId="1" applyFill="1" applyBorder="1" applyAlignment="1">
      <alignment horizontal="center" vertical="center"/>
    </xf>
    <xf numFmtId="0" fontId="4" fillId="2" borderId="8" xfId="1" applyFill="1" applyBorder="1"/>
    <xf numFmtId="0" fontId="23" fillId="2" borderId="8" xfId="1" applyFont="1" applyFill="1" applyBorder="1" applyAlignment="1">
      <alignment horizontal="center"/>
    </xf>
    <xf numFmtId="0" fontId="23" fillId="2" borderId="8" xfId="1" applyFont="1" applyFill="1" applyBorder="1"/>
    <xf numFmtId="0" fontId="23" fillId="2" borderId="8" xfId="1" applyFont="1" applyFill="1" applyBorder="1" applyAlignment="1">
      <alignment horizontal="center" vertical="center"/>
    </xf>
    <xf numFmtId="165" fontId="23" fillId="2" borderId="8" xfId="1" applyNumberFormat="1" applyFont="1" applyFill="1" applyBorder="1" applyAlignment="1">
      <alignment horizontal="center" vertical="center"/>
    </xf>
    <xf numFmtId="167" fontId="23" fillId="2" borderId="8" xfId="1" applyNumberFormat="1" applyFont="1" applyFill="1" applyBorder="1" applyAlignment="1">
      <alignment horizontal="center"/>
    </xf>
    <xf numFmtId="168" fontId="23" fillId="2" borderId="8" xfId="1" applyNumberFormat="1" applyFont="1" applyFill="1" applyBorder="1" applyAlignment="1">
      <alignment horizontal="center"/>
    </xf>
    <xf numFmtId="4" fontId="23" fillId="2" borderId="9" xfId="1" applyNumberFormat="1" applyFont="1" applyFill="1" applyBorder="1" applyAlignment="1">
      <alignment horizontal="center"/>
    </xf>
    <xf numFmtId="172" fontId="44" fillId="0" borderId="18" xfId="1" applyNumberFormat="1" applyFont="1" applyFill="1" applyBorder="1" applyAlignment="1" applyProtection="1">
      <alignment horizontal="center" vertical="center"/>
      <protection locked="0"/>
    </xf>
    <xf numFmtId="172" fontId="44" fillId="0" borderId="20" xfId="1" applyNumberFormat="1" applyFont="1" applyFill="1" applyBorder="1" applyAlignment="1" applyProtection="1">
      <alignment horizontal="center" vertical="center"/>
    </xf>
    <xf numFmtId="0" fontId="0" fillId="0" borderId="29" xfId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50" fillId="0" borderId="47" xfId="1" applyFont="1" applyFill="1" applyBorder="1" applyAlignment="1" applyProtection="1">
      <alignment horizontal="center" vertical="center"/>
    </xf>
    <xf numFmtId="164" fontId="1" fillId="0" borderId="36" xfId="1" applyNumberFormat="1" applyFont="1" applyFill="1" applyBorder="1" applyAlignment="1">
      <alignment horizontal="center" vertical="center"/>
    </xf>
    <xf numFmtId="164" fontId="1" fillId="0" borderId="56" xfId="1" applyNumberFormat="1" applyFont="1" applyFill="1" applyBorder="1" applyAlignment="1">
      <alignment horizontal="center" vertical="center"/>
    </xf>
    <xf numFmtId="0" fontId="0" fillId="0" borderId="28" xfId="1" applyFont="1" applyFill="1" applyBorder="1" applyAlignment="1">
      <alignment horizontal="center" vertical="center"/>
    </xf>
    <xf numFmtId="164" fontId="4" fillId="0" borderId="0" xfId="1" applyNumberFormat="1" applyAlignment="1">
      <alignment horizontal="center"/>
    </xf>
    <xf numFmtId="164" fontId="70" fillId="0" borderId="0" xfId="1" applyNumberFormat="1" applyFont="1" applyAlignment="1"/>
    <xf numFmtId="0" fontId="0" fillId="0" borderId="5" xfId="1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8" xfId="1" applyFont="1" applyFill="1" applyBorder="1" applyAlignment="1">
      <alignment vertical="center"/>
    </xf>
    <xf numFmtId="0" fontId="71" fillId="0" borderId="0" xfId="5" applyFill="1" applyBorder="1" applyAlignment="1" applyProtection="1">
      <alignment horizontal="left" vertical="center"/>
      <protection locked="0"/>
    </xf>
    <xf numFmtId="0" fontId="0" fillId="0" borderId="28" xfId="1" applyFont="1" applyFill="1" applyBorder="1" applyAlignment="1">
      <alignment vertical="center" wrapText="1"/>
    </xf>
    <xf numFmtId="9" fontId="16" fillId="0" borderId="0" xfId="4" applyFont="1" applyAlignment="1">
      <alignment horizontal="center" vertical="center"/>
    </xf>
    <xf numFmtId="10" fontId="16" fillId="0" borderId="0" xfId="4" applyNumberFormat="1" applyFont="1" applyAlignment="1">
      <alignment horizontal="center" vertical="center"/>
    </xf>
    <xf numFmtId="0" fontId="4" fillId="0" borderId="0" xfId="1" applyBorder="1" applyAlignment="1" applyProtection="1">
      <alignment horizontal="center"/>
      <protection locked="0"/>
    </xf>
    <xf numFmtId="0" fontId="43" fillId="5" borderId="17" xfId="1" applyFont="1" applyFill="1" applyBorder="1" applyAlignment="1" applyProtection="1">
      <alignment horizontal="center" vertical="center" wrapText="1"/>
      <protection locked="0"/>
    </xf>
    <xf numFmtId="0" fontId="44" fillId="5" borderId="18" xfId="1" applyFont="1" applyFill="1" applyBorder="1" applyAlignment="1" applyProtection="1">
      <alignment horizontal="center" vertical="center" wrapText="1"/>
      <protection locked="0"/>
    </xf>
    <xf numFmtId="2" fontId="44" fillId="5" borderId="18" xfId="1" applyNumberFormat="1" applyFont="1" applyFill="1" applyBorder="1" applyAlignment="1" applyProtection="1">
      <alignment horizontal="center" vertical="center" wrapText="1"/>
      <protection locked="0"/>
    </xf>
    <xf numFmtId="172" fontId="51" fillId="0" borderId="55" xfId="1" applyNumberFormat="1" applyFont="1" applyFill="1" applyBorder="1" applyAlignment="1" applyProtection="1">
      <alignment horizontal="center" vertical="center"/>
    </xf>
    <xf numFmtId="2" fontId="1" fillId="0" borderId="28" xfId="1" applyNumberFormat="1" applyFont="1" applyFill="1" applyBorder="1" applyAlignment="1">
      <alignment horizontal="center" vertical="center"/>
    </xf>
    <xf numFmtId="164" fontId="1" fillId="0" borderId="28" xfId="1" applyNumberFormat="1" applyFont="1" applyFill="1" applyBorder="1" applyAlignment="1">
      <alignment horizontal="center" vertical="center"/>
    </xf>
    <xf numFmtId="164" fontId="1" fillId="0" borderId="57" xfId="1" applyNumberFormat="1" applyFont="1" applyFill="1" applyBorder="1" applyAlignment="1">
      <alignment horizontal="center" vertical="center"/>
    </xf>
    <xf numFmtId="0" fontId="0" fillId="0" borderId="58" xfId="1" applyFont="1" applyFill="1" applyBorder="1" applyAlignment="1">
      <alignment horizontal="center" vertical="center"/>
    </xf>
    <xf numFmtId="0" fontId="1" fillId="0" borderId="59" xfId="1" applyFont="1" applyFill="1" applyBorder="1" applyAlignment="1">
      <alignment horizontal="center" vertical="center"/>
    </xf>
    <xf numFmtId="2" fontId="1" fillId="0" borderId="59" xfId="1" applyNumberFormat="1" applyFont="1" applyFill="1" applyBorder="1" applyAlignment="1">
      <alignment horizontal="center" vertical="center"/>
    </xf>
    <xf numFmtId="164" fontId="1" fillId="0" borderId="59" xfId="1" applyNumberFormat="1" applyFont="1" applyFill="1" applyBorder="1" applyAlignment="1">
      <alignment horizontal="center" vertical="center"/>
    </xf>
    <xf numFmtId="164" fontId="1" fillId="0" borderId="60" xfId="1" applyNumberFormat="1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0" fillId="0" borderId="2" xfId="1" applyFont="1" applyFill="1" applyBorder="1" applyAlignment="1">
      <alignment vertical="center" wrapText="1"/>
    </xf>
    <xf numFmtId="0" fontId="0" fillId="0" borderId="8" xfId="1" applyFont="1" applyFill="1" applyBorder="1" applyAlignment="1">
      <alignment vertical="center" wrapText="1"/>
    </xf>
    <xf numFmtId="0" fontId="0" fillId="0" borderId="36" xfId="1" applyFont="1" applyFill="1" applyBorder="1" applyAlignment="1">
      <alignment vertical="center" wrapText="1"/>
    </xf>
    <xf numFmtId="0" fontId="0" fillId="0" borderId="59" xfId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0" fontId="0" fillId="0" borderId="2" xfId="1" applyFont="1" applyFill="1" applyBorder="1" applyAlignment="1">
      <alignment vertical="center"/>
    </xf>
    <xf numFmtId="164" fontId="12" fillId="0" borderId="0" xfId="1" applyNumberFormat="1" applyFont="1"/>
    <xf numFmtId="164" fontId="18" fillId="3" borderId="40" xfId="0" applyNumberFormat="1" applyFont="1" applyFill="1" applyBorder="1" applyAlignment="1">
      <alignment horizontal="center" vertical="center"/>
    </xf>
    <xf numFmtId="0" fontId="0" fillId="0" borderId="11" xfId="1" applyFont="1" applyFill="1" applyBorder="1" applyAlignment="1">
      <alignment vertical="center"/>
    </xf>
    <xf numFmtId="0" fontId="0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64" fontId="1" fillId="0" borderId="11" xfId="1" applyNumberFormat="1" applyFont="1" applyFill="1" applyBorder="1" applyAlignment="1">
      <alignment horizontal="center" vertical="center"/>
    </xf>
    <xf numFmtId="164" fontId="1" fillId="0" borderId="12" xfId="1" applyNumberFormat="1" applyFont="1" applyFill="1" applyBorder="1" applyAlignment="1">
      <alignment horizontal="center" vertical="center"/>
    </xf>
    <xf numFmtId="0" fontId="43" fillId="5" borderId="0" xfId="1" applyFont="1" applyFill="1" applyBorder="1" applyAlignment="1" applyProtection="1">
      <alignment horizontal="center" vertical="center" wrapText="1"/>
      <protection locked="0"/>
    </xf>
    <xf numFmtId="0" fontId="44" fillId="5" borderId="0" xfId="0" applyFont="1" applyFill="1" applyBorder="1" applyAlignment="1" applyProtection="1">
      <alignment horizontal="left" vertical="center" wrapText="1"/>
      <protection locked="0"/>
    </xf>
    <xf numFmtId="0" fontId="44" fillId="5" borderId="0" xfId="1" applyFont="1" applyFill="1" applyBorder="1" applyAlignment="1" applyProtection="1">
      <alignment horizontal="center" wrapText="1"/>
      <protection locked="0"/>
    </xf>
    <xf numFmtId="0" fontId="44" fillId="5" borderId="0" xfId="1" applyFont="1" applyFill="1" applyBorder="1" applyAlignment="1" applyProtection="1">
      <alignment horizontal="center" vertical="center" wrapText="1"/>
      <protection locked="0"/>
    </xf>
    <xf numFmtId="2" fontId="44" fillId="5" borderId="0" xfId="1" applyNumberFormat="1" applyFont="1" applyFill="1" applyBorder="1" applyAlignment="1" applyProtection="1">
      <alignment horizontal="center" vertical="center" wrapText="1"/>
      <protection locked="0"/>
    </xf>
    <xf numFmtId="172" fontId="44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>
      <alignment vertical="center" wrapText="1"/>
    </xf>
    <xf numFmtId="0" fontId="1" fillId="0" borderId="8" xfId="1" applyFont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2" fontId="1" fillId="0" borderId="28" xfId="1" applyNumberFormat="1" applyFont="1" applyBorder="1" applyAlignment="1">
      <alignment horizontal="center" vertical="center"/>
    </xf>
    <xf numFmtId="164" fontId="1" fillId="0" borderId="28" xfId="1" applyNumberFormat="1" applyFont="1" applyBorder="1" applyAlignment="1">
      <alignment horizontal="center" vertical="center"/>
    </xf>
    <xf numFmtId="164" fontId="1" fillId="0" borderId="57" xfId="1" applyNumberFormat="1" applyFont="1" applyBorder="1" applyAlignment="1">
      <alignment horizontal="center" vertical="center"/>
    </xf>
    <xf numFmtId="0" fontId="4" fillId="0" borderId="52" xfId="1" applyBorder="1" applyAlignment="1">
      <alignment horizontal="center" vertical="center"/>
    </xf>
    <xf numFmtId="0" fontId="4" fillId="0" borderId="14" xfId="1" applyFill="1" applyBorder="1"/>
    <xf numFmtId="0" fontId="4" fillId="0" borderId="18" xfId="1" applyFill="1" applyBorder="1"/>
    <xf numFmtId="0" fontId="4" fillId="0" borderId="51" xfId="1" applyFill="1" applyBorder="1"/>
    <xf numFmtId="0" fontId="4" fillId="0" borderId="48" xfId="1" applyFill="1" applyBorder="1"/>
    <xf numFmtId="0" fontId="7" fillId="0" borderId="0" xfId="1" applyFont="1" applyBorder="1" applyAlignment="1">
      <alignment horizontal="left" vertical="center"/>
    </xf>
    <xf numFmtId="164" fontId="8" fillId="0" borderId="0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25" fillId="9" borderId="0" xfId="1" applyFont="1" applyFill="1" applyBorder="1" applyAlignment="1" applyProtection="1">
      <alignment horizontal="center" vertical="center"/>
    </xf>
    <xf numFmtId="0" fontId="34" fillId="9" borderId="0" xfId="1" applyFont="1" applyFill="1" applyBorder="1" applyAlignment="1" applyProtection="1">
      <alignment horizontal="left" vertical="center"/>
    </xf>
    <xf numFmtId="0" fontId="31" fillId="0" borderId="0" xfId="1" applyFont="1" applyFill="1" applyBorder="1" applyAlignment="1" applyProtection="1"/>
    <xf numFmtId="0" fontId="39" fillId="9" borderId="22" xfId="1" applyFont="1" applyFill="1" applyBorder="1" applyAlignment="1" applyProtection="1">
      <alignment horizontal="center" vertical="center"/>
    </xf>
    <xf numFmtId="172" fontId="51" fillId="0" borderId="55" xfId="1" applyNumberFormat="1" applyFont="1" applyFill="1" applyBorder="1" applyAlignment="1" applyProtection="1">
      <alignment horizontal="center" vertical="center"/>
    </xf>
    <xf numFmtId="0" fontId="43" fillId="5" borderId="24" xfId="1" applyFont="1" applyFill="1" applyBorder="1" applyAlignment="1" applyProtection="1">
      <alignment horizontal="center" vertical="center" wrapText="1"/>
      <protection locked="0"/>
    </xf>
    <xf numFmtId="0" fontId="44" fillId="5" borderId="62" xfId="1" applyFont="1" applyFill="1" applyBorder="1" applyAlignment="1" applyProtection="1">
      <alignment horizontal="center" vertical="center" wrapText="1"/>
      <protection locked="0"/>
    </xf>
    <xf numFmtId="2" fontId="44" fillId="5" borderId="62" xfId="1" applyNumberFormat="1" applyFont="1" applyFill="1" applyBorder="1" applyAlignment="1" applyProtection="1">
      <alignment horizontal="center" vertical="center" wrapText="1"/>
      <protection locked="0"/>
    </xf>
    <xf numFmtId="172" fontId="44" fillId="0" borderId="62" xfId="1" applyNumberFormat="1" applyFont="1" applyFill="1" applyBorder="1" applyAlignment="1" applyProtection="1">
      <alignment horizontal="center" vertical="center"/>
      <protection locked="0"/>
    </xf>
    <xf numFmtId="172" fontId="44" fillId="0" borderId="27" xfId="1" applyNumberFormat="1" applyFont="1" applyFill="1" applyBorder="1" applyAlignment="1" applyProtection="1">
      <alignment horizontal="center" vertical="center"/>
    </xf>
    <xf numFmtId="164" fontId="70" fillId="0" borderId="0" xfId="1" applyNumberFormat="1" applyFont="1" applyAlignment="1">
      <alignment horizontal="center"/>
    </xf>
    <xf numFmtId="0" fontId="1" fillId="3" borderId="47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61" xfId="0" applyFont="1" applyFill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3" borderId="13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16" xfId="1" applyFont="1" applyFill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11" fillId="0" borderId="12" xfId="1" applyNumberFormat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5" fillId="4" borderId="25" xfId="1" applyFont="1" applyFill="1" applyBorder="1" applyAlignment="1">
      <alignment horizontal="left" vertical="center"/>
    </xf>
    <xf numFmtId="0" fontId="15" fillId="4" borderId="11" xfId="1" applyFont="1" applyFill="1" applyBorder="1" applyAlignment="1">
      <alignment horizontal="left" vertical="center"/>
    </xf>
    <xf numFmtId="0" fontId="15" fillId="4" borderId="26" xfId="1" applyFont="1" applyFill="1" applyBorder="1" applyAlignment="1">
      <alignment horizontal="left" vertical="center"/>
    </xf>
    <xf numFmtId="169" fontId="10" fillId="0" borderId="8" xfId="1" applyNumberFormat="1" applyFont="1" applyBorder="1" applyAlignment="1">
      <alignment horizontal="center" vertical="center"/>
    </xf>
    <xf numFmtId="169" fontId="10" fillId="0" borderId="9" xfId="1" applyNumberFormat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4" fillId="3" borderId="21" xfId="1" applyFill="1" applyBorder="1" applyAlignment="1">
      <alignment horizontal="center" vertical="center"/>
    </xf>
    <xf numFmtId="0" fontId="4" fillId="3" borderId="22" xfId="1" applyFill="1" applyBorder="1" applyAlignment="1">
      <alignment horizontal="center" vertical="center"/>
    </xf>
    <xf numFmtId="0" fontId="4" fillId="3" borderId="23" xfId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1" xfId="1" applyFont="1" applyFill="1" applyBorder="1" applyAlignment="1">
      <alignment horizontal="left" vertical="center"/>
    </xf>
    <xf numFmtId="0" fontId="14" fillId="0" borderId="12" xfId="1" applyFont="1" applyFill="1" applyBorder="1" applyAlignment="1">
      <alignment horizontal="left" vertical="center"/>
    </xf>
    <xf numFmtId="0" fontId="15" fillId="4" borderId="53" xfId="1" applyFont="1" applyFill="1" applyBorder="1" applyAlignment="1">
      <alignment horizontal="left" vertical="center"/>
    </xf>
    <xf numFmtId="0" fontId="15" fillId="4" borderId="22" xfId="1" applyFont="1" applyFill="1" applyBorder="1" applyAlignment="1">
      <alignment horizontal="left" vertical="center"/>
    </xf>
    <xf numFmtId="0" fontId="15" fillId="4" borderId="54" xfId="1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12" fillId="2" borderId="10" xfId="1" applyFont="1" applyFill="1" applyBorder="1" applyAlignment="1">
      <alignment horizontal="left" vertical="center"/>
    </xf>
    <xf numFmtId="0" fontId="12" fillId="2" borderId="11" xfId="1" applyFont="1" applyFill="1" applyBorder="1" applyAlignment="1">
      <alignment horizontal="left" vertical="center"/>
    </xf>
    <xf numFmtId="0" fontId="12" fillId="2" borderId="12" xfId="1" applyFont="1" applyFill="1" applyBorder="1" applyAlignment="1">
      <alignment horizontal="left" vertical="center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164" fontId="4" fillId="0" borderId="0" xfId="1" applyNumberFormat="1" applyAlignment="1">
      <alignment horizontal="center"/>
    </xf>
    <xf numFmtId="0" fontId="4" fillId="0" borderId="0" xfId="1" applyAlignment="1">
      <alignment horizontal="right"/>
    </xf>
    <xf numFmtId="0" fontId="18" fillId="3" borderId="1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172" fontId="51" fillId="0" borderId="55" xfId="1" applyNumberFormat="1" applyFont="1" applyFill="1" applyBorder="1" applyAlignment="1" applyProtection="1">
      <alignment horizontal="center" vertical="center"/>
    </xf>
    <xf numFmtId="172" fontId="51" fillId="0" borderId="40" xfId="1" applyNumberFormat="1" applyFont="1" applyFill="1" applyBorder="1" applyAlignment="1" applyProtection="1">
      <alignment horizontal="center" vertical="center"/>
    </xf>
    <xf numFmtId="0" fontId="44" fillId="5" borderId="51" xfId="0" applyFont="1" applyFill="1" applyBorder="1" applyAlignment="1" applyProtection="1">
      <alignment horizontal="left" vertical="center" wrapText="1"/>
      <protection locked="0"/>
    </xf>
    <xf numFmtId="0" fontId="44" fillId="5" borderId="51" xfId="1" applyFont="1" applyFill="1" applyBorder="1" applyAlignment="1" applyProtection="1">
      <alignment horizontal="center" wrapText="1"/>
      <protection locked="0"/>
    </xf>
    <xf numFmtId="0" fontId="45" fillId="5" borderId="21" xfId="1" applyFont="1" applyFill="1" applyBorder="1" applyAlignment="1" applyProtection="1">
      <alignment horizontal="left" vertical="top" wrapText="1"/>
      <protection locked="0"/>
    </xf>
    <xf numFmtId="0" fontId="45" fillId="5" borderId="22" xfId="1" applyFont="1" applyFill="1" applyBorder="1" applyAlignment="1" applyProtection="1">
      <alignment horizontal="left" vertical="top"/>
      <protection locked="0"/>
    </xf>
    <xf numFmtId="0" fontId="45" fillId="5" borderId="23" xfId="1" applyFont="1" applyFill="1" applyBorder="1" applyAlignment="1" applyProtection="1">
      <alignment horizontal="left" vertical="top"/>
      <protection locked="0"/>
    </xf>
    <xf numFmtId="0" fontId="45" fillId="5" borderId="52" xfId="1" applyFont="1" applyFill="1" applyBorder="1" applyAlignment="1" applyProtection="1">
      <alignment horizontal="left" vertical="top"/>
      <protection locked="0"/>
    </xf>
    <xf numFmtId="0" fontId="45" fillId="5" borderId="0" xfId="1" applyFont="1" applyFill="1" applyBorder="1" applyAlignment="1" applyProtection="1">
      <alignment horizontal="left" vertical="top"/>
      <protection locked="0"/>
    </xf>
    <xf numFmtId="0" fontId="45" fillId="5" borderId="30" xfId="1" applyFont="1" applyFill="1" applyBorder="1" applyAlignment="1" applyProtection="1">
      <alignment horizontal="left" vertical="top"/>
      <protection locked="0"/>
    </xf>
    <xf numFmtId="0" fontId="45" fillId="5" borderId="7" xfId="1" applyFont="1" applyFill="1" applyBorder="1" applyAlignment="1" applyProtection="1">
      <alignment horizontal="left" vertical="top"/>
      <protection locked="0"/>
    </xf>
    <xf numFmtId="0" fontId="45" fillId="5" borderId="8" xfId="1" applyFont="1" applyFill="1" applyBorder="1" applyAlignment="1" applyProtection="1">
      <alignment horizontal="left" vertical="top"/>
      <protection locked="0"/>
    </xf>
    <xf numFmtId="0" fontId="45" fillId="5" borderId="9" xfId="1" applyFont="1" applyFill="1" applyBorder="1" applyAlignment="1" applyProtection="1">
      <alignment horizontal="left" vertical="top"/>
      <protection locked="0"/>
    </xf>
    <xf numFmtId="0" fontId="51" fillId="0" borderId="47" xfId="1" applyFont="1" applyFill="1" applyBorder="1" applyAlignment="1" applyProtection="1">
      <alignment horizontal="center" vertical="center"/>
    </xf>
    <xf numFmtId="0" fontId="51" fillId="0" borderId="38" xfId="1" applyFont="1" applyFill="1" applyBorder="1" applyAlignment="1" applyProtection="1">
      <alignment horizontal="center" vertical="center"/>
    </xf>
    <xf numFmtId="0" fontId="44" fillId="5" borderId="18" xfId="0" applyFont="1" applyFill="1" applyBorder="1" applyAlignment="1" applyProtection="1">
      <alignment horizontal="left" vertical="center" wrapText="1"/>
      <protection locked="0"/>
    </xf>
    <xf numFmtId="0" fontId="44" fillId="5" borderId="18" xfId="1" applyFont="1" applyFill="1" applyBorder="1" applyAlignment="1" applyProtection="1">
      <alignment horizontal="center" wrapText="1"/>
      <protection locked="0"/>
    </xf>
    <xf numFmtId="0" fontId="44" fillId="0" borderId="51" xfId="1" applyFont="1" applyFill="1" applyBorder="1" applyAlignment="1" applyProtection="1">
      <alignment horizontal="center" wrapText="1"/>
      <protection locked="0"/>
    </xf>
    <xf numFmtId="0" fontId="44" fillId="5" borderId="51" xfId="0" applyFont="1" applyFill="1" applyBorder="1" applyAlignment="1" applyProtection="1">
      <alignment horizontal="left" vertical="top" wrapText="1"/>
      <protection locked="0"/>
    </xf>
    <xf numFmtId="0" fontId="39" fillId="9" borderId="22" xfId="1" applyFont="1" applyFill="1" applyBorder="1" applyAlignment="1" applyProtection="1">
      <alignment horizontal="center" vertical="center"/>
    </xf>
    <xf numFmtId="0" fontId="44" fillId="5" borderId="14" xfId="0" applyFont="1" applyFill="1" applyBorder="1" applyAlignment="1" applyProtection="1">
      <alignment horizontal="left" vertical="center" wrapText="1"/>
      <protection locked="0"/>
    </xf>
    <xf numFmtId="0" fontId="44" fillId="0" borderId="14" xfId="1" applyFont="1" applyFill="1" applyBorder="1" applyAlignment="1" applyProtection="1">
      <alignment horizontal="center" wrapText="1"/>
      <protection locked="0"/>
    </xf>
    <xf numFmtId="0" fontId="39" fillId="9" borderId="1" xfId="1" applyFont="1" applyFill="1" applyBorder="1" applyAlignment="1" applyProtection="1">
      <alignment horizontal="left" vertical="center"/>
    </xf>
    <xf numFmtId="0" fontId="39" fillId="9" borderId="2" xfId="1" applyFont="1" applyFill="1" applyBorder="1" applyAlignment="1" applyProtection="1">
      <alignment horizontal="left" vertical="center"/>
    </xf>
    <xf numFmtId="171" fontId="40" fillId="11" borderId="2" xfId="1" applyNumberFormat="1" applyFont="1" applyFill="1" applyBorder="1" applyAlignment="1" applyProtection="1">
      <alignment horizontal="center" vertical="center"/>
      <protection locked="0"/>
    </xf>
    <xf numFmtId="171" fontId="40" fillId="11" borderId="31" xfId="1" applyNumberFormat="1" applyFont="1" applyFill="1" applyBorder="1" applyAlignment="1" applyProtection="1">
      <alignment horizontal="center" vertical="center"/>
      <protection locked="0"/>
    </xf>
    <xf numFmtId="0" fontId="40" fillId="11" borderId="2" xfId="1" applyFont="1" applyFill="1" applyBorder="1" applyAlignment="1" applyProtection="1">
      <alignment horizontal="center" vertical="center"/>
      <protection locked="0"/>
    </xf>
    <xf numFmtId="0" fontId="40" fillId="11" borderId="31" xfId="1" applyFont="1" applyFill="1" applyBorder="1" applyAlignment="1" applyProtection="1">
      <alignment horizontal="center" vertical="center"/>
      <protection locked="0"/>
    </xf>
    <xf numFmtId="0" fontId="39" fillId="9" borderId="15" xfId="1" applyFont="1" applyFill="1" applyBorder="1" applyAlignment="1" applyProtection="1">
      <alignment horizontal="left" vertical="center"/>
    </xf>
    <xf numFmtId="0" fontId="39" fillId="9" borderId="7" xfId="1" applyFont="1" applyFill="1" applyBorder="1" applyAlignment="1" applyProtection="1">
      <alignment horizontal="left" vertical="center"/>
    </xf>
    <xf numFmtId="0" fontId="39" fillId="9" borderId="8" xfId="1" applyFont="1" applyFill="1" applyBorder="1" applyAlignment="1" applyProtection="1">
      <alignment horizontal="left" vertical="center"/>
    </xf>
    <xf numFmtId="0" fontId="42" fillId="11" borderId="8" xfId="1" applyFont="1" applyFill="1" applyBorder="1" applyAlignment="1" applyProtection="1">
      <alignment horizontal="center" vertical="center"/>
      <protection locked="0"/>
    </xf>
    <xf numFmtId="0" fontId="40" fillId="11" borderId="8" xfId="1" applyFont="1" applyFill="1" applyBorder="1" applyAlignment="1" applyProtection="1">
      <alignment horizontal="center" vertical="center"/>
      <protection locked="0"/>
    </xf>
    <xf numFmtId="0" fontId="39" fillId="9" borderId="39" xfId="1" applyFont="1" applyFill="1" applyBorder="1" applyAlignment="1" applyProtection="1">
      <alignment horizontal="left" vertical="center"/>
    </xf>
    <xf numFmtId="0" fontId="4" fillId="0" borderId="0" xfId="1" applyFill="1" applyBorder="1" applyAlignment="1" applyProtection="1">
      <protection locked="0"/>
    </xf>
    <xf numFmtId="0" fontId="25" fillId="9" borderId="0" xfId="1" applyFont="1" applyFill="1" applyBorder="1" applyAlignment="1" applyProtection="1">
      <alignment horizontal="center" vertical="center"/>
    </xf>
    <xf numFmtId="0" fontId="34" fillId="9" borderId="0" xfId="1" applyFont="1" applyFill="1" applyBorder="1" applyAlignment="1" applyProtection="1">
      <alignment horizontal="left" vertical="center"/>
    </xf>
    <xf numFmtId="0" fontId="34" fillId="9" borderId="0" xfId="1" applyFont="1" applyFill="1" applyAlignment="1" applyProtection="1">
      <alignment horizontal="left" vertical="center"/>
    </xf>
    <xf numFmtId="0" fontId="31" fillId="0" borderId="0" xfId="1" applyFont="1" applyFill="1" applyBorder="1" applyAlignment="1" applyProtection="1"/>
    <xf numFmtId="0" fontId="44" fillId="5" borderId="62" xfId="0" applyFont="1" applyFill="1" applyBorder="1" applyAlignment="1" applyProtection="1">
      <alignment horizontal="left" vertical="center" wrapText="1"/>
      <protection locked="0"/>
    </xf>
    <xf numFmtId="0" fontId="44" fillId="0" borderId="62" xfId="1" applyFont="1" applyFill="1" applyBorder="1" applyAlignment="1" applyProtection="1">
      <alignment horizontal="center" wrapText="1"/>
      <protection locked="0"/>
    </xf>
    <xf numFmtId="0" fontId="15" fillId="3" borderId="41" xfId="1" applyFont="1" applyFill="1" applyBorder="1" applyAlignment="1">
      <alignment horizontal="center" vertical="center"/>
    </xf>
    <xf numFmtId="0" fontId="15" fillId="3" borderId="43" xfId="1" applyFont="1" applyFill="1" applyBorder="1" applyAlignment="1">
      <alignment horizontal="center" vertical="center"/>
    </xf>
    <xf numFmtId="0" fontId="15" fillId="3" borderId="14" xfId="1" applyFont="1" applyFill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/>
    </xf>
    <xf numFmtId="166" fontId="15" fillId="3" borderId="42" xfId="1" applyNumberFormat="1" applyFont="1" applyFill="1" applyBorder="1" applyAlignment="1">
      <alignment horizontal="center" vertical="center"/>
    </xf>
    <xf numFmtId="166" fontId="15" fillId="3" borderId="44" xfId="1" applyNumberFormat="1" applyFont="1" applyFill="1" applyBorder="1" applyAlignment="1">
      <alignment horizontal="center" vertical="center"/>
    </xf>
    <xf numFmtId="165" fontId="15" fillId="3" borderId="15" xfId="1" applyNumberFormat="1" applyFont="1" applyFill="1" applyBorder="1" applyAlignment="1">
      <alignment horizontal="center" vertical="center"/>
    </xf>
    <xf numFmtId="165" fontId="15" fillId="3" borderId="19" xfId="1" applyNumberFormat="1" applyFont="1" applyFill="1" applyBorder="1" applyAlignment="1">
      <alignment horizontal="center" vertical="center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 wrapText="1"/>
    </xf>
    <xf numFmtId="0" fontId="15" fillId="3" borderId="16" xfId="1" applyFont="1" applyFill="1" applyBorder="1" applyAlignment="1">
      <alignment horizontal="center" vertical="center" wrapText="1"/>
    </xf>
    <xf numFmtId="0" fontId="15" fillId="3" borderId="20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0" fontId="12" fillId="2" borderId="12" xfId="1" applyFont="1" applyFill="1" applyBorder="1" applyAlignment="1">
      <alignment horizontal="center" vertical="center"/>
    </xf>
    <xf numFmtId="0" fontId="2" fillId="6" borderId="21" xfId="1" applyFont="1" applyFill="1" applyBorder="1" applyAlignment="1">
      <alignment horizontal="left" vertical="center"/>
    </xf>
    <xf numFmtId="0" fontId="2" fillId="6" borderId="22" xfId="1" applyFont="1" applyFill="1" applyBorder="1" applyAlignment="1">
      <alignment horizontal="left" vertical="center"/>
    </xf>
    <xf numFmtId="0" fontId="2" fillId="6" borderId="23" xfId="1" applyFont="1" applyFill="1" applyBorder="1" applyAlignment="1">
      <alignment horizontal="left" vertical="center"/>
    </xf>
    <xf numFmtId="0" fontId="3" fillId="6" borderId="21" xfId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3" fillId="6" borderId="23" xfId="1" applyFont="1" applyFill="1" applyBorder="1" applyAlignment="1">
      <alignment horizontal="center"/>
    </xf>
    <xf numFmtId="0" fontId="3" fillId="7" borderId="22" xfId="1" applyFont="1" applyFill="1" applyBorder="1" applyAlignment="1">
      <alignment horizontal="center"/>
    </xf>
    <xf numFmtId="0" fontId="3" fillId="7" borderId="10" xfId="1" applyFont="1" applyFill="1" applyBorder="1" applyAlignment="1">
      <alignment horizontal="left" vertical="center"/>
    </xf>
    <xf numFmtId="0" fontId="3" fillId="7" borderId="11" xfId="1" applyFont="1" applyFill="1" applyBorder="1" applyAlignment="1">
      <alignment horizontal="left" vertical="center"/>
    </xf>
    <xf numFmtId="0" fontId="3" fillId="7" borderId="12" xfId="1" applyFont="1" applyFill="1" applyBorder="1" applyAlignment="1">
      <alignment horizontal="left" vertical="center"/>
    </xf>
    <xf numFmtId="0" fontId="3" fillId="7" borderId="10" xfId="1" applyFont="1" applyFill="1" applyBorder="1" applyAlignment="1">
      <alignment horizontal="center"/>
    </xf>
    <xf numFmtId="0" fontId="3" fillId="7" borderId="11" xfId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/>
    </xf>
    <xf numFmtId="0" fontId="3" fillId="7" borderId="21" xfId="1" applyFont="1" applyFill="1" applyBorder="1" applyAlignment="1">
      <alignment horizontal="left" vertical="center"/>
    </xf>
    <xf numFmtId="0" fontId="3" fillId="7" borderId="22" xfId="1" applyFont="1" applyFill="1" applyBorder="1" applyAlignment="1">
      <alignment horizontal="left" vertical="center"/>
    </xf>
    <xf numFmtId="0" fontId="3" fillId="7" borderId="23" xfId="1" applyFont="1" applyFill="1" applyBorder="1" applyAlignment="1">
      <alignment horizontal="left" vertical="center"/>
    </xf>
    <xf numFmtId="0" fontId="3" fillId="7" borderId="21" xfId="1" applyFont="1" applyFill="1" applyBorder="1" applyAlignment="1">
      <alignment horizontal="center"/>
    </xf>
    <xf numFmtId="0" fontId="3" fillId="7" borderId="23" xfId="1" applyFont="1" applyFill="1" applyBorder="1" applyAlignment="1">
      <alignment horizontal="center"/>
    </xf>
    <xf numFmtId="0" fontId="15" fillId="3" borderId="13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4" fillId="0" borderId="47" xfId="1" applyBorder="1" applyAlignment="1">
      <alignment horizontal="center" vertical="center"/>
    </xf>
    <xf numFmtId="0" fontId="4" fillId="0" borderId="50" xfId="1" applyBorder="1" applyAlignment="1">
      <alignment horizontal="center" vertical="center"/>
    </xf>
    <xf numFmtId="0" fontId="24" fillId="8" borderId="10" xfId="1" applyFont="1" applyFill="1" applyBorder="1" applyAlignment="1">
      <alignment horizontal="left" vertical="center"/>
    </xf>
    <xf numFmtId="0" fontId="24" fillId="8" borderId="11" xfId="1" applyFont="1" applyFill="1" applyBorder="1" applyAlignment="1">
      <alignment horizontal="left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11" xfId="1" applyFont="1" applyFill="1" applyBorder="1" applyAlignment="1">
      <alignment horizontal="center" vertical="center"/>
    </xf>
    <xf numFmtId="0" fontId="21" fillId="4" borderId="12" xfId="1" applyFont="1" applyFill="1" applyBorder="1" applyAlignment="1">
      <alignment horizontal="center" vertical="center"/>
    </xf>
    <xf numFmtId="0" fontId="22" fillId="5" borderId="10" xfId="1" applyFont="1" applyFill="1" applyBorder="1" applyAlignment="1">
      <alignment horizontal="left" vertical="center"/>
    </xf>
    <xf numFmtId="0" fontId="22" fillId="5" borderId="11" xfId="1" applyFont="1" applyFill="1" applyBorder="1" applyAlignment="1">
      <alignment horizontal="left" vertical="center"/>
    </xf>
  </cellXfs>
  <cellStyles count="6">
    <cellStyle name="Hipervínculo" xfId="5" builtinId="8"/>
    <cellStyle name="Normal" xfId="0" builtinId="0"/>
    <cellStyle name="Normal 2" xfId="1"/>
    <cellStyle name="Normal 2 2" xfId="3"/>
    <cellStyle name="Porcentaje" xfId="4" builtinId="5"/>
    <cellStyle name="Porcentaje 2" xfId="2"/>
  </cellStyles>
  <dxfs count="7"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3</xdr:row>
      <xdr:rowOff>42334</xdr:rowOff>
    </xdr:from>
    <xdr:to>
      <xdr:col>2</xdr:col>
      <xdr:colOff>308416</xdr:colOff>
      <xdr:row>17</xdr:row>
      <xdr:rowOff>137583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84251"/>
          <a:ext cx="3769166" cy="4392082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0</xdr:row>
      <xdr:rowOff>285749</xdr:rowOff>
    </xdr:from>
    <xdr:to>
      <xdr:col>12</xdr:col>
      <xdr:colOff>799226</xdr:colOff>
      <xdr:row>16</xdr:row>
      <xdr:rowOff>239630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2917" y="285749"/>
          <a:ext cx="6990476" cy="4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4</xdr:row>
      <xdr:rowOff>175682</xdr:rowOff>
    </xdr:from>
    <xdr:to>
      <xdr:col>4</xdr:col>
      <xdr:colOff>510540</xdr:colOff>
      <xdr:row>11</xdr:row>
      <xdr:rowOff>219074</xdr:rowOff>
    </xdr:to>
    <xdr:sp macro="" textlink="">
      <xdr:nvSpPr>
        <xdr:cNvPr id="2" name="Text Box 1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19225" y="1032932"/>
          <a:ext cx="3663315" cy="1672167"/>
        </a:xfrm>
        <a:prstGeom prst="rect">
          <a:avLst/>
        </a:prstGeom>
      </xdr:spPr>
      <xdr:txBody>
        <a:bodyPr wrap="square" lIns="91440" tIns="45720" rIns="91440" bIns="45720" anchor="ctr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 b="0" i="0" strike="noStrike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Lucida Console"/>
            </a:rPr>
            <a:t>AGROFORESTAL S.A.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RUC: J0310000096279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NI" sz="10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12,5 Carretera nueva a Leon, Empalme a Xiloa 200 mts al Este</a:t>
          </a:r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Managua, Nicaragua. P: +(505) 7831-1200</a:t>
          </a:r>
        </a:p>
        <a:p>
          <a:r>
            <a:rPr lang="es-NI" sz="100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www.agroforestal.co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</xdr:txBody>
    </xdr:sp>
    <xdr:clientData/>
  </xdr:twoCellAnchor>
  <xdr:twoCellAnchor>
    <xdr:from>
      <xdr:col>0</xdr:col>
      <xdr:colOff>0</xdr:colOff>
      <xdr:row>46</xdr:row>
      <xdr:rowOff>142875</xdr:rowOff>
    </xdr:from>
    <xdr:to>
      <xdr:col>7</xdr:col>
      <xdr:colOff>81280</xdr:colOff>
      <xdr:row>56</xdr:row>
      <xdr:rowOff>190500</xdr:rowOff>
    </xdr:to>
    <xdr:sp macro="" textlink="">
      <xdr:nvSpPr>
        <xdr:cNvPr id="3" name="Text Box 1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4811375"/>
          <a:ext cx="9530080" cy="204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Otros terminos y condiciones/Instrucciones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de envio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: ________________________________</a:t>
          </a:r>
        </a:p>
        <a:p>
          <a:pPr algn="l" rtl="0">
            <a:defRPr sz="1000"/>
          </a:pPr>
          <a:endParaRPr lang="es-ES" sz="9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La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aceptacion de su orden está sujeta a los términos establecidos en esta Cotizacion y los Terminos Estandar que estamos proveiendo a usted en esta Cotizacion, o que proveimos previamente. Si esta Cotizacion está en conflicto con los Terminos Estandar, esta Cotizacion debera ser considerada a enmendar los Terminos Estandar.</a:t>
          </a:r>
          <a:endParaRPr lang="es-ES" sz="9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			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Favor aprobar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esta Cotizacion enviando un correo electronico, refiriendo el Numero de Cotizacion arriba, o firmando y reenviando una copia a nosotros.</a:t>
          </a:r>
        </a:p>
        <a:p>
          <a:pPr algn="l" rtl="0">
            <a:defRPr sz="1000"/>
          </a:pPr>
          <a:endParaRPr lang="es-ES" sz="900" b="0" i="0" strike="noStrike" baseline="0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Terminos y/o Condiciones adicionales o diferentes proporcionados en su orden u otra comunicacion o documentacion de su parte, no son aceptables y no seran vinculantes.</a:t>
          </a:r>
          <a:endParaRPr lang="es-ES" sz="700" b="0" i="0" strike="noStrike">
            <a:solidFill>
              <a:srgbClr val="000000"/>
            </a:solidFill>
            <a:latin typeface="Avenir Book"/>
            <a:cs typeface="Avenir Book"/>
          </a:endParaRPr>
        </a:p>
      </xdr:txBody>
    </xdr:sp>
    <xdr:clientData/>
  </xdr:twoCellAnchor>
  <xdr:twoCellAnchor>
    <xdr:from>
      <xdr:col>7</xdr:col>
      <xdr:colOff>627379</xdr:colOff>
      <xdr:row>45</xdr:row>
      <xdr:rowOff>17780</xdr:rowOff>
    </xdr:from>
    <xdr:to>
      <xdr:col>10</xdr:col>
      <xdr:colOff>0</xdr:colOff>
      <xdr:row>53</xdr:row>
      <xdr:rowOff>139700</xdr:rowOff>
    </xdr:to>
    <xdr:sp macro="" textlink="">
      <xdr:nvSpPr>
        <xdr:cNvPr id="4" name="Text Box 1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076179" y="14343380"/>
          <a:ext cx="2639696" cy="186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800" b="0" i="0" strike="noStrike">
              <a:solidFill>
                <a:schemeClr val="tx1"/>
              </a:solidFill>
              <a:latin typeface="Avenir Book"/>
              <a:cs typeface="Avenir Book"/>
            </a:rPr>
            <a:t>		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/>
              </a:solidFill>
              <a:latin typeface="Avenir Book"/>
              <a:cs typeface="Avenir Book"/>
            </a:rPr>
            <a:t>Aprobado por: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Nombre de Cliente:</a:t>
          </a:r>
          <a:endParaRPr lang="es-ES" sz="800" b="1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______________________________________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de-DE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Firma de Cliente:</a:t>
          </a:r>
        </a:p>
        <a:p>
          <a:pPr algn="l" rtl="0">
            <a:defRPr sz="1000"/>
          </a:pPr>
          <a:r>
            <a:rPr lang="de-DE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fr-FR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fr-FR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Fecha:</a:t>
          </a:r>
        </a:p>
        <a:p>
          <a:pPr algn="l" rtl="0">
            <a:defRPr sz="1000"/>
          </a:pPr>
          <a:r>
            <a:rPr lang="fr-FR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600" b="0" i="0" strike="noStrike">
              <a:solidFill>
                <a:srgbClr val="000000"/>
              </a:solidFill>
              <a:latin typeface="Avenir Book"/>
              <a:cs typeface="Avenir Book"/>
            </a:rPr>
            <a:t>					</a:t>
          </a:r>
        </a:p>
      </xdr:txBody>
    </xdr:sp>
    <xdr:clientData/>
  </xdr:twoCellAnchor>
  <xdr:twoCellAnchor>
    <xdr:from>
      <xdr:col>0</xdr:col>
      <xdr:colOff>104775</xdr:colOff>
      <xdr:row>42</xdr:row>
      <xdr:rowOff>133350</xdr:rowOff>
    </xdr:from>
    <xdr:to>
      <xdr:col>4</xdr:col>
      <xdr:colOff>570615</xdr:colOff>
      <xdr:row>45</xdr:row>
      <xdr:rowOff>333375</xdr:rowOff>
    </xdr:to>
    <xdr:sp macro="" textlink="">
      <xdr:nvSpPr>
        <xdr:cNvPr id="5" name="Text Box 1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4775" y="13858875"/>
          <a:ext cx="503784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Favor realizar pago a:</a:t>
          </a:r>
        </a:p>
        <a:p>
          <a:pPr algn="l" rtl="0">
            <a:defRPr sz="1000"/>
          </a:pPr>
          <a:r>
            <a:rPr lang="es-ES" sz="1050" b="1" i="0" strike="noStrike">
              <a:solidFill>
                <a:srgbClr val="000000"/>
              </a:solidFill>
              <a:latin typeface="Avenir Book"/>
              <a:cs typeface="Avenir Book"/>
            </a:rPr>
            <a:t>AGROFORESTAL, S.A</a:t>
          </a: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.</a:t>
          </a:r>
        </a:p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BANPRO (BANCO DE LA PRODUCCION S.A.)</a:t>
          </a:r>
        </a:p>
        <a:p>
          <a:pPr rtl="0"/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Cuenta No: </a:t>
          </a:r>
          <a:r>
            <a:rPr lang="en-US" sz="1200" b="1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10010012232059</a:t>
          </a:r>
          <a:r>
            <a:rPr lang="en-US" sz="1200" b="1" i="0" baseline="0">
              <a:effectLst/>
              <a:latin typeface="+mn-lt"/>
              <a:ea typeface="+mn-ea"/>
              <a:cs typeface="+mn-cs"/>
            </a:rPr>
            <a:t> (US $)</a:t>
          </a:r>
          <a:endParaRPr lang="es-NI" sz="1050">
            <a:effectLst/>
          </a:endParaRPr>
        </a:p>
        <a:p>
          <a:pPr algn="l" rtl="0">
            <a:defRPr sz="1000"/>
          </a:pPr>
          <a:r>
            <a:rPr lang="es-ES" sz="700" b="1" i="0" strike="noStrike">
              <a:solidFill>
                <a:srgbClr val="000000"/>
              </a:solidFill>
              <a:latin typeface="Century Gothic"/>
            </a:rPr>
            <a:t>			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66675</xdr:rowOff>
    </xdr:from>
    <xdr:to>
      <xdr:col>4</xdr:col>
      <xdr:colOff>1061509</xdr:colOff>
      <xdr:row>6</xdr:row>
      <xdr:rowOff>34334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114300" y="66675"/>
          <a:ext cx="5519209" cy="1253534"/>
        </a:xfrm>
        <a:prstGeom prst="rect">
          <a:avLst/>
        </a:prstGeom>
      </xdr:spPr>
    </xdr:pic>
    <xdr:clientData/>
  </xdr:twoCellAnchor>
  <xdr:twoCellAnchor editAs="oneCell">
    <xdr:from>
      <xdr:col>5</xdr:col>
      <xdr:colOff>1866901</xdr:colOff>
      <xdr:row>56</xdr:row>
      <xdr:rowOff>172746</xdr:rowOff>
    </xdr:from>
    <xdr:to>
      <xdr:col>9</xdr:col>
      <xdr:colOff>732368</xdr:colOff>
      <xdr:row>60</xdr:row>
      <xdr:rowOff>126408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7858126" y="16841496"/>
          <a:ext cx="4332817" cy="991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3</xdr:row>
      <xdr:rowOff>42334</xdr:rowOff>
    </xdr:from>
    <xdr:to>
      <xdr:col>2</xdr:col>
      <xdr:colOff>308416</xdr:colOff>
      <xdr:row>17</xdr:row>
      <xdr:rowOff>137583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75784"/>
          <a:ext cx="3762816" cy="436244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0</xdr:row>
      <xdr:rowOff>285749</xdr:rowOff>
    </xdr:from>
    <xdr:to>
      <xdr:col>12</xdr:col>
      <xdr:colOff>799226</xdr:colOff>
      <xdr:row>16</xdr:row>
      <xdr:rowOff>239630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8100" y="285749"/>
          <a:ext cx="6996826" cy="48497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4</xdr:row>
      <xdr:rowOff>175682</xdr:rowOff>
    </xdr:from>
    <xdr:to>
      <xdr:col>4</xdr:col>
      <xdr:colOff>510540</xdr:colOff>
      <xdr:row>11</xdr:row>
      <xdr:rowOff>219074</xdr:rowOff>
    </xdr:to>
    <xdr:sp macro="" textlink="">
      <xdr:nvSpPr>
        <xdr:cNvPr id="2" name="Text Box 1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19225" y="1032932"/>
          <a:ext cx="3663315" cy="1672167"/>
        </a:xfrm>
        <a:prstGeom prst="rect">
          <a:avLst/>
        </a:prstGeom>
      </xdr:spPr>
      <xdr:txBody>
        <a:bodyPr wrap="square" lIns="91440" tIns="45720" rIns="91440" bIns="45720" anchor="ctr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 b="0" i="0" strike="noStrike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Lucida Console"/>
            </a:rPr>
            <a:t>AGROFORESTAL S.A.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RUC: J0310000096279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NI" sz="10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12,5 Carretera nueva a Leon, Empalme a Xiloa 200 mts al Este</a:t>
          </a:r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Managua, Nicaragua. P: +(505) 7831-1200</a:t>
          </a:r>
        </a:p>
        <a:p>
          <a:r>
            <a:rPr lang="es-NI" sz="100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www.agroforestal.co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</xdr:txBody>
    </xdr:sp>
    <xdr:clientData/>
  </xdr:twoCellAnchor>
  <xdr:twoCellAnchor>
    <xdr:from>
      <xdr:col>0</xdr:col>
      <xdr:colOff>0</xdr:colOff>
      <xdr:row>39</xdr:row>
      <xdr:rowOff>142875</xdr:rowOff>
    </xdr:from>
    <xdr:to>
      <xdr:col>7</xdr:col>
      <xdr:colOff>81280</xdr:colOff>
      <xdr:row>49</xdr:row>
      <xdr:rowOff>190500</xdr:rowOff>
    </xdr:to>
    <xdr:sp macro="" textlink="">
      <xdr:nvSpPr>
        <xdr:cNvPr id="3" name="Text Box 1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5401925"/>
          <a:ext cx="9530080" cy="204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Otros terminos y condiciones/Instrucciones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de envio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: ________________________________</a:t>
          </a:r>
        </a:p>
        <a:p>
          <a:pPr algn="l" rtl="0">
            <a:defRPr sz="1000"/>
          </a:pPr>
          <a:endParaRPr lang="es-ES" sz="9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La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aceptacion de su orden está sujeta a los términos establecidos en esta Cotizacion y los Terminos Estandar que estamos proveiendo a usted en esta Cotizacion, o que proveimos previamente. Si esta Cotizacion está en conflicto con los Terminos Estandar, esta Cotizacion debera ser considerada a enmendar los Terminos Estandar.</a:t>
          </a:r>
          <a:endParaRPr lang="es-ES" sz="9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			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Favor aprobar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esta Cotizacion enviando un correo electronico, refiriendo el Numero de Cotizacion arriba, o firmando y reenviando una copia a nosotros.</a:t>
          </a:r>
        </a:p>
        <a:p>
          <a:pPr algn="l" rtl="0">
            <a:defRPr sz="1000"/>
          </a:pPr>
          <a:endParaRPr lang="es-ES" sz="900" b="0" i="0" strike="noStrike" baseline="0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Terminos y/o Condiciones adicionales o diferentes proporcionados en su orden u otra comunicacion o documentacion de su parte, no son aceptables y no seran vinculantes.</a:t>
          </a:r>
          <a:endParaRPr lang="es-ES" sz="700" b="0" i="0" strike="noStrike">
            <a:solidFill>
              <a:srgbClr val="000000"/>
            </a:solidFill>
            <a:latin typeface="Avenir Book"/>
            <a:cs typeface="Avenir Book"/>
          </a:endParaRPr>
        </a:p>
      </xdr:txBody>
    </xdr:sp>
    <xdr:clientData/>
  </xdr:twoCellAnchor>
  <xdr:twoCellAnchor>
    <xdr:from>
      <xdr:col>7</xdr:col>
      <xdr:colOff>627379</xdr:colOff>
      <xdr:row>38</xdr:row>
      <xdr:rowOff>17780</xdr:rowOff>
    </xdr:from>
    <xdr:to>
      <xdr:col>10</xdr:col>
      <xdr:colOff>0</xdr:colOff>
      <xdr:row>46</xdr:row>
      <xdr:rowOff>139700</xdr:rowOff>
    </xdr:to>
    <xdr:sp macro="" textlink="">
      <xdr:nvSpPr>
        <xdr:cNvPr id="4" name="Text Box 1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076179" y="14933930"/>
          <a:ext cx="2639696" cy="186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800" b="0" i="0" strike="noStrike">
              <a:solidFill>
                <a:schemeClr val="tx1"/>
              </a:solidFill>
              <a:latin typeface="Avenir Book"/>
              <a:cs typeface="Avenir Book"/>
            </a:rPr>
            <a:t>		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/>
              </a:solidFill>
              <a:latin typeface="Avenir Book"/>
              <a:cs typeface="Avenir Book"/>
            </a:rPr>
            <a:t>Aprobado por: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Nombre de Cliente:</a:t>
          </a:r>
          <a:endParaRPr lang="es-ES" sz="800" b="1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______________________________________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de-DE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Firma de Cliente:</a:t>
          </a:r>
        </a:p>
        <a:p>
          <a:pPr algn="l" rtl="0">
            <a:defRPr sz="1000"/>
          </a:pPr>
          <a:r>
            <a:rPr lang="de-DE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fr-FR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fr-FR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Fecha:</a:t>
          </a:r>
        </a:p>
        <a:p>
          <a:pPr algn="l" rtl="0">
            <a:defRPr sz="1000"/>
          </a:pPr>
          <a:r>
            <a:rPr lang="fr-FR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600" b="0" i="0" strike="noStrike">
              <a:solidFill>
                <a:srgbClr val="000000"/>
              </a:solidFill>
              <a:latin typeface="Avenir Book"/>
              <a:cs typeface="Avenir Book"/>
            </a:rPr>
            <a:t>					</a:t>
          </a:r>
        </a:p>
      </xdr:txBody>
    </xdr:sp>
    <xdr:clientData/>
  </xdr:twoCellAnchor>
  <xdr:twoCellAnchor>
    <xdr:from>
      <xdr:col>0</xdr:col>
      <xdr:colOff>104775</xdr:colOff>
      <xdr:row>35</xdr:row>
      <xdr:rowOff>133350</xdr:rowOff>
    </xdr:from>
    <xdr:to>
      <xdr:col>4</xdr:col>
      <xdr:colOff>570615</xdr:colOff>
      <xdr:row>38</xdr:row>
      <xdr:rowOff>333375</xdr:rowOff>
    </xdr:to>
    <xdr:sp macro="" textlink="">
      <xdr:nvSpPr>
        <xdr:cNvPr id="5" name="Text Box 1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4775" y="14401800"/>
          <a:ext cx="503784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Favor realizar pago a:</a:t>
          </a:r>
        </a:p>
        <a:p>
          <a:pPr algn="l" rtl="0">
            <a:defRPr sz="1000"/>
          </a:pPr>
          <a:r>
            <a:rPr lang="es-ES" sz="1050" b="1" i="0" strike="noStrike">
              <a:solidFill>
                <a:srgbClr val="000000"/>
              </a:solidFill>
              <a:latin typeface="Avenir Book"/>
              <a:cs typeface="Avenir Book"/>
            </a:rPr>
            <a:t>AGROFORESTAL, S.A</a:t>
          </a: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.</a:t>
          </a:r>
        </a:p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BANPRO (BANCO DE LA PRODUCCION S.A.)</a:t>
          </a:r>
        </a:p>
        <a:p>
          <a:pPr rtl="0"/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Cuenta No: </a:t>
          </a:r>
          <a:r>
            <a:rPr lang="en-US" sz="1200" b="1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10010012232059</a:t>
          </a:r>
          <a:r>
            <a:rPr lang="en-US" sz="1200" b="1" i="0" baseline="0">
              <a:effectLst/>
              <a:latin typeface="+mn-lt"/>
              <a:ea typeface="+mn-ea"/>
              <a:cs typeface="+mn-cs"/>
            </a:rPr>
            <a:t> (US $)</a:t>
          </a:r>
          <a:endParaRPr lang="es-NI" sz="1050">
            <a:effectLst/>
          </a:endParaRPr>
        </a:p>
        <a:p>
          <a:pPr algn="l" rtl="0">
            <a:defRPr sz="1000"/>
          </a:pPr>
          <a:r>
            <a:rPr lang="es-ES" sz="700" b="1" i="0" strike="noStrike">
              <a:solidFill>
                <a:srgbClr val="000000"/>
              </a:solidFill>
              <a:latin typeface="Century Gothic"/>
            </a:rPr>
            <a:t>			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66675</xdr:rowOff>
    </xdr:from>
    <xdr:to>
      <xdr:col>4</xdr:col>
      <xdr:colOff>1061509</xdr:colOff>
      <xdr:row>6</xdr:row>
      <xdr:rowOff>34334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114300" y="66675"/>
          <a:ext cx="5519209" cy="1253534"/>
        </a:xfrm>
        <a:prstGeom prst="rect">
          <a:avLst/>
        </a:prstGeom>
      </xdr:spPr>
    </xdr:pic>
    <xdr:clientData/>
  </xdr:twoCellAnchor>
  <xdr:twoCellAnchor editAs="oneCell">
    <xdr:from>
      <xdr:col>5</xdr:col>
      <xdr:colOff>1866901</xdr:colOff>
      <xdr:row>49</xdr:row>
      <xdr:rowOff>172746</xdr:rowOff>
    </xdr:from>
    <xdr:to>
      <xdr:col>9</xdr:col>
      <xdr:colOff>732368</xdr:colOff>
      <xdr:row>53</xdr:row>
      <xdr:rowOff>126408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7858126" y="17432046"/>
          <a:ext cx="4332817" cy="991887"/>
        </a:xfrm>
        <a:prstGeom prst="rect">
          <a:avLst/>
        </a:prstGeom>
      </xdr:spPr>
    </xdr:pic>
    <xdr:clientData/>
  </xdr:twoCellAnchor>
  <xdr:twoCellAnchor editAs="oneCell">
    <xdr:from>
      <xdr:col>4</xdr:col>
      <xdr:colOff>275170</xdr:colOff>
      <xdr:row>25</xdr:row>
      <xdr:rowOff>155442</xdr:rowOff>
    </xdr:from>
    <xdr:to>
      <xdr:col>5</xdr:col>
      <xdr:colOff>1907350</xdr:colOff>
      <xdr:row>25</xdr:row>
      <xdr:rowOff>1674515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5623390" y="4893138"/>
          <a:ext cx="1519073" cy="3050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odrigo@threeaccents,com" TargetMode="External"/><Relationship Id="rId1" Type="http://schemas.openxmlformats.org/officeDocument/2006/relationships/hyperlink" Target="mailto:rodrigo@threeaccents,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drigo@threeaccents,com" TargetMode="External"/><Relationship Id="rId1" Type="http://schemas.openxmlformats.org/officeDocument/2006/relationships/hyperlink" Target="mailto:rodrigo@threeaccents,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2"/>
  <sheetViews>
    <sheetView showGridLines="0" tabSelected="1" zoomScale="90" zoomScaleNormal="90" workbookViewId="0">
      <selection activeCell="B53" sqref="B53"/>
    </sheetView>
  </sheetViews>
  <sheetFormatPr baseColWidth="10" defaultColWidth="11.42578125" defaultRowHeight="15.75"/>
  <cols>
    <col min="1" max="1" width="12" style="2" customWidth="1"/>
    <col min="2" max="2" width="46" style="2" customWidth="1"/>
    <col min="3" max="3" width="6.42578125" style="2" customWidth="1"/>
    <col min="4" max="4" width="7.5703125" style="2" customWidth="1"/>
    <col min="5" max="5" width="11.7109375" style="2" customWidth="1"/>
    <col min="6" max="6" width="12.28515625" style="2" customWidth="1"/>
    <col min="7" max="8" width="12.7109375" style="2" customWidth="1"/>
    <col min="9" max="9" width="11.28515625" style="2" customWidth="1"/>
    <col min="10" max="10" width="12.42578125" style="2" customWidth="1"/>
    <col min="11" max="11" width="12" style="2" customWidth="1"/>
    <col min="12" max="12" width="12.5703125" style="2" customWidth="1"/>
    <col min="13" max="13" width="12.28515625" style="2" customWidth="1"/>
    <col min="14" max="14" width="14.85546875" style="2" bestFit="1" customWidth="1"/>
    <col min="15" max="15" width="12.5703125" style="2" hidden="1" customWidth="1"/>
    <col min="16" max="16" width="10.7109375" style="2" customWidth="1"/>
    <col min="17" max="16384" width="11.42578125" style="2"/>
  </cols>
  <sheetData>
    <row r="1" spans="1:15" ht="26.25">
      <c r="A1" s="327" t="s">
        <v>32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</row>
    <row r="2" spans="1:15" ht="23.25">
      <c r="A2" s="290" t="s">
        <v>162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1"/>
    </row>
    <row r="3" spans="1:15" ht="24" customHeight="1">
      <c r="A3" s="291" t="s">
        <v>163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1"/>
    </row>
    <row r="4" spans="1:15" ht="24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1"/>
    </row>
    <row r="5" spans="1:15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6" ht="21.75" thickBot="1">
      <c r="A18" s="3"/>
      <c r="B18" s="3"/>
      <c r="C18" s="3"/>
      <c r="D18" s="3"/>
      <c r="E18" s="4"/>
      <c r="F18" s="4"/>
      <c r="G18" s="5"/>
      <c r="H18" s="5"/>
      <c r="I18" s="6"/>
      <c r="J18" s="7"/>
      <c r="K18" s="6"/>
      <c r="L18" s="7"/>
      <c r="M18" s="5"/>
      <c r="N18" s="8"/>
      <c r="O18" s="8"/>
      <c r="P18" s="8"/>
    </row>
    <row r="19" spans="1:16" ht="21">
      <c r="A19" s="292" t="s">
        <v>0</v>
      </c>
      <c r="B19" s="293"/>
      <c r="C19" s="293"/>
      <c r="D19" s="293"/>
      <c r="E19" s="294">
        <f>+L31+L32+L34+L35+L36+L37+L38+L40+L41+L42+L43+L45+L46+L47+L48+L50+L52+L55+L56+L58+L59+L61</f>
        <v>0</v>
      </c>
      <c r="F19" s="295"/>
      <c r="G19" s="9">
        <f>+E19/N62</f>
        <v>0</v>
      </c>
      <c r="H19" s="5"/>
      <c r="I19" s="292" t="s">
        <v>77</v>
      </c>
      <c r="J19" s="293"/>
      <c r="K19" s="293"/>
      <c r="L19" s="293"/>
      <c r="M19" s="296">
        <f>+Wood!Q9</f>
        <v>1150.9999999999998</v>
      </c>
      <c r="N19" s="297"/>
      <c r="O19" s="8"/>
      <c r="P19" s="8"/>
    </row>
    <row r="20" spans="1:16" ht="21.75" thickBot="1">
      <c r="A20" s="298" t="s">
        <v>1</v>
      </c>
      <c r="B20" s="299"/>
      <c r="C20" s="299"/>
      <c r="D20" s="299"/>
      <c r="E20" s="300">
        <f>+J31+J32+J34+J35+J36+J37+J38+J40+J41+J42+J43+J45+J46+J47+J48+J50+J52+J55+J56+J58+J59+J61+J51+J53</f>
        <v>1716.3000000000002</v>
      </c>
      <c r="F20" s="301"/>
      <c r="G20" s="9">
        <f>+E20/N62</f>
        <v>0.21141841765700403</v>
      </c>
      <c r="H20" s="5"/>
      <c r="I20" s="304" t="s">
        <v>78</v>
      </c>
      <c r="J20" s="305"/>
      <c r="K20" s="305"/>
      <c r="L20" s="305"/>
      <c r="M20" s="325">
        <f>+N66/12</f>
        <v>920.04349999999988</v>
      </c>
      <c r="N20" s="326"/>
      <c r="O20" s="8"/>
      <c r="P20" s="8"/>
    </row>
    <row r="21" spans="1:16" ht="21">
      <c r="A21" s="298" t="s">
        <v>2</v>
      </c>
      <c r="B21" s="299"/>
      <c r="C21" s="299"/>
      <c r="D21" s="299"/>
      <c r="E21" s="300">
        <f>+K31+K32+K34+K35+K36+K37+K38+K40+K41+K42+K43+K45+K46+K47+K48+K50+K52+K55+K56+K58+K59+K61+K51+K53</f>
        <v>5067.7249999999995</v>
      </c>
      <c r="F21" s="301"/>
      <c r="G21" s="9">
        <f>+E21/N62</f>
        <v>0.62425589968003292</v>
      </c>
      <c r="H21" s="5"/>
      <c r="I21" s="6"/>
      <c r="J21" s="302"/>
      <c r="K21" s="303"/>
      <c r="L21" s="7"/>
      <c r="M21" s="302"/>
      <c r="N21" s="302"/>
      <c r="O21" s="8"/>
      <c r="P21" s="8"/>
    </row>
    <row r="22" spans="1:16" ht="21.75" thickBot="1">
      <c r="A22" s="304" t="s">
        <v>3</v>
      </c>
      <c r="B22" s="305"/>
      <c r="C22" s="305"/>
      <c r="D22" s="305"/>
      <c r="E22" s="314">
        <f>+M31+M32+M34+M35+M37+M36+M38+M40+M41+M42+M43+M45+M46+M47+M48+M52+M50+M55+M56+M58+M59+M61+M51+M53</f>
        <v>1334</v>
      </c>
      <c r="F22" s="315"/>
      <c r="G22" s="9">
        <f>+E22/N62</f>
        <v>0.16432568266296299</v>
      </c>
      <c r="H22" s="5"/>
      <c r="I22" s="6"/>
      <c r="J22" s="302"/>
      <c r="K22" s="303"/>
      <c r="L22" s="7"/>
      <c r="M22" s="302"/>
      <c r="N22" s="302"/>
      <c r="O22" s="8"/>
      <c r="P22" s="8"/>
    </row>
    <row r="23" spans="1:16" ht="21.75" thickBot="1">
      <c r="A23" s="316" t="s">
        <v>4</v>
      </c>
      <c r="B23" s="317"/>
      <c r="C23" s="317"/>
      <c r="D23" s="317"/>
      <c r="E23" s="318">
        <f>+E19+E20+E21+E22</f>
        <v>8118.0249999999996</v>
      </c>
      <c r="F23" s="319"/>
      <c r="G23" s="9">
        <f>+G19+G20+G21+G22</f>
        <v>0.99999999999999989</v>
      </c>
      <c r="H23" s="5"/>
      <c r="I23" s="6"/>
      <c r="J23" s="6"/>
      <c r="K23" s="7"/>
      <c r="L23" s="7"/>
      <c r="M23" s="6"/>
      <c r="N23" s="6"/>
      <c r="O23" s="8"/>
      <c r="P23" s="8"/>
    </row>
    <row r="24" spans="1:16" ht="21.75" thickBot="1">
      <c r="A24" s="337"/>
      <c r="B24" s="337"/>
      <c r="C24" s="33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6" ht="16.5" thickBot="1">
      <c r="A25" s="338" t="s">
        <v>5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40"/>
      <c r="O25" s="10"/>
    </row>
    <row r="26" spans="1:16">
      <c r="A26" s="311" t="s">
        <v>6</v>
      </c>
      <c r="B26" s="312" t="s">
        <v>7</v>
      </c>
      <c r="C26" s="312" t="s">
        <v>8</v>
      </c>
      <c r="D26" s="320" t="s">
        <v>9</v>
      </c>
      <c r="E26" s="309" t="s">
        <v>10</v>
      </c>
      <c r="F26" s="310"/>
      <c r="G26" s="310"/>
      <c r="H26" s="310"/>
      <c r="I26" s="310"/>
      <c r="J26" s="311" t="s">
        <v>11</v>
      </c>
      <c r="K26" s="312"/>
      <c r="L26" s="312"/>
      <c r="M26" s="312"/>
      <c r="N26" s="313"/>
      <c r="O26" s="11"/>
    </row>
    <row r="27" spans="1:16" ht="26.25" thickBot="1">
      <c r="A27" s="341"/>
      <c r="B27" s="342"/>
      <c r="C27" s="342"/>
      <c r="D27" s="321"/>
      <c r="E27" s="12" t="s">
        <v>12</v>
      </c>
      <c r="F27" s="13" t="s">
        <v>13</v>
      </c>
      <c r="G27" s="13" t="s">
        <v>14</v>
      </c>
      <c r="H27" s="13" t="s">
        <v>15</v>
      </c>
      <c r="I27" s="14" t="s">
        <v>16</v>
      </c>
      <c r="J27" s="12" t="s">
        <v>12</v>
      </c>
      <c r="K27" s="13" t="s">
        <v>13</v>
      </c>
      <c r="L27" s="13" t="s">
        <v>14</v>
      </c>
      <c r="M27" s="13" t="s">
        <v>15</v>
      </c>
      <c r="N27" s="15" t="s">
        <v>17</v>
      </c>
      <c r="O27" s="16"/>
    </row>
    <row r="28" spans="1:16" ht="9.75" customHeight="1" thickBot="1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30"/>
      <c r="O28" s="17"/>
    </row>
    <row r="29" spans="1:16" ht="24" thickBot="1">
      <c r="A29" s="331" t="s">
        <v>33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3"/>
      <c r="O29" s="17"/>
    </row>
    <row r="30" spans="1:16" ht="16.5" thickBot="1">
      <c r="A30" s="18" t="s">
        <v>166</v>
      </c>
      <c r="B30" s="322" t="s">
        <v>34</v>
      </c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4"/>
      <c r="N30" s="19">
        <f>SUM(N31:N32)</f>
        <v>1132.2999999999997</v>
      </c>
      <c r="O30" s="17"/>
      <c r="P30" s="21">
        <f>+N30/N62</f>
        <v>0.13947973799045948</v>
      </c>
    </row>
    <row r="31" spans="1:16" ht="30">
      <c r="A31" s="22" t="s">
        <v>167</v>
      </c>
      <c r="B31" s="236" t="s">
        <v>61</v>
      </c>
      <c r="C31" s="23" t="s">
        <v>21</v>
      </c>
      <c r="D31" s="24">
        <f>+Wood!Q10</f>
        <v>338</v>
      </c>
      <c r="E31" s="25">
        <v>0.5</v>
      </c>
      <c r="F31" s="25">
        <v>1.2</v>
      </c>
      <c r="G31" s="25">
        <v>0</v>
      </c>
      <c r="H31" s="25">
        <v>0</v>
      </c>
      <c r="I31" s="25">
        <f>+E31+F31+G31+H31</f>
        <v>1.7</v>
      </c>
      <c r="J31" s="25">
        <f>+E31*D31</f>
        <v>169</v>
      </c>
      <c r="K31" s="25">
        <f>+F31*D31</f>
        <v>405.59999999999997</v>
      </c>
      <c r="L31" s="25">
        <f>+G31*D31</f>
        <v>0</v>
      </c>
      <c r="M31" s="25">
        <f>+H31*D31</f>
        <v>0</v>
      </c>
      <c r="N31" s="26">
        <f>+J31+K31+L31+M31</f>
        <v>574.59999999999991</v>
      </c>
      <c r="O31" s="17"/>
    </row>
    <row r="32" spans="1:16" ht="30.75" thickBot="1">
      <c r="A32" s="88" t="s">
        <v>168</v>
      </c>
      <c r="B32" s="237" t="s">
        <v>62</v>
      </c>
      <c r="C32" s="89" t="s">
        <v>21</v>
      </c>
      <c r="D32" s="90">
        <f>+D31</f>
        <v>338</v>
      </c>
      <c r="E32" s="91">
        <v>0.45</v>
      </c>
      <c r="F32" s="91">
        <v>1.2</v>
      </c>
      <c r="G32" s="91">
        <v>0</v>
      </c>
      <c r="H32" s="91">
        <v>0</v>
      </c>
      <c r="I32" s="91">
        <f>+E32+F32+G32+H32</f>
        <v>1.65</v>
      </c>
      <c r="J32" s="91">
        <f>+E32*D32</f>
        <v>152.1</v>
      </c>
      <c r="K32" s="91">
        <f>+F32*D32</f>
        <v>405.59999999999997</v>
      </c>
      <c r="L32" s="91">
        <f>+G32*D32</f>
        <v>0</v>
      </c>
      <c r="M32" s="91">
        <f>+H32*D32</f>
        <v>0</v>
      </c>
      <c r="N32" s="92">
        <f>+J32+K32+L32+M32</f>
        <v>557.69999999999993</v>
      </c>
      <c r="O32" s="17"/>
    </row>
    <row r="33" spans="1:16" ht="16.5" thickBot="1">
      <c r="A33" s="18" t="s">
        <v>169</v>
      </c>
      <c r="B33" s="322" t="s">
        <v>31</v>
      </c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19">
        <f>SUM(N34:N38)</f>
        <v>1471.4983333333332</v>
      </c>
      <c r="O33" s="17"/>
      <c r="P33" s="21">
        <f>+N33/N62</f>
        <v>0.18126309457452192</v>
      </c>
    </row>
    <row r="34" spans="1:16" ht="45">
      <c r="A34" s="22" t="s">
        <v>170</v>
      </c>
      <c r="B34" s="236" t="s">
        <v>63</v>
      </c>
      <c r="C34" s="93" t="s">
        <v>21</v>
      </c>
      <c r="D34" s="24">
        <f>+Wood!Q12</f>
        <v>386.66666666666663</v>
      </c>
      <c r="E34" s="25">
        <v>0.5</v>
      </c>
      <c r="F34" s="25">
        <v>1.2</v>
      </c>
      <c r="G34" s="25">
        <v>0</v>
      </c>
      <c r="H34" s="25">
        <v>0</v>
      </c>
      <c r="I34" s="25">
        <f t="shared" ref="I34:I38" si="0">+E34+F34+G34+H34</f>
        <v>1.7</v>
      </c>
      <c r="J34" s="25">
        <f t="shared" ref="J34:J38" si="1">+E34*D34</f>
        <v>193.33333333333331</v>
      </c>
      <c r="K34" s="25">
        <f t="shared" ref="K34:K38" si="2">+F34*D34</f>
        <v>463.99999999999994</v>
      </c>
      <c r="L34" s="25">
        <f t="shared" ref="L34:L38" si="3">+G34*D34</f>
        <v>0</v>
      </c>
      <c r="M34" s="25">
        <f t="shared" ref="M34:M38" si="4">+H34*D34</f>
        <v>0</v>
      </c>
      <c r="N34" s="26">
        <f t="shared" ref="N34:N38" si="5">+J34+K34+L34+M34</f>
        <v>657.33333333333326</v>
      </c>
      <c r="O34" s="17"/>
    </row>
    <row r="35" spans="1:16" ht="45">
      <c r="A35" s="27" t="s">
        <v>171</v>
      </c>
      <c r="B35" s="215" t="s">
        <v>64</v>
      </c>
      <c r="C35" s="36" t="s">
        <v>21</v>
      </c>
      <c r="D35" s="30">
        <f>+D34</f>
        <v>386.66666666666663</v>
      </c>
      <c r="E35" s="31">
        <v>0.2</v>
      </c>
      <c r="F35" s="31">
        <v>0.1</v>
      </c>
      <c r="G35" s="31">
        <v>0</v>
      </c>
      <c r="H35" s="31">
        <v>0</v>
      </c>
      <c r="I35" s="31">
        <f t="shared" si="0"/>
        <v>0.30000000000000004</v>
      </c>
      <c r="J35" s="31">
        <f t="shared" si="1"/>
        <v>77.333333333333329</v>
      </c>
      <c r="K35" s="31">
        <f t="shared" si="2"/>
        <v>38.666666666666664</v>
      </c>
      <c r="L35" s="31">
        <f t="shared" si="3"/>
        <v>0</v>
      </c>
      <c r="M35" s="31">
        <f t="shared" si="4"/>
        <v>0</v>
      </c>
      <c r="N35" s="32">
        <f t="shared" si="5"/>
        <v>116</v>
      </c>
      <c r="O35" s="17"/>
    </row>
    <row r="36" spans="1:16">
      <c r="A36" s="27" t="s">
        <v>172</v>
      </c>
      <c r="B36" s="215" t="s">
        <v>58</v>
      </c>
      <c r="C36" s="36" t="s">
        <v>59</v>
      </c>
      <c r="D36" s="30">
        <v>1</v>
      </c>
      <c r="E36" s="31">
        <v>20</v>
      </c>
      <c r="F36" s="31">
        <v>40</v>
      </c>
      <c r="G36" s="31">
        <v>0</v>
      </c>
      <c r="H36" s="31">
        <v>0</v>
      </c>
      <c r="I36" s="31">
        <f t="shared" si="0"/>
        <v>60</v>
      </c>
      <c r="J36" s="31">
        <f t="shared" si="1"/>
        <v>20</v>
      </c>
      <c r="K36" s="31">
        <f t="shared" si="2"/>
        <v>40</v>
      </c>
      <c r="L36" s="31">
        <f t="shared" si="3"/>
        <v>0</v>
      </c>
      <c r="M36" s="31">
        <f t="shared" si="4"/>
        <v>0</v>
      </c>
      <c r="N36" s="32">
        <f t="shared" si="5"/>
        <v>60</v>
      </c>
      <c r="O36" s="17"/>
    </row>
    <row r="37" spans="1:16" ht="30">
      <c r="A37" s="27" t="s">
        <v>173</v>
      </c>
      <c r="B37" s="215" t="s">
        <v>90</v>
      </c>
      <c r="C37" s="29" t="s">
        <v>19</v>
      </c>
      <c r="D37" s="30">
        <v>12.92</v>
      </c>
      <c r="E37" s="31">
        <v>5.5</v>
      </c>
      <c r="F37" s="31">
        <v>26.5</v>
      </c>
      <c r="G37" s="31">
        <v>0</v>
      </c>
      <c r="H37" s="31">
        <v>0</v>
      </c>
      <c r="I37" s="31">
        <f t="shared" si="0"/>
        <v>32</v>
      </c>
      <c r="J37" s="31">
        <f t="shared" si="1"/>
        <v>71.06</v>
      </c>
      <c r="K37" s="31">
        <f t="shared" si="2"/>
        <v>342.38</v>
      </c>
      <c r="L37" s="31">
        <f t="shared" si="3"/>
        <v>0</v>
      </c>
      <c r="M37" s="31">
        <f t="shared" si="4"/>
        <v>0</v>
      </c>
      <c r="N37" s="32">
        <f t="shared" si="5"/>
        <v>413.44</v>
      </c>
      <c r="O37" s="17"/>
      <c r="P37" s="100"/>
    </row>
    <row r="38" spans="1:16" ht="30.75" thickBot="1">
      <c r="A38" s="88" t="s">
        <v>174</v>
      </c>
      <c r="B38" s="238" t="s">
        <v>60</v>
      </c>
      <c r="C38" s="94" t="s">
        <v>19</v>
      </c>
      <c r="D38" s="90">
        <v>5.05</v>
      </c>
      <c r="E38" s="91">
        <v>12</v>
      </c>
      <c r="F38" s="91">
        <v>32.5</v>
      </c>
      <c r="G38" s="91">
        <v>0</v>
      </c>
      <c r="H38" s="91">
        <v>0</v>
      </c>
      <c r="I38" s="91">
        <f t="shared" si="0"/>
        <v>44.5</v>
      </c>
      <c r="J38" s="91">
        <f t="shared" si="1"/>
        <v>60.599999999999994</v>
      </c>
      <c r="K38" s="91">
        <f t="shared" si="2"/>
        <v>164.125</v>
      </c>
      <c r="L38" s="91">
        <f t="shared" si="3"/>
        <v>0</v>
      </c>
      <c r="M38" s="91">
        <f t="shared" si="4"/>
        <v>0</v>
      </c>
      <c r="N38" s="92">
        <f t="shared" si="5"/>
        <v>224.72499999999999</v>
      </c>
      <c r="O38" s="17"/>
    </row>
    <row r="39" spans="1:16" ht="16.5" thickBot="1">
      <c r="A39" s="97" t="s">
        <v>175</v>
      </c>
      <c r="B39" s="334" t="s">
        <v>18</v>
      </c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6"/>
      <c r="N39" s="98">
        <f>SUM(N40:N43)</f>
        <v>1985.6</v>
      </c>
      <c r="O39" s="20"/>
      <c r="P39" s="21">
        <f>+N39/N62</f>
        <v>0.24459151086625133</v>
      </c>
    </row>
    <row r="40" spans="1:16" ht="45">
      <c r="A40" s="22" t="s">
        <v>176</v>
      </c>
      <c r="B40" s="236" t="s">
        <v>72</v>
      </c>
      <c r="C40" s="93" t="s">
        <v>21</v>
      </c>
      <c r="D40" s="24">
        <f>+Wood!Q20</f>
        <v>310</v>
      </c>
      <c r="E40" s="25">
        <v>0.5</v>
      </c>
      <c r="F40" s="25">
        <v>1.2</v>
      </c>
      <c r="G40" s="25">
        <v>0</v>
      </c>
      <c r="H40" s="25">
        <v>0</v>
      </c>
      <c r="I40" s="25">
        <f t="shared" ref="I40:I43" si="6">+E40+F40+G40+H40</f>
        <v>1.7</v>
      </c>
      <c r="J40" s="25">
        <f t="shared" ref="J40:J43" si="7">+E40*D40</f>
        <v>155</v>
      </c>
      <c r="K40" s="25">
        <f t="shared" ref="K40:K43" si="8">+F40*D40</f>
        <v>372</v>
      </c>
      <c r="L40" s="25">
        <f t="shared" ref="L40:L43" si="9">+G40*D40</f>
        <v>0</v>
      </c>
      <c r="M40" s="25">
        <f t="shared" ref="M40:M43" si="10">+H40*D40</f>
        <v>0</v>
      </c>
      <c r="N40" s="26">
        <f t="shared" ref="N40:N43" si="11">+J40+K40+L40+M40</f>
        <v>527</v>
      </c>
      <c r="O40" s="20"/>
      <c r="P40" s="21"/>
    </row>
    <row r="41" spans="1:16" ht="45">
      <c r="A41" s="27" t="s">
        <v>177</v>
      </c>
      <c r="B41" s="215" t="s">
        <v>73</v>
      </c>
      <c r="C41" s="29" t="s">
        <v>21</v>
      </c>
      <c r="D41" s="30">
        <f>+D40</f>
        <v>310</v>
      </c>
      <c r="E41" s="31">
        <v>0.2</v>
      </c>
      <c r="F41" s="31">
        <v>0.1</v>
      </c>
      <c r="G41" s="31">
        <v>0</v>
      </c>
      <c r="H41" s="31">
        <v>0</v>
      </c>
      <c r="I41" s="31">
        <f t="shared" si="6"/>
        <v>0.30000000000000004</v>
      </c>
      <c r="J41" s="31">
        <f t="shared" si="7"/>
        <v>62</v>
      </c>
      <c r="K41" s="31">
        <f t="shared" si="8"/>
        <v>31</v>
      </c>
      <c r="L41" s="31">
        <f t="shared" si="9"/>
        <v>0</v>
      </c>
      <c r="M41" s="31">
        <f t="shared" si="10"/>
        <v>0</v>
      </c>
      <c r="N41" s="32">
        <f t="shared" si="11"/>
        <v>93</v>
      </c>
      <c r="O41" s="20"/>
      <c r="P41" s="21"/>
    </row>
    <row r="42" spans="1:16">
      <c r="A42" s="27" t="s">
        <v>178</v>
      </c>
      <c r="B42" s="215" t="s">
        <v>65</v>
      </c>
      <c r="C42" s="29" t="s">
        <v>20</v>
      </c>
      <c r="D42" s="30">
        <v>1</v>
      </c>
      <c r="E42" s="31">
        <v>20</v>
      </c>
      <c r="F42" s="31">
        <v>40</v>
      </c>
      <c r="G42" s="31">
        <v>0</v>
      </c>
      <c r="H42" s="31">
        <v>0</v>
      </c>
      <c r="I42" s="31">
        <f t="shared" si="6"/>
        <v>60</v>
      </c>
      <c r="J42" s="31">
        <f t="shared" si="7"/>
        <v>20</v>
      </c>
      <c r="K42" s="31">
        <f t="shared" si="8"/>
        <v>40</v>
      </c>
      <c r="L42" s="31">
        <f t="shared" si="9"/>
        <v>0</v>
      </c>
      <c r="M42" s="31">
        <f t="shared" si="10"/>
        <v>0</v>
      </c>
      <c r="N42" s="32">
        <f t="shared" si="11"/>
        <v>60</v>
      </c>
      <c r="O42" s="20"/>
      <c r="P42" s="21"/>
    </row>
    <row r="43" spans="1:16" ht="30.75" thickBot="1">
      <c r="A43" s="230" t="s">
        <v>179</v>
      </c>
      <c r="B43" s="239" t="s">
        <v>66</v>
      </c>
      <c r="C43" s="231" t="s">
        <v>19</v>
      </c>
      <c r="D43" s="232">
        <f>33.8+4.4+2.6</f>
        <v>40.799999999999997</v>
      </c>
      <c r="E43" s="233">
        <v>5.5</v>
      </c>
      <c r="F43" s="233">
        <v>26.5</v>
      </c>
      <c r="G43" s="233">
        <v>0</v>
      </c>
      <c r="H43" s="233">
        <v>0</v>
      </c>
      <c r="I43" s="233">
        <f t="shared" si="6"/>
        <v>32</v>
      </c>
      <c r="J43" s="233">
        <f t="shared" si="7"/>
        <v>224.39999999999998</v>
      </c>
      <c r="K43" s="233">
        <f t="shared" si="8"/>
        <v>1081.1999999999998</v>
      </c>
      <c r="L43" s="233">
        <f t="shared" si="9"/>
        <v>0</v>
      </c>
      <c r="M43" s="233">
        <f t="shared" si="10"/>
        <v>0</v>
      </c>
      <c r="N43" s="234">
        <f t="shared" si="11"/>
        <v>1305.5999999999999</v>
      </c>
      <c r="O43" s="20"/>
      <c r="P43" s="21"/>
    </row>
    <row r="44" spans="1:16" ht="16.5" thickBot="1">
      <c r="A44" s="18" t="s">
        <v>180</v>
      </c>
      <c r="B44" s="322" t="s">
        <v>22</v>
      </c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19">
        <f>SUM(N45:N48)</f>
        <v>1319.6266666666666</v>
      </c>
      <c r="O44" s="20"/>
      <c r="P44" s="21">
        <f>+N44/N62</f>
        <v>0.16255513707664937</v>
      </c>
    </row>
    <row r="45" spans="1:16" ht="60">
      <c r="A45" s="22" t="s">
        <v>181</v>
      </c>
      <c r="B45" s="236" t="s">
        <v>75</v>
      </c>
      <c r="C45" s="33" t="s">
        <v>21</v>
      </c>
      <c r="D45" s="24">
        <f>+Wood!Q38</f>
        <v>116.33333333333333</v>
      </c>
      <c r="E45" s="25">
        <v>0.5</v>
      </c>
      <c r="F45" s="25">
        <v>1.2</v>
      </c>
      <c r="G45" s="25">
        <v>0</v>
      </c>
      <c r="H45" s="25">
        <v>0</v>
      </c>
      <c r="I45" s="25">
        <f>+E45+F45+G45+H45</f>
        <v>1.7</v>
      </c>
      <c r="J45" s="25">
        <f>+E45*D45</f>
        <v>58.166666666666664</v>
      </c>
      <c r="K45" s="25">
        <f>+F45*D45</f>
        <v>139.6</v>
      </c>
      <c r="L45" s="25">
        <f>+G45*D45</f>
        <v>0</v>
      </c>
      <c r="M45" s="25">
        <f>+H45*D45</f>
        <v>0</v>
      </c>
      <c r="N45" s="26">
        <f>+J45+K45+L45+M45</f>
        <v>197.76666666666665</v>
      </c>
      <c r="O45" s="28"/>
    </row>
    <row r="46" spans="1:16" ht="75">
      <c r="A46" s="27" t="s">
        <v>182</v>
      </c>
      <c r="B46" s="215" t="s">
        <v>76</v>
      </c>
      <c r="C46" s="34" t="s">
        <v>21</v>
      </c>
      <c r="D46" s="30">
        <f>+D45</f>
        <v>116.33333333333333</v>
      </c>
      <c r="E46" s="31">
        <v>0.2</v>
      </c>
      <c r="F46" s="31">
        <v>0.1</v>
      </c>
      <c r="G46" s="31">
        <v>0</v>
      </c>
      <c r="H46" s="31">
        <v>0</v>
      </c>
      <c r="I46" s="31">
        <f>+E46+F46+G46+H46</f>
        <v>0.30000000000000004</v>
      </c>
      <c r="J46" s="31">
        <f>+E46*D46</f>
        <v>23.266666666666666</v>
      </c>
      <c r="K46" s="31">
        <f>+F46*D46</f>
        <v>11.633333333333333</v>
      </c>
      <c r="L46" s="31">
        <f>+G46*D46</f>
        <v>0</v>
      </c>
      <c r="M46" s="31">
        <f>+H46*D46</f>
        <v>0</v>
      </c>
      <c r="N46" s="32">
        <f>+J46+K46+L46+M46</f>
        <v>34.9</v>
      </c>
      <c r="O46" s="28"/>
      <c r="P46" s="35"/>
    </row>
    <row r="47" spans="1:16">
      <c r="A47" s="27" t="s">
        <v>183</v>
      </c>
      <c r="B47" s="215" t="s">
        <v>23</v>
      </c>
      <c r="C47" s="36" t="s">
        <v>20</v>
      </c>
      <c r="D47" s="30">
        <v>1</v>
      </c>
      <c r="E47" s="31">
        <v>20</v>
      </c>
      <c r="F47" s="31">
        <v>40</v>
      </c>
      <c r="G47" s="31">
        <v>0</v>
      </c>
      <c r="H47" s="31">
        <v>0</v>
      </c>
      <c r="I47" s="31">
        <f>+E47+F47+G47+H47</f>
        <v>60</v>
      </c>
      <c r="J47" s="31">
        <f>+E47*D47</f>
        <v>20</v>
      </c>
      <c r="K47" s="31">
        <f>+F47*D47</f>
        <v>40</v>
      </c>
      <c r="L47" s="31">
        <f>+G47*D47</f>
        <v>0</v>
      </c>
      <c r="M47" s="31">
        <f>+H47*D47</f>
        <v>0</v>
      </c>
      <c r="N47" s="32">
        <f>+J47+K47+L47+M47</f>
        <v>60</v>
      </c>
      <c r="O47" s="28"/>
    </row>
    <row r="48" spans="1:16" ht="18" thickBot="1">
      <c r="A48" s="27" t="s">
        <v>184</v>
      </c>
      <c r="B48" s="240" t="s">
        <v>132</v>
      </c>
      <c r="C48" s="207" t="s">
        <v>19</v>
      </c>
      <c r="D48" s="37">
        <v>23.34</v>
      </c>
      <c r="E48" s="208">
        <v>6</v>
      </c>
      <c r="F48" s="208">
        <v>38</v>
      </c>
      <c r="G48" s="44">
        <v>0</v>
      </c>
      <c r="H48" s="44">
        <v>0</v>
      </c>
      <c r="I48" s="44">
        <f t="shared" ref="I48" si="12">+E48+F48+G48+H48</f>
        <v>44</v>
      </c>
      <c r="J48" s="91">
        <f t="shared" ref="J48" si="13">+E48*D48</f>
        <v>140.04</v>
      </c>
      <c r="K48" s="91">
        <f t="shared" ref="K48" si="14">+F48*D48</f>
        <v>886.92</v>
      </c>
      <c r="L48" s="91">
        <f t="shared" ref="L48" si="15">+G48*D48</f>
        <v>0</v>
      </c>
      <c r="M48" s="91">
        <f t="shared" ref="M48" si="16">+H48*D48</f>
        <v>0</v>
      </c>
      <c r="N48" s="92">
        <f t="shared" ref="N48" si="17">+J48+K48+L48+M48</f>
        <v>1026.96</v>
      </c>
      <c r="O48" s="28"/>
    </row>
    <row r="49" spans="1:16" ht="16.5" thickBot="1">
      <c r="A49" s="18" t="s">
        <v>185</v>
      </c>
      <c r="B49" s="322" t="s">
        <v>24</v>
      </c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4"/>
      <c r="N49" s="19">
        <f>SUM(N50:N53)</f>
        <v>1489</v>
      </c>
      <c r="O49" s="20"/>
      <c r="P49" s="21">
        <f>+N49/N62</f>
        <v>0.18341899661555613</v>
      </c>
    </row>
    <row r="50" spans="1:16" ht="45">
      <c r="A50" s="22" t="s">
        <v>186</v>
      </c>
      <c r="B50" s="236" t="s">
        <v>165</v>
      </c>
      <c r="C50" s="33" t="s">
        <v>25</v>
      </c>
      <c r="D50" s="38">
        <v>1</v>
      </c>
      <c r="E50" s="39">
        <v>0</v>
      </c>
      <c r="F50" s="39">
        <v>0</v>
      </c>
      <c r="G50" s="39">
        <v>0</v>
      </c>
      <c r="H50" s="39">
        <f>840-80</f>
        <v>760</v>
      </c>
      <c r="I50" s="39">
        <f>+E50+F50+G50+H50</f>
        <v>760</v>
      </c>
      <c r="J50" s="39">
        <f>+E50*D50</f>
        <v>0</v>
      </c>
      <c r="K50" s="39">
        <f>+F50*D50</f>
        <v>0</v>
      </c>
      <c r="L50" s="39">
        <f>+G50*D50</f>
        <v>0</v>
      </c>
      <c r="M50" s="39">
        <f>+H50*D50</f>
        <v>760</v>
      </c>
      <c r="N50" s="40">
        <f>+I50*D50</f>
        <v>760</v>
      </c>
      <c r="O50" s="28"/>
    </row>
    <row r="51" spans="1:16" ht="75">
      <c r="A51" s="206" t="s">
        <v>187</v>
      </c>
      <c r="B51" s="219" t="s">
        <v>219</v>
      </c>
      <c r="C51" s="260" t="s">
        <v>25</v>
      </c>
      <c r="D51" s="261">
        <v>1</v>
      </c>
      <c r="E51" s="262">
        <v>30</v>
      </c>
      <c r="F51" s="262">
        <v>125</v>
      </c>
      <c r="G51" s="262">
        <v>0</v>
      </c>
      <c r="H51" s="262">
        <v>0</v>
      </c>
      <c r="I51" s="262">
        <f>+E51+F51+G51+H51</f>
        <v>155</v>
      </c>
      <c r="J51" s="262">
        <f>+E51*D51</f>
        <v>30</v>
      </c>
      <c r="K51" s="262">
        <f>+F51*D51</f>
        <v>125</v>
      </c>
      <c r="L51" s="262">
        <f>+G51*D51</f>
        <v>0</v>
      </c>
      <c r="M51" s="262">
        <f>+H51*D51</f>
        <v>0</v>
      </c>
      <c r="N51" s="263">
        <f>+I51*D51</f>
        <v>155</v>
      </c>
      <c r="O51" s="28"/>
    </row>
    <row r="52" spans="1:16" ht="45">
      <c r="A52" s="27" t="s">
        <v>217</v>
      </c>
      <c r="B52" s="241" t="s">
        <v>164</v>
      </c>
      <c r="C52" s="34" t="s">
        <v>25</v>
      </c>
      <c r="D52" s="41">
        <v>3</v>
      </c>
      <c r="E52" s="42">
        <v>0</v>
      </c>
      <c r="F52" s="42">
        <v>0</v>
      </c>
      <c r="G52" s="42">
        <v>0</v>
      </c>
      <c r="H52" s="42">
        <v>163</v>
      </c>
      <c r="I52" s="42">
        <f>+E52+F52+G52+H52</f>
        <v>163</v>
      </c>
      <c r="J52" s="42">
        <f>+E52*D52</f>
        <v>0</v>
      </c>
      <c r="K52" s="42">
        <f>+F52*D52</f>
        <v>0</v>
      </c>
      <c r="L52" s="42">
        <f>+G52*D52</f>
        <v>0</v>
      </c>
      <c r="M52" s="42">
        <f>+H52*D52</f>
        <v>489</v>
      </c>
      <c r="N52" s="43">
        <f>+I52*D52</f>
        <v>489</v>
      </c>
      <c r="O52" s="28"/>
    </row>
    <row r="53" spans="1:16" ht="45.75" thickBot="1">
      <c r="A53" s="27" t="s">
        <v>218</v>
      </c>
      <c r="B53" s="256" t="s">
        <v>216</v>
      </c>
      <c r="C53" s="257" t="s">
        <v>25</v>
      </c>
      <c r="D53" s="258">
        <v>1</v>
      </c>
      <c r="E53" s="44">
        <v>0</v>
      </c>
      <c r="F53" s="44">
        <v>0</v>
      </c>
      <c r="G53" s="44">
        <v>0</v>
      </c>
      <c r="H53" s="44">
        <v>85</v>
      </c>
      <c r="I53" s="44">
        <f>+E53+F53+G53+H53</f>
        <v>85</v>
      </c>
      <c r="J53" s="44">
        <f>+E53*D53</f>
        <v>0</v>
      </c>
      <c r="K53" s="44">
        <f>+F53*D53</f>
        <v>0</v>
      </c>
      <c r="L53" s="44">
        <f>+G53*D53</f>
        <v>0</v>
      </c>
      <c r="M53" s="44">
        <f>+H53*D53</f>
        <v>85</v>
      </c>
      <c r="N53" s="259">
        <f>+I53*D53</f>
        <v>85</v>
      </c>
      <c r="O53" s="28"/>
    </row>
    <row r="54" spans="1:16" ht="16.5" thickBot="1">
      <c r="A54" s="18" t="s">
        <v>188</v>
      </c>
      <c r="B54" s="322" t="s">
        <v>79</v>
      </c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4"/>
      <c r="N54" s="19">
        <f>SUM(N55:N56)</f>
        <v>380</v>
      </c>
      <c r="O54" s="28"/>
      <c r="P54" s="21">
        <f>+N54/N62</f>
        <v>4.6809414851518689E-2</v>
      </c>
    </row>
    <row r="55" spans="1:16">
      <c r="A55" s="22" t="s">
        <v>189</v>
      </c>
      <c r="B55" s="242" t="s">
        <v>80</v>
      </c>
      <c r="C55" s="23" t="s">
        <v>20</v>
      </c>
      <c r="D55" s="24">
        <v>1</v>
      </c>
      <c r="E55" s="25">
        <v>130</v>
      </c>
      <c r="F55" s="25">
        <v>125</v>
      </c>
      <c r="G55" s="25">
        <v>0</v>
      </c>
      <c r="H55" s="25">
        <v>0</v>
      </c>
      <c r="I55" s="25">
        <f>+E55+F55+G55+H55</f>
        <v>255</v>
      </c>
      <c r="J55" s="25">
        <f>+E55*D55</f>
        <v>130</v>
      </c>
      <c r="K55" s="25">
        <f>+F55*D55</f>
        <v>125</v>
      </c>
      <c r="L55" s="25">
        <f>+G55*D55</f>
        <v>0</v>
      </c>
      <c r="M55" s="25">
        <f>+H55*D55</f>
        <v>0</v>
      </c>
      <c r="N55" s="26">
        <f t="shared" ref="N55:N56" si="18">+J55+K55+L55+M55</f>
        <v>255</v>
      </c>
      <c r="O55" s="28"/>
    </row>
    <row r="56" spans="1:16" ht="16.5" thickBot="1">
      <c r="A56" s="88" t="s">
        <v>190</v>
      </c>
      <c r="B56" s="217" t="s">
        <v>81</v>
      </c>
      <c r="C56" s="89" t="s">
        <v>59</v>
      </c>
      <c r="D56" s="90">
        <v>1</v>
      </c>
      <c r="E56" s="91">
        <v>30</v>
      </c>
      <c r="F56" s="91">
        <v>95</v>
      </c>
      <c r="G56" s="91">
        <v>0</v>
      </c>
      <c r="H56" s="91">
        <v>0</v>
      </c>
      <c r="I56" s="91">
        <f>+E56+F56+G56+H56</f>
        <v>125</v>
      </c>
      <c r="J56" s="91">
        <f>+E56*D56</f>
        <v>30</v>
      </c>
      <c r="K56" s="91">
        <f>+F56*D56</f>
        <v>95</v>
      </c>
      <c r="L56" s="91">
        <f>+G56*D56</f>
        <v>0</v>
      </c>
      <c r="M56" s="91">
        <f>+H56*D56</f>
        <v>0</v>
      </c>
      <c r="N56" s="92">
        <f t="shared" si="18"/>
        <v>125</v>
      </c>
      <c r="O56" s="28"/>
    </row>
    <row r="57" spans="1:16" ht="16.5" thickBot="1">
      <c r="A57" s="18" t="s">
        <v>191</v>
      </c>
      <c r="B57" s="322" t="s">
        <v>196</v>
      </c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4"/>
      <c r="N57" s="19">
        <f>SUM(N58:N59)</f>
        <v>310</v>
      </c>
      <c r="O57" s="28"/>
      <c r="P57" s="21">
        <f>+N57/N62</f>
        <v>3.8186627905186302E-2</v>
      </c>
    </row>
    <row r="58" spans="1:16" ht="30">
      <c r="A58" s="22" t="s">
        <v>192</v>
      </c>
      <c r="B58" s="236" t="s">
        <v>149</v>
      </c>
      <c r="C58" s="23" t="s">
        <v>20</v>
      </c>
      <c r="D58" s="24">
        <v>1</v>
      </c>
      <c r="E58" s="25">
        <v>35</v>
      </c>
      <c r="F58" s="25">
        <v>115</v>
      </c>
      <c r="G58" s="25">
        <v>0</v>
      </c>
      <c r="H58" s="25">
        <v>0</v>
      </c>
      <c r="I58" s="25">
        <f>+E58+F58+G58+H58</f>
        <v>150</v>
      </c>
      <c r="J58" s="25">
        <f>+E58*D58</f>
        <v>35</v>
      </c>
      <c r="K58" s="25">
        <f>+F58*D58</f>
        <v>115</v>
      </c>
      <c r="L58" s="25">
        <f>+G58*D58</f>
        <v>0</v>
      </c>
      <c r="M58" s="25">
        <f>+H58*D58</f>
        <v>0</v>
      </c>
      <c r="N58" s="26">
        <f t="shared" ref="N58" si="19">+J58+K58+L58+M58</f>
        <v>150</v>
      </c>
      <c r="O58" s="28"/>
    </row>
    <row r="59" spans="1:16" ht="30.75" thickBot="1">
      <c r="A59" s="206" t="s">
        <v>193</v>
      </c>
      <c r="B59" s="219" t="s">
        <v>157</v>
      </c>
      <c r="C59" s="212" t="s">
        <v>20</v>
      </c>
      <c r="D59" s="227">
        <v>1</v>
      </c>
      <c r="E59" s="228">
        <v>35</v>
      </c>
      <c r="F59" s="228">
        <v>125</v>
      </c>
      <c r="G59" s="228">
        <v>0</v>
      </c>
      <c r="H59" s="228">
        <v>0</v>
      </c>
      <c r="I59" s="228">
        <f>+E59+F59+G59+H59</f>
        <v>160</v>
      </c>
      <c r="J59" s="228">
        <f>+E59*D59</f>
        <v>35</v>
      </c>
      <c r="K59" s="228">
        <f>+F59*D59</f>
        <v>125</v>
      </c>
      <c r="L59" s="228">
        <f>+G59*D59</f>
        <v>0</v>
      </c>
      <c r="M59" s="228">
        <f>+H59*D59</f>
        <v>0</v>
      </c>
      <c r="N59" s="229">
        <f t="shared" ref="N59" si="20">+J59+K59+L59+M59</f>
        <v>160</v>
      </c>
      <c r="O59" s="28"/>
    </row>
    <row r="60" spans="1:16" ht="16.5" thickBot="1">
      <c r="A60" s="18" t="s">
        <v>194</v>
      </c>
      <c r="B60" s="322" t="s">
        <v>133</v>
      </c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19">
        <f>SUM(N61:N61)</f>
        <v>30</v>
      </c>
      <c r="O60" s="28"/>
      <c r="P60" s="21">
        <f>+N60/N62</f>
        <v>3.6954801198567388E-3</v>
      </c>
    </row>
    <row r="61" spans="1:16" ht="16.5" thickBot="1">
      <c r="A61" s="22" t="s">
        <v>195</v>
      </c>
      <c r="B61" s="242" t="s">
        <v>134</v>
      </c>
      <c r="C61" s="23" t="s">
        <v>20</v>
      </c>
      <c r="D61" s="24">
        <v>1</v>
      </c>
      <c r="E61" s="25">
        <v>10</v>
      </c>
      <c r="F61" s="25">
        <v>20</v>
      </c>
      <c r="G61" s="25">
        <v>0</v>
      </c>
      <c r="H61" s="25">
        <v>0</v>
      </c>
      <c r="I61" s="25">
        <f>+E61+F61+G61+H61</f>
        <v>30</v>
      </c>
      <c r="J61" s="25">
        <f>+E61*D61</f>
        <v>10</v>
      </c>
      <c r="K61" s="25">
        <f>+F61*D61</f>
        <v>20</v>
      </c>
      <c r="L61" s="25">
        <f>+G61*D61</f>
        <v>0</v>
      </c>
      <c r="M61" s="25">
        <f>+H61*D61</f>
        <v>0</v>
      </c>
      <c r="N61" s="26">
        <f t="shared" ref="N61" si="21">+J61+K61+L61+M61</f>
        <v>30</v>
      </c>
      <c r="O61" s="28"/>
    </row>
    <row r="62" spans="1:16">
      <c r="A62" s="284"/>
      <c r="B62" s="345" t="s">
        <v>26</v>
      </c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7"/>
      <c r="N62" s="45">
        <f>+N60+N57+N54+N49+N44+N39+N33+N30</f>
        <v>8118.0249999999996</v>
      </c>
      <c r="P62" s="220">
        <f>+SUM(P30:P61)</f>
        <v>1</v>
      </c>
    </row>
    <row r="63" spans="1:16">
      <c r="A63" s="285"/>
      <c r="B63" s="348" t="s">
        <v>27</v>
      </c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50"/>
      <c r="N63" s="46">
        <v>500</v>
      </c>
      <c r="P63" s="221">
        <f>+N63/N62</f>
        <v>6.1591335330945643E-2</v>
      </c>
    </row>
    <row r="64" spans="1:16">
      <c r="A64" s="285"/>
      <c r="B64" s="348" t="s">
        <v>28</v>
      </c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50"/>
      <c r="N64" s="46">
        <f>+N62+N63</f>
        <v>8618.0249999999996</v>
      </c>
    </row>
    <row r="65" spans="1:16">
      <c r="A65" s="285"/>
      <c r="B65" s="348" t="s">
        <v>29</v>
      </c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50"/>
      <c r="N65" s="46">
        <f>+N64*0.28+9.45</f>
        <v>2422.4969999999998</v>
      </c>
      <c r="P65" s="21">
        <f>+N65/N66</f>
        <v>0.21941870139835781</v>
      </c>
    </row>
    <row r="66" spans="1:16" ht="16.5" collapsed="1" thickBot="1">
      <c r="A66" s="286"/>
      <c r="B66" s="306" t="s">
        <v>91</v>
      </c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8"/>
      <c r="N66" s="47">
        <f>N64+N65</f>
        <v>11040.521999999999</v>
      </c>
    </row>
    <row r="67" spans="1:16">
      <c r="E67" s="169"/>
      <c r="J67" s="169">
        <f>+J31+J32+J34+J35+J36+J37+J38+J40+J41+J42+J43+J45+J46+J47+J58+J59+J61</f>
        <v>1386.2600000000002</v>
      </c>
      <c r="K67" s="169"/>
      <c r="N67" s="169"/>
      <c r="P67" s="192"/>
    </row>
    <row r="68" spans="1:16" ht="16.5" thickBot="1">
      <c r="P68" s="169"/>
    </row>
    <row r="69" spans="1:16" ht="16.5" thickBot="1">
      <c r="A69" s="18" t="s">
        <v>88</v>
      </c>
      <c r="B69" s="322" t="s">
        <v>82</v>
      </c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4"/>
      <c r="N69" s="19">
        <f>SUM(N70)</f>
        <v>1400</v>
      </c>
    </row>
    <row r="70" spans="1:16" ht="16.5" thickBot="1">
      <c r="A70" s="101" t="s">
        <v>89</v>
      </c>
      <c r="B70" s="245" t="s">
        <v>83</v>
      </c>
      <c r="C70" s="246" t="s">
        <v>59</v>
      </c>
      <c r="D70" s="247">
        <v>1</v>
      </c>
      <c r="E70" s="248">
        <v>0</v>
      </c>
      <c r="F70" s="248">
        <v>0</v>
      </c>
      <c r="G70" s="248">
        <v>1400</v>
      </c>
      <c r="H70" s="248">
        <v>0</v>
      </c>
      <c r="I70" s="25">
        <f>+E70+F70+G70+H70</f>
        <v>1400</v>
      </c>
      <c r="J70" s="248">
        <f>+E70*D70</f>
        <v>0</v>
      </c>
      <c r="K70" s="248">
        <f>+F70*D70</f>
        <v>0</v>
      </c>
      <c r="L70" s="248">
        <f>+G70*D70</f>
        <v>1400</v>
      </c>
      <c r="M70" s="248">
        <f>+H70*D70</f>
        <v>0</v>
      </c>
      <c r="N70" s="249">
        <f>+I70*D70</f>
        <v>1400</v>
      </c>
    </row>
    <row r="71" spans="1:16" ht="16.5" thickBot="1">
      <c r="A71" s="235"/>
      <c r="B71" s="287" t="s">
        <v>30</v>
      </c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9"/>
      <c r="N71" s="244">
        <f>+N66+N69</f>
        <v>12440.521999999999</v>
      </c>
    </row>
    <row r="73" spans="1:16">
      <c r="M73" s="169"/>
      <c r="N73" s="169"/>
    </row>
    <row r="74" spans="1:16" ht="16.5" thickBot="1"/>
    <row r="75" spans="1:16" ht="16.5" thickBot="1">
      <c r="A75" s="18" t="s">
        <v>88</v>
      </c>
      <c r="B75" s="322" t="s">
        <v>82</v>
      </c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4"/>
      <c r="N75" s="19">
        <f>SUM(N76:N80)</f>
        <v>1495</v>
      </c>
    </row>
    <row r="76" spans="1:16">
      <c r="A76" s="22" t="s">
        <v>84</v>
      </c>
      <c r="B76" s="216" t="s">
        <v>135</v>
      </c>
      <c r="C76" s="23" t="s">
        <v>20</v>
      </c>
      <c r="D76" s="24">
        <v>1</v>
      </c>
      <c r="E76" s="99">
        <v>200</v>
      </c>
      <c r="F76" s="99">
        <v>0</v>
      </c>
      <c r="G76" s="99">
        <v>250</v>
      </c>
      <c r="H76" s="25">
        <v>0</v>
      </c>
      <c r="I76" s="25">
        <f>+E76+F76+G76+H76</f>
        <v>450</v>
      </c>
      <c r="J76" s="25">
        <f>+E76*D76</f>
        <v>200</v>
      </c>
      <c r="K76" s="25">
        <f>+F76*D76</f>
        <v>0</v>
      </c>
      <c r="L76" s="25">
        <f>+G76*D76</f>
        <v>250</v>
      </c>
      <c r="M76" s="25">
        <f>+H76*D76</f>
        <v>0</v>
      </c>
      <c r="N76" s="26">
        <f t="shared" ref="N76:N80" si="22">+J76+K76+L76+M76</f>
        <v>450</v>
      </c>
    </row>
    <row r="77" spans="1:16">
      <c r="A77" s="27" t="s">
        <v>85</v>
      </c>
      <c r="B77" s="215" t="s">
        <v>136</v>
      </c>
      <c r="C77" s="36" t="s">
        <v>59</v>
      </c>
      <c r="D77" s="30">
        <v>1</v>
      </c>
      <c r="E77" s="31">
        <v>0</v>
      </c>
      <c r="F77" s="31">
        <v>0</v>
      </c>
      <c r="G77" s="31">
        <v>0</v>
      </c>
      <c r="H77" s="31">
        <v>200</v>
      </c>
      <c r="I77" s="31">
        <f>+E77+F77+G77+H77</f>
        <v>200</v>
      </c>
      <c r="J77" s="31">
        <f>+E77*D77</f>
        <v>0</v>
      </c>
      <c r="K77" s="31">
        <f>+F77*D77</f>
        <v>0</v>
      </c>
      <c r="L77" s="31">
        <f>+G77*D77</f>
        <v>0</v>
      </c>
      <c r="M77" s="31">
        <f>+H77*D77</f>
        <v>200</v>
      </c>
      <c r="N77" s="32">
        <f t="shared" si="22"/>
        <v>200</v>
      </c>
    </row>
    <row r="78" spans="1:16">
      <c r="A78" s="206" t="s">
        <v>86</v>
      </c>
      <c r="B78" s="219" t="s">
        <v>137</v>
      </c>
      <c r="C78" s="212" t="s">
        <v>140</v>
      </c>
      <c r="D78" s="30">
        <v>5</v>
      </c>
      <c r="E78" s="31">
        <v>0</v>
      </c>
      <c r="F78" s="31">
        <v>0</v>
      </c>
      <c r="G78" s="31">
        <v>0</v>
      </c>
      <c r="H78" s="31">
        <v>0</v>
      </c>
      <c r="I78" s="31">
        <f t="shared" ref="I78:I80" si="23">+E78+F78+G78+H78</f>
        <v>0</v>
      </c>
      <c r="J78" s="31">
        <f>+E78*D78</f>
        <v>0</v>
      </c>
      <c r="K78" s="31">
        <f>+F78*D78</f>
        <v>0</v>
      </c>
      <c r="L78" s="31">
        <f>+G78*D78</f>
        <v>0</v>
      </c>
      <c r="M78" s="31">
        <f>+H78*D78</f>
        <v>0</v>
      </c>
      <c r="N78" s="32">
        <f t="shared" si="22"/>
        <v>0</v>
      </c>
    </row>
    <row r="79" spans="1:16">
      <c r="A79" s="206" t="s">
        <v>87</v>
      </c>
      <c r="B79" s="219" t="s">
        <v>138</v>
      </c>
      <c r="C79" s="212" t="s">
        <v>142</v>
      </c>
      <c r="D79" s="30">
        <v>4</v>
      </c>
      <c r="E79" s="31">
        <v>0</v>
      </c>
      <c r="F79" s="31">
        <v>0</v>
      </c>
      <c r="G79" s="31">
        <v>0</v>
      </c>
      <c r="H79" s="31">
        <v>150</v>
      </c>
      <c r="I79" s="31">
        <f t="shared" ref="I79" si="24">+E79+F79+G79+H79</f>
        <v>150</v>
      </c>
      <c r="J79" s="31">
        <f>+E79*D79</f>
        <v>0</v>
      </c>
      <c r="K79" s="31">
        <f>+F79*D79</f>
        <v>0</v>
      </c>
      <c r="L79" s="31">
        <f>+G79*D79</f>
        <v>0</v>
      </c>
      <c r="M79" s="31">
        <f>+H79*D79</f>
        <v>600</v>
      </c>
      <c r="N79" s="32">
        <f t="shared" ref="N79" si="25">+J79+K79+L79+M79</f>
        <v>600</v>
      </c>
    </row>
    <row r="80" spans="1:16" ht="16.5" thickBot="1">
      <c r="A80" s="88" t="s">
        <v>139</v>
      </c>
      <c r="B80" s="217" t="s">
        <v>141</v>
      </c>
      <c r="C80" s="89" t="s">
        <v>140</v>
      </c>
      <c r="D80" s="90">
        <f>+D78</f>
        <v>5</v>
      </c>
      <c r="E80" s="210">
        <f>7*7</f>
        <v>49</v>
      </c>
      <c r="F80" s="210">
        <v>0</v>
      </c>
      <c r="G80" s="210">
        <v>0</v>
      </c>
      <c r="H80" s="210">
        <v>0</v>
      </c>
      <c r="I80" s="210">
        <f t="shared" si="23"/>
        <v>49</v>
      </c>
      <c r="J80" s="210">
        <f>+E80*D80</f>
        <v>245</v>
      </c>
      <c r="K80" s="210">
        <f>+F80*D80</f>
        <v>0</v>
      </c>
      <c r="L80" s="210">
        <f>+G80*D80</f>
        <v>0</v>
      </c>
      <c r="M80" s="210">
        <f>+H80*D80</f>
        <v>0</v>
      </c>
      <c r="N80" s="211">
        <f t="shared" si="22"/>
        <v>245</v>
      </c>
    </row>
    <row r="83" spans="2:10">
      <c r="B83" s="344" t="s">
        <v>143</v>
      </c>
      <c r="C83" s="344"/>
      <c r="D83" s="344"/>
      <c r="F83" s="2" t="s">
        <v>144</v>
      </c>
    </row>
    <row r="84" spans="2:10">
      <c r="B84" s="2" t="s">
        <v>145</v>
      </c>
      <c r="C84" s="343">
        <f>+J31+J34+(J37*0.3)+(J38*0.3)+J40+(J43*0.3)+J45+(J58*0.3)+(J59*0.3)</f>
        <v>703.31799999999987</v>
      </c>
      <c r="D84" s="343"/>
      <c r="F84" s="213">
        <v>650</v>
      </c>
    </row>
    <row r="85" spans="2:10">
      <c r="B85" s="2" t="s">
        <v>146</v>
      </c>
      <c r="C85" s="343">
        <f>+J32+J35+J36+(J37*0.7)+(J38*0.7)+J41+J42+(J43*0.7)+J46+J47+(J58*0.7)+(J59*0.7)+J61</f>
        <v>682.94200000000001</v>
      </c>
      <c r="D85" s="343"/>
      <c r="F85" s="213">
        <v>630</v>
      </c>
      <c r="H85" s="169">
        <f>+C84+C85</f>
        <v>1386.2599999999998</v>
      </c>
      <c r="J85" s="243">
        <f>+J67-H85</f>
        <v>0</v>
      </c>
    </row>
    <row r="86" spans="2:10">
      <c r="B86" s="2" t="s">
        <v>147</v>
      </c>
      <c r="C86" s="343">
        <f>+J48</f>
        <v>140.04</v>
      </c>
      <c r="D86" s="343"/>
      <c r="F86" s="213">
        <v>140</v>
      </c>
    </row>
    <row r="87" spans="2:10">
      <c r="B87" s="2" t="s">
        <v>211</v>
      </c>
      <c r="C87" s="343">
        <f>+M50+M52</f>
        <v>1249</v>
      </c>
      <c r="D87" s="343"/>
      <c r="F87" s="213">
        <v>1380</v>
      </c>
    </row>
    <row r="88" spans="2:10">
      <c r="B88" s="2" t="s">
        <v>148</v>
      </c>
      <c r="C88" s="343">
        <f>+J55+J56</f>
        <v>160</v>
      </c>
      <c r="D88" s="343"/>
      <c r="F88" s="213">
        <v>160</v>
      </c>
    </row>
    <row r="90" spans="2:10">
      <c r="C90" s="283">
        <f>+C84+C85+C86+C88</f>
        <v>1686.2999999999997</v>
      </c>
      <c r="D90" s="283"/>
      <c r="F90" s="214">
        <f>+F84+F85+F86+F88</f>
        <v>1580</v>
      </c>
      <c r="G90" s="214"/>
    </row>
    <row r="92" spans="2:10">
      <c r="C92" s="283"/>
      <c r="D92" s="283">
        <f>+C90-C87</f>
        <v>437.29999999999973</v>
      </c>
    </row>
  </sheetData>
  <dataConsolidate/>
  <mergeCells count="56">
    <mergeCell ref="C90:D90"/>
    <mergeCell ref="B60:M60"/>
    <mergeCell ref="C86:D86"/>
    <mergeCell ref="C87:D87"/>
    <mergeCell ref="C88:D88"/>
    <mergeCell ref="B75:M75"/>
    <mergeCell ref="C84:D84"/>
    <mergeCell ref="C85:D85"/>
    <mergeCell ref="B83:D83"/>
    <mergeCell ref="B62:M62"/>
    <mergeCell ref="B63:M63"/>
    <mergeCell ref="B64:M64"/>
    <mergeCell ref="B65:M65"/>
    <mergeCell ref="B69:M69"/>
    <mergeCell ref="B57:M57"/>
    <mergeCell ref="M20:N20"/>
    <mergeCell ref="B54:M54"/>
    <mergeCell ref="A1:N1"/>
    <mergeCell ref="B30:M30"/>
    <mergeCell ref="B33:M33"/>
    <mergeCell ref="A28:N28"/>
    <mergeCell ref="A29:N29"/>
    <mergeCell ref="B39:M39"/>
    <mergeCell ref="B44:M44"/>
    <mergeCell ref="B49:M49"/>
    <mergeCell ref="A24:C24"/>
    <mergeCell ref="A25:N25"/>
    <mergeCell ref="A26:A27"/>
    <mergeCell ref="B26:B27"/>
    <mergeCell ref="C26:C27"/>
    <mergeCell ref="E26:I26"/>
    <mergeCell ref="J26:N26"/>
    <mergeCell ref="M21:N21"/>
    <mergeCell ref="A22:D22"/>
    <mergeCell ref="E22:F22"/>
    <mergeCell ref="J22:K22"/>
    <mergeCell ref="M22:N22"/>
    <mergeCell ref="A23:D23"/>
    <mergeCell ref="E23:F23"/>
    <mergeCell ref="D26:D27"/>
    <mergeCell ref="C92:D92"/>
    <mergeCell ref="A62:A66"/>
    <mergeCell ref="B71:M71"/>
    <mergeCell ref="A2:N2"/>
    <mergeCell ref="A3:N3"/>
    <mergeCell ref="A19:D19"/>
    <mergeCell ref="E19:F19"/>
    <mergeCell ref="I19:L19"/>
    <mergeCell ref="M19:N19"/>
    <mergeCell ref="A20:D20"/>
    <mergeCell ref="E20:F20"/>
    <mergeCell ref="A21:D21"/>
    <mergeCell ref="E21:F21"/>
    <mergeCell ref="J21:K21"/>
    <mergeCell ref="I20:L20"/>
    <mergeCell ref="B66:M66"/>
  </mergeCells>
  <printOptions horizontalCentered="1"/>
  <pageMargins left="0.70866141732283472" right="0.70866141732283472" top="0.74803149606299213" bottom="0.74803149606299213" header="0.31496062992125984" footer="0.31496062992125984"/>
  <pageSetup scale="42" orientation="portrait" r:id="rId1"/>
  <rowBreaks count="1" manualBreakCount="1">
    <brk id="53" max="1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4"/>
  <sheetViews>
    <sheetView showGridLines="0" view="pageBreakPreview" topLeftCell="A31" zoomScale="90" zoomScaleNormal="40" zoomScaleSheetLayoutView="90" workbookViewId="0">
      <selection activeCell="J42" sqref="J42"/>
    </sheetView>
  </sheetViews>
  <sheetFormatPr baseColWidth="10" defaultColWidth="12.42578125" defaultRowHeight="15.75"/>
  <cols>
    <col min="1" max="1" width="12" style="103" customWidth="1"/>
    <col min="2" max="2" width="14.5703125" style="103" customWidth="1"/>
    <col min="3" max="3" width="27.7109375" style="103" customWidth="1"/>
    <col min="4" max="4" width="14.28515625" style="103" customWidth="1"/>
    <col min="5" max="5" width="21.28515625" style="103" customWidth="1"/>
    <col min="6" max="6" width="33.5703125" style="103" bestFit="1" customWidth="1"/>
    <col min="7" max="7" width="18.28515625" style="103" customWidth="1"/>
    <col min="8" max="8" width="10.28515625" style="103" customWidth="1"/>
    <col min="9" max="9" width="19.85546875" style="103" customWidth="1"/>
    <col min="10" max="10" width="18.85546875" style="103" customWidth="1"/>
    <col min="11" max="12" width="18.85546875" style="103" hidden="1" customWidth="1"/>
    <col min="13" max="18" width="12.42578125" style="103"/>
    <col min="19" max="24" width="0" style="103" hidden="1" customWidth="1"/>
    <col min="25" max="16384" width="12.42578125" style="103"/>
  </cols>
  <sheetData>
    <row r="1" spans="1:1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s="105" customFormat="1" ht="20.25">
      <c r="A4" s="104"/>
      <c r="B4" s="104"/>
      <c r="E4" s="104"/>
      <c r="F4" s="104"/>
      <c r="G4" s="104"/>
      <c r="H4" s="386" t="s">
        <v>99</v>
      </c>
      <c r="I4" s="386"/>
      <c r="J4" s="386"/>
      <c r="K4" s="187"/>
    </row>
    <row r="5" spans="1:11" ht="18">
      <c r="A5" s="106"/>
      <c r="B5" s="106"/>
      <c r="C5" s="106"/>
      <c r="D5" s="107"/>
      <c r="E5" s="108"/>
      <c r="F5" s="109"/>
      <c r="G5" s="109"/>
    </row>
    <row r="6" spans="1:11">
      <c r="A6" s="104"/>
      <c r="B6" s="104"/>
      <c r="E6" s="110"/>
      <c r="F6" s="110"/>
      <c r="G6" s="110"/>
      <c r="H6" s="111"/>
      <c r="I6" s="186" t="s">
        <v>100</v>
      </c>
      <c r="J6" s="112">
        <v>44316</v>
      </c>
      <c r="K6" s="160"/>
    </row>
    <row r="7" spans="1:11" ht="16.5" thickBot="1">
      <c r="A7" s="104"/>
      <c r="B7" s="104"/>
      <c r="E7" s="110"/>
      <c r="F7" s="110"/>
      <c r="G7" s="110"/>
      <c r="H7" s="111"/>
      <c r="I7" s="186" t="s">
        <v>101</v>
      </c>
      <c r="J7" s="160">
        <v>44377</v>
      </c>
      <c r="K7" s="160"/>
    </row>
    <row r="8" spans="1:11">
      <c r="A8" s="104"/>
      <c r="B8" s="104"/>
      <c r="E8" s="110"/>
      <c r="F8" s="110"/>
      <c r="G8" s="110"/>
      <c r="H8" s="111"/>
      <c r="I8" s="186" t="s">
        <v>102</v>
      </c>
      <c r="J8" s="161" t="s">
        <v>223</v>
      </c>
      <c r="K8" s="172"/>
    </row>
    <row r="9" spans="1:11" ht="16.5" thickBot="1">
      <c r="A9" s="104"/>
      <c r="B9" s="104"/>
      <c r="E9" s="110"/>
      <c r="F9" s="110"/>
      <c r="G9" s="110"/>
      <c r="H9" s="111"/>
      <c r="I9" s="186" t="s">
        <v>103</v>
      </c>
      <c r="J9" s="113"/>
      <c r="K9" s="173"/>
    </row>
    <row r="10" spans="1:11" ht="27.95" customHeight="1">
      <c r="A10" s="104"/>
      <c r="B10" s="104"/>
      <c r="E10" s="110"/>
      <c r="F10" s="114"/>
      <c r="G10" s="115"/>
    </row>
    <row r="11" spans="1:11" ht="18">
      <c r="A11" s="104"/>
      <c r="B11" s="104"/>
      <c r="E11" s="110"/>
      <c r="F11" s="110"/>
      <c r="G11" s="110"/>
      <c r="H11" s="106"/>
      <c r="I11" s="106"/>
      <c r="J11" s="107"/>
      <c r="K11" s="107"/>
    </row>
    <row r="12" spans="1:11" ht="20.100000000000001" customHeight="1">
      <c r="A12" s="387" t="s">
        <v>104</v>
      </c>
      <c r="B12" s="388"/>
      <c r="C12" s="116"/>
      <c r="D12" s="117"/>
      <c r="E12" s="387" t="s">
        <v>105</v>
      </c>
      <c r="F12" s="388"/>
      <c r="G12" s="118"/>
      <c r="H12" s="387" t="s">
        <v>106</v>
      </c>
      <c r="I12" s="388"/>
      <c r="J12" s="188"/>
      <c r="K12" s="188"/>
    </row>
    <row r="13" spans="1:11">
      <c r="A13" s="385"/>
      <c r="B13" s="385"/>
      <c r="C13" s="104"/>
      <c r="D13" s="104"/>
      <c r="E13" s="110"/>
      <c r="F13" s="110"/>
      <c r="G13" s="110"/>
      <c r="H13" s="111"/>
      <c r="I13" s="104"/>
      <c r="J13" s="104"/>
      <c r="K13" s="104"/>
    </row>
    <row r="14" spans="1:11">
      <c r="A14" s="389" t="s">
        <v>107</v>
      </c>
      <c r="B14" s="389"/>
      <c r="C14" s="119" t="s">
        <v>150</v>
      </c>
      <c r="D14" s="120"/>
      <c r="E14" s="186" t="str">
        <f>A14</f>
        <v>Nombre:</v>
      </c>
      <c r="F14" s="119" t="s">
        <v>150</v>
      </c>
      <c r="G14" s="121"/>
      <c r="H14" s="121" t="s">
        <v>108</v>
      </c>
      <c r="I14" s="120"/>
      <c r="J14" s="121"/>
      <c r="K14" s="121"/>
    </row>
    <row r="15" spans="1:11">
      <c r="A15" s="389" t="s">
        <v>109</v>
      </c>
      <c r="B15" s="389"/>
      <c r="C15" s="119"/>
      <c r="D15" s="120"/>
      <c r="E15" s="186" t="str">
        <f t="shared" ref="E15:E20" si="0">A15</f>
        <v>Nombre de Compañia:</v>
      </c>
      <c r="F15" s="119"/>
      <c r="G15" s="121"/>
      <c r="H15" s="121" t="s">
        <v>110</v>
      </c>
      <c r="I15" s="120"/>
      <c r="J15" s="121"/>
      <c r="K15" s="121"/>
    </row>
    <row r="16" spans="1:11">
      <c r="A16" s="389" t="s">
        <v>111</v>
      </c>
      <c r="B16" s="389"/>
      <c r="C16" s="119" t="s">
        <v>151</v>
      </c>
      <c r="D16" s="120"/>
      <c r="E16" s="186" t="str">
        <f t="shared" si="0"/>
        <v>Direccion:</v>
      </c>
      <c r="F16" s="119" t="s">
        <v>151</v>
      </c>
      <c r="G16" s="121"/>
      <c r="H16" s="121" t="s">
        <v>112</v>
      </c>
      <c r="I16" s="120"/>
      <c r="J16" s="121"/>
      <c r="K16" s="121"/>
    </row>
    <row r="17" spans="1:12">
      <c r="A17" s="186" t="s">
        <v>113</v>
      </c>
      <c r="B17" s="186"/>
      <c r="C17" s="119" t="s">
        <v>152</v>
      </c>
      <c r="D17" s="120"/>
      <c r="E17" s="186" t="str">
        <f t="shared" si="0"/>
        <v>Ciudad, Cod Postal:</v>
      </c>
      <c r="F17" s="119" t="s">
        <v>152</v>
      </c>
      <c r="G17" s="121"/>
      <c r="H17" s="121" t="s">
        <v>114</v>
      </c>
      <c r="I17" s="120"/>
      <c r="J17" s="121"/>
      <c r="K17" s="121"/>
    </row>
    <row r="18" spans="1:12">
      <c r="A18" s="389" t="s">
        <v>115</v>
      </c>
      <c r="B18" s="389"/>
      <c r="C18" s="119" t="s">
        <v>150</v>
      </c>
      <c r="D18" s="120"/>
      <c r="E18" s="186" t="str">
        <f t="shared" si="0"/>
        <v>Contacto:</v>
      </c>
      <c r="F18" s="119" t="s">
        <v>150</v>
      </c>
      <c r="G18" s="121"/>
      <c r="H18" s="121" t="s">
        <v>116</v>
      </c>
      <c r="I18" s="120"/>
      <c r="J18" s="121"/>
      <c r="K18" s="121"/>
    </row>
    <row r="19" spans="1:12" ht="15.95" customHeight="1">
      <c r="A19" s="389" t="s">
        <v>117</v>
      </c>
      <c r="B19" s="389"/>
      <c r="C19" s="162" t="s">
        <v>153</v>
      </c>
      <c r="D19" s="120"/>
      <c r="E19" s="186" t="str">
        <f t="shared" si="0"/>
        <v>Telefono:</v>
      </c>
      <c r="F19" s="162" t="s">
        <v>153</v>
      </c>
      <c r="G19" s="121"/>
      <c r="H19" s="121"/>
      <c r="I19" s="120"/>
      <c r="J19" s="120"/>
      <c r="K19" s="120"/>
    </row>
    <row r="20" spans="1:12">
      <c r="A20" s="389" t="s">
        <v>118</v>
      </c>
      <c r="B20" s="389"/>
      <c r="C20" s="218" t="s">
        <v>154</v>
      </c>
      <c r="D20" s="120"/>
      <c r="E20" s="186" t="str">
        <f t="shared" si="0"/>
        <v>Correo Electronico:</v>
      </c>
      <c r="F20" s="218" t="s">
        <v>154</v>
      </c>
      <c r="G20" s="121"/>
      <c r="H20" s="121"/>
      <c r="I20" s="120"/>
      <c r="J20" s="120"/>
      <c r="K20" s="120"/>
    </row>
    <row r="21" spans="1:12" ht="16.5" thickBot="1">
      <c r="A21" s="385"/>
      <c r="B21" s="385"/>
      <c r="E21" s="110"/>
      <c r="F21" s="110"/>
      <c r="G21" s="110"/>
      <c r="H21" s="111"/>
      <c r="I21" s="104"/>
      <c r="J21" s="104"/>
      <c r="K21" s="104"/>
    </row>
    <row r="22" spans="1:12" ht="18" customHeight="1">
      <c r="A22" s="373" t="s">
        <v>119</v>
      </c>
      <c r="B22" s="374"/>
      <c r="C22" s="375" t="s">
        <v>223</v>
      </c>
      <c r="D22" s="376"/>
      <c r="E22" s="189" t="s">
        <v>120</v>
      </c>
      <c r="F22" s="377" t="s">
        <v>121</v>
      </c>
      <c r="G22" s="378"/>
      <c r="H22" s="379" t="s">
        <v>122</v>
      </c>
      <c r="I22" s="374"/>
      <c r="J22" s="122" t="s">
        <v>94</v>
      </c>
      <c r="K22" s="174"/>
    </row>
    <row r="23" spans="1:12" ht="21.95" customHeight="1" thickBot="1">
      <c r="A23" s="380" t="s">
        <v>155</v>
      </c>
      <c r="B23" s="381"/>
      <c r="C23" s="382" t="s">
        <v>212</v>
      </c>
      <c r="D23" s="383"/>
      <c r="E23" s="190" t="s">
        <v>123</v>
      </c>
      <c r="F23" s="383"/>
      <c r="G23" s="383"/>
      <c r="H23" s="384" t="s">
        <v>124</v>
      </c>
      <c r="I23" s="381"/>
      <c r="J23" s="123"/>
      <c r="K23" s="174"/>
    </row>
    <row r="24" spans="1:12" ht="12" customHeight="1" thickBot="1">
      <c r="A24" s="102"/>
      <c r="B24" s="102"/>
      <c r="E24" s="102"/>
      <c r="F24" s="102"/>
      <c r="G24" s="102"/>
      <c r="H24" s="102"/>
      <c r="I24" s="102"/>
      <c r="J24" s="102"/>
      <c r="K24" s="102"/>
    </row>
    <row r="25" spans="1:12" ht="23.1" customHeight="1" thickBot="1">
      <c r="A25" s="124" t="s">
        <v>125</v>
      </c>
      <c r="B25" s="370" t="s">
        <v>126</v>
      </c>
      <c r="C25" s="370"/>
      <c r="D25" s="370"/>
      <c r="E25" s="370" t="s">
        <v>127</v>
      </c>
      <c r="F25" s="370"/>
      <c r="G25" s="185" t="s">
        <v>128</v>
      </c>
      <c r="H25" s="185" t="s">
        <v>9</v>
      </c>
      <c r="I25" s="185" t="s">
        <v>129</v>
      </c>
      <c r="J25" s="125" t="s">
        <v>130</v>
      </c>
      <c r="K25" s="175"/>
    </row>
    <row r="26" spans="1:12" ht="59.25" customHeight="1">
      <c r="A26" s="180" t="s">
        <v>166</v>
      </c>
      <c r="B26" s="371" t="s">
        <v>215</v>
      </c>
      <c r="C26" s="371"/>
      <c r="D26" s="371"/>
      <c r="E26" s="372"/>
      <c r="F26" s="372"/>
      <c r="G26" s="181" t="s">
        <v>96</v>
      </c>
      <c r="H26" s="182">
        <v>1</v>
      </c>
      <c r="I26" s="183">
        <f>1132.3*1.36</f>
        <v>1539.9280000000001</v>
      </c>
      <c r="J26" s="184">
        <f>+I26*H26</f>
        <v>1539.9280000000001</v>
      </c>
      <c r="K26" s="176"/>
      <c r="L26" s="171">
        <v>1.1487261447005199</v>
      </c>
    </row>
    <row r="27" spans="1:12" ht="58.5" customHeight="1">
      <c r="A27" s="163" t="s">
        <v>169</v>
      </c>
      <c r="B27" s="353" t="s">
        <v>95</v>
      </c>
      <c r="C27" s="353"/>
      <c r="D27" s="353"/>
      <c r="E27" s="368"/>
      <c r="F27" s="368"/>
      <c r="G27" s="168" t="s">
        <v>96</v>
      </c>
      <c r="H27" s="165">
        <v>1</v>
      </c>
      <c r="I27" s="166">
        <f>1471.5*1.36</f>
        <v>2001.2400000000002</v>
      </c>
      <c r="J27" s="164">
        <f>+I27*H27</f>
        <v>2001.2400000000002</v>
      </c>
      <c r="K27" s="176"/>
      <c r="L27" s="171"/>
    </row>
    <row r="28" spans="1:12" ht="62.25" customHeight="1">
      <c r="A28" s="163" t="s">
        <v>175</v>
      </c>
      <c r="B28" s="353" t="s">
        <v>158</v>
      </c>
      <c r="C28" s="353"/>
      <c r="D28" s="353"/>
      <c r="E28" s="368"/>
      <c r="F28" s="368"/>
      <c r="G28" s="168" t="s">
        <v>96</v>
      </c>
      <c r="H28" s="165">
        <v>1</v>
      </c>
      <c r="I28" s="166">
        <f>1985.6*1.36</f>
        <v>2700.4160000000002</v>
      </c>
      <c r="J28" s="164">
        <f t="shared" ref="J28:J30" si="1">+I28*H28</f>
        <v>2700.4160000000002</v>
      </c>
      <c r="K28" s="176"/>
      <c r="L28" s="170">
        <v>1.1487261447005199</v>
      </c>
    </row>
    <row r="29" spans="1:12" ht="59.25" customHeight="1">
      <c r="A29" s="163" t="s">
        <v>180</v>
      </c>
      <c r="B29" s="353" t="s">
        <v>159</v>
      </c>
      <c r="C29" s="353"/>
      <c r="D29" s="353"/>
      <c r="E29" s="354"/>
      <c r="F29" s="354"/>
      <c r="G29" s="168" t="s">
        <v>96</v>
      </c>
      <c r="H29" s="165">
        <v>1</v>
      </c>
      <c r="I29" s="166">
        <f>1319.63*1.36</f>
        <v>1794.6968000000002</v>
      </c>
      <c r="J29" s="164">
        <f t="shared" si="1"/>
        <v>1794.6968000000002</v>
      </c>
      <c r="K29" s="176"/>
      <c r="L29" s="170"/>
    </row>
    <row r="30" spans="1:12" ht="138.75" customHeight="1">
      <c r="A30" s="163" t="s">
        <v>185</v>
      </c>
      <c r="B30" s="369" t="s">
        <v>220</v>
      </c>
      <c r="C30" s="369"/>
      <c r="D30" s="369"/>
      <c r="E30" s="368"/>
      <c r="F30" s="368"/>
      <c r="G30" s="168" t="s">
        <v>96</v>
      </c>
      <c r="H30" s="165">
        <v>1</v>
      </c>
      <c r="I30" s="166">
        <f>1489*1.36</f>
        <v>2025.0400000000002</v>
      </c>
      <c r="J30" s="164">
        <f t="shared" si="1"/>
        <v>2025.0400000000002</v>
      </c>
      <c r="K30" s="176"/>
      <c r="L30" s="170">
        <v>1.1487261447005199</v>
      </c>
    </row>
    <row r="31" spans="1:12" ht="56.25" customHeight="1">
      <c r="A31" s="167" t="s">
        <v>188</v>
      </c>
      <c r="B31" s="353" t="s">
        <v>97</v>
      </c>
      <c r="C31" s="353"/>
      <c r="D31" s="353"/>
      <c r="E31" s="354"/>
      <c r="F31" s="354"/>
      <c r="G31" s="168" t="s">
        <v>96</v>
      </c>
      <c r="H31" s="165">
        <v>1</v>
      </c>
      <c r="I31" s="166">
        <f>380*1.36</f>
        <v>516.80000000000007</v>
      </c>
      <c r="J31" s="164">
        <f>+I31*H31</f>
        <v>516.80000000000007</v>
      </c>
      <c r="K31" s="176"/>
      <c r="L31" s="170"/>
    </row>
    <row r="32" spans="1:12" ht="59.25" customHeight="1">
      <c r="A32" s="167" t="s">
        <v>191</v>
      </c>
      <c r="B32" s="353" t="s">
        <v>213</v>
      </c>
      <c r="C32" s="353"/>
      <c r="D32" s="353"/>
      <c r="E32" s="354"/>
      <c r="F32" s="354"/>
      <c r="G32" s="168" t="s">
        <v>96</v>
      </c>
      <c r="H32" s="165">
        <v>1</v>
      </c>
      <c r="I32" s="166">
        <f>310*1.36</f>
        <v>421.6</v>
      </c>
      <c r="J32" s="164">
        <f>+I32*H32</f>
        <v>421.6</v>
      </c>
      <c r="K32" s="176"/>
      <c r="L32" s="222"/>
    </row>
    <row r="33" spans="1:13" ht="30" customHeight="1" thickBot="1">
      <c r="A33" s="223" t="s">
        <v>194</v>
      </c>
      <c r="B33" s="366" t="s">
        <v>160</v>
      </c>
      <c r="C33" s="366"/>
      <c r="D33" s="366"/>
      <c r="E33" s="367"/>
      <c r="F33" s="367"/>
      <c r="G33" s="224" t="s">
        <v>96</v>
      </c>
      <c r="H33" s="225">
        <v>1</v>
      </c>
      <c r="I33" s="204">
        <f>30*1.36</f>
        <v>40.800000000000004</v>
      </c>
      <c r="J33" s="205">
        <f>+I33*H33</f>
        <v>40.800000000000004</v>
      </c>
      <c r="K33" s="176"/>
      <c r="L33" s="222"/>
    </row>
    <row r="34" spans="1:13" ht="30" customHeight="1">
      <c r="A34" s="250"/>
      <c r="B34" s="251"/>
      <c r="C34" s="251"/>
      <c r="D34" s="251"/>
      <c r="E34" s="252"/>
      <c r="F34" s="252"/>
      <c r="G34" s="253"/>
      <c r="H34" s="254"/>
      <c r="I34" s="255"/>
      <c r="J34" s="176"/>
      <c r="K34" s="176"/>
      <c r="L34" s="222"/>
    </row>
    <row r="35" spans="1:13" ht="18.75" customHeight="1" thickBot="1">
      <c r="A35" s="126" t="s">
        <v>131</v>
      </c>
      <c r="B35" s="127"/>
      <c r="C35" s="127"/>
      <c r="D35" s="127"/>
      <c r="E35" s="127"/>
      <c r="F35" s="126"/>
      <c r="G35" s="126"/>
      <c r="H35" s="126"/>
      <c r="I35" s="128"/>
      <c r="J35" s="129"/>
      <c r="K35" s="129"/>
    </row>
    <row r="36" spans="1:13" ht="6" customHeight="1" thickBot="1">
      <c r="A36" s="355" t="s">
        <v>214</v>
      </c>
      <c r="B36" s="356"/>
      <c r="C36" s="356"/>
      <c r="D36" s="356"/>
      <c r="E36" s="356"/>
      <c r="F36" s="356"/>
      <c r="G36" s="357"/>
      <c r="H36" s="130"/>
      <c r="I36" s="131"/>
      <c r="J36" s="132"/>
      <c r="K36" s="132"/>
    </row>
    <row r="37" spans="1:13" ht="15.75" customHeight="1">
      <c r="A37" s="358"/>
      <c r="B37" s="359"/>
      <c r="C37" s="359"/>
      <c r="D37" s="359"/>
      <c r="E37" s="359"/>
      <c r="F37" s="359"/>
      <c r="G37" s="360"/>
      <c r="H37" s="126"/>
      <c r="I37" s="364" t="s">
        <v>92</v>
      </c>
      <c r="J37" s="351">
        <f>+J26+J27+J28+J29+J30+J31+J32+J33</f>
        <v>11040.5208</v>
      </c>
      <c r="K37" s="177"/>
    </row>
    <row r="38" spans="1:13" ht="16.5" customHeight="1" thickBot="1">
      <c r="A38" s="358"/>
      <c r="B38" s="359"/>
      <c r="C38" s="359"/>
      <c r="D38" s="359"/>
      <c r="E38" s="359"/>
      <c r="F38" s="359"/>
      <c r="G38" s="360"/>
      <c r="H38" s="126"/>
      <c r="I38" s="365"/>
      <c r="J38" s="352"/>
      <c r="K38" s="178"/>
    </row>
    <row r="39" spans="1:13" ht="26.1" customHeight="1" thickBot="1">
      <c r="A39" s="358"/>
      <c r="B39" s="359"/>
      <c r="C39" s="359"/>
      <c r="D39" s="359"/>
      <c r="E39" s="359"/>
      <c r="F39" s="359"/>
      <c r="G39" s="360"/>
      <c r="H39" s="102"/>
      <c r="I39" s="209" t="s">
        <v>98</v>
      </c>
      <c r="J39" s="226">
        <f>+J37*0.15</f>
        <v>1656.0781199999999</v>
      </c>
      <c r="K39" s="179"/>
      <c r="M39" s="191"/>
    </row>
    <row r="40" spans="1:13" ht="19.5" thickBot="1">
      <c r="A40" s="358"/>
      <c r="B40" s="359"/>
      <c r="C40" s="359"/>
      <c r="D40" s="359"/>
      <c r="E40" s="359"/>
      <c r="F40" s="359"/>
      <c r="G40" s="360"/>
      <c r="I40" s="193" t="s">
        <v>91</v>
      </c>
      <c r="J40" s="194">
        <f>+J37+J39</f>
        <v>12696.59892</v>
      </c>
    </row>
    <row r="41" spans="1:13" ht="16.5" thickBot="1">
      <c r="A41" s="358"/>
      <c r="B41" s="359"/>
      <c r="C41" s="359"/>
      <c r="D41" s="359"/>
      <c r="E41" s="359"/>
      <c r="F41" s="359"/>
      <c r="G41" s="360"/>
      <c r="J41" s="191"/>
      <c r="K41" s="179"/>
    </row>
    <row r="42" spans="1:13" ht="19.5" thickBot="1">
      <c r="A42" s="358"/>
      <c r="B42" s="359"/>
      <c r="C42" s="359"/>
      <c r="D42" s="359"/>
      <c r="E42" s="359"/>
      <c r="F42" s="359"/>
      <c r="G42" s="360"/>
      <c r="I42" s="209" t="s">
        <v>156</v>
      </c>
      <c r="J42" s="226">
        <v>1400</v>
      </c>
    </row>
    <row r="43" spans="1:13" ht="19.5" thickBot="1">
      <c r="A43" s="358"/>
      <c r="B43" s="359"/>
      <c r="C43" s="359"/>
      <c r="D43" s="359"/>
      <c r="E43" s="359"/>
      <c r="F43" s="359"/>
      <c r="G43" s="360"/>
      <c r="I43" s="193" t="s">
        <v>30</v>
      </c>
      <c r="J43" s="194">
        <f>+J40+J42</f>
        <v>14096.59892</v>
      </c>
    </row>
    <row r="44" spans="1:13">
      <c r="A44" s="358"/>
      <c r="B44" s="359"/>
      <c r="C44" s="359"/>
      <c r="D44" s="359"/>
      <c r="E44" s="359"/>
      <c r="F44" s="359"/>
      <c r="G44" s="360"/>
      <c r="J44" s="191"/>
    </row>
    <row r="45" spans="1:13">
      <c r="A45" s="358"/>
      <c r="B45" s="359"/>
      <c r="C45" s="359"/>
      <c r="D45" s="359"/>
      <c r="E45" s="359"/>
      <c r="F45" s="359"/>
      <c r="G45" s="360"/>
    </row>
    <row r="46" spans="1:13" ht="27" customHeight="1" thickBot="1">
      <c r="A46" s="361"/>
      <c r="B46" s="362"/>
      <c r="C46" s="362"/>
      <c r="D46" s="362"/>
      <c r="E46" s="362"/>
      <c r="F46" s="362"/>
      <c r="G46" s="363"/>
      <c r="I46" s="102"/>
      <c r="J46" s="102"/>
      <c r="K46" s="102"/>
    </row>
    <row r="47" spans="1:13">
      <c r="A47" s="133"/>
      <c r="B47" s="133"/>
      <c r="C47" s="133"/>
      <c r="D47" s="133"/>
      <c r="E47" s="133"/>
      <c r="F47" s="133"/>
      <c r="G47" s="133"/>
      <c r="I47" s="134"/>
      <c r="J47" s="134"/>
      <c r="K47" s="134"/>
    </row>
    <row r="48" spans="1:13">
      <c r="A48" s="102"/>
      <c r="B48" s="102"/>
      <c r="C48" s="135"/>
      <c r="D48" s="135"/>
      <c r="E48" s="133"/>
      <c r="F48" s="133"/>
      <c r="G48" s="133"/>
    </row>
    <row r="49" spans="1:11">
      <c r="E49" s="136"/>
      <c r="F49" s="136"/>
      <c r="G49" s="136"/>
      <c r="H49" s="133"/>
      <c r="I49" s="133"/>
      <c r="J49" s="133"/>
      <c r="K49" s="133"/>
    </row>
    <row r="50" spans="1:11" ht="15.95" customHeight="1">
      <c r="A50" s="136"/>
      <c r="B50" s="136"/>
      <c r="C50" s="136"/>
      <c r="D50" s="136"/>
      <c r="E50" s="136"/>
      <c r="F50" s="136"/>
      <c r="G50" s="136"/>
      <c r="H50" s="133"/>
      <c r="I50" s="133"/>
      <c r="J50" s="133"/>
      <c r="K50" s="133"/>
    </row>
    <row r="51" spans="1:11">
      <c r="E51" s="102"/>
      <c r="F51" s="102"/>
      <c r="G51" s="102"/>
      <c r="H51" s="133"/>
      <c r="I51" s="133"/>
      <c r="J51" s="133"/>
      <c r="K51" s="133"/>
    </row>
    <row r="52" spans="1:1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1:1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1:11">
      <c r="A54" s="102"/>
      <c r="B54" s="102"/>
      <c r="C54" s="102"/>
      <c r="D54" s="102"/>
      <c r="E54" s="102"/>
      <c r="F54" s="102"/>
      <c r="G54" s="102"/>
      <c r="H54" s="102" t="s">
        <v>93</v>
      </c>
      <c r="I54" s="102"/>
      <c r="J54" s="102"/>
      <c r="K54" s="102"/>
    </row>
    <row r="55" spans="1:1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1:1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1:11" ht="34.5">
      <c r="A57" s="137"/>
      <c r="B57" s="137"/>
      <c r="C57" s="137"/>
      <c r="D57" s="137"/>
      <c r="E57" s="138"/>
      <c r="F57" s="139"/>
      <c r="G57" s="138"/>
      <c r="H57" s="140"/>
      <c r="I57" s="140"/>
      <c r="J57" s="140"/>
      <c r="K57" s="140"/>
    </row>
    <row r="58" spans="1:11">
      <c r="A58" s="141"/>
      <c r="B58" s="141"/>
      <c r="C58" s="142"/>
      <c r="D58" s="142"/>
      <c r="E58" s="143"/>
      <c r="F58" s="143"/>
      <c r="G58" s="143"/>
      <c r="H58" s="143"/>
      <c r="I58" s="143"/>
      <c r="J58" s="143"/>
      <c r="K58" s="143"/>
    </row>
    <row r="59" spans="1:11">
      <c r="A59" s="141"/>
      <c r="B59" s="141"/>
      <c r="C59" s="142"/>
      <c r="D59" s="142"/>
      <c r="E59" s="143"/>
      <c r="F59" s="143"/>
      <c r="G59" s="143"/>
      <c r="H59" s="143"/>
      <c r="I59" s="143"/>
      <c r="J59" s="143"/>
      <c r="K59" s="143"/>
    </row>
    <row r="60" spans="1:11">
      <c r="A60" s="144"/>
      <c r="B60" s="144"/>
      <c r="C60" s="145"/>
      <c r="D60" s="145"/>
      <c r="E60" s="146"/>
      <c r="F60" s="146"/>
      <c r="G60" s="146"/>
      <c r="H60" s="146"/>
      <c r="I60" s="146"/>
      <c r="J60" s="146"/>
      <c r="K60" s="146"/>
    </row>
    <row r="61" spans="1:11">
      <c r="A61" s="147"/>
      <c r="B61" s="147"/>
      <c r="C61" s="145"/>
      <c r="D61" s="145"/>
      <c r="E61" s="146"/>
      <c r="F61" s="146"/>
      <c r="G61" s="146"/>
      <c r="H61" s="146"/>
      <c r="I61" s="146"/>
      <c r="J61" s="146"/>
      <c r="K61" s="146"/>
    </row>
    <row r="62" spans="1:11">
      <c r="A62" s="148"/>
      <c r="B62" s="148"/>
      <c r="C62" s="149"/>
      <c r="D62" s="149"/>
      <c r="E62" s="150"/>
      <c r="F62" s="150"/>
      <c r="G62" s="150"/>
      <c r="H62" s="151"/>
      <c r="I62" s="151"/>
      <c r="J62" s="151"/>
      <c r="K62" s="151"/>
    </row>
    <row r="63" spans="1:11">
      <c r="A63" s="144"/>
      <c r="B63" s="144"/>
      <c r="C63" s="149"/>
      <c r="D63" s="149"/>
      <c r="E63" s="150"/>
      <c r="F63" s="150"/>
      <c r="G63" s="150"/>
      <c r="H63" s="144"/>
      <c r="I63" s="144"/>
      <c r="J63" s="144"/>
      <c r="K63" s="144"/>
    </row>
    <row r="64" spans="1:11">
      <c r="A64" s="144"/>
      <c r="B64" s="144"/>
      <c r="C64" s="149"/>
      <c r="D64" s="149"/>
      <c r="E64" s="150"/>
      <c r="F64" s="150"/>
      <c r="G64" s="150"/>
      <c r="H64" s="144"/>
      <c r="I64" s="144"/>
      <c r="J64" s="144"/>
      <c r="K64" s="144"/>
    </row>
    <row r="65" spans="1:11">
      <c r="A65" s="144"/>
      <c r="B65" s="144"/>
      <c r="C65" s="152"/>
      <c r="D65" s="152"/>
      <c r="E65" s="153"/>
      <c r="F65" s="153"/>
      <c r="G65" s="153"/>
      <c r="H65" s="144"/>
      <c r="I65" s="144"/>
      <c r="J65" s="144"/>
      <c r="K65" s="144"/>
    </row>
    <row r="66" spans="1:11">
      <c r="A66" s="154"/>
      <c r="B66" s="154"/>
      <c r="C66" s="152"/>
      <c r="D66" s="152"/>
      <c r="E66" s="153"/>
      <c r="F66" s="153"/>
      <c r="G66" s="153"/>
      <c r="H66" s="144"/>
      <c r="I66" s="144"/>
      <c r="J66" s="144"/>
      <c r="K66" s="144"/>
    </row>
    <row r="67" spans="1:11">
      <c r="A67" s="154"/>
      <c r="B67" s="154"/>
      <c r="C67" s="152"/>
      <c r="D67" s="152"/>
      <c r="E67" s="153"/>
      <c r="F67" s="153"/>
      <c r="G67" s="153"/>
      <c r="H67" s="144"/>
      <c r="I67" s="144"/>
      <c r="J67" s="144"/>
      <c r="K67" s="144"/>
    </row>
    <row r="68" spans="1:11">
      <c r="A68" s="155"/>
      <c r="B68" s="155"/>
      <c r="C68" s="152"/>
      <c r="D68" s="152"/>
      <c r="E68" s="153"/>
      <c r="F68" s="153"/>
      <c r="G68" s="153"/>
      <c r="H68" s="144"/>
      <c r="I68" s="144"/>
      <c r="J68" s="144"/>
      <c r="K68" s="144"/>
    </row>
    <row r="69" spans="1:11">
      <c r="A69" s="155"/>
      <c r="B69" s="155"/>
      <c r="C69" s="144"/>
      <c r="D69" s="144"/>
      <c r="E69" s="144"/>
      <c r="F69" s="144"/>
      <c r="G69" s="144"/>
      <c r="H69" s="144"/>
      <c r="I69" s="144"/>
      <c r="J69" s="144"/>
      <c r="K69" s="144"/>
    </row>
    <row r="70" spans="1:11">
      <c r="A70" s="156"/>
      <c r="B70" s="156"/>
      <c r="C70" s="157"/>
      <c r="D70" s="157"/>
      <c r="E70" s="157"/>
      <c r="F70" s="157"/>
      <c r="G70" s="157"/>
      <c r="H70" s="157"/>
      <c r="I70" s="157"/>
      <c r="J70" s="157"/>
      <c r="K70" s="157"/>
    </row>
    <row r="71" spans="1:11">
      <c r="A71" s="156"/>
      <c r="B71" s="156"/>
      <c r="C71" s="157"/>
      <c r="D71" s="157"/>
      <c r="E71" s="157"/>
      <c r="F71" s="157"/>
      <c r="G71" s="157"/>
      <c r="H71" s="157"/>
      <c r="I71" s="157"/>
      <c r="J71" s="157"/>
      <c r="K71" s="157"/>
    </row>
    <row r="72" spans="1:11">
      <c r="A72" s="156"/>
      <c r="B72" s="156"/>
      <c r="C72" s="157"/>
      <c r="D72" s="157"/>
      <c r="E72" s="157"/>
      <c r="F72" s="157"/>
      <c r="G72" s="157"/>
      <c r="H72" s="157"/>
      <c r="I72" s="157"/>
      <c r="J72" s="157"/>
      <c r="K72" s="157"/>
    </row>
    <row r="73" spans="1:11">
      <c r="A73" s="156"/>
      <c r="B73" s="156"/>
      <c r="C73" s="157"/>
      <c r="D73" s="157"/>
      <c r="E73" s="157"/>
      <c r="F73" s="157"/>
      <c r="G73" s="157"/>
      <c r="H73" s="157"/>
      <c r="I73" s="157"/>
      <c r="J73" s="157"/>
      <c r="K73" s="157"/>
    </row>
    <row r="74" spans="1:11">
      <c r="A74" s="156"/>
      <c r="B74" s="156"/>
      <c r="C74" s="157"/>
      <c r="D74" s="157"/>
      <c r="E74" s="157"/>
      <c r="F74" s="157"/>
      <c r="G74" s="157"/>
      <c r="H74" s="157"/>
      <c r="I74" s="157"/>
      <c r="J74" s="157"/>
      <c r="K74" s="157"/>
    </row>
    <row r="75" spans="1:11">
      <c r="A75" s="156"/>
      <c r="B75" s="156"/>
      <c r="C75" s="157"/>
      <c r="D75" s="157"/>
      <c r="E75" s="157"/>
      <c r="F75" s="157"/>
      <c r="G75" s="157"/>
      <c r="H75" s="157"/>
      <c r="I75" s="157"/>
      <c r="J75" s="157"/>
      <c r="K75" s="157"/>
    </row>
    <row r="76" spans="1:11">
      <c r="A76" s="156"/>
      <c r="B76" s="156"/>
      <c r="C76" s="157"/>
      <c r="D76" s="157"/>
      <c r="E76" s="157"/>
      <c r="F76" s="157"/>
      <c r="G76" s="157"/>
      <c r="H76" s="158"/>
      <c r="I76" s="157"/>
      <c r="J76" s="157"/>
      <c r="K76" s="157"/>
    </row>
    <row r="77" spans="1:11">
      <c r="A77" s="156"/>
      <c r="B77" s="156"/>
      <c r="C77" s="157"/>
      <c r="D77" s="157"/>
      <c r="E77" s="157"/>
      <c r="F77" s="157"/>
      <c r="G77" s="157"/>
      <c r="H77" s="158"/>
      <c r="I77" s="157"/>
      <c r="J77" s="157"/>
      <c r="K77" s="157"/>
    </row>
    <row r="78" spans="1:11">
      <c r="A78" s="156"/>
      <c r="B78" s="156"/>
      <c r="C78" s="157"/>
      <c r="D78" s="157"/>
      <c r="E78" s="157"/>
      <c r="F78" s="157"/>
      <c r="G78" s="157"/>
      <c r="H78" s="158"/>
      <c r="I78" s="157"/>
      <c r="J78" s="157"/>
      <c r="K78" s="157"/>
    </row>
    <row r="79" spans="1:11">
      <c r="A79" s="156"/>
      <c r="B79" s="156"/>
      <c r="C79" s="158"/>
      <c r="D79" s="158"/>
      <c r="E79" s="158"/>
      <c r="F79" s="158"/>
      <c r="G79" s="158"/>
      <c r="H79" s="158"/>
      <c r="I79" s="158"/>
      <c r="J79" s="158"/>
      <c r="K79" s="158"/>
    </row>
    <row r="80" spans="1:11">
      <c r="A80" s="159"/>
      <c r="B80" s="159"/>
      <c r="C80" s="158"/>
      <c r="D80" s="158"/>
      <c r="E80" s="158"/>
      <c r="F80" s="158"/>
      <c r="G80" s="158"/>
      <c r="H80" s="158"/>
      <c r="I80" s="158"/>
      <c r="J80" s="158"/>
      <c r="K80" s="158"/>
    </row>
    <row r="81" spans="1:11">
      <c r="A81" s="156"/>
      <c r="B81" s="156"/>
      <c r="C81" s="156"/>
      <c r="D81" s="156"/>
      <c r="E81" s="156"/>
      <c r="F81" s="156"/>
      <c r="G81" s="156"/>
      <c r="H81" s="156"/>
      <c r="I81" s="158"/>
      <c r="J81" s="158"/>
      <c r="K81" s="158"/>
    </row>
    <row r="82" spans="1:11">
      <c r="A82" s="156"/>
      <c r="B82" s="156"/>
      <c r="C82" s="156"/>
      <c r="D82" s="156"/>
      <c r="E82" s="156"/>
      <c r="F82" s="156"/>
      <c r="G82" s="156"/>
      <c r="H82" s="156"/>
      <c r="I82" s="158"/>
      <c r="J82" s="158"/>
      <c r="K82" s="158"/>
    </row>
    <row r="83" spans="1:11">
      <c r="A83" s="156"/>
      <c r="B83" s="156"/>
      <c r="C83" s="156"/>
      <c r="D83" s="156"/>
      <c r="E83" s="156"/>
      <c r="F83" s="156"/>
      <c r="G83" s="156"/>
      <c r="H83" s="156"/>
      <c r="I83" s="158"/>
      <c r="J83" s="158"/>
      <c r="K83" s="158"/>
    </row>
    <row r="84" spans="1:11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</row>
  </sheetData>
  <mergeCells count="41">
    <mergeCell ref="A21:B21"/>
    <mergeCell ref="H4:J4"/>
    <mergeCell ref="A12:B12"/>
    <mergeCell ref="E12:F12"/>
    <mergeCell ref="H12:I12"/>
    <mergeCell ref="A13:B13"/>
    <mergeCell ref="A14:B14"/>
    <mergeCell ref="A15:B15"/>
    <mergeCell ref="A16:B16"/>
    <mergeCell ref="A18:B18"/>
    <mergeCell ref="A19:B19"/>
    <mergeCell ref="A20:B20"/>
    <mergeCell ref="A22:B22"/>
    <mergeCell ref="C22:D22"/>
    <mergeCell ref="F22:G22"/>
    <mergeCell ref="H22:I22"/>
    <mergeCell ref="A23:B23"/>
    <mergeCell ref="C23:D23"/>
    <mergeCell ref="F23:G23"/>
    <mergeCell ref="H23:I23"/>
    <mergeCell ref="B25:D25"/>
    <mergeCell ref="E25:F25"/>
    <mergeCell ref="B26:D26"/>
    <mergeCell ref="E26:F26"/>
    <mergeCell ref="B27:D27"/>
    <mergeCell ref="E27:F27"/>
    <mergeCell ref="B28:D28"/>
    <mergeCell ref="E28:F28"/>
    <mergeCell ref="B29:D29"/>
    <mergeCell ref="E29:F29"/>
    <mergeCell ref="B30:D30"/>
    <mergeCell ref="E30:F30"/>
    <mergeCell ref="J37:J38"/>
    <mergeCell ref="B31:D31"/>
    <mergeCell ref="E31:F31"/>
    <mergeCell ref="A36:G46"/>
    <mergeCell ref="I37:I38"/>
    <mergeCell ref="B32:D32"/>
    <mergeCell ref="E32:F32"/>
    <mergeCell ref="B33:D33"/>
    <mergeCell ref="E33:F33"/>
  </mergeCells>
  <conditionalFormatting sqref="K26:K34">
    <cfRule type="cellIs" dxfId="6" priority="8" operator="equal">
      <formula>0</formula>
    </cfRule>
  </conditionalFormatting>
  <conditionalFormatting sqref="J26:J30">
    <cfRule type="cellIs" dxfId="5" priority="7" operator="equal">
      <formula>0</formula>
    </cfRule>
  </conditionalFormatting>
  <conditionalFormatting sqref="J31">
    <cfRule type="cellIs" dxfId="4" priority="6" operator="equal">
      <formula>0</formula>
    </cfRule>
  </conditionalFormatting>
  <conditionalFormatting sqref="J32">
    <cfRule type="cellIs" dxfId="3" priority="3" operator="equal">
      <formula>0</formula>
    </cfRule>
  </conditionalFormatting>
  <conditionalFormatting sqref="J33:J34">
    <cfRule type="cellIs" dxfId="2" priority="1" operator="equal">
      <formula>0</formula>
    </cfRule>
  </conditionalFormatting>
  <hyperlinks>
    <hyperlink ref="C20" r:id="rId1"/>
    <hyperlink ref="F20" r:id="rId2"/>
  </hyperlinks>
  <printOptions horizontalCentered="1"/>
  <pageMargins left="0.70866141732283472" right="0.70866141732283472" top="0.74803149606299213" bottom="0.74803149606299213" header="0.31496062992125984" footer="0.31496062992125984"/>
  <pageSetup scale="47" fitToHeight="0" orientation="portrait" r:id="rId3"/>
  <rowBreaks count="1" manualBreakCount="1">
    <brk id="73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topLeftCell="A24" zoomScale="90" zoomScaleNormal="90" workbookViewId="0">
      <selection activeCell="J43" sqref="J43"/>
    </sheetView>
  </sheetViews>
  <sheetFormatPr baseColWidth="10" defaultColWidth="11.42578125" defaultRowHeight="15.75"/>
  <cols>
    <col min="1" max="1" width="12" style="2" customWidth="1"/>
    <col min="2" max="2" width="46" style="2" customWidth="1"/>
    <col min="3" max="3" width="6.42578125" style="2" customWidth="1"/>
    <col min="4" max="4" width="7.5703125" style="2" customWidth="1"/>
    <col min="5" max="5" width="11.7109375" style="2" customWidth="1"/>
    <col min="6" max="6" width="12.28515625" style="2" customWidth="1"/>
    <col min="7" max="8" width="12.7109375" style="2" customWidth="1"/>
    <col min="9" max="9" width="11.28515625" style="2" customWidth="1"/>
    <col min="10" max="10" width="12.42578125" style="2" customWidth="1"/>
    <col min="11" max="11" width="12" style="2" customWidth="1"/>
    <col min="12" max="12" width="12.5703125" style="2" customWidth="1"/>
    <col min="13" max="13" width="12.28515625" style="2" customWidth="1"/>
    <col min="14" max="14" width="14.85546875" style="2" bestFit="1" customWidth="1"/>
    <col min="15" max="15" width="12.5703125" style="2" hidden="1" customWidth="1"/>
    <col min="16" max="16" width="10.7109375" style="2" customWidth="1"/>
    <col min="17" max="16384" width="11.42578125" style="2"/>
  </cols>
  <sheetData>
    <row r="1" spans="1:15" ht="26.25">
      <c r="A1" s="327" t="s">
        <v>32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</row>
    <row r="2" spans="1:15" ht="23.25">
      <c r="A2" s="290" t="s">
        <v>162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1"/>
    </row>
    <row r="3" spans="1:15" ht="24" customHeight="1">
      <c r="A3" s="291" t="s">
        <v>163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1"/>
    </row>
    <row r="4" spans="1:15" ht="24" customHeight="1">
      <c r="A4" s="272"/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1"/>
    </row>
    <row r="5" spans="1:15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6" ht="21.75" thickBot="1">
      <c r="A18" s="269"/>
      <c r="B18" s="269"/>
      <c r="C18" s="269"/>
      <c r="D18" s="269"/>
      <c r="E18" s="4"/>
      <c r="F18" s="4"/>
      <c r="G18" s="5"/>
      <c r="H18" s="5"/>
      <c r="I18" s="270"/>
      <c r="J18" s="271"/>
      <c r="K18" s="270"/>
      <c r="L18" s="271"/>
      <c r="M18" s="5"/>
      <c r="N18" s="8"/>
      <c r="O18" s="8"/>
      <c r="P18" s="8"/>
    </row>
    <row r="19" spans="1:16" ht="21">
      <c r="A19" s="292" t="s">
        <v>0</v>
      </c>
      <c r="B19" s="293"/>
      <c r="C19" s="293"/>
      <c r="D19" s="293"/>
      <c r="E19" s="294" t="e">
        <f>+L31+#REF!+#REF!+#REF!+#REF!+#REF!+#REF!+#REF!+#REF!+#REF!+#REF!+#REF!+#REF!+#REF!+#REF!+#REF!+#REF!+#REF!+#REF!+#REF!+#REF!+#REF!</f>
        <v>#REF!</v>
      </c>
      <c r="F19" s="295"/>
      <c r="G19" s="9" t="e">
        <f>+E19/N32</f>
        <v>#REF!</v>
      </c>
      <c r="H19" s="5"/>
      <c r="I19" s="292" t="s">
        <v>77</v>
      </c>
      <c r="J19" s="293"/>
      <c r="K19" s="293"/>
      <c r="L19" s="293"/>
      <c r="M19" s="296">
        <f>+Wood!Q9</f>
        <v>1150.9999999999998</v>
      </c>
      <c r="N19" s="297"/>
      <c r="O19" s="8"/>
      <c r="P19" s="8"/>
    </row>
    <row r="20" spans="1:16" ht="21.75" thickBot="1">
      <c r="A20" s="298" t="s">
        <v>1</v>
      </c>
      <c r="B20" s="299"/>
      <c r="C20" s="299"/>
      <c r="D20" s="299"/>
      <c r="E20" s="300" t="e">
        <f>+J31+#REF!+#REF!+#REF!+#REF!+#REF!+#REF!+#REF!+#REF!+#REF!+#REF!+#REF!+#REF!+#REF!+#REF!+#REF!+#REF!+#REF!+#REF!+#REF!+#REF!+#REF!+#REF!+#REF!</f>
        <v>#REF!</v>
      </c>
      <c r="F20" s="301"/>
      <c r="G20" s="9" t="e">
        <f>+E20/N32</f>
        <v>#REF!</v>
      </c>
      <c r="H20" s="5"/>
      <c r="I20" s="304" t="s">
        <v>78</v>
      </c>
      <c r="J20" s="305"/>
      <c r="K20" s="305"/>
      <c r="L20" s="305"/>
      <c r="M20" s="325">
        <f>+N36/12</f>
        <v>30.643750000000001</v>
      </c>
      <c r="N20" s="326"/>
      <c r="O20" s="8"/>
      <c r="P20" s="8"/>
    </row>
    <row r="21" spans="1:16" ht="21">
      <c r="A21" s="298" t="s">
        <v>2</v>
      </c>
      <c r="B21" s="299"/>
      <c r="C21" s="299"/>
      <c r="D21" s="299"/>
      <c r="E21" s="300" t="e">
        <f>+K31+#REF!+#REF!+#REF!+#REF!+#REF!+#REF!+#REF!+#REF!+#REF!+#REF!+#REF!+#REF!+#REF!+#REF!+#REF!+#REF!+#REF!+#REF!+#REF!+#REF!+#REF!+#REF!+#REF!</f>
        <v>#REF!</v>
      </c>
      <c r="F21" s="301"/>
      <c r="G21" s="9" t="e">
        <f>+E21/N32</f>
        <v>#REF!</v>
      </c>
      <c r="H21" s="5"/>
      <c r="I21" s="270"/>
      <c r="J21" s="302"/>
      <c r="K21" s="303"/>
      <c r="L21" s="271"/>
      <c r="M21" s="302"/>
      <c r="N21" s="302"/>
      <c r="O21" s="8"/>
      <c r="P21" s="8"/>
    </row>
    <row r="22" spans="1:16" ht="21.75" thickBot="1">
      <c r="A22" s="304" t="s">
        <v>3</v>
      </c>
      <c r="B22" s="305"/>
      <c r="C22" s="305"/>
      <c r="D22" s="305"/>
      <c r="E22" s="314" t="e">
        <f>+M31+#REF!+#REF!+#REF!+#REF!+#REF!+#REF!+#REF!+#REF!+#REF!+#REF!+#REF!+#REF!+#REF!+#REF!+#REF!+#REF!+#REF!+#REF!+#REF!+#REF!+#REF!+#REF!+#REF!</f>
        <v>#REF!</v>
      </c>
      <c r="F22" s="315"/>
      <c r="G22" s="9" t="e">
        <f>+E22/N32</f>
        <v>#REF!</v>
      </c>
      <c r="H22" s="5"/>
      <c r="I22" s="270"/>
      <c r="J22" s="302"/>
      <c r="K22" s="303"/>
      <c r="L22" s="271"/>
      <c r="M22" s="302"/>
      <c r="N22" s="302"/>
      <c r="O22" s="8"/>
      <c r="P22" s="8"/>
    </row>
    <row r="23" spans="1:16" ht="21.75" thickBot="1">
      <c r="A23" s="316" t="s">
        <v>4</v>
      </c>
      <c r="B23" s="317"/>
      <c r="C23" s="317"/>
      <c r="D23" s="317"/>
      <c r="E23" s="318" t="e">
        <f>+E19+E20+E21+E22</f>
        <v>#REF!</v>
      </c>
      <c r="F23" s="319"/>
      <c r="G23" s="9" t="e">
        <f>+G19+G20+G21+G22</f>
        <v>#REF!</v>
      </c>
      <c r="H23" s="5"/>
      <c r="I23" s="270"/>
      <c r="J23" s="270"/>
      <c r="K23" s="271"/>
      <c r="L23" s="271"/>
      <c r="M23" s="270"/>
      <c r="N23" s="270"/>
      <c r="O23" s="8"/>
      <c r="P23" s="8"/>
    </row>
    <row r="24" spans="1:16" ht="21.75" thickBot="1">
      <c r="A24" s="337"/>
      <c r="B24" s="337"/>
      <c r="C24" s="337"/>
      <c r="D24" s="269"/>
      <c r="E24" s="269"/>
      <c r="F24" s="269"/>
      <c r="G24" s="269"/>
      <c r="H24" s="269"/>
      <c r="I24" s="269"/>
      <c r="J24" s="269"/>
      <c r="K24" s="269">
        <f>37.5*1.15</f>
        <v>43.125</v>
      </c>
      <c r="L24" s="269"/>
      <c r="M24" s="269"/>
      <c r="N24" s="269"/>
      <c r="O24" s="269"/>
    </row>
    <row r="25" spans="1:16" ht="16.5" thickBot="1">
      <c r="A25" s="338" t="s">
        <v>5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40"/>
      <c r="O25" s="10"/>
    </row>
    <row r="26" spans="1:16">
      <c r="A26" s="311" t="s">
        <v>6</v>
      </c>
      <c r="B26" s="312" t="s">
        <v>7</v>
      </c>
      <c r="C26" s="312" t="s">
        <v>8</v>
      </c>
      <c r="D26" s="320" t="s">
        <v>9</v>
      </c>
      <c r="E26" s="309" t="s">
        <v>10</v>
      </c>
      <c r="F26" s="310"/>
      <c r="G26" s="310"/>
      <c r="H26" s="310"/>
      <c r="I26" s="310"/>
      <c r="J26" s="311" t="s">
        <v>11</v>
      </c>
      <c r="K26" s="312"/>
      <c r="L26" s="312"/>
      <c r="M26" s="312"/>
      <c r="N26" s="313"/>
      <c r="O26" s="11"/>
    </row>
    <row r="27" spans="1:16" ht="26.25" thickBot="1">
      <c r="A27" s="341"/>
      <c r="B27" s="342"/>
      <c r="C27" s="342"/>
      <c r="D27" s="321"/>
      <c r="E27" s="12" t="s">
        <v>12</v>
      </c>
      <c r="F27" s="13" t="s">
        <v>13</v>
      </c>
      <c r="G27" s="13" t="s">
        <v>14</v>
      </c>
      <c r="H27" s="13" t="s">
        <v>15</v>
      </c>
      <c r="I27" s="14" t="s">
        <v>16</v>
      </c>
      <c r="J27" s="12" t="s">
        <v>12</v>
      </c>
      <c r="K27" s="13" t="s">
        <v>13</v>
      </c>
      <c r="L27" s="13" t="s">
        <v>14</v>
      </c>
      <c r="M27" s="13" t="s">
        <v>15</v>
      </c>
      <c r="N27" s="15" t="s">
        <v>17</v>
      </c>
      <c r="O27" s="16"/>
    </row>
    <row r="28" spans="1:16" ht="9.75" customHeight="1" thickBot="1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30"/>
      <c r="O28" s="17"/>
    </row>
    <row r="29" spans="1:16" ht="24" thickBot="1">
      <c r="A29" s="331" t="s">
        <v>33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3"/>
      <c r="O29" s="17"/>
    </row>
    <row r="30" spans="1:16" ht="16.5" thickBot="1">
      <c r="A30" s="18" t="s">
        <v>224</v>
      </c>
      <c r="B30" s="322" t="s">
        <v>229</v>
      </c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4"/>
      <c r="N30" s="19">
        <f>SUM(N31:N31)</f>
        <v>215</v>
      </c>
      <c r="O30" s="17"/>
      <c r="P30" s="21">
        <f>+N30/N32</f>
        <v>1</v>
      </c>
    </row>
    <row r="31" spans="1:16" ht="16.5" thickBot="1">
      <c r="A31" s="22" t="s">
        <v>225</v>
      </c>
      <c r="B31" s="236" t="s">
        <v>226</v>
      </c>
      <c r="C31" s="23" t="s">
        <v>25</v>
      </c>
      <c r="D31" s="24">
        <v>5</v>
      </c>
      <c r="E31" s="25">
        <v>3</v>
      </c>
      <c r="F31" s="25">
        <v>40</v>
      </c>
      <c r="G31" s="25">
        <v>0</v>
      </c>
      <c r="H31" s="25">
        <v>0</v>
      </c>
      <c r="I31" s="25">
        <f>+E31+F31+G31+H31</f>
        <v>43</v>
      </c>
      <c r="J31" s="25">
        <f>+E31*D31</f>
        <v>15</v>
      </c>
      <c r="K31" s="25">
        <f>+F31*D31</f>
        <v>200</v>
      </c>
      <c r="L31" s="25">
        <f>+G31*D31</f>
        <v>0</v>
      </c>
      <c r="M31" s="25">
        <f>+H31*D31</f>
        <v>0</v>
      </c>
      <c r="N31" s="26">
        <f>+J31+K31+L31+M31</f>
        <v>215</v>
      </c>
      <c r="O31" s="17"/>
    </row>
    <row r="32" spans="1:16">
      <c r="A32" s="284"/>
      <c r="B32" s="345" t="s">
        <v>26</v>
      </c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7"/>
      <c r="N32" s="45">
        <f>+N30</f>
        <v>215</v>
      </c>
      <c r="P32" s="220">
        <f>+SUM(P30:P31)</f>
        <v>1</v>
      </c>
    </row>
    <row r="33" spans="1:16">
      <c r="A33" s="285"/>
      <c r="B33" s="348" t="s">
        <v>27</v>
      </c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50"/>
      <c r="N33" s="46">
        <f>+N32*0.1</f>
        <v>21.5</v>
      </c>
      <c r="P33" s="221">
        <f>+N33/N32</f>
        <v>0.1</v>
      </c>
    </row>
    <row r="34" spans="1:16">
      <c r="A34" s="285"/>
      <c r="B34" s="348" t="s">
        <v>28</v>
      </c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46">
        <f>+N32+N33</f>
        <v>236.5</v>
      </c>
    </row>
    <row r="35" spans="1:16">
      <c r="A35" s="285"/>
      <c r="B35" s="348" t="s">
        <v>29</v>
      </c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46">
        <f>+N34*0.35+1.59+45+2.7-0.84</f>
        <v>131.22499999999999</v>
      </c>
      <c r="P35" s="21">
        <f>+N35/N36</f>
        <v>0.35685634645455161</v>
      </c>
    </row>
    <row r="36" spans="1:16" ht="16.5" collapsed="1" thickBot="1">
      <c r="A36" s="286"/>
      <c r="B36" s="306" t="s">
        <v>91</v>
      </c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8"/>
      <c r="N36" s="47">
        <f>N34+N35</f>
        <v>367.72500000000002</v>
      </c>
    </row>
    <row r="37" spans="1:16">
      <c r="E37" s="169"/>
      <c r="J37" s="169"/>
      <c r="K37" s="169"/>
      <c r="N37" s="169"/>
      <c r="P37" s="192"/>
    </row>
    <row r="38" spans="1:16">
      <c r="P38" s="169"/>
    </row>
    <row r="40" spans="1:16">
      <c r="C40" s="283"/>
      <c r="D40" s="283" t="e">
        <f>+#REF!-#REF!</f>
        <v>#REF!</v>
      </c>
    </row>
  </sheetData>
  <dataConsolidate/>
  <mergeCells count="39">
    <mergeCell ref="C40:D40"/>
    <mergeCell ref="A32:A36"/>
    <mergeCell ref="B32:M32"/>
    <mergeCell ref="B33:M33"/>
    <mergeCell ref="B34:M34"/>
    <mergeCell ref="B35:M35"/>
    <mergeCell ref="B36:M36"/>
    <mergeCell ref="A28:N28"/>
    <mergeCell ref="A29:N29"/>
    <mergeCell ref="B30:M30"/>
    <mergeCell ref="A24:C24"/>
    <mergeCell ref="A25:N25"/>
    <mergeCell ref="A26:A27"/>
    <mergeCell ref="B26:B27"/>
    <mergeCell ref="C26:C27"/>
    <mergeCell ref="D26:D27"/>
    <mergeCell ref="E26:I26"/>
    <mergeCell ref="J26:N26"/>
    <mergeCell ref="A22:D22"/>
    <mergeCell ref="E22:F22"/>
    <mergeCell ref="J22:K22"/>
    <mergeCell ref="M22:N22"/>
    <mergeCell ref="A23:D23"/>
    <mergeCell ref="E23:F23"/>
    <mergeCell ref="A20:D20"/>
    <mergeCell ref="E20:F20"/>
    <mergeCell ref="I20:L20"/>
    <mergeCell ref="M20:N20"/>
    <mergeCell ref="A21:D21"/>
    <mergeCell ref="E21:F21"/>
    <mergeCell ref="J21:K21"/>
    <mergeCell ref="M21:N21"/>
    <mergeCell ref="A1:N1"/>
    <mergeCell ref="A2:N2"/>
    <mergeCell ref="A3:N3"/>
    <mergeCell ref="A19:D19"/>
    <mergeCell ref="E19:F19"/>
    <mergeCell ref="I19:L19"/>
    <mergeCell ref="M19:N19"/>
  </mergeCells>
  <printOptions horizontalCentered="1"/>
  <pageMargins left="0.70866141732283472" right="0.70866141732283472" top="0.74803149606299213" bottom="0.74803149606299213" header="0.31496062992125984" footer="0.31496062992125984"/>
  <pageSetup scale="4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view="pageBreakPreview" zoomScale="90" zoomScaleNormal="40" zoomScaleSheetLayoutView="90" workbookViewId="0">
      <selection activeCell="C23" sqref="C23:D23"/>
    </sheetView>
  </sheetViews>
  <sheetFormatPr baseColWidth="10" defaultColWidth="12.42578125" defaultRowHeight="15.75"/>
  <cols>
    <col min="1" max="1" width="12" style="103" customWidth="1"/>
    <col min="2" max="2" width="14.5703125" style="103" customWidth="1"/>
    <col min="3" max="3" width="27.7109375" style="103" customWidth="1"/>
    <col min="4" max="4" width="14.28515625" style="103" customWidth="1"/>
    <col min="5" max="5" width="21.28515625" style="103" customWidth="1"/>
    <col min="6" max="6" width="33.5703125" style="103" bestFit="1" customWidth="1"/>
    <col min="7" max="7" width="18.28515625" style="103" customWidth="1"/>
    <col min="8" max="8" width="10.28515625" style="103" customWidth="1"/>
    <col min="9" max="9" width="19.85546875" style="103" customWidth="1"/>
    <col min="10" max="10" width="18.85546875" style="103" customWidth="1"/>
    <col min="11" max="12" width="18.85546875" style="103" hidden="1" customWidth="1"/>
    <col min="13" max="18" width="12.42578125" style="103"/>
    <col min="19" max="24" width="0" style="103" hidden="1" customWidth="1"/>
    <col min="25" max="16384" width="12.42578125" style="103"/>
  </cols>
  <sheetData>
    <row r="1" spans="1:1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s="105" customFormat="1" ht="20.25">
      <c r="A4" s="104"/>
      <c r="B4" s="104"/>
      <c r="E4" s="104"/>
      <c r="F4" s="104"/>
      <c r="G4" s="104"/>
      <c r="H4" s="386" t="s">
        <v>99</v>
      </c>
      <c r="I4" s="386"/>
      <c r="J4" s="386"/>
      <c r="K4" s="273"/>
    </row>
    <row r="5" spans="1:11" ht="18">
      <c r="A5" s="106"/>
      <c r="B5" s="106"/>
      <c r="C5" s="106"/>
      <c r="D5" s="107"/>
      <c r="E5" s="108"/>
      <c r="F5" s="109"/>
      <c r="G5" s="109"/>
    </row>
    <row r="6" spans="1:11">
      <c r="A6" s="104"/>
      <c r="B6" s="104"/>
      <c r="E6" s="110"/>
      <c r="F6" s="110"/>
      <c r="G6" s="110"/>
      <c r="H6" s="111"/>
      <c r="I6" s="275" t="s">
        <v>100</v>
      </c>
      <c r="J6" s="112">
        <v>44328</v>
      </c>
      <c r="K6" s="160"/>
    </row>
    <row r="7" spans="1:11" ht="16.5" thickBot="1">
      <c r="A7" s="104"/>
      <c r="B7" s="104"/>
      <c r="E7" s="110"/>
      <c r="F7" s="110"/>
      <c r="G7" s="110"/>
      <c r="H7" s="111"/>
      <c r="I7" s="275" t="s">
        <v>101</v>
      </c>
      <c r="J7" s="160">
        <v>44389</v>
      </c>
      <c r="K7" s="160"/>
    </row>
    <row r="8" spans="1:11">
      <c r="A8" s="104"/>
      <c r="B8" s="104"/>
      <c r="E8" s="110"/>
      <c r="F8" s="110"/>
      <c r="G8" s="110"/>
      <c r="H8" s="111"/>
      <c r="I8" s="275" t="s">
        <v>102</v>
      </c>
      <c r="J8" s="161" t="s">
        <v>232</v>
      </c>
      <c r="K8" s="172"/>
    </row>
    <row r="9" spans="1:11" ht="16.5" thickBot="1">
      <c r="A9" s="104"/>
      <c r="B9" s="104"/>
      <c r="E9" s="110"/>
      <c r="F9" s="110"/>
      <c r="G9" s="110"/>
      <c r="H9" s="111"/>
      <c r="I9" s="275" t="s">
        <v>103</v>
      </c>
      <c r="J9" s="113"/>
      <c r="K9" s="173"/>
    </row>
    <row r="10" spans="1:11" ht="27.95" customHeight="1">
      <c r="A10" s="104"/>
      <c r="B10" s="104"/>
      <c r="E10" s="110"/>
      <c r="F10" s="114"/>
      <c r="G10" s="115"/>
    </row>
    <row r="11" spans="1:11" ht="18">
      <c r="A11" s="104"/>
      <c r="B11" s="104"/>
      <c r="E11" s="110"/>
      <c r="F11" s="110"/>
      <c r="G11" s="110"/>
      <c r="H11" s="106"/>
      <c r="I11" s="106"/>
      <c r="J11" s="107"/>
      <c r="K11" s="107"/>
    </row>
    <row r="12" spans="1:11" ht="20.100000000000001" customHeight="1">
      <c r="A12" s="387" t="s">
        <v>104</v>
      </c>
      <c r="B12" s="388"/>
      <c r="C12" s="116"/>
      <c r="D12" s="117"/>
      <c r="E12" s="387" t="s">
        <v>105</v>
      </c>
      <c r="F12" s="388"/>
      <c r="G12" s="118"/>
      <c r="H12" s="387" t="s">
        <v>106</v>
      </c>
      <c r="I12" s="388"/>
      <c r="J12" s="274"/>
      <c r="K12" s="274"/>
    </row>
    <row r="13" spans="1:11">
      <c r="A13" s="385"/>
      <c r="B13" s="385"/>
      <c r="C13" s="104"/>
      <c r="D13" s="104"/>
      <c r="E13" s="110"/>
      <c r="F13" s="110"/>
      <c r="G13" s="110"/>
      <c r="H13" s="111"/>
      <c r="I13" s="104"/>
      <c r="J13" s="104"/>
      <c r="K13" s="104"/>
    </row>
    <row r="14" spans="1:11">
      <c r="A14" s="389" t="s">
        <v>107</v>
      </c>
      <c r="B14" s="389"/>
      <c r="C14" s="119" t="s">
        <v>150</v>
      </c>
      <c r="D14" s="120"/>
      <c r="E14" s="275" t="str">
        <f>A14</f>
        <v>Nombre:</v>
      </c>
      <c r="F14" s="119" t="s">
        <v>150</v>
      </c>
      <c r="G14" s="121"/>
      <c r="H14" s="121" t="s">
        <v>108</v>
      </c>
      <c r="I14" s="120"/>
      <c r="J14" s="121"/>
      <c r="K14" s="121"/>
    </row>
    <row r="15" spans="1:11">
      <c r="A15" s="389" t="s">
        <v>109</v>
      </c>
      <c r="B15" s="389"/>
      <c r="C15" s="119"/>
      <c r="D15" s="120"/>
      <c r="E15" s="275" t="str">
        <f t="shared" ref="E15:E20" si="0">A15</f>
        <v>Nombre de Compañia:</v>
      </c>
      <c r="F15" s="119"/>
      <c r="G15" s="121"/>
      <c r="H15" s="121" t="s">
        <v>110</v>
      </c>
      <c r="I15" s="120"/>
      <c r="J15" s="121"/>
      <c r="K15" s="121"/>
    </row>
    <row r="16" spans="1:11">
      <c r="A16" s="389" t="s">
        <v>111</v>
      </c>
      <c r="B16" s="389"/>
      <c r="C16" s="119" t="s">
        <v>151</v>
      </c>
      <c r="D16" s="120"/>
      <c r="E16" s="275" t="str">
        <f t="shared" si="0"/>
        <v>Direccion:</v>
      </c>
      <c r="F16" s="119" t="s">
        <v>151</v>
      </c>
      <c r="G16" s="121"/>
      <c r="H16" s="121" t="s">
        <v>112</v>
      </c>
      <c r="I16" s="120"/>
      <c r="J16" s="121"/>
      <c r="K16" s="121"/>
    </row>
    <row r="17" spans="1:13">
      <c r="A17" s="275" t="s">
        <v>113</v>
      </c>
      <c r="B17" s="275"/>
      <c r="C17" s="119" t="s">
        <v>152</v>
      </c>
      <c r="D17" s="120"/>
      <c r="E17" s="275" t="str">
        <f t="shared" si="0"/>
        <v>Ciudad, Cod Postal:</v>
      </c>
      <c r="F17" s="119" t="s">
        <v>152</v>
      </c>
      <c r="G17" s="121"/>
      <c r="H17" s="121" t="s">
        <v>114</v>
      </c>
      <c r="I17" s="120"/>
      <c r="J17" s="121"/>
      <c r="K17" s="121"/>
    </row>
    <row r="18" spans="1:13">
      <c r="A18" s="389" t="s">
        <v>115</v>
      </c>
      <c r="B18" s="389"/>
      <c r="C18" s="119" t="s">
        <v>150</v>
      </c>
      <c r="D18" s="120"/>
      <c r="E18" s="275" t="str">
        <f t="shared" si="0"/>
        <v>Contacto:</v>
      </c>
      <c r="F18" s="119" t="s">
        <v>150</v>
      </c>
      <c r="G18" s="121"/>
      <c r="H18" s="121" t="s">
        <v>116</v>
      </c>
      <c r="I18" s="120"/>
      <c r="J18" s="121"/>
      <c r="K18" s="121"/>
    </row>
    <row r="19" spans="1:13" ht="15.95" customHeight="1">
      <c r="A19" s="389" t="s">
        <v>117</v>
      </c>
      <c r="B19" s="389"/>
      <c r="C19" s="162" t="s">
        <v>153</v>
      </c>
      <c r="D19" s="120"/>
      <c r="E19" s="275" t="str">
        <f t="shared" si="0"/>
        <v>Telefono:</v>
      </c>
      <c r="F19" s="162" t="s">
        <v>153</v>
      </c>
      <c r="G19" s="121"/>
      <c r="H19" s="121"/>
      <c r="I19" s="120"/>
      <c r="J19" s="120"/>
      <c r="K19" s="120"/>
    </row>
    <row r="20" spans="1:13">
      <c r="A20" s="389" t="s">
        <v>118</v>
      </c>
      <c r="B20" s="389"/>
      <c r="C20" s="218" t="s">
        <v>154</v>
      </c>
      <c r="D20" s="120"/>
      <c r="E20" s="275" t="str">
        <f t="shared" si="0"/>
        <v>Correo Electronico:</v>
      </c>
      <c r="F20" s="218" t="s">
        <v>154</v>
      </c>
      <c r="G20" s="121"/>
      <c r="H20" s="121"/>
      <c r="I20" s="120"/>
      <c r="J20" s="120"/>
      <c r="K20" s="120"/>
    </row>
    <row r="21" spans="1:13" ht="16.5" thickBot="1">
      <c r="A21" s="385"/>
      <c r="B21" s="385"/>
      <c r="E21" s="110"/>
      <c r="F21" s="110"/>
      <c r="G21" s="110"/>
      <c r="H21" s="111"/>
      <c r="I21" s="104"/>
      <c r="J21" s="104"/>
      <c r="K21" s="104"/>
    </row>
    <row r="22" spans="1:13" ht="18" customHeight="1">
      <c r="A22" s="373" t="s">
        <v>119</v>
      </c>
      <c r="B22" s="374"/>
      <c r="C22" s="375" t="s">
        <v>232</v>
      </c>
      <c r="D22" s="376"/>
      <c r="E22" s="189" t="s">
        <v>120</v>
      </c>
      <c r="F22" s="377" t="s">
        <v>228</v>
      </c>
      <c r="G22" s="378"/>
      <c r="H22" s="379" t="s">
        <v>122</v>
      </c>
      <c r="I22" s="374"/>
      <c r="J22" s="122" t="s">
        <v>94</v>
      </c>
      <c r="K22" s="174"/>
    </row>
    <row r="23" spans="1:13" ht="21.95" customHeight="1" thickBot="1">
      <c r="A23" s="380" t="s">
        <v>155</v>
      </c>
      <c r="B23" s="381"/>
      <c r="C23" s="382" t="s">
        <v>227</v>
      </c>
      <c r="D23" s="383"/>
      <c r="E23" s="190" t="s">
        <v>123</v>
      </c>
      <c r="F23" s="383"/>
      <c r="G23" s="383"/>
      <c r="H23" s="384" t="s">
        <v>124</v>
      </c>
      <c r="I23" s="381"/>
      <c r="J23" s="123"/>
      <c r="K23" s="174"/>
    </row>
    <row r="24" spans="1:13" ht="12" customHeight="1" thickBot="1">
      <c r="A24" s="102"/>
      <c r="B24" s="102"/>
      <c r="E24" s="102"/>
      <c r="F24" s="102"/>
      <c r="G24" s="102"/>
      <c r="H24" s="102"/>
      <c r="I24" s="102"/>
      <c r="J24" s="102"/>
      <c r="K24" s="102"/>
    </row>
    <row r="25" spans="1:13" ht="23.1" customHeight="1" thickBot="1">
      <c r="A25" s="124" t="s">
        <v>125</v>
      </c>
      <c r="B25" s="370" t="s">
        <v>126</v>
      </c>
      <c r="C25" s="370"/>
      <c r="D25" s="370"/>
      <c r="E25" s="370" t="s">
        <v>127</v>
      </c>
      <c r="F25" s="370"/>
      <c r="G25" s="276" t="s">
        <v>128</v>
      </c>
      <c r="H25" s="276" t="s">
        <v>9</v>
      </c>
      <c r="I25" s="276" t="s">
        <v>129</v>
      </c>
      <c r="J25" s="125" t="s">
        <v>130</v>
      </c>
      <c r="K25" s="175"/>
    </row>
    <row r="26" spans="1:13" ht="147" customHeight="1" thickBot="1">
      <c r="A26" s="278" t="s">
        <v>166</v>
      </c>
      <c r="B26" s="390" t="s">
        <v>231</v>
      </c>
      <c r="C26" s="390"/>
      <c r="D26" s="390"/>
      <c r="E26" s="391"/>
      <c r="F26" s="391"/>
      <c r="G26" s="279" t="s">
        <v>96</v>
      </c>
      <c r="H26" s="280">
        <v>1</v>
      </c>
      <c r="I26" s="281">
        <v>367.73</v>
      </c>
      <c r="J26" s="282">
        <f>+I26*H26</f>
        <v>367.73</v>
      </c>
      <c r="K26" s="176"/>
      <c r="L26" s="171">
        <v>1.1487261447005199</v>
      </c>
    </row>
    <row r="27" spans="1:13" ht="30" customHeight="1">
      <c r="A27" s="250"/>
      <c r="B27" s="251"/>
      <c r="C27" s="251"/>
      <c r="D27" s="251"/>
      <c r="E27" s="252"/>
      <c r="F27" s="252"/>
      <c r="G27" s="253"/>
      <c r="H27" s="254"/>
      <c r="I27" s="255"/>
      <c r="J27" s="176"/>
      <c r="K27" s="176"/>
      <c r="L27" s="222"/>
    </row>
    <row r="28" spans="1:13" ht="18.75" customHeight="1" thickBot="1">
      <c r="A28" s="126" t="s">
        <v>131</v>
      </c>
      <c r="B28" s="127"/>
      <c r="C28" s="127"/>
      <c r="D28" s="127"/>
      <c r="E28" s="127"/>
      <c r="F28" s="126"/>
      <c r="G28" s="126"/>
      <c r="H28" s="126"/>
      <c r="I28" s="128"/>
      <c r="J28" s="129"/>
      <c r="K28" s="129"/>
    </row>
    <row r="29" spans="1:13" ht="6" customHeight="1" thickBot="1">
      <c r="A29" s="355" t="s">
        <v>230</v>
      </c>
      <c r="B29" s="356"/>
      <c r="C29" s="356"/>
      <c r="D29" s="356"/>
      <c r="E29" s="356"/>
      <c r="F29" s="356"/>
      <c r="G29" s="357"/>
      <c r="H29" s="130"/>
      <c r="I29" s="131"/>
      <c r="J29" s="132"/>
      <c r="K29" s="132"/>
    </row>
    <row r="30" spans="1:13" ht="15.75" customHeight="1">
      <c r="A30" s="358"/>
      <c r="B30" s="359"/>
      <c r="C30" s="359"/>
      <c r="D30" s="359"/>
      <c r="E30" s="359"/>
      <c r="F30" s="359"/>
      <c r="G30" s="360"/>
      <c r="H30" s="126"/>
      <c r="I30" s="364" t="s">
        <v>92</v>
      </c>
      <c r="J30" s="351">
        <f>+J26</f>
        <v>367.73</v>
      </c>
      <c r="K30" s="177"/>
    </row>
    <row r="31" spans="1:13" ht="16.5" customHeight="1" thickBot="1">
      <c r="A31" s="358"/>
      <c r="B31" s="359"/>
      <c r="C31" s="359"/>
      <c r="D31" s="359"/>
      <c r="E31" s="359"/>
      <c r="F31" s="359"/>
      <c r="G31" s="360"/>
      <c r="H31" s="126"/>
      <c r="I31" s="365"/>
      <c r="J31" s="352"/>
      <c r="K31" s="178"/>
    </row>
    <row r="32" spans="1:13" ht="26.1" customHeight="1" thickBot="1">
      <c r="A32" s="358"/>
      <c r="B32" s="359"/>
      <c r="C32" s="359"/>
      <c r="D32" s="359"/>
      <c r="E32" s="359"/>
      <c r="F32" s="359"/>
      <c r="G32" s="360"/>
      <c r="H32" s="102"/>
      <c r="I32" s="209" t="s">
        <v>98</v>
      </c>
      <c r="J32" s="277">
        <f>+J30*0.15</f>
        <v>55.159500000000001</v>
      </c>
      <c r="K32" s="179"/>
      <c r="M32" s="191"/>
    </row>
    <row r="33" spans="1:11" ht="19.5" thickBot="1">
      <c r="A33" s="358"/>
      <c r="B33" s="359"/>
      <c r="C33" s="359"/>
      <c r="D33" s="359"/>
      <c r="E33" s="359"/>
      <c r="F33" s="359"/>
      <c r="G33" s="360"/>
      <c r="I33" s="193" t="s">
        <v>91</v>
      </c>
      <c r="J33" s="194">
        <f>+J30+J32</f>
        <v>422.8895</v>
      </c>
    </row>
    <row r="34" spans="1:11" ht="16.5" thickBot="1">
      <c r="A34" s="358"/>
      <c r="B34" s="359"/>
      <c r="C34" s="359"/>
      <c r="D34" s="359"/>
      <c r="E34" s="359"/>
      <c r="F34" s="359"/>
      <c r="G34" s="360"/>
      <c r="J34" s="191"/>
      <c r="K34" s="179"/>
    </row>
    <row r="35" spans="1:11" ht="19.5" thickBot="1">
      <c r="A35" s="358"/>
      <c r="B35" s="359"/>
      <c r="C35" s="359"/>
      <c r="D35" s="359"/>
      <c r="E35" s="359"/>
      <c r="F35" s="359"/>
      <c r="G35" s="360"/>
      <c r="I35" s="209" t="s">
        <v>156</v>
      </c>
      <c r="J35" s="277">
        <v>0</v>
      </c>
    </row>
    <row r="36" spans="1:11" ht="19.5" thickBot="1">
      <c r="A36" s="358"/>
      <c r="B36" s="359"/>
      <c r="C36" s="359"/>
      <c r="D36" s="359"/>
      <c r="E36" s="359"/>
      <c r="F36" s="359"/>
      <c r="G36" s="360"/>
      <c r="I36" s="193" t="s">
        <v>30</v>
      </c>
      <c r="J36" s="194">
        <f>+J33+J35</f>
        <v>422.8895</v>
      </c>
    </row>
    <row r="37" spans="1:11">
      <c r="A37" s="358"/>
      <c r="B37" s="359"/>
      <c r="C37" s="359"/>
      <c r="D37" s="359"/>
      <c r="E37" s="359"/>
      <c r="F37" s="359"/>
      <c r="G37" s="360"/>
      <c r="J37" s="191"/>
    </row>
    <row r="38" spans="1:11">
      <c r="A38" s="358"/>
      <c r="B38" s="359"/>
      <c r="C38" s="359"/>
      <c r="D38" s="359"/>
      <c r="E38" s="359"/>
      <c r="F38" s="359"/>
      <c r="G38" s="360"/>
    </row>
    <row r="39" spans="1:11" ht="27" customHeight="1" thickBot="1">
      <c r="A39" s="361"/>
      <c r="B39" s="362"/>
      <c r="C39" s="362"/>
      <c r="D39" s="362"/>
      <c r="E39" s="362"/>
      <c r="F39" s="362"/>
      <c r="G39" s="363"/>
      <c r="I39" s="102"/>
      <c r="J39" s="102"/>
      <c r="K39" s="102"/>
    </row>
    <row r="40" spans="1:11">
      <c r="A40" s="133"/>
      <c r="B40" s="133"/>
      <c r="C40" s="133"/>
      <c r="D40" s="133"/>
      <c r="E40" s="133"/>
      <c r="F40" s="133"/>
      <c r="G40" s="133"/>
      <c r="I40" s="134"/>
      <c r="J40" s="134"/>
      <c r="K40" s="134"/>
    </row>
    <row r="41" spans="1:11">
      <c r="A41" s="102"/>
      <c r="B41" s="102"/>
      <c r="C41" s="135"/>
      <c r="D41" s="135"/>
      <c r="E41" s="133"/>
      <c r="F41" s="133"/>
      <c r="G41" s="133"/>
    </row>
    <row r="42" spans="1:11">
      <c r="E42" s="136"/>
      <c r="F42" s="136"/>
      <c r="G42" s="136"/>
      <c r="H42" s="133"/>
      <c r="I42" s="133"/>
      <c r="J42" s="133"/>
      <c r="K42" s="133"/>
    </row>
    <row r="43" spans="1:11" ht="15.95" customHeight="1">
      <c r="A43" s="136"/>
      <c r="B43" s="136"/>
      <c r="C43" s="136"/>
      <c r="D43" s="136"/>
      <c r="E43" s="136"/>
      <c r="F43" s="136"/>
      <c r="G43" s="136"/>
      <c r="H43" s="133"/>
      <c r="I43" s="133"/>
      <c r="J43" s="133"/>
      <c r="K43" s="133"/>
    </row>
    <row r="44" spans="1:11">
      <c r="E44" s="102"/>
      <c r="F44" s="102"/>
      <c r="G44" s="102"/>
      <c r="H44" s="133"/>
      <c r="I44" s="133"/>
      <c r="J44" s="133"/>
      <c r="K44" s="133"/>
    </row>
    <row r="45" spans="1:1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1:1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1:11">
      <c r="A47" s="102"/>
      <c r="B47" s="102"/>
      <c r="C47" s="102"/>
      <c r="D47" s="102"/>
      <c r="E47" s="102"/>
      <c r="F47" s="102"/>
      <c r="G47" s="102"/>
      <c r="H47" s="102" t="s">
        <v>93</v>
      </c>
      <c r="I47" s="102"/>
      <c r="J47" s="102"/>
      <c r="K47" s="102"/>
    </row>
    <row r="48" spans="1:1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1:1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1:11" ht="34.5">
      <c r="A50" s="137"/>
      <c r="B50" s="137"/>
      <c r="C50" s="137"/>
      <c r="D50" s="137"/>
      <c r="E50" s="138"/>
      <c r="F50" s="139"/>
      <c r="G50" s="138"/>
      <c r="H50" s="140"/>
      <c r="I50" s="140"/>
      <c r="J50" s="140"/>
      <c r="K50" s="140"/>
    </row>
    <row r="51" spans="1:11">
      <c r="A51" s="141"/>
      <c r="B51" s="141"/>
      <c r="C51" s="142"/>
      <c r="D51" s="142"/>
      <c r="E51" s="143"/>
      <c r="F51" s="143"/>
      <c r="G51" s="143"/>
      <c r="H51" s="143"/>
      <c r="I51" s="143"/>
      <c r="J51" s="143"/>
      <c r="K51" s="143"/>
    </row>
    <row r="52" spans="1:11">
      <c r="A52" s="141"/>
      <c r="B52" s="141"/>
      <c r="C52" s="142"/>
      <c r="D52" s="142"/>
      <c r="E52" s="143"/>
      <c r="F52" s="143"/>
      <c r="G52" s="143"/>
      <c r="H52" s="143"/>
      <c r="I52" s="143"/>
      <c r="J52" s="143"/>
      <c r="K52" s="143"/>
    </row>
    <row r="53" spans="1:11">
      <c r="A53" s="144"/>
      <c r="B53" s="144"/>
      <c r="C53" s="145"/>
      <c r="D53" s="145"/>
      <c r="E53" s="146"/>
      <c r="F53" s="146"/>
      <c r="G53" s="146"/>
      <c r="H53" s="146"/>
      <c r="I53" s="146"/>
      <c r="J53" s="146"/>
      <c r="K53" s="146"/>
    </row>
    <row r="54" spans="1:11">
      <c r="A54" s="147"/>
      <c r="B54" s="147"/>
      <c r="C54" s="145"/>
      <c r="D54" s="145"/>
      <c r="E54" s="146"/>
      <c r="F54" s="146"/>
      <c r="G54" s="146"/>
      <c r="H54" s="146"/>
      <c r="I54" s="146"/>
      <c r="J54" s="146"/>
      <c r="K54" s="146"/>
    </row>
    <row r="55" spans="1:11">
      <c r="A55" s="148"/>
      <c r="B55" s="148"/>
      <c r="C55" s="149"/>
      <c r="D55" s="149"/>
      <c r="E55" s="150"/>
      <c r="F55" s="150"/>
      <c r="G55" s="150"/>
      <c r="H55" s="151"/>
      <c r="I55" s="151"/>
      <c r="J55" s="151"/>
      <c r="K55" s="151"/>
    </row>
    <row r="56" spans="1:11">
      <c r="A56" s="144"/>
      <c r="B56" s="144"/>
      <c r="C56" s="149"/>
      <c r="D56" s="149"/>
      <c r="E56" s="150"/>
      <c r="F56" s="150"/>
      <c r="G56" s="150"/>
      <c r="H56" s="144"/>
      <c r="I56" s="144"/>
      <c r="J56" s="144"/>
      <c r="K56" s="144"/>
    </row>
    <row r="57" spans="1:11">
      <c r="A57" s="144"/>
      <c r="B57" s="144"/>
      <c r="C57" s="149"/>
      <c r="D57" s="149"/>
      <c r="E57" s="150"/>
      <c r="F57" s="150"/>
      <c r="G57" s="150"/>
      <c r="H57" s="144"/>
      <c r="I57" s="144"/>
      <c r="J57" s="144"/>
      <c r="K57" s="144"/>
    </row>
    <row r="58" spans="1:11">
      <c r="A58" s="144"/>
      <c r="B58" s="144"/>
      <c r="C58" s="152"/>
      <c r="D58" s="152"/>
      <c r="E58" s="153"/>
      <c r="F58" s="153"/>
      <c r="G58" s="153"/>
      <c r="H58" s="144"/>
      <c r="I58" s="144"/>
      <c r="J58" s="144"/>
      <c r="K58" s="144"/>
    </row>
    <row r="59" spans="1:11">
      <c r="A59" s="154"/>
      <c r="B59" s="154"/>
      <c r="C59" s="152"/>
      <c r="D59" s="152"/>
      <c r="E59" s="153"/>
      <c r="F59" s="153"/>
      <c r="G59" s="153"/>
      <c r="H59" s="144"/>
      <c r="I59" s="144"/>
      <c r="J59" s="144"/>
      <c r="K59" s="144"/>
    </row>
    <row r="60" spans="1:11">
      <c r="A60" s="154"/>
      <c r="B60" s="154"/>
      <c r="C60" s="152"/>
      <c r="D60" s="152"/>
      <c r="E60" s="153"/>
      <c r="F60" s="153"/>
      <c r="G60" s="153"/>
      <c r="H60" s="144"/>
      <c r="I60" s="144"/>
      <c r="J60" s="144"/>
      <c r="K60" s="144"/>
    </row>
    <row r="61" spans="1:11">
      <c r="A61" s="155"/>
      <c r="B61" s="155"/>
      <c r="C61" s="152"/>
      <c r="D61" s="152"/>
      <c r="E61" s="153"/>
      <c r="F61" s="153"/>
      <c r="G61" s="153"/>
      <c r="H61" s="144"/>
      <c r="I61" s="144"/>
      <c r="J61" s="144"/>
      <c r="K61" s="144"/>
    </row>
    <row r="62" spans="1:11">
      <c r="A62" s="155"/>
      <c r="B62" s="155"/>
      <c r="C62" s="144"/>
      <c r="D62" s="144"/>
      <c r="E62" s="144"/>
      <c r="F62" s="144"/>
      <c r="G62" s="144"/>
      <c r="H62" s="144"/>
      <c r="I62" s="144"/>
      <c r="J62" s="144"/>
      <c r="K62" s="144"/>
    </row>
    <row r="63" spans="1:11">
      <c r="A63" s="156"/>
      <c r="B63" s="156"/>
      <c r="C63" s="157"/>
      <c r="D63" s="157"/>
      <c r="E63" s="157"/>
      <c r="F63" s="157"/>
      <c r="G63" s="157"/>
      <c r="H63" s="157"/>
      <c r="I63" s="157"/>
      <c r="J63" s="157"/>
      <c r="K63" s="157"/>
    </row>
    <row r="64" spans="1:11">
      <c r="A64" s="156"/>
      <c r="B64" s="156"/>
      <c r="C64" s="157"/>
      <c r="D64" s="157"/>
      <c r="E64" s="157"/>
      <c r="F64" s="157"/>
      <c r="G64" s="157"/>
      <c r="H64" s="157"/>
      <c r="I64" s="157"/>
      <c r="J64" s="157"/>
      <c r="K64" s="157"/>
    </row>
    <row r="65" spans="1:11">
      <c r="A65" s="156"/>
      <c r="B65" s="156"/>
      <c r="C65" s="157"/>
      <c r="D65" s="157"/>
      <c r="E65" s="157"/>
      <c r="F65" s="157"/>
      <c r="G65" s="157"/>
      <c r="H65" s="157"/>
      <c r="I65" s="157"/>
      <c r="J65" s="157"/>
      <c r="K65" s="157"/>
    </row>
    <row r="66" spans="1:11">
      <c r="A66" s="156"/>
      <c r="B66" s="156"/>
      <c r="C66" s="157"/>
      <c r="D66" s="157"/>
      <c r="E66" s="157"/>
      <c r="F66" s="157"/>
      <c r="G66" s="157"/>
      <c r="H66" s="157"/>
      <c r="I66" s="157"/>
      <c r="J66" s="157"/>
      <c r="K66" s="157"/>
    </row>
    <row r="67" spans="1:11">
      <c r="A67" s="156"/>
      <c r="B67" s="156"/>
      <c r="C67" s="157"/>
      <c r="D67" s="157"/>
      <c r="E67" s="157"/>
      <c r="F67" s="157"/>
      <c r="G67" s="157"/>
      <c r="H67" s="157"/>
      <c r="I67" s="157"/>
      <c r="J67" s="157"/>
      <c r="K67" s="157"/>
    </row>
    <row r="68" spans="1:11">
      <c r="A68" s="156"/>
      <c r="B68" s="156"/>
      <c r="C68" s="157"/>
      <c r="D68" s="157"/>
      <c r="E68" s="157"/>
      <c r="F68" s="157"/>
      <c r="G68" s="157"/>
      <c r="H68" s="157"/>
      <c r="I68" s="157"/>
      <c r="J68" s="157"/>
      <c r="K68" s="157"/>
    </row>
    <row r="69" spans="1:11">
      <c r="A69" s="156"/>
      <c r="B69" s="156"/>
      <c r="C69" s="157"/>
      <c r="D69" s="157"/>
      <c r="E69" s="157"/>
      <c r="F69" s="157"/>
      <c r="G69" s="157"/>
      <c r="H69" s="158"/>
      <c r="I69" s="157"/>
      <c r="J69" s="157"/>
      <c r="K69" s="157"/>
    </row>
    <row r="70" spans="1:11">
      <c r="A70" s="156"/>
      <c r="B70" s="156"/>
      <c r="C70" s="157"/>
      <c r="D70" s="157"/>
      <c r="E70" s="157"/>
      <c r="F70" s="157"/>
      <c r="G70" s="157"/>
      <c r="H70" s="158"/>
      <c r="I70" s="157"/>
      <c r="J70" s="157"/>
      <c r="K70" s="157"/>
    </row>
    <row r="71" spans="1:11">
      <c r="A71" s="156"/>
      <c r="B71" s="156"/>
      <c r="C71" s="157"/>
      <c r="D71" s="157"/>
      <c r="E71" s="157"/>
      <c r="F71" s="157"/>
      <c r="G71" s="157"/>
      <c r="H71" s="158"/>
      <c r="I71" s="157"/>
      <c r="J71" s="157"/>
      <c r="K71" s="157"/>
    </row>
    <row r="72" spans="1:11">
      <c r="A72" s="156"/>
      <c r="B72" s="156"/>
      <c r="C72" s="158"/>
      <c r="D72" s="158"/>
      <c r="E72" s="158"/>
      <c r="F72" s="158"/>
      <c r="G72" s="158"/>
      <c r="H72" s="158"/>
      <c r="I72" s="158"/>
      <c r="J72" s="158"/>
      <c r="K72" s="158"/>
    </row>
    <row r="73" spans="1:11">
      <c r="A73" s="159"/>
      <c r="B73" s="159"/>
      <c r="C73" s="158"/>
      <c r="D73" s="158"/>
      <c r="E73" s="158"/>
      <c r="F73" s="158"/>
      <c r="G73" s="158"/>
      <c r="H73" s="158"/>
      <c r="I73" s="158"/>
      <c r="J73" s="158"/>
      <c r="K73" s="158"/>
    </row>
    <row r="74" spans="1:11">
      <c r="A74" s="156"/>
      <c r="B74" s="156"/>
      <c r="C74" s="156"/>
      <c r="D74" s="156"/>
      <c r="E74" s="156"/>
      <c r="F74" s="156"/>
      <c r="G74" s="156"/>
      <c r="H74" s="156"/>
      <c r="I74" s="158"/>
      <c r="J74" s="158"/>
      <c r="K74" s="158"/>
    </row>
    <row r="75" spans="1:11">
      <c r="A75" s="156"/>
      <c r="B75" s="156"/>
      <c r="C75" s="156"/>
      <c r="D75" s="156"/>
      <c r="E75" s="156"/>
      <c r="F75" s="156"/>
      <c r="G75" s="156"/>
      <c r="H75" s="156"/>
      <c r="I75" s="158"/>
      <c r="J75" s="158"/>
      <c r="K75" s="158"/>
    </row>
    <row r="76" spans="1:11">
      <c r="A76" s="156"/>
      <c r="B76" s="156"/>
      <c r="C76" s="156"/>
      <c r="D76" s="156"/>
      <c r="E76" s="156"/>
      <c r="F76" s="156"/>
      <c r="G76" s="156"/>
      <c r="H76" s="156"/>
      <c r="I76" s="158"/>
      <c r="J76" s="158"/>
      <c r="K76" s="158"/>
    </row>
    <row r="77" spans="1:11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</sheetData>
  <mergeCells count="27">
    <mergeCell ref="A29:G39"/>
    <mergeCell ref="I30:I31"/>
    <mergeCell ref="J30:J31"/>
    <mergeCell ref="B25:D25"/>
    <mergeCell ref="E25:F25"/>
    <mergeCell ref="B26:D26"/>
    <mergeCell ref="E26:F26"/>
    <mergeCell ref="A22:B22"/>
    <mergeCell ref="C22:D22"/>
    <mergeCell ref="F22:G22"/>
    <mergeCell ref="H22:I22"/>
    <mergeCell ref="A23:B23"/>
    <mergeCell ref="C23:D23"/>
    <mergeCell ref="F23:G23"/>
    <mergeCell ref="H23:I23"/>
    <mergeCell ref="A21:B21"/>
    <mergeCell ref="H4:J4"/>
    <mergeCell ref="A12:B12"/>
    <mergeCell ref="E12:F12"/>
    <mergeCell ref="H12:I12"/>
    <mergeCell ref="A13:B13"/>
    <mergeCell ref="A14:B14"/>
    <mergeCell ref="A15:B15"/>
    <mergeCell ref="A16:B16"/>
    <mergeCell ref="A18:B18"/>
    <mergeCell ref="A19:B19"/>
    <mergeCell ref="A20:B20"/>
  </mergeCells>
  <conditionalFormatting sqref="K26 J27:K27">
    <cfRule type="cellIs" dxfId="1" priority="5" operator="equal">
      <formula>0</formula>
    </cfRule>
  </conditionalFormatting>
  <conditionalFormatting sqref="J26">
    <cfRule type="cellIs" dxfId="0" priority="4" operator="equal">
      <formula>0</formula>
    </cfRule>
  </conditionalFormatting>
  <hyperlinks>
    <hyperlink ref="C20" r:id="rId1"/>
    <hyperlink ref="F20" r:id="rId2"/>
  </hyperlinks>
  <printOptions horizontalCentered="1"/>
  <pageMargins left="0.70866141732283472" right="0.70866141732283472" top="0.74803149606299213" bottom="0.74803149606299213" header="0.31496062992125984" footer="0.31496062992125984"/>
  <pageSetup scale="47" fitToHeight="0" orientation="portrait" r:id="rId3"/>
  <rowBreaks count="1" manualBreakCount="1">
    <brk id="66" max="16383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zoomScale="90" zoomScaleNormal="90" workbookViewId="0">
      <selection activeCell="A2" sqref="A2:Q2"/>
    </sheetView>
  </sheetViews>
  <sheetFormatPr baseColWidth="10" defaultColWidth="11.42578125" defaultRowHeight="15.75"/>
  <cols>
    <col min="1" max="1" width="6.140625" style="2" customWidth="1"/>
    <col min="2" max="2" width="38" style="2" customWidth="1"/>
    <col min="3" max="3" width="9" style="2" bestFit="1" customWidth="1"/>
    <col min="4" max="4" width="32.140625" style="2" customWidth="1"/>
    <col min="5" max="5" width="14.28515625" style="2" customWidth="1"/>
    <col min="6" max="6" width="11.42578125" style="2"/>
    <col min="7" max="7" width="11.42578125" style="2" hidden="1" customWidth="1"/>
    <col min="8" max="10" width="11.42578125" style="2" customWidth="1"/>
    <col min="11" max="12" width="10" style="2" customWidth="1"/>
    <col min="13" max="14" width="11.42578125" style="2" customWidth="1"/>
    <col min="15" max="15" width="11.42578125" style="2" hidden="1" customWidth="1"/>
    <col min="16" max="16" width="9.28515625" style="2" customWidth="1"/>
    <col min="17" max="16384" width="11.42578125" style="2"/>
  </cols>
  <sheetData>
    <row r="1" spans="1:17" ht="21">
      <c r="A1" s="290" t="s">
        <v>57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17" ht="21.75" thickBot="1">
      <c r="A2" s="305" t="s">
        <v>35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7" ht="16.5" thickBot="1">
      <c r="A3" s="406" t="s">
        <v>36</v>
      </c>
      <c r="B3" s="407"/>
      <c r="C3" s="407"/>
      <c r="D3" s="407"/>
      <c r="E3" s="407"/>
      <c r="F3" s="407"/>
      <c r="G3" s="406" t="s">
        <v>37</v>
      </c>
      <c r="H3" s="407"/>
      <c r="I3" s="407"/>
      <c r="J3" s="407"/>
      <c r="K3" s="407"/>
      <c r="L3" s="408"/>
      <c r="M3" s="406" t="s">
        <v>38</v>
      </c>
      <c r="N3" s="407"/>
      <c r="O3" s="407"/>
      <c r="P3" s="407"/>
      <c r="Q3" s="408"/>
    </row>
    <row r="4" spans="1:17">
      <c r="A4" s="427" t="s">
        <v>39</v>
      </c>
      <c r="B4" s="392" t="s">
        <v>40</v>
      </c>
      <c r="C4" s="394" t="s">
        <v>41</v>
      </c>
      <c r="D4" s="394" t="s">
        <v>42</v>
      </c>
      <c r="E4" s="394" t="s">
        <v>43</v>
      </c>
      <c r="F4" s="398" t="s">
        <v>44</v>
      </c>
      <c r="G4" s="400" t="s">
        <v>45</v>
      </c>
      <c r="H4" s="402" t="s">
        <v>46</v>
      </c>
      <c r="I4" s="402" t="s">
        <v>47</v>
      </c>
      <c r="J4" s="402" t="s">
        <v>48</v>
      </c>
      <c r="K4" s="402" t="s">
        <v>49</v>
      </c>
      <c r="L4" s="404" t="s">
        <v>50</v>
      </c>
      <c r="M4" s="400" t="s">
        <v>46</v>
      </c>
      <c r="N4" s="402" t="s">
        <v>47</v>
      </c>
      <c r="O4" s="402" t="s">
        <v>45</v>
      </c>
      <c r="P4" s="404" t="s">
        <v>50</v>
      </c>
      <c r="Q4" s="396" t="s">
        <v>21</v>
      </c>
    </row>
    <row r="5" spans="1:17" ht="16.5" thickBot="1">
      <c r="A5" s="428"/>
      <c r="B5" s="393"/>
      <c r="C5" s="395"/>
      <c r="D5" s="395"/>
      <c r="E5" s="395"/>
      <c r="F5" s="399"/>
      <c r="G5" s="401"/>
      <c r="H5" s="403"/>
      <c r="I5" s="403"/>
      <c r="J5" s="403"/>
      <c r="K5" s="403"/>
      <c r="L5" s="405"/>
      <c r="M5" s="401"/>
      <c r="N5" s="403"/>
      <c r="O5" s="403"/>
      <c r="P5" s="405"/>
      <c r="Q5" s="397"/>
    </row>
    <row r="6" spans="1:17" ht="16.5" thickBot="1">
      <c r="A6" s="435"/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7"/>
    </row>
    <row r="7" spans="1:17" ht="16.5" thickBot="1">
      <c r="A7" s="438"/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40"/>
    </row>
    <row r="8" spans="1:17" ht="16.5" thickBot="1">
      <c r="A8" s="441" t="s">
        <v>161</v>
      </c>
      <c r="B8" s="442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9"/>
    </row>
    <row r="9" spans="1:17" ht="16.5" thickBot="1">
      <c r="A9" s="409" t="s">
        <v>51</v>
      </c>
      <c r="B9" s="410"/>
      <c r="C9" s="410"/>
      <c r="D9" s="410"/>
      <c r="E9" s="410"/>
      <c r="F9" s="411"/>
      <c r="G9" s="412"/>
      <c r="H9" s="413"/>
      <c r="I9" s="413"/>
      <c r="J9" s="413"/>
      <c r="K9" s="413"/>
      <c r="L9" s="414"/>
      <c r="M9" s="413"/>
      <c r="N9" s="413"/>
      <c r="O9" s="413"/>
      <c r="P9" s="413"/>
      <c r="Q9" s="50">
        <f>+Q10+Q12+Q20+Q38</f>
        <v>1150.9999999999998</v>
      </c>
    </row>
    <row r="10" spans="1:17" ht="16.5" thickBot="1">
      <c r="A10" s="422" t="s">
        <v>52</v>
      </c>
      <c r="B10" s="423"/>
      <c r="C10" s="423"/>
      <c r="D10" s="423"/>
      <c r="E10" s="423"/>
      <c r="F10" s="424"/>
      <c r="G10" s="425"/>
      <c r="H10" s="415"/>
      <c r="I10" s="415"/>
      <c r="J10" s="415"/>
      <c r="K10" s="415"/>
      <c r="L10" s="426"/>
      <c r="M10" s="415"/>
      <c r="N10" s="415"/>
      <c r="O10" s="415"/>
      <c r="P10" s="415"/>
      <c r="Q10" s="51">
        <f>+SUM(Q11)</f>
        <v>338</v>
      </c>
    </row>
    <row r="11" spans="1:17" ht="17.25" thickBot="1">
      <c r="A11" s="52"/>
      <c r="B11" s="265" t="s">
        <v>53</v>
      </c>
      <c r="C11" s="54"/>
      <c r="D11" s="55" t="str">
        <f t="shared" ref="D11:D19" si="0">+IF(_xlfn.NUMBERVALUE(O11)=0,CONCATENATE("Pieza de ",M11,"inX",N11,"inX",P11,"_Pies"),CONCATENATE("Rollizo de ",O11,"''ØX",P11,"_Pies"))</f>
        <v>Pieza de 6,5inX6,5inX8_Pies</v>
      </c>
      <c r="E11" s="56"/>
      <c r="F11" s="57">
        <v>12</v>
      </c>
      <c r="G11" s="53"/>
      <c r="H11" s="58">
        <v>6</v>
      </c>
      <c r="I11" s="58">
        <v>6</v>
      </c>
      <c r="J11" s="58">
        <v>92</v>
      </c>
      <c r="K11" s="58">
        <f t="shared" ref="K11:K19" si="1">+L11*12</f>
        <v>96</v>
      </c>
      <c r="L11" s="59">
        <f t="shared" ref="L11:L15" si="2">ROUNDUP(J11/12,0)</f>
        <v>8</v>
      </c>
      <c r="M11" s="58">
        <v>6.5</v>
      </c>
      <c r="N11" s="58">
        <v>6.5</v>
      </c>
      <c r="O11" s="53"/>
      <c r="P11" s="59">
        <f t="shared" ref="P11:P18" si="3">+L11</f>
        <v>8</v>
      </c>
      <c r="Q11" s="60">
        <f t="shared" ref="Q11:Q19" si="4">F11*M11*N11*P11/12</f>
        <v>338</v>
      </c>
    </row>
    <row r="12" spans="1:17" ht="16.5" thickBot="1">
      <c r="A12" s="416" t="s">
        <v>54</v>
      </c>
      <c r="B12" s="417"/>
      <c r="C12" s="417"/>
      <c r="D12" s="417"/>
      <c r="E12" s="417"/>
      <c r="F12" s="418"/>
      <c r="G12" s="419"/>
      <c r="H12" s="420"/>
      <c r="I12" s="420"/>
      <c r="J12" s="420"/>
      <c r="K12" s="420"/>
      <c r="L12" s="421"/>
      <c r="M12" s="420"/>
      <c r="N12" s="420"/>
      <c r="O12" s="420"/>
      <c r="P12" s="420"/>
      <c r="Q12" s="61">
        <f>+SUM(Q13:Q19)</f>
        <v>386.66666666666663</v>
      </c>
    </row>
    <row r="13" spans="1:17" ht="16.5">
      <c r="A13" s="431"/>
      <c r="B13" s="268" t="s">
        <v>197</v>
      </c>
      <c r="C13" s="63"/>
      <c r="D13" s="64" t="str">
        <f t="shared" si="0"/>
        <v>Pieza de 3inX6inX7_Pies</v>
      </c>
      <c r="E13" s="65"/>
      <c r="F13" s="66">
        <v>6</v>
      </c>
      <c r="G13" s="62"/>
      <c r="H13" s="67">
        <v>2.5</v>
      </c>
      <c r="I13" s="67">
        <v>5.5</v>
      </c>
      <c r="J13" s="68">
        <v>80</v>
      </c>
      <c r="K13" s="67">
        <f t="shared" si="1"/>
        <v>84</v>
      </c>
      <c r="L13" s="69">
        <v>7</v>
      </c>
      <c r="M13" s="67">
        <v>3</v>
      </c>
      <c r="N13" s="67">
        <v>6</v>
      </c>
      <c r="O13" s="62"/>
      <c r="P13" s="69">
        <v>7</v>
      </c>
      <c r="Q13" s="70">
        <f t="shared" si="4"/>
        <v>63</v>
      </c>
    </row>
    <row r="14" spans="1:17" ht="16.5">
      <c r="A14" s="432"/>
      <c r="B14" s="267" t="s">
        <v>198</v>
      </c>
      <c r="C14" s="72"/>
      <c r="D14" s="73" t="str">
        <f t="shared" si="0"/>
        <v>Pieza de 3inX6inX5_Pies</v>
      </c>
      <c r="E14" s="74"/>
      <c r="F14" s="75">
        <v>6</v>
      </c>
      <c r="G14" s="71"/>
      <c r="H14" s="76">
        <v>2.5</v>
      </c>
      <c r="I14" s="76">
        <v>5.5</v>
      </c>
      <c r="J14" s="76">
        <v>61</v>
      </c>
      <c r="K14" s="76">
        <f t="shared" si="1"/>
        <v>60</v>
      </c>
      <c r="L14" s="77">
        <v>5</v>
      </c>
      <c r="M14" s="76">
        <v>3</v>
      </c>
      <c r="N14" s="76">
        <v>6</v>
      </c>
      <c r="O14" s="71"/>
      <c r="P14" s="77">
        <v>5</v>
      </c>
      <c r="Q14" s="78">
        <f t="shared" si="4"/>
        <v>45</v>
      </c>
    </row>
    <row r="15" spans="1:17" ht="16.5">
      <c r="A15" s="432"/>
      <c r="B15" s="267" t="s">
        <v>199</v>
      </c>
      <c r="C15" s="72"/>
      <c r="D15" s="73" t="str">
        <f t="shared" si="0"/>
        <v>Pieza de 2inX4inX10_Pies</v>
      </c>
      <c r="E15" s="74"/>
      <c r="F15" s="75">
        <v>4</v>
      </c>
      <c r="G15" s="71"/>
      <c r="H15" s="76">
        <v>1.5</v>
      </c>
      <c r="I15" s="76">
        <v>3.5</v>
      </c>
      <c r="J15" s="76">
        <v>116</v>
      </c>
      <c r="K15" s="76">
        <f t="shared" si="1"/>
        <v>120</v>
      </c>
      <c r="L15" s="77">
        <f t="shared" si="2"/>
        <v>10</v>
      </c>
      <c r="M15" s="76">
        <v>2</v>
      </c>
      <c r="N15" s="76">
        <v>4</v>
      </c>
      <c r="O15" s="71"/>
      <c r="P15" s="77">
        <f t="shared" si="3"/>
        <v>10</v>
      </c>
      <c r="Q15" s="78">
        <f t="shared" si="4"/>
        <v>26.666666666666668</v>
      </c>
    </row>
    <row r="16" spans="1:17" ht="16.5">
      <c r="A16" s="432"/>
      <c r="B16" s="267" t="s">
        <v>200</v>
      </c>
      <c r="C16" s="72"/>
      <c r="D16" s="73" t="str">
        <f t="shared" si="0"/>
        <v>Pieza de 2inX4inX7_Pies</v>
      </c>
      <c r="E16" s="74"/>
      <c r="F16" s="75">
        <v>24</v>
      </c>
      <c r="G16" s="71"/>
      <c r="H16" s="76">
        <v>1.5</v>
      </c>
      <c r="I16" s="76">
        <v>3.5</v>
      </c>
      <c r="J16" s="76">
        <v>45</v>
      </c>
      <c r="K16" s="76">
        <f t="shared" si="1"/>
        <v>84</v>
      </c>
      <c r="L16" s="77">
        <v>7</v>
      </c>
      <c r="M16" s="76">
        <v>2</v>
      </c>
      <c r="N16" s="76">
        <v>4</v>
      </c>
      <c r="O16" s="71"/>
      <c r="P16" s="77">
        <v>7</v>
      </c>
      <c r="Q16" s="78">
        <f t="shared" si="4"/>
        <v>112</v>
      </c>
    </row>
    <row r="17" spans="1:17" ht="16.5">
      <c r="A17" s="432"/>
      <c r="B17" s="267" t="s">
        <v>201</v>
      </c>
      <c r="C17" s="72"/>
      <c r="D17" s="73" t="str">
        <f t="shared" si="0"/>
        <v>Pieza de 2inX4inX1_Pies</v>
      </c>
      <c r="E17" s="74"/>
      <c r="F17" s="75">
        <v>66</v>
      </c>
      <c r="G17" s="71"/>
      <c r="H17" s="76">
        <v>1.5</v>
      </c>
      <c r="I17" s="76">
        <v>3.5</v>
      </c>
      <c r="J17" s="76">
        <v>120</v>
      </c>
      <c r="K17" s="76">
        <f t="shared" si="1"/>
        <v>12</v>
      </c>
      <c r="L17" s="77">
        <v>1</v>
      </c>
      <c r="M17" s="76">
        <v>2</v>
      </c>
      <c r="N17" s="76">
        <v>4</v>
      </c>
      <c r="O17" s="71"/>
      <c r="P17" s="77">
        <v>1</v>
      </c>
      <c r="Q17" s="78">
        <f t="shared" si="4"/>
        <v>44</v>
      </c>
    </row>
    <row r="18" spans="1:17" ht="16.5">
      <c r="A18" s="432"/>
      <c r="B18" s="267" t="s">
        <v>203</v>
      </c>
      <c r="C18" s="72"/>
      <c r="D18" s="73" t="str">
        <f t="shared" si="0"/>
        <v>Pieza de 3inX6inX7_Pies</v>
      </c>
      <c r="E18" s="74"/>
      <c r="F18" s="75">
        <v>4</v>
      </c>
      <c r="G18" s="71"/>
      <c r="H18" s="76">
        <v>2.5</v>
      </c>
      <c r="I18" s="76">
        <v>5.5</v>
      </c>
      <c r="J18" s="76">
        <v>76</v>
      </c>
      <c r="K18" s="76">
        <f t="shared" si="1"/>
        <v>84</v>
      </c>
      <c r="L18" s="77">
        <v>7</v>
      </c>
      <c r="M18" s="76">
        <v>3</v>
      </c>
      <c r="N18" s="76">
        <v>6</v>
      </c>
      <c r="O18" s="71"/>
      <c r="P18" s="77">
        <f t="shared" si="3"/>
        <v>7</v>
      </c>
      <c r="Q18" s="78">
        <f t="shared" si="4"/>
        <v>42</v>
      </c>
    </row>
    <row r="19" spans="1:17" ht="17.25" thickBot="1">
      <c r="A19" s="432"/>
      <c r="B19" s="267" t="s">
        <v>202</v>
      </c>
      <c r="C19" s="72"/>
      <c r="D19" s="73" t="str">
        <f t="shared" si="0"/>
        <v>Pieza de 3inX6inX4_Pies</v>
      </c>
      <c r="E19" s="74"/>
      <c r="F19" s="75">
        <v>9</v>
      </c>
      <c r="G19" s="71"/>
      <c r="H19" s="76">
        <v>2.5</v>
      </c>
      <c r="I19" s="76">
        <v>5.5</v>
      </c>
      <c r="J19" s="76">
        <v>56</v>
      </c>
      <c r="K19" s="76">
        <f t="shared" si="1"/>
        <v>48</v>
      </c>
      <c r="L19" s="77">
        <v>4</v>
      </c>
      <c r="M19" s="76">
        <v>3</v>
      </c>
      <c r="N19" s="76">
        <v>6</v>
      </c>
      <c r="O19" s="71"/>
      <c r="P19" s="77">
        <v>4</v>
      </c>
      <c r="Q19" s="78">
        <f t="shared" si="4"/>
        <v>54</v>
      </c>
    </row>
    <row r="20" spans="1:17" ht="16.5" thickBot="1">
      <c r="A20" s="416" t="s">
        <v>18</v>
      </c>
      <c r="B20" s="417"/>
      <c r="C20" s="417"/>
      <c r="D20" s="417"/>
      <c r="E20" s="417"/>
      <c r="F20" s="418"/>
      <c r="G20" s="419"/>
      <c r="H20" s="420"/>
      <c r="I20" s="420"/>
      <c r="J20" s="420"/>
      <c r="K20" s="420"/>
      <c r="L20" s="421"/>
      <c r="M20" s="420"/>
      <c r="N20" s="420"/>
      <c r="O20" s="420"/>
      <c r="P20" s="420"/>
      <c r="Q20" s="61">
        <f>Q21+Q28+Q35</f>
        <v>310</v>
      </c>
    </row>
    <row r="21" spans="1:17" ht="16.5" thickBot="1">
      <c r="A21" s="95"/>
      <c r="B21" s="433" t="s">
        <v>204</v>
      </c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96">
        <f>+Q22+Q24+Q25+Q27</f>
        <v>74.666666666666671</v>
      </c>
    </row>
    <row r="22" spans="1:17" ht="17.25" thickBot="1">
      <c r="A22" s="431"/>
      <c r="B22" s="265" t="s">
        <v>67</v>
      </c>
      <c r="C22" s="54"/>
      <c r="D22" s="55" t="str">
        <f t="shared" ref="D22:D27" si="5">+IF(_xlfn.NUMBERVALUE(O22)=0,CONCATENATE("Pieza de ",M22,"inX",N22,"inX",P22,"_Pies"),CONCATENATE("Rollizo de ",O22,"''ØX",P22,"_Pies"))</f>
        <v>Pieza de 2inX4inX10_Pies</v>
      </c>
      <c r="E22" s="56"/>
      <c r="F22" s="57">
        <v>4</v>
      </c>
      <c r="G22" s="53"/>
      <c r="H22" s="58">
        <v>1.5</v>
      </c>
      <c r="I22" s="58">
        <v>3.5</v>
      </c>
      <c r="J22" s="87">
        <v>114</v>
      </c>
      <c r="K22" s="58">
        <f t="shared" ref="K22:K27" si="6">+L22*12</f>
        <v>120</v>
      </c>
      <c r="L22" s="59">
        <f t="shared" ref="L22:L27" si="7">ROUNDUP(J22/12,0)</f>
        <v>10</v>
      </c>
      <c r="M22" s="58">
        <v>2</v>
      </c>
      <c r="N22" s="58">
        <v>4</v>
      </c>
      <c r="O22" s="53"/>
      <c r="P22" s="59">
        <f t="shared" ref="P22:P27" si="8">+L22</f>
        <v>10</v>
      </c>
      <c r="Q22" s="60">
        <f t="shared" ref="Q22:Q27" si="9">F22*M22*N22*P22/12</f>
        <v>26.666666666666668</v>
      </c>
    </row>
    <row r="23" spans="1:17" ht="16.5">
      <c r="A23" s="432"/>
      <c r="B23" s="265" t="s">
        <v>206</v>
      </c>
      <c r="C23" s="54"/>
      <c r="D23" s="55" t="str">
        <f t="shared" ref="D23" si="10">+IF(_xlfn.NUMBERVALUE(O23)=0,CONCATENATE("Pieza de ",M23,"inX",N23,"inX",P23,"_Pies"),CONCATENATE("Rollizo de ",O23,"''ØX",P23,"_Pies"))</f>
        <v>Pieza de 2inX4inX2_Pies</v>
      </c>
      <c r="E23" s="56"/>
      <c r="F23" s="57">
        <v>22</v>
      </c>
      <c r="G23" s="53"/>
      <c r="H23" s="58">
        <v>1.5</v>
      </c>
      <c r="I23" s="58">
        <v>3.5</v>
      </c>
      <c r="J23" s="87">
        <v>114</v>
      </c>
      <c r="K23" s="58">
        <f t="shared" ref="K23" si="11">+L23*12</f>
        <v>24</v>
      </c>
      <c r="L23" s="59">
        <v>2</v>
      </c>
      <c r="M23" s="58">
        <v>2</v>
      </c>
      <c r="N23" s="58">
        <v>4</v>
      </c>
      <c r="O23" s="53"/>
      <c r="P23" s="59">
        <f t="shared" ref="P23" si="12">+L23</f>
        <v>2</v>
      </c>
      <c r="Q23" s="60">
        <f t="shared" ref="Q23" si="13">F23*M23*N23*P23/12</f>
        <v>29.333333333333332</v>
      </c>
    </row>
    <row r="24" spans="1:17" ht="16.5">
      <c r="A24" s="432"/>
      <c r="B24" s="267" t="s">
        <v>70</v>
      </c>
      <c r="C24" s="72"/>
      <c r="D24" s="73" t="str">
        <f t="shared" si="5"/>
        <v>Pieza de 2inX4inX4_Pies</v>
      </c>
      <c r="E24" s="74"/>
      <c r="F24" s="75">
        <v>4</v>
      </c>
      <c r="G24" s="71"/>
      <c r="H24" s="76">
        <v>1.5</v>
      </c>
      <c r="I24" s="76">
        <v>3.5</v>
      </c>
      <c r="J24" s="76">
        <v>92</v>
      </c>
      <c r="K24" s="76">
        <f t="shared" si="6"/>
        <v>48</v>
      </c>
      <c r="L24" s="77">
        <v>4</v>
      </c>
      <c r="M24" s="76">
        <v>2</v>
      </c>
      <c r="N24" s="76">
        <v>4</v>
      </c>
      <c r="O24" s="71"/>
      <c r="P24" s="77">
        <f t="shared" si="8"/>
        <v>4</v>
      </c>
      <c r="Q24" s="78">
        <f t="shared" si="9"/>
        <v>10.666666666666666</v>
      </c>
    </row>
    <row r="25" spans="1:17" ht="16.5">
      <c r="A25" s="432"/>
      <c r="B25" s="267" t="s">
        <v>68</v>
      </c>
      <c r="C25" s="72"/>
      <c r="D25" s="73" t="str">
        <f t="shared" si="5"/>
        <v>Pieza de 2inX4inX8_Pies</v>
      </c>
      <c r="E25" s="74"/>
      <c r="F25" s="75">
        <v>6</v>
      </c>
      <c r="G25" s="71"/>
      <c r="H25" s="76">
        <v>1.5</v>
      </c>
      <c r="I25" s="76">
        <v>3.5</v>
      </c>
      <c r="J25" s="76">
        <v>111</v>
      </c>
      <c r="K25" s="76">
        <f t="shared" si="6"/>
        <v>96</v>
      </c>
      <c r="L25" s="77">
        <v>8</v>
      </c>
      <c r="M25" s="76">
        <v>2</v>
      </c>
      <c r="N25" s="76">
        <v>4</v>
      </c>
      <c r="O25" s="71"/>
      <c r="P25" s="77">
        <f t="shared" si="8"/>
        <v>8</v>
      </c>
      <c r="Q25" s="78">
        <f t="shared" si="9"/>
        <v>32</v>
      </c>
    </row>
    <row r="26" spans="1:17" ht="16.5">
      <c r="A26" s="432"/>
      <c r="B26" s="267" t="s">
        <v>55</v>
      </c>
      <c r="C26" s="72"/>
      <c r="D26" s="73" t="str">
        <f t="shared" ref="D26" si="14">+IF(_xlfn.NUMBERVALUE(O26)=0,CONCATENATE("Pieza de ",M26,"inX",N26,"inX",P26,"_Pies"),CONCATENATE("Rollizo de ",O26,"''ØX",P26,"_Pies"))</f>
        <v>Pieza de 2inX4inX9_Pies</v>
      </c>
      <c r="E26" s="74"/>
      <c r="F26" s="75">
        <v>2</v>
      </c>
      <c r="G26" s="71"/>
      <c r="H26" s="76">
        <v>1.5</v>
      </c>
      <c r="I26" s="76">
        <v>3.5</v>
      </c>
      <c r="J26" s="76">
        <v>111</v>
      </c>
      <c r="K26" s="76">
        <f t="shared" ref="K26" si="15">+L26*12</f>
        <v>108</v>
      </c>
      <c r="L26" s="77">
        <v>9</v>
      </c>
      <c r="M26" s="76">
        <v>2</v>
      </c>
      <c r="N26" s="76">
        <v>4</v>
      </c>
      <c r="O26" s="71"/>
      <c r="P26" s="77">
        <f t="shared" ref="P26" si="16">+L26</f>
        <v>9</v>
      </c>
      <c r="Q26" s="78">
        <f t="shared" ref="Q26" si="17">F26*M26*N26*P26/12</f>
        <v>12</v>
      </c>
    </row>
    <row r="27" spans="1:17" ht="17.25" thickBot="1">
      <c r="A27" s="432"/>
      <c r="B27" s="267" t="s">
        <v>69</v>
      </c>
      <c r="C27" s="72"/>
      <c r="D27" s="73" t="str">
        <f t="shared" si="5"/>
        <v>Pieza de 2inX4inX1_Pies</v>
      </c>
      <c r="E27" s="74"/>
      <c r="F27" s="75">
        <v>8</v>
      </c>
      <c r="G27" s="71"/>
      <c r="H27" s="76">
        <v>1.5</v>
      </c>
      <c r="I27" s="76">
        <v>3.5</v>
      </c>
      <c r="J27" s="76">
        <v>12</v>
      </c>
      <c r="K27" s="76">
        <f t="shared" si="6"/>
        <v>12</v>
      </c>
      <c r="L27" s="77">
        <f t="shared" si="7"/>
        <v>1</v>
      </c>
      <c r="M27" s="76">
        <v>2</v>
      </c>
      <c r="N27" s="76">
        <v>4</v>
      </c>
      <c r="O27" s="71"/>
      <c r="P27" s="77">
        <f t="shared" si="8"/>
        <v>1</v>
      </c>
      <c r="Q27" s="78">
        <f t="shared" si="9"/>
        <v>5.333333333333333</v>
      </c>
    </row>
    <row r="28" spans="1:17" ht="16.5" thickBot="1">
      <c r="A28" s="432"/>
      <c r="B28" s="433" t="s">
        <v>205</v>
      </c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96">
        <f>SUM(Q29:Q34)</f>
        <v>164.66666666666666</v>
      </c>
    </row>
    <row r="29" spans="1:17" ht="16.5">
      <c r="A29" s="432"/>
      <c r="B29" s="265" t="s">
        <v>67</v>
      </c>
      <c r="C29" s="54"/>
      <c r="D29" s="55" t="str">
        <f t="shared" ref="D29:D34" si="18">+IF(_xlfn.NUMBERVALUE(O29)=0,CONCATENATE("Pieza de ",M29,"inX",N29,"inX",P29,"_Pies"),CONCATENATE("Rollizo de ",O29,"''ØX",P29,"_Pies"))</f>
        <v>Pieza de 2inX4inX13_Pies</v>
      </c>
      <c r="E29" s="56"/>
      <c r="F29" s="57">
        <v>4</v>
      </c>
      <c r="G29" s="53"/>
      <c r="H29" s="58">
        <v>1.5</v>
      </c>
      <c r="I29" s="58">
        <v>3.5</v>
      </c>
      <c r="J29" s="87">
        <v>79</v>
      </c>
      <c r="K29" s="58">
        <f t="shared" ref="K29:K34" si="19">+L29*12</f>
        <v>156</v>
      </c>
      <c r="L29" s="59">
        <v>13</v>
      </c>
      <c r="M29" s="58">
        <v>2</v>
      </c>
      <c r="N29" s="58">
        <v>4</v>
      </c>
      <c r="O29" s="53"/>
      <c r="P29" s="59">
        <f t="shared" ref="P29:P34" si="20">+L29</f>
        <v>13</v>
      </c>
      <c r="Q29" s="60">
        <f t="shared" ref="Q29:Q34" si="21">F29*M29*N29*P29/12</f>
        <v>34.666666666666664</v>
      </c>
    </row>
    <row r="30" spans="1:17" ht="16.5">
      <c r="A30" s="432"/>
      <c r="B30" s="268" t="s">
        <v>207</v>
      </c>
      <c r="C30" s="63"/>
      <c r="D30" s="73" t="str">
        <f t="shared" si="18"/>
        <v>Pieza de 2inX4inX2_Pies</v>
      </c>
      <c r="E30" s="65"/>
      <c r="F30" s="75">
        <v>23</v>
      </c>
      <c r="G30" s="71"/>
      <c r="H30" s="76">
        <v>1.5</v>
      </c>
      <c r="I30" s="76">
        <v>3.5</v>
      </c>
      <c r="J30" s="76">
        <v>111</v>
      </c>
      <c r="K30" s="76">
        <f t="shared" ref="K30" si="22">+L30*12</f>
        <v>24</v>
      </c>
      <c r="L30" s="77">
        <v>2</v>
      </c>
      <c r="M30" s="76">
        <v>2</v>
      </c>
      <c r="N30" s="76">
        <v>4</v>
      </c>
      <c r="O30" s="71"/>
      <c r="P30" s="77">
        <f t="shared" ref="P30" si="23">+L30</f>
        <v>2</v>
      </c>
      <c r="Q30" s="78">
        <f t="shared" ref="Q30" si="24">F30*M30*N30*P30/12</f>
        <v>30.666666666666668</v>
      </c>
    </row>
    <row r="31" spans="1:17" ht="16.5">
      <c r="A31" s="432"/>
      <c r="B31" s="268" t="s">
        <v>208</v>
      </c>
      <c r="C31" s="63"/>
      <c r="D31" s="73" t="str">
        <f t="shared" ref="D31" si="25">+IF(_xlfn.NUMBERVALUE(O31)=0,CONCATENATE("Pieza de ",M31,"inX",N31,"inX",P31,"_Pies"),CONCATENATE("Rollizo de ",O31,"''ØX",P31,"_Pies"))</f>
        <v>Pieza de 2inX4inX4_Pies</v>
      </c>
      <c r="E31" s="65"/>
      <c r="F31" s="75">
        <v>2</v>
      </c>
      <c r="G31" s="71"/>
      <c r="H31" s="76">
        <v>1.5</v>
      </c>
      <c r="I31" s="76">
        <v>3.5</v>
      </c>
      <c r="J31" s="76">
        <v>111</v>
      </c>
      <c r="K31" s="76">
        <f t="shared" ref="K31" si="26">+L31*12</f>
        <v>48</v>
      </c>
      <c r="L31" s="77">
        <v>4</v>
      </c>
      <c r="M31" s="76">
        <v>2</v>
      </c>
      <c r="N31" s="76">
        <v>4</v>
      </c>
      <c r="O31" s="71"/>
      <c r="P31" s="77">
        <f t="shared" ref="P31" si="27">+L31</f>
        <v>4</v>
      </c>
      <c r="Q31" s="78">
        <f t="shared" ref="Q31" si="28">F31*M31*N31*P31/12</f>
        <v>5.333333333333333</v>
      </c>
    </row>
    <row r="32" spans="1:17" ht="16.5">
      <c r="A32" s="432"/>
      <c r="B32" s="268" t="s">
        <v>71</v>
      </c>
      <c r="C32" s="63"/>
      <c r="D32" s="73" t="str">
        <f t="shared" ref="D32" si="29">+IF(_xlfn.NUMBERVALUE(O32)=0,CONCATENATE("Pieza de ",M32,"inX",N32,"inX",P32,"_Pies"),CONCATENATE("Rollizo de ",O32,"''ØX",P32,"_Pies"))</f>
        <v>Pieza de 2inX4inX7_Pies</v>
      </c>
      <c r="E32" s="65"/>
      <c r="F32" s="75">
        <v>1</v>
      </c>
      <c r="G32" s="71"/>
      <c r="H32" s="76">
        <v>1.5</v>
      </c>
      <c r="I32" s="76">
        <v>3.5</v>
      </c>
      <c r="J32" s="76">
        <v>34</v>
      </c>
      <c r="K32" s="76">
        <f t="shared" ref="K32" si="30">+L32*12</f>
        <v>84</v>
      </c>
      <c r="L32" s="77">
        <v>7</v>
      </c>
      <c r="M32" s="76">
        <v>2</v>
      </c>
      <c r="N32" s="76">
        <v>4</v>
      </c>
      <c r="O32" s="71"/>
      <c r="P32" s="77">
        <f t="shared" ref="P32" si="31">+L32</f>
        <v>7</v>
      </c>
      <c r="Q32" s="78">
        <f t="shared" ref="Q32" si="32">F32*M32*N32*P32/12</f>
        <v>4.666666666666667</v>
      </c>
    </row>
    <row r="33" spans="1:17" ht="16.5">
      <c r="A33" s="432"/>
      <c r="B33" s="267" t="s">
        <v>209</v>
      </c>
      <c r="C33" s="72"/>
      <c r="D33" s="73" t="str">
        <f t="shared" si="18"/>
        <v>Pieza de 2inX4inX8_Pies</v>
      </c>
      <c r="E33" s="74"/>
      <c r="F33" s="75">
        <v>14</v>
      </c>
      <c r="G33" s="71"/>
      <c r="H33" s="76">
        <v>1.5</v>
      </c>
      <c r="I33" s="76">
        <v>3.5</v>
      </c>
      <c r="J33" s="76">
        <v>93</v>
      </c>
      <c r="K33" s="76">
        <f t="shared" si="19"/>
        <v>96</v>
      </c>
      <c r="L33" s="77">
        <f t="shared" ref="L33" si="33">ROUNDUP(J33/12,0)</f>
        <v>8</v>
      </c>
      <c r="M33" s="76">
        <v>2</v>
      </c>
      <c r="N33" s="76">
        <v>4</v>
      </c>
      <c r="O33" s="71"/>
      <c r="P33" s="77">
        <f t="shared" si="20"/>
        <v>8</v>
      </c>
      <c r="Q33" s="78">
        <f t="shared" si="21"/>
        <v>74.666666666666671</v>
      </c>
    </row>
    <row r="34" spans="1:17" ht="17.25" thickBot="1">
      <c r="A34" s="432"/>
      <c r="B34" s="267" t="s">
        <v>210</v>
      </c>
      <c r="C34" s="72"/>
      <c r="D34" s="73" t="str">
        <f t="shared" si="18"/>
        <v>Pieza de 2inX4inX2_Pies</v>
      </c>
      <c r="E34" s="74"/>
      <c r="F34" s="75">
        <v>11</v>
      </c>
      <c r="G34" s="71"/>
      <c r="H34" s="76">
        <v>1.5</v>
      </c>
      <c r="I34" s="76">
        <v>3.5</v>
      </c>
      <c r="J34" s="76">
        <v>111</v>
      </c>
      <c r="K34" s="76">
        <f t="shared" si="19"/>
        <v>24</v>
      </c>
      <c r="L34" s="77">
        <v>2</v>
      </c>
      <c r="M34" s="76">
        <v>2</v>
      </c>
      <c r="N34" s="76">
        <v>4</v>
      </c>
      <c r="O34" s="71"/>
      <c r="P34" s="77">
        <f t="shared" si="20"/>
        <v>2</v>
      </c>
      <c r="Q34" s="78">
        <f t="shared" si="21"/>
        <v>14.666666666666666</v>
      </c>
    </row>
    <row r="35" spans="1:17" ht="16.5" thickBot="1">
      <c r="A35" s="264"/>
      <c r="B35" s="433" t="s">
        <v>221</v>
      </c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96">
        <f>SUM(Q36:Q37)</f>
        <v>70.666666666666671</v>
      </c>
    </row>
    <row r="36" spans="1:17" ht="16.5">
      <c r="A36" s="264"/>
      <c r="B36" s="267" t="s">
        <v>209</v>
      </c>
      <c r="C36" s="72"/>
      <c r="D36" s="73" t="str">
        <f t="shared" ref="D36:D37" si="34">+IF(_xlfn.NUMBERVALUE(O36)=0,CONCATENATE("Pieza de ",M36,"inX",N36,"inX",P36,"_Pies"),CONCATENATE("Rollizo de ",O36,"''ØX",P36,"_Pies"))</f>
        <v>Pieza de 2inX4inX8_Pies</v>
      </c>
      <c r="E36" s="74"/>
      <c r="F36" s="75">
        <v>7</v>
      </c>
      <c r="G36" s="71"/>
      <c r="H36" s="76">
        <v>1.5</v>
      </c>
      <c r="I36" s="76">
        <v>3.5</v>
      </c>
      <c r="J36" s="76">
        <v>92</v>
      </c>
      <c r="K36" s="76">
        <f t="shared" ref="K36:K37" si="35">+L36*12</f>
        <v>96</v>
      </c>
      <c r="L36" s="77">
        <f t="shared" ref="L36:L37" si="36">ROUNDUP(J36/12,0)</f>
        <v>8</v>
      </c>
      <c r="M36" s="76">
        <v>2</v>
      </c>
      <c r="N36" s="76">
        <v>4</v>
      </c>
      <c r="O36" s="71"/>
      <c r="P36" s="77">
        <f t="shared" ref="P36:P37" si="37">+L36</f>
        <v>8</v>
      </c>
      <c r="Q36" s="78">
        <f t="shared" ref="Q36:Q37" si="38">F36*M36*N36*P36/12</f>
        <v>37.333333333333336</v>
      </c>
    </row>
    <row r="37" spans="1:17" ht="17.25" thickBot="1">
      <c r="A37" s="264"/>
      <c r="B37" s="267" t="s">
        <v>222</v>
      </c>
      <c r="C37" s="72"/>
      <c r="D37" s="73" t="str">
        <f t="shared" si="34"/>
        <v>Pieza de 2inX4inX5_Pies</v>
      </c>
      <c r="E37" s="74"/>
      <c r="F37" s="75">
        <v>10</v>
      </c>
      <c r="G37" s="71"/>
      <c r="H37" s="76">
        <v>1.5</v>
      </c>
      <c r="I37" s="76">
        <v>3.5</v>
      </c>
      <c r="J37" s="76">
        <v>57</v>
      </c>
      <c r="K37" s="76">
        <f t="shared" si="35"/>
        <v>60</v>
      </c>
      <c r="L37" s="77">
        <f t="shared" si="36"/>
        <v>5</v>
      </c>
      <c r="M37" s="76">
        <v>2</v>
      </c>
      <c r="N37" s="76">
        <v>4</v>
      </c>
      <c r="O37" s="71"/>
      <c r="P37" s="77">
        <f t="shared" si="37"/>
        <v>5</v>
      </c>
      <c r="Q37" s="78">
        <f t="shared" si="38"/>
        <v>33.333333333333336</v>
      </c>
    </row>
    <row r="38" spans="1:17" ht="16.5" thickBot="1">
      <c r="A38" s="416" t="s">
        <v>22</v>
      </c>
      <c r="B38" s="417"/>
      <c r="C38" s="417"/>
      <c r="D38" s="417"/>
      <c r="E38" s="417"/>
      <c r="F38" s="418"/>
      <c r="G38" s="419"/>
      <c r="H38" s="420"/>
      <c r="I38" s="420"/>
      <c r="J38" s="420"/>
      <c r="K38" s="420"/>
      <c r="L38" s="421"/>
      <c r="M38" s="420"/>
      <c r="N38" s="420"/>
      <c r="O38" s="420"/>
      <c r="P38" s="420"/>
      <c r="Q38" s="61">
        <f>+SUM(Q39:Q40)</f>
        <v>116.33333333333333</v>
      </c>
    </row>
    <row r="39" spans="1:17" ht="16.5">
      <c r="A39" s="429"/>
      <c r="B39" s="265" t="s">
        <v>74</v>
      </c>
      <c r="C39" s="54"/>
      <c r="D39" s="55" t="str">
        <f t="shared" ref="D39:D40" si="39">+IF(_xlfn.NUMBERVALUE(O39)=0,CONCATENATE("Pieza de ",M39,"inX",N39,"inX",P39,"_Pies"),CONCATENATE("Rollizo de ",O39,"''ØX",P39,"_Pies"))</f>
        <v>Pieza de 2inX4inX14_Pies</v>
      </c>
      <c r="E39" s="56"/>
      <c r="F39" s="57">
        <v>7</v>
      </c>
      <c r="G39" s="53"/>
      <c r="H39" s="58">
        <v>1.5</v>
      </c>
      <c r="I39" s="58">
        <v>3.5</v>
      </c>
      <c r="J39" s="87">
        <v>179</v>
      </c>
      <c r="K39" s="58">
        <f t="shared" ref="K39:K40" si="40">+L39*12</f>
        <v>168</v>
      </c>
      <c r="L39" s="59">
        <v>14</v>
      </c>
      <c r="M39" s="58">
        <v>2</v>
      </c>
      <c r="N39" s="58">
        <v>4</v>
      </c>
      <c r="O39" s="53"/>
      <c r="P39" s="59">
        <f t="shared" ref="P39:P40" si="41">+L39</f>
        <v>14</v>
      </c>
      <c r="Q39" s="60">
        <f t="shared" ref="Q39:Q40" si="42">F39*M39*N39*P39/12</f>
        <v>65.333333333333329</v>
      </c>
    </row>
    <row r="40" spans="1:17" ht="17.25" thickBot="1">
      <c r="A40" s="430"/>
      <c r="B40" s="266" t="s">
        <v>56</v>
      </c>
      <c r="C40" s="80"/>
      <c r="D40" s="81" t="str">
        <f t="shared" si="39"/>
        <v>Pieza de 2inX2inX17_Pies</v>
      </c>
      <c r="E40" s="82"/>
      <c r="F40" s="83">
        <v>9</v>
      </c>
      <c r="G40" s="79"/>
      <c r="H40" s="84">
        <v>1.5</v>
      </c>
      <c r="I40" s="84">
        <v>1.5</v>
      </c>
      <c r="J40" s="84">
        <v>256</v>
      </c>
      <c r="K40" s="84">
        <f t="shared" si="40"/>
        <v>204</v>
      </c>
      <c r="L40" s="85">
        <v>17</v>
      </c>
      <c r="M40" s="84">
        <v>2</v>
      </c>
      <c r="N40" s="84">
        <v>2</v>
      </c>
      <c r="O40" s="79"/>
      <c r="P40" s="85">
        <f t="shared" si="41"/>
        <v>17</v>
      </c>
      <c r="Q40" s="86">
        <f t="shared" si="42"/>
        <v>51</v>
      </c>
    </row>
    <row r="41" spans="1:17" ht="17.25" thickBot="1">
      <c r="A41" s="195"/>
      <c r="B41" s="196"/>
      <c r="C41" s="197"/>
      <c r="D41" s="198"/>
      <c r="E41" s="199"/>
      <c r="F41" s="200"/>
      <c r="G41" s="196"/>
      <c r="H41" s="201"/>
      <c r="I41" s="201"/>
      <c r="J41" s="201"/>
      <c r="K41" s="201"/>
      <c r="L41" s="202"/>
      <c r="M41" s="201"/>
      <c r="N41" s="201"/>
      <c r="O41" s="196"/>
      <c r="P41" s="202"/>
      <c r="Q41" s="203"/>
    </row>
  </sheetData>
  <mergeCells count="46">
    <mergeCell ref="A4:A5"/>
    <mergeCell ref="A38:F38"/>
    <mergeCell ref="G38:L38"/>
    <mergeCell ref="M38:P38"/>
    <mergeCell ref="A39:A40"/>
    <mergeCell ref="A13:A19"/>
    <mergeCell ref="A20:F20"/>
    <mergeCell ref="G20:L20"/>
    <mergeCell ref="M20:P20"/>
    <mergeCell ref="A22:A34"/>
    <mergeCell ref="B21:P21"/>
    <mergeCell ref="B28:P28"/>
    <mergeCell ref="B35:P35"/>
    <mergeCell ref="A6:Q6"/>
    <mergeCell ref="A7:Q7"/>
    <mergeCell ref="A8:P8"/>
    <mergeCell ref="A9:F9"/>
    <mergeCell ref="G9:L9"/>
    <mergeCell ref="M9:P9"/>
    <mergeCell ref="M10:P10"/>
    <mergeCell ref="A12:F12"/>
    <mergeCell ref="G12:L12"/>
    <mergeCell ref="M12:P12"/>
    <mergeCell ref="A10:F10"/>
    <mergeCell ref="G10:L10"/>
    <mergeCell ref="A1:Q1"/>
    <mergeCell ref="A2:Q2"/>
    <mergeCell ref="A3:F3"/>
    <mergeCell ref="G3:L3"/>
    <mergeCell ref="M3:Q3"/>
    <mergeCell ref="B4:B5"/>
    <mergeCell ref="C4:C5"/>
    <mergeCell ref="D4:D5"/>
    <mergeCell ref="E4:E5"/>
    <mergeCell ref="Q4:Q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Costeo Modulo</vt:lpstr>
      <vt:lpstr>PO Modulo</vt:lpstr>
      <vt:lpstr>Costeo Adendum</vt:lpstr>
      <vt:lpstr>PO Adendum</vt:lpstr>
      <vt:lpstr>Wood</vt:lpstr>
      <vt:lpstr>'Costeo Adendum'!Área_de_impresión</vt:lpstr>
      <vt:lpstr>'Costeo Modulo'!Área_de_impresión</vt:lpstr>
      <vt:lpstr>'PO Adendum'!Área_de_impresión</vt:lpstr>
      <vt:lpstr>'PO Modulo'!Área_de_impresión</vt:lpstr>
      <vt:lpstr>'Costeo Adendum'!Títulos_a_imprimir</vt:lpstr>
      <vt:lpstr>'Costeo Modulo'!Títulos_a_imprimir</vt:lpstr>
      <vt:lpstr>Wood!Títulos_a_imprimir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Lacayo</dc:creator>
  <cp:lastModifiedBy>Wesley Lacayo</cp:lastModifiedBy>
  <cp:lastPrinted>2021-05-12T22:00:28Z</cp:lastPrinted>
  <dcterms:created xsi:type="dcterms:W3CDTF">2020-11-05T15:04:21Z</dcterms:created>
  <dcterms:modified xsi:type="dcterms:W3CDTF">2021-05-19T23:14:03Z</dcterms:modified>
</cp:coreProperties>
</file>