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activeTab="4"/>
  </bookViews>
  <sheets>
    <sheet xmlns:r="http://schemas.openxmlformats.org/officeDocument/2006/relationships" name="Trial Balance" sheetId="1" state="visible" r:id="rId1"/>
    <sheet xmlns:r="http://schemas.openxmlformats.org/officeDocument/2006/relationships" name="Check if manual ADJE" sheetId="2" state="visible" r:id="rId2"/>
    <sheet xmlns:r="http://schemas.openxmlformats.org/officeDocument/2006/relationships" name="Check Criteria" sheetId="3" state="visible" r:id="rId3"/>
    <sheet xmlns:r="http://schemas.openxmlformats.org/officeDocument/2006/relationships" name="1. F10" sheetId="4" state="visible" r:id="rId4"/>
    <sheet xmlns:r="http://schemas.openxmlformats.org/officeDocument/2006/relationships" name="2. F20" sheetId="5" state="visible" r:id="rId5"/>
    <sheet xmlns:r="http://schemas.openxmlformats.org/officeDocument/2006/relationships" name="3. F30" sheetId="6" state="visible" r:id="rId6"/>
    <sheet xmlns:r="http://schemas.openxmlformats.org/officeDocument/2006/relationships" name="4. F40" sheetId="7" state="visible" r:id="rId7"/>
    <sheet xmlns:r="http://schemas.openxmlformats.org/officeDocument/2006/relationships" name="5. SOCE" sheetId="8" state="visible" r:id="rId8"/>
    <sheet xmlns:r="http://schemas.openxmlformats.org/officeDocument/2006/relationships" name="6.SOCF" sheetId="9" state="visible" r:id="rId9"/>
    <sheet xmlns:r="http://schemas.openxmlformats.org/officeDocument/2006/relationships" name="N3 - NCA" sheetId="10" state="visible" r:id="rId10"/>
    <sheet xmlns:r="http://schemas.openxmlformats.org/officeDocument/2006/relationships" name="N4 - Inventories" sheetId="11" state="visible" r:id="rId11"/>
    <sheet xmlns:r="http://schemas.openxmlformats.org/officeDocument/2006/relationships" name="N5 - TR" sheetId="12" state="visible" r:id="rId12"/>
    <sheet xmlns:r="http://schemas.openxmlformats.org/officeDocument/2006/relationships" name="N7 - Cash" sheetId="13" state="visible" r:id="rId13"/>
    <sheet xmlns:r="http://schemas.openxmlformats.org/officeDocument/2006/relationships" name="N9 - TP" sheetId="14" state="visible" r:id="rId14"/>
    <sheet xmlns:r="http://schemas.openxmlformats.org/officeDocument/2006/relationships" name="N10 - Provisions" sheetId="15" state="visible" r:id="rId15"/>
    <sheet xmlns:r="http://schemas.openxmlformats.org/officeDocument/2006/relationships" name="N11 -  Intercompany" sheetId="16" state="visible" r:id="rId16"/>
    <sheet xmlns:r="http://schemas.openxmlformats.org/officeDocument/2006/relationships" name="N15 - Personnel" sheetId="17" state="visible" r:id="rId17"/>
    <sheet xmlns:r="http://schemas.openxmlformats.org/officeDocument/2006/relationships" name="N16 - Other OPEX" sheetId="18" state="visible" r:id="rId18"/>
    <sheet xmlns:r="http://schemas.openxmlformats.org/officeDocument/2006/relationships" name="BS Mapping std" sheetId="19" state="hidden" r:id="rId19"/>
    <sheet xmlns:r="http://schemas.openxmlformats.org/officeDocument/2006/relationships" name="PL mapping Std" sheetId="20" state="hidden" r:id="rId20"/>
    <sheet xmlns:r="http://schemas.openxmlformats.org/officeDocument/2006/relationships" name="F30 mapping" sheetId="21" state="hidden" r:id="rId21"/>
    <sheet xmlns:r="http://schemas.openxmlformats.org/officeDocument/2006/relationships" name="F40 mapping" sheetId="22" state="hidden" r:id="rId22"/>
    <sheet xmlns:r="http://schemas.openxmlformats.org/officeDocument/2006/relationships" name="for SOCE" sheetId="23" state="hidden" r:id="rId23"/>
    <sheet xmlns:r="http://schemas.openxmlformats.org/officeDocument/2006/relationships" name="for CF captions" sheetId="24"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xlnm.Print_Area" localSheetId="3">'1. F10'!$A$11:$E$132</definedName>
    <definedName name="_xlnm.Print_Area" localSheetId="4">'2. F20'!$A$11:$E$91</definedName>
    <definedName name="_xlnm.Print_Area" localSheetId="5">'3. F30'!$A$17:$F$292</definedName>
    <definedName name="_xlnm.Print_Area" localSheetId="6">'4. F40'!$A$10:$H$79</definedName>
    <definedName name="_xlnm.Print_Area" localSheetId="7">'5. SOCE'!$E$8:$L$38</definedName>
    <definedName name="_xlnm.Print_Area" localSheetId="8">6.SOCF!$A$7:$C$51</definedName>
    <definedName name="_xlnm.Print_Area" localSheetId="9">'N3 - NCA'!$A$10:$O$73</definedName>
    <definedName name="_xlnm.Print_Area" localSheetId="10">'N4 - Inventories'!$A$10:$G$24</definedName>
    <definedName name="_xlnm.Print_Area" localSheetId="11">'N5 - TR'!$A$10:$F$47</definedName>
    <definedName name="_xlnm.Print_Area" localSheetId="12">'N7 - Cash'!$A$10:$C$19</definedName>
    <definedName name="_xlnm.Print_Area" localSheetId="13">'N9 - TP'!$A$10:$G$41</definedName>
    <definedName name="_xlnm.Print_Area" localSheetId="14">'N10 - Provisions'!$A$10:$G$22</definedName>
    <definedName name="_xlnm.Print_Area" localSheetId="16">'N15 - Personnel'!$A$10:$C$27</definedName>
    <definedName name="_xlnm.Print_Area" localSheetId="17">'N16 - Other OPEX'!$A$10:$C$30</definedName>
    <definedName name="_xlnm._FilterDatabase" localSheetId="18" hidden="1">'BS Mapping std'!$A$1:$N$370</definedName>
    <definedName name="_xlnm.Print_Titles" localSheetId="18">'BS Mapping std'!$1:$1</definedName>
    <definedName name="_xlnm._FilterDatabase" localSheetId="19" hidden="1">'PL mapping Std'!$A$2:$J$156</definedName>
    <definedName name="_xlnm.Print_Titles" localSheetId="19">'PL mapping Std'!$2:$2</definedName>
    <definedName name="_xlnm._FilterDatabase" localSheetId="20" hidden="1">'F30 mapping'!$A$1:$C$486</definedName>
    <definedName name="_xlnm._FilterDatabase" localSheetId="23" hidden="1">'for CF captions'!$A$2:$B$40</definedName>
  </definedNames>
  <calcPr calcId="124519" fullCalcOnLoad="1"/>
</workbook>
</file>

<file path=xl/sharedStrings.xml><?xml version="1.0" encoding="utf-8"?>
<sst xmlns="http://schemas.openxmlformats.org/spreadsheetml/2006/main" uniqueCount="3577">
  <si>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</si>
  <si>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</si>
  <si>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</si>
  <si>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</si>
  <si>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</si>
  <si>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</si>
  <si>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</si>
  <si>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</si>
  <si>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</si>
  <si>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</si>
  <si>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</si>
  <si>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</si>
  <si>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</si>
  <si>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</si>
  <si>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</si>
  <si>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</si>
  <si>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</si>
  <si>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</si>
  <si>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</si>
  <si>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</si>
  <si>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</si>
  <si>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</si>
  <si>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</si>
  <si>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</si>
  <si>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</si>
  <si>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</si>
  <si>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</si>
  <si>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</si>
  <si>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</si>
  <si>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</si>
  <si>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</si>
  <si>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</si>
  <si>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</si>
  <si>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</si>
  <si>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</si>
  <si>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</si>
  <si>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</si>
  <si>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</si>
  <si>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ICO Note OB</t>
  </si>
  <si>
    <t>ICO Note CB</t>
  </si>
  <si>
    <t>Capital social</t>
  </si>
  <si>
    <t>Diferente din reevaluare</t>
  </si>
  <si>
    <t>Rezerve legale</t>
  </si>
  <si>
    <t>Alte rezerva</t>
  </si>
  <si>
    <t>Rezerve din profit reinvestit</t>
  </si>
  <si>
    <t>Rezultatul reportat</t>
  </si>
  <si>
    <t>Rezultatul reportant</t>
  </si>
  <si>
    <t>Rezultatul reportat HP, Romania</t>
  </si>
  <si>
    <t>Profit sau pierdere</t>
  </si>
  <si>
    <t>Rezultatul reportat-surplusul realizat di</t>
  </si>
  <si>
    <t>Repartizarea profitului</t>
  </si>
  <si>
    <t>Alte provizioane</t>
  </si>
  <si>
    <t>Provizioane pentru CO neefectuate</t>
  </si>
  <si>
    <t>Provizioane pentru bonusuri clienti</t>
  </si>
  <si>
    <t>Datorii fata de Amann&amp;Soehne - EUR</t>
  </si>
  <si>
    <t>Datorii fata de Amann&amp;Soehne - RON</t>
  </si>
  <si>
    <t>Datorii fata de Amann&amp;Soehne - USD</t>
  </si>
  <si>
    <t>Datorii fata de Amann International</t>
  </si>
  <si>
    <t>Reevaluare datorii Amann&amp;Soehne</t>
  </si>
  <si>
    <t>Fremdwährungsbewertg.Amann Internat.Darle</t>
  </si>
  <si>
    <t>Datorii asimilate – garantie buna exec</t>
  </si>
  <si>
    <t>Software</t>
  </si>
  <si>
    <t>Terenuri</t>
  </si>
  <si>
    <t>Cladiri</t>
  </si>
  <si>
    <t>Echipamente technologice</t>
  </si>
  <si>
    <t>Aparatura si instal de masura, control si</t>
  </si>
  <si>
    <t>Mijloace de transport</t>
  </si>
  <si>
    <t>Mobilier,aparatura birotica, echip.protec</t>
  </si>
  <si>
    <t>Instalatii tehnice in curs de aproviziona</t>
  </si>
  <si>
    <t>Imobilizari corporale in curs de executie</t>
  </si>
  <si>
    <t>Comenzi interne pt investitii in mf</t>
  </si>
  <si>
    <t>Decontarea comenzilor interne pt.investit</t>
  </si>
  <si>
    <t>Creante imobilizate</t>
  </si>
  <si>
    <t>Amortizarea altor software 1000</t>
  </si>
  <si>
    <t>Amortizarea constructiilor 11500</t>
  </si>
  <si>
    <t>Amort. echipamente technol. si masini 120</t>
  </si>
  <si>
    <t>Amortiz.ap.si instal de masura,contr.si r</t>
  </si>
  <si>
    <t>Amortizarea mijloace de transport 13003</t>
  </si>
  <si>
    <t>Amortizarea altor imobilizari corporale 1</t>
  </si>
  <si>
    <t>Materii prime raw yarn - fir brut</t>
  </si>
  <si>
    <t>Materii prime twist yarn - fir impletit</t>
  </si>
  <si>
    <t>Materii prime dyed yarn - fir vopsit</t>
  </si>
  <si>
    <t>Materii prime</t>
  </si>
  <si>
    <t>Materiale auxiliare</t>
  </si>
  <si>
    <t>Materiale pentru ambalat</t>
  </si>
  <si>
    <t>Piese de schimb</t>
  </si>
  <si>
    <t>Materiale de natura obiectelor de inventa</t>
  </si>
  <si>
    <t>Amort.materiale de natura obiect. de inve</t>
  </si>
  <si>
    <t>Produse in curs de executie fir impletit</t>
  </si>
  <si>
    <t>Produse in curs de executie fir voposit</t>
  </si>
  <si>
    <t>Produse in curs de executie</t>
  </si>
  <si>
    <t>Semifinite</t>
  </si>
  <si>
    <t>Diferente de pret stocuri semifinite</t>
  </si>
  <si>
    <t>Produse finite</t>
  </si>
  <si>
    <t>Produse finite - fir impletit</t>
  </si>
  <si>
    <t>Produse reziduale</t>
  </si>
  <si>
    <t>Produse reziduale – deseu ambalaj plastic</t>
  </si>
  <si>
    <t>Produse reziduale – deseu ambalaj hartie</t>
  </si>
  <si>
    <t>Produse reziduale – deseu ambalaj lemn</t>
  </si>
  <si>
    <t>Produse reziduale – deseu ambalaj metal</t>
  </si>
  <si>
    <t>Diferente de pret stocuri finite</t>
  </si>
  <si>
    <t>Materie prima in tranzit – non UE</t>
  </si>
  <si>
    <t>Materie prima in transit Uniunea European</t>
  </si>
  <si>
    <t>Materie prima in transit Domestic</t>
  </si>
  <si>
    <t>Marfuri in tranzit</t>
  </si>
  <si>
    <t>Marfuri in tranzit – Romania</t>
  </si>
  <si>
    <t>Marfuri</t>
  </si>
  <si>
    <t>Provizioane pentru deprecierea materiilor</t>
  </si>
  <si>
    <t>Provizioane pentru deprecierea semifinite</t>
  </si>
  <si>
    <t>Provizioane pentru deprecierea produselor</t>
  </si>
  <si>
    <t>Provizion depreciere stocuri</t>
  </si>
  <si>
    <t>Furnizori Romania</t>
  </si>
  <si>
    <t>Furnizori foreign countries</t>
  </si>
  <si>
    <t>Furnizor intercompany Amann International</t>
  </si>
  <si>
    <t>Furnizori intercompany – Amann&amp;Soehne dob</t>
  </si>
  <si>
    <t>Furnizori intercompany - Amann &amp; Söhne</t>
  </si>
  <si>
    <t>Furnizori intercompany - Amann Sponit Cze</t>
  </si>
  <si>
    <t>Furnizori intercompany - Amann Threads UK</t>
  </si>
  <si>
    <t>Furnizori intercompany - Amann Bulgaria</t>
  </si>
  <si>
    <t>Furnizori intercompany - Amann Twisting C</t>
  </si>
  <si>
    <t>Furnizori intercompany -Amann Sewing Thre</t>
  </si>
  <si>
    <t>Furnizori intercompany - Amann Slovakia</t>
  </si>
  <si>
    <t>Furnizori externi diferente conversie</t>
  </si>
  <si>
    <t>Furnizori IC diferente conversie</t>
  </si>
  <si>
    <t>Furnizori facturi nesosite MM purposes au</t>
  </si>
  <si>
    <t>Furnizori fact.nesosite ROMANIA</t>
  </si>
  <si>
    <t>Furnizori fact.nesosite extern</t>
  </si>
  <si>
    <t>Furnizori Grup-facturi nesosite</t>
  </si>
  <si>
    <t>Furnizori debitori - avansuri stocuri</t>
  </si>
  <si>
    <t>Furnizori debitori-avansuri prest. servic</t>
  </si>
  <si>
    <t>Clienti din Romania</t>
  </si>
  <si>
    <t>Clienti externi altii</t>
  </si>
  <si>
    <t>Clienti intercompany - Amann &amp; Söhne</t>
  </si>
  <si>
    <t>Clienti intercompany - Amann Sponit Czech</t>
  </si>
  <si>
    <t>Clienti intercompany - Amann Bulgaria</t>
  </si>
  <si>
    <t>Clienti intercompany - Amann Threads UK</t>
  </si>
  <si>
    <t>Clienti intercompany - Amann Italia</t>
  </si>
  <si>
    <t>Clienti intercompany - Amann Vietnam</t>
  </si>
  <si>
    <t>Clienti intercompany - Amann Spania</t>
  </si>
  <si>
    <t>Debitoren Amann France</t>
  </si>
  <si>
    <t>Clienti externi diferente conversie</t>
  </si>
  <si>
    <t>Clienti IC diferente conversie</t>
  </si>
  <si>
    <t>Clienti creditori</t>
  </si>
  <si>
    <t>Personal salarii datorate</t>
  </si>
  <si>
    <t>Avansuri acordate personalului</t>
  </si>
  <si>
    <t>Drepturi de personal neridicate</t>
  </si>
  <si>
    <t>Retineri din salarii datorate tertilor</t>
  </si>
  <si>
    <t>Alte datorii in legatura cu personalul-bo</t>
  </si>
  <si>
    <t>Contributie la pensie facultativa</t>
  </si>
  <si>
    <t>Contributia unitatii la asig.soc.sanatate</t>
  </si>
  <si>
    <t>Contributia angajator.FNUASS</t>
  </si>
  <si>
    <t>Contrib. personal la asig.sociale incepan</t>
  </si>
  <si>
    <t>Contr.person.la asig.soc.sanatate incepan</t>
  </si>
  <si>
    <t>Contributie asiguratorie pentru munca</t>
  </si>
  <si>
    <t>TVA de recuperat</t>
  </si>
  <si>
    <t>TVA deductibil</t>
  </si>
  <si>
    <t>TVA deductibila UE</t>
  </si>
  <si>
    <t>TVA colectata</t>
  </si>
  <si>
    <t>TVA colectata UE</t>
  </si>
  <si>
    <t>TVA neexigibila</t>
  </si>
  <si>
    <t>TVA neexigibila-achizitii TVA la incasare</t>
  </si>
  <si>
    <t>Impozitul pe salarii</t>
  </si>
  <si>
    <t>Impozit nerezidenti-dobanda</t>
  </si>
  <si>
    <t>Impozit nerezidenti-redevente</t>
  </si>
  <si>
    <t xml:space="preserve">Fonduri speciale-taxa  handicapati       </t>
  </si>
  <si>
    <t>Alte creante privind Bug.Statului-impozit</t>
  </si>
  <si>
    <t>Decontari intre entitatile afiliate</t>
  </si>
  <si>
    <t>Debitori diversi</t>
  </si>
  <si>
    <t>Cheltuieli inregistrate in avans</t>
  </si>
  <si>
    <t>Sume in curs de clarificare</t>
  </si>
  <si>
    <t>Provizion pentru clienti rau platnici</t>
  </si>
  <si>
    <t>Efecte de incasat-CEC</t>
  </si>
  <si>
    <t>Efecte de incasat-BO</t>
  </si>
  <si>
    <t>Efect. de incasat-CEC SAF-T</t>
  </si>
  <si>
    <t>Efecte de incasat-BO SAF-T</t>
  </si>
  <si>
    <t>Conturi la banci - Banca Transilvania RON</t>
  </si>
  <si>
    <t>Banca Comerciala Romana RON</t>
  </si>
  <si>
    <t>Banca Comerciala Romana EUR</t>
  </si>
  <si>
    <t>HSBC EUR</t>
  </si>
  <si>
    <t>HSBC USD</t>
  </si>
  <si>
    <t>HSBC GBP</t>
  </si>
  <si>
    <t>Sume in curs de clarif. – plati contribut</t>
  </si>
  <si>
    <t>Casa in Lei</t>
  </si>
  <si>
    <t>Casa in EUR</t>
  </si>
  <si>
    <t>Casa in GBP</t>
  </si>
  <si>
    <t>Casa in USD</t>
  </si>
  <si>
    <t>Alte valori - tichete de masa</t>
  </si>
  <si>
    <t>Avansuri de trezorerie</t>
  </si>
  <si>
    <t>Viramente interne</t>
  </si>
  <si>
    <t>Viramente interne compensari grup</t>
  </si>
  <si>
    <t>Cheltuieli cu materiile prime raw yarn</t>
  </si>
  <si>
    <t>Cheltuieli cu materiile prime twist yarn</t>
  </si>
  <si>
    <t>Cheltuieli cu materiile prime dyed yarn</t>
  </si>
  <si>
    <t>Consum materii prime GT</t>
  </si>
  <si>
    <t>Consum materii prime-pt. testare</t>
  </si>
  <si>
    <t>Diferente inventar materii prime MINUS</t>
  </si>
  <si>
    <t>Diferente de inventar mat.prime PLUS</t>
  </si>
  <si>
    <t>Diferente de pret la mat.prime -  in plus</t>
  </si>
  <si>
    <t>Diferente de pret la materii prime – in m</t>
  </si>
  <si>
    <t>Rebuturi materii prime</t>
  </si>
  <si>
    <t>Casari materii prime</t>
  </si>
  <si>
    <t>Cheltuieli cu materiale auxiliare</t>
  </si>
  <si>
    <t>Materiale auxiliare vandute</t>
  </si>
  <si>
    <t>Casari material auxiliare</t>
  </si>
  <si>
    <t>Chelt.cu mat auxiliare - diferenta factur</t>
  </si>
  <si>
    <t>Cheltuieli cu mat.aux.-diferenta factura</t>
  </si>
  <si>
    <t>Cheltuieli cu mat auxiliare PLUS de inven</t>
  </si>
  <si>
    <t>Cheltuieli cu mat auxiliare MINUS de inve</t>
  </si>
  <si>
    <t>Cheltuieli privind combustibiul</t>
  </si>
  <si>
    <t>Cheltuieli cu materiale pentru ambalat</t>
  </si>
  <si>
    <t>Consum piese sch-dept intretinere</t>
  </si>
  <si>
    <t>Cheltuieli cu piesele de schimb- minus de</t>
  </si>
  <si>
    <t>Chelt.privind obiectele de inv. 13900 -au</t>
  </si>
  <si>
    <t>Cheltuieli cu materialele nestocate-EDP</t>
  </si>
  <si>
    <t>Cheltuieli cu material.nestocate-ziare si</t>
  </si>
  <si>
    <t>Cheltuieli cu materialele nestocate-mat.b</t>
  </si>
  <si>
    <t>Cheltuieli cu materiale nestocate apa</t>
  </si>
  <si>
    <t>Cheltuieli cu alte mat.consum.-mater. de</t>
  </si>
  <si>
    <t>Chelt. cu materialele pentru productie</t>
  </si>
  <si>
    <t>Chelt.cu mat.nestocate - piese de schimb</t>
  </si>
  <si>
    <t>Ch.cu mat.nestoc.-materiale protectie</t>
  </si>
  <si>
    <t>Cheltuieli cu Materiale pentru ambalat</t>
  </si>
  <si>
    <t>Cheltuieli cu gazul metan</t>
  </si>
  <si>
    <t>Cheltuieli cu energia electrica</t>
  </si>
  <si>
    <t>Apa</t>
  </si>
  <si>
    <t>Costul marf.vandute (inreg.automate)</t>
  </si>
  <si>
    <t>Costul marf.vandute - inreg.manuale</t>
  </si>
  <si>
    <t>Cheltuieli cu materiile prime - inreg aut</t>
  </si>
  <si>
    <t>Dif.pret marfuri</t>
  </si>
  <si>
    <t>Dif mici de pret intre cda si fact pt mar</t>
  </si>
  <si>
    <t>VENIT din transfer de stoc intre gestiuni</t>
  </si>
  <si>
    <t>Chelt cu marf.-produse clasate</t>
  </si>
  <si>
    <t>Diferente de inventar marfuri PLUS</t>
  </si>
  <si>
    <t>Diferente inventar marfuri MINUS</t>
  </si>
  <si>
    <t>Reduceri comerciale primite</t>
  </si>
  <si>
    <t>Chelt cu Intretinerea si reparatiile - th</t>
  </si>
  <si>
    <t>Cheltuieli cu intretinere si repartii – c</t>
  </si>
  <si>
    <t>Chetuieli cu intretinerea si reparatiile</t>
  </si>
  <si>
    <t>Chelt.redev.,locat.,de gestiune,chiriile-</t>
  </si>
  <si>
    <t>Costuri de leasing auto</t>
  </si>
  <si>
    <t>Chelt.redev., locatiile gestiune si chiri</t>
  </si>
  <si>
    <t>Chelt.cu primele de asigurare -stoc, mijl</t>
  </si>
  <si>
    <t>Cheltuieli cu primele de asigurare - alte</t>
  </si>
  <si>
    <t>Chelt.cu asigurarile – AS</t>
  </si>
  <si>
    <t>Cheltuieli cu primele de asigurare – anga</t>
  </si>
  <si>
    <t>Cheltuieli cu primele de asigurare - auto</t>
  </si>
  <si>
    <t>Alte chelt.cu servic.exec.de terti-avocat</t>
  </si>
  <si>
    <t>Chelt. protocol, reclama si publicitare -</t>
  </si>
  <si>
    <t>Chelt. protocol,reclama si publicitare</t>
  </si>
  <si>
    <t>Cheltuileli de marketing</t>
  </si>
  <si>
    <t>Cartele de culori de la companii afiliate</t>
  </si>
  <si>
    <t>Materiale promotionale de la companii afi</t>
  </si>
  <si>
    <t>Chelt. protocol,reclama,publicitare-neded</t>
  </si>
  <si>
    <t>Chelt.cu transp.bunurilor cu camionul</t>
  </si>
  <si>
    <t>Ch.transport produse finite magazia IZL D</t>
  </si>
  <si>
    <t>Cheltuieli de transport mf iesite curier</t>
  </si>
  <si>
    <t>Chelt.de transport marfuri iesite cu avio</t>
  </si>
  <si>
    <t>Cheltuieli de transport - transport angaj</t>
  </si>
  <si>
    <t>Chelt.cu deplasari,detasari,transfer.-pla</t>
  </si>
  <si>
    <t>Chelt.cu deplasari,detasari si transferar</t>
  </si>
  <si>
    <t>Chelt.cu deplasari,detasari,transfer.-bil</t>
  </si>
  <si>
    <t>Chelt.cu postale si taxe de telecom.-tele</t>
  </si>
  <si>
    <t>Cheltuieli cu serviciile bancare si asimi</t>
  </si>
  <si>
    <t>Alte chelt.cu serv.executate de terti-sco</t>
  </si>
  <si>
    <t>Alte chelt.cu serv.execut.de terti-recrut</t>
  </si>
  <si>
    <t>Alte chelt.cu servic.execut.de terti - co</t>
  </si>
  <si>
    <t>Alte chelt.cu serv.execut.de terti-audit</t>
  </si>
  <si>
    <t>Servicii audit TŰV</t>
  </si>
  <si>
    <t>Cheltuieli cu servicii informatice</t>
  </si>
  <si>
    <t>Alte Chelt.cu servici. executate de terti</t>
  </si>
  <si>
    <t>Chelt.personal-servicii medicale</t>
  </si>
  <si>
    <t>Servicii informatice GRUP</t>
  </si>
  <si>
    <t>Chelt. cu alte servicii executate de Grup</t>
  </si>
  <si>
    <t>Chelt. cu servicii de la comp. din Grup</t>
  </si>
  <si>
    <t>Alte chelt.cu serviciile – prelucrari ter</t>
  </si>
  <si>
    <t>Costuri cu leasingul de personal</t>
  </si>
  <si>
    <t>Chelt. cu alte imp.,taxe si varsaminte as</t>
  </si>
  <si>
    <t>Chelt. colectare TVA protocol-cadouri</t>
  </si>
  <si>
    <t>Chelt.privind fondul supliment.de handica</t>
  </si>
  <si>
    <t>Chelt.priv.fondul suplim.de handicapati-m</t>
  </si>
  <si>
    <t>Cheltuieli cu impozitul pe cladiri si ter</t>
  </si>
  <si>
    <t>Chelt. cu alte imp.,taxe si varsam. asimi</t>
  </si>
  <si>
    <t>Cheltuiele cu salariile personalului - mu</t>
  </si>
  <si>
    <t>Cheltuiele cu salariile pers. - muncitori</t>
  </si>
  <si>
    <t>Cheltuiele cu salariile personalului - sp</t>
  </si>
  <si>
    <t>Chelt.cu salar.pers.-muncit.-bonus indivi</t>
  </si>
  <si>
    <t>Chelt.cu salar.pers.-muncit.-bonus eficie</t>
  </si>
  <si>
    <t>Chelt.cu salar.pers.-muncit.-prime</t>
  </si>
  <si>
    <t>Cheltuieli cu salariile personalului - te</t>
  </si>
  <si>
    <t>Chelt. cu salariile personalului - tesa o</t>
  </si>
  <si>
    <t>Chelt.cu salar.pers.-tesa-bonus individua</t>
  </si>
  <si>
    <t>Chelt.cu salar.person.-tesa-prime</t>
  </si>
  <si>
    <t>Bonusuri de acordat-TESA si muncitori</t>
  </si>
  <si>
    <t>Avantaje in natura - muncitori</t>
  </si>
  <si>
    <t>Avantaje in natura - tesa</t>
  </si>
  <si>
    <t>Cheltuieli tichete de masa - muncitori</t>
  </si>
  <si>
    <t>Cheltuieli tichete de masa - tesa</t>
  </si>
  <si>
    <t>Contrib.unitatii la asig.sociale muncitor</t>
  </si>
  <si>
    <t>Contrib.unitatii la asig.sociale TESA</t>
  </si>
  <si>
    <t>Alte chelt.cu protectia soc.-tesa,haine,c</t>
  </si>
  <si>
    <t>Alte cheltuieli asigurar.si protectia soc</t>
  </si>
  <si>
    <t>Alte chelt.priv.asigurar.prot.soc.-ajutoa</t>
  </si>
  <si>
    <t>Contrib.unitate- contrib.asig.pt.munca-mu</t>
  </si>
  <si>
    <t>Contrib.unitate- contrib.asig.pt.munca -</t>
  </si>
  <si>
    <t>Cheltuieli cu protectia mediului înconjur</t>
  </si>
  <si>
    <t>Despagubiri, amenzi si penalitati</t>
  </si>
  <si>
    <t>Despagubiri, amenzi, penalitati - autorit</t>
  </si>
  <si>
    <t>Cheltuieli privind activele cedate autom.</t>
  </si>
  <si>
    <t>Venituri din vanzarea activelor (clearing</t>
  </si>
  <si>
    <t>Alte cheltuieli de exploatare</t>
  </si>
  <si>
    <t>Alte chelt. de exploatare-refacturari Gru</t>
  </si>
  <si>
    <t>Cheltuieli referitoare la anii anteriori</t>
  </si>
  <si>
    <t>Alte chelt. expl.neded-incid.clienti</t>
  </si>
  <si>
    <t>Alte cheltuieli de exploatare nedeductibi</t>
  </si>
  <si>
    <t>Cheltuieli din diferente de curs valutar</t>
  </si>
  <si>
    <t>Cheltuieli din difer.de curs valut.-comp.</t>
  </si>
  <si>
    <t>Diferente de curs - altele</t>
  </si>
  <si>
    <t>Cheltuieli privind dobanzile Amann &amp; Söhn</t>
  </si>
  <si>
    <t>Cheltuieli privind sconturile acordate</t>
  </si>
  <si>
    <t>Chelt.cu amortizarea active mobile 13xxx</t>
  </si>
  <si>
    <t>Amortizarea active imobile 11500</t>
  </si>
  <si>
    <t>Amortizarea active mobile 12000</t>
  </si>
  <si>
    <t>Amortizarea imobilizari necorporale 1000</t>
  </si>
  <si>
    <t>Chelt cu provizioanele de salarii TESA</t>
  </si>
  <si>
    <t>Chelt cu provizioanele de salarii muncito</t>
  </si>
  <si>
    <t>Chelt.cu provizioane taxe sal mun+TESA</t>
  </si>
  <si>
    <t>Chelt.cu provizioanele pt. bonus clienti</t>
  </si>
  <si>
    <t>Provizioane pt deprecierea activelor circ</t>
  </si>
  <si>
    <t>Provizioane pentu depreciere clienti</t>
  </si>
  <si>
    <t>Venituri din vanzarea produselor finite -</t>
  </si>
  <si>
    <t>Venituri din vanzarea produselor rezidual</t>
  </si>
  <si>
    <t>Venituri din vanzarea marfurilor - intern</t>
  </si>
  <si>
    <t>Venituri din vanzarea marfurilor (%mat)</t>
  </si>
  <si>
    <t>Venituri din vanzarea marfurilor - extern</t>
  </si>
  <si>
    <t>Venituri din vanzarea marfurilor - afilia</t>
  </si>
  <si>
    <t>Cheltuieli cu discount-urile acordate</t>
  </si>
  <si>
    <t>Chelt. cu discounturile acordate-extern,</t>
  </si>
  <si>
    <t>Cost semifinite vandute - fir vopsit</t>
  </si>
  <si>
    <t>Cost p.finite vandute - fir impletit</t>
  </si>
  <si>
    <t>Cost productie realizata mat.prime</t>
  </si>
  <si>
    <t>Cost productie realizata semifinite RZW</t>
  </si>
  <si>
    <t>Cost productie realizata semifinite FZW</t>
  </si>
  <si>
    <t>Cost productie realizata finite RZW</t>
  </si>
  <si>
    <t>Consum semifinite fir vopsit</t>
  </si>
  <si>
    <t>Consum finite fir impletit</t>
  </si>
  <si>
    <t>Decont.com.prod.semifinite Grey twist</t>
  </si>
  <si>
    <t>Decont.com.prod.semifinite Dyed twist</t>
  </si>
  <si>
    <t>Decont.com.prod.finite</t>
  </si>
  <si>
    <t>Decont.com.prod.finite Grey twist</t>
  </si>
  <si>
    <t>Variatia stocurilor – material GT</t>
  </si>
  <si>
    <t>Dif.pret semifinite fir impletit</t>
  </si>
  <si>
    <t>Dif.pret semifinite fir vopsit</t>
  </si>
  <si>
    <t>Diferente pret finite fir impletit</t>
  </si>
  <si>
    <t>Dif.pret semifinite raw twist - chelt</t>
  </si>
  <si>
    <t>Dif.pret semifinite dyed twist - chelt</t>
  </si>
  <si>
    <t>Dif.pret finite - chelt</t>
  </si>
  <si>
    <t>Dif.pret finite raw twist - chelt</t>
  </si>
  <si>
    <t>Dif.pret semifinite raw twist - venit</t>
  </si>
  <si>
    <t>Dif.pret semifinite dyed twist - venit</t>
  </si>
  <si>
    <t>Dif.pret finite - venit</t>
  </si>
  <si>
    <t>Dif.pret finite raw twist - venit</t>
  </si>
  <si>
    <t>Dif. inventar finite - minus de inventar</t>
  </si>
  <si>
    <t>Dif. inventar finite - plus de inventar</t>
  </si>
  <si>
    <t>Diferente pret materii prime</t>
  </si>
  <si>
    <t>Venituri din prod.stocata-revopsire ata</t>
  </si>
  <si>
    <t>Dif. inventar semifinite - plus de invent</t>
  </si>
  <si>
    <t>Dif. inventar semifinite - minus de inven</t>
  </si>
  <si>
    <t>Cost productie realizata marfuri</t>
  </si>
  <si>
    <t>Cost semifinite vandute - fir impletit</t>
  </si>
  <si>
    <t>Variatia stocurilor SEMIFINITE</t>
  </si>
  <si>
    <t>Costul bunurilor vandute P.FINITE</t>
  </si>
  <si>
    <t>Consum semifinite fir impletit</t>
  </si>
  <si>
    <t>Costul bunurilor produse - P.FINITE</t>
  </si>
  <si>
    <t>Diferente pret finite</t>
  </si>
  <si>
    <t>Costul bunurilor produse</t>
  </si>
  <si>
    <t>Venituri din despagubiri, amenzi, penalit</t>
  </si>
  <si>
    <t>Venituri din vanzarea activelor</t>
  </si>
  <si>
    <t>Ven. din vanzarea activelor si alte oper.</t>
  </si>
  <si>
    <t>Alte venituri din exploatare</t>
  </si>
  <si>
    <t>Alte venit.din expl. - refact.transp.taxe</t>
  </si>
  <si>
    <t>Alte venit.din expl.-taxe transp.Grup</t>
  </si>
  <si>
    <t>Alte venituri din exploatare IC</t>
  </si>
  <si>
    <t>Venituri din diferente de curs valutar -a</t>
  </si>
  <si>
    <t>Venituri din difer.de curs valutar-compan</t>
  </si>
  <si>
    <t>Venituri din difer.de curs valutar-ref la</t>
  </si>
  <si>
    <t>Venituri din diferente de curs</t>
  </si>
  <si>
    <t>Venituri din dobanzi</t>
  </si>
  <si>
    <t>Veneturi din sconturi</t>
  </si>
  <si>
    <t>Venituri din provizioane</t>
  </si>
  <si>
    <t>Venituri din reluare proviz.sal.TESA</t>
  </si>
  <si>
    <t>Venituri din reluare proviz.sal.Muncitori</t>
  </si>
  <si>
    <t>Venit.din reluari proviz.taxe sal mun+TES</t>
  </si>
  <si>
    <t>Venituri din proviz.pt.deprecierea active</t>
  </si>
  <si>
    <t>Venituri din reluari de prov.clienti</t>
  </si>
  <si>
    <t>Cheltuieli cu materialele nestocate-neded</t>
  </si>
  <si>
    <t>Cheltuieli cu primele de asigurare-nededu</t>
  </si>
  <si>
    <t>Alte servicii de mentenanta executate de</t>
  </si>
  <si>
    <t>Chelt.cu alte impozite, taxe, varsaminte</t>
  </si>
  <si>
    <t>Cheltuieli din reevaluarea imobilizarilor</t>
  </si>
  <si>
    <t>Donatii si subventii acordate</t>
  </si>
  <si>
    <t>Cheltuieli de exploatare privind provizio</t>
  </si>
  <si>
    <t>Subventii de la stat</t>
  </si>
  <si>
    <t>Venit din subventii pt plata personal</t>
  </si>
  <si>
    <t>Venituri din reevaluarea imobilizarilor c</t>
  </si>
  <si>
    <t>Alte venituri din exploatare - afiliate</t>
  </si>
  <si>
    <t>Status for F30 Employee sections</t>
  </si>
  <si>
    <t>Rezumatul conturilor care pot fi ajustate</t>
  </si>
  <si>
    <t>Reglați manual (D/N)</t>
  </si>
  <si>
    <t>BS</t>
  </si>
  <si>
    <t>Bifunctional - Please asses</t>
  </si>
  <si>
    <t>Verificare criteriu pentru Audit Statutar si Marime Contribuabil</t>
  </si>
  <si>
    <t>1. Audit Statutar</t>
  </si>
  <si>
    <t>Tip</t>
  </si>
  <si>
    <t>Sume An financiar curent</t>
  </si>
  <si>
    <t>Status (Audit Statutar DA/NU)</t>
  </si>
  <si>
    <t>Total Active</t>
  </si>
  <si>
    <t>Cifra de afaceri neta</t>
  </si>
  <si>
    <t>Numar mediu de salariati in cursul exercitiului</t>
  </si>
  <si>
    <t>2. Criteriu de marime</t>
  </si>
  <si>
    <t>Status (Criteriu de marime DA/NU)</t>
  </si>
  <si>
    <t>Check OB</t>
  </si>
  <si>
    <t>Check CB</t>
  </si>
  <si>
    <t>F10 - BILANT CONTABIL</t>
  </si>
  <si>
    <t>Signed FS PY</t>
  </si>
  <si>
    <t>Mapping</t>
  </si>
  <si>
    <t>Denumirea elementului</t>
  </si>
  <si>
    <t>Nr. rd.OMF nr.85/2022</t>
  </si>
  <si>
    <t>Nr. rd.</t>
  </si>
  <si>
    <t>Manual Reclass</t>
  </si>
  <si>
    <t>CF Mapping</t>
  </si>
  <si>
    <t>Amount OB</t>
  </si>
  <si>
    <t>Amount CB</t>
  </si>
  <si>
    <t>Code OB</t>
  </si>
  <si>
    <t>Code CB</t>
  </si>
  <si>
    <t>A. ACTIVE IMOBILIZATE</t>
  </si>
  <si>
    <t>I. IMOBILIZARI NECORPORALE</t>
  </si>
  <si>
    <t>1. Cheltuieli de constituire (ct. 201-2801)</t>
  </si>
  <si>
    <t>F10_0011</t>
  </si>
  <si>
    <t>F10_0012</t>
  </si>
  <si>
    <t>2. Cheltuieli de dezvoltare (ct. 203 - 2803 - 2903)</t>
  </si>
  <si>
    <t>F10_0021</t>
  </si>
  <si>
    <t>F10_0022</t>
  </si>
  <si>
    <t>3. Concesiuni, brevete, licente, marci comerciale, drepturi active similare si alte imobilizarí necorporale (ct. 205 + 208 -2805 - 2808 - 2905 - 2908)</t>
  </si>
  <si>
    <t>F10_0031</t>
  </si>
  <si>
    <t>F10_0032</t>
  </si>
  <si>
    <t>4. Fond comercial (ct. 2071 - 2807)</t>
  </si>
  <si>
    <t>F10_0041</t>
  </si>
  <si>
    <t>F10_0042</t>
  </si>
  <si>
    <t>5. Active necorporale de explorare si evaluare a resurselor minerale (ct. 206 - 2806 - 2906)</t>
  </si>
  <si>
    <t>F10_0051</t>
  </si>
  <si>
    <t>F10_0052</t>
  </si>
  <si>
    <t>6. Avansuri ( ct. 4094-4904)</t>
  </si>
  <si>
    <t>F10_0061</t>
  </si>
  <si>
    <t>F10_0062</t>
  </si>
  <si>
    <t>TOTAL IMOBILIZARI NECORPORALE : (rd. 01 la 06)</t>
  </si>
  <si>
    <t>I. IMOBILIZĂRI NECORPORALE</t>
  </si>
  <si>
    <t>F10_0071</t>
  </si>
  <si>
    <t>F10_0072</t>
  </si>
  <si>
    <t>II. IMOBILIZARI CORPORALE</t>
  </si>
  <si>
    <t>1. Terenuri si constructii (ct. 211 + 212 - 2811 - 2812 - 2911 -2912)</t>
  </si>
  <si>
    <t>F10_0081</t>
  </si>
  <si>
    <t>F10_0082</t>
  </si>
  <si>
    <t>2. Instalatii tehnice si masini (ct. 213 + 223 - 2813 - 2913)</t>
  </si>
  <si>
    <t>F10_0091</t>
  </si>
  <si>
    <t>F10_0092</t>
  </si>
  <si>
    <t>3. Alte instalatii, utilaje si mobilier (ct. 214 + 224 - 2814 - 2914)</t>
  </si>
  <si>
    <t>F10_0101</t>
  </si>
  <si>
    <t>F10_0102</t>
  </si>
  <si>
    <t>4. Investitii imobiliare (ct. 215 - 2815 - 2915)</t>
  </si>
  <si>
    <t>F10_0111</t>
  </si>
  <si>
    <t>F10_0112</t>
  </si>
  <si>
    <t>5. Imobilizari corporale in curs de executie (ct. 231 - 2931)</t>
  </si>
  <si>
    <t>F10_0121</t>
  </si>
  <si>
    <t>F10_0122</t>
  </si>
  <si>
    <t>6. Investitii imobiliare in curs de executie (ct. 235 - 2935)</t>
  </si>
  <si>
    <t>F10_0131</t>
  </si>
  <si>
    <t>F10_0132</t>
  </si>
  <si>
    <t>7. Active corporale de explorare si evaluare a resurselor minerale (ct. 216 - 2816 - 2916)</t>
  </si>
  <si>
    <t>F10_0141</t>
  </si>
  <si>
    <t>F10_0142</t>
  </si>
  <si>
    <t>8. Active biologice productive (ct. 217 + 227 - 2817 - 2917)</t>
  </si>
  <si>
    <t>F10_0151</t>
  </si>
  <si>
    <t>F10_0152</t>
  </si>
  <si>
    <t>9. Avansuri ( ct. 4093-4903)</t>
  </si>
  <si>
    <t>F10_0161</t>
  </si>
  <si>
    <t>F10_0162</t>
  </si>
  <si>
    <t>TOTAL (rd. 08 la 16)</t>
  </si>
  <si>
    <t>II. IMOBILIZĂRI CORPORALE</t>
  </si>
  <si>
    <t>F10_0171</t>
  </si>
  <si>
    <t>F10_0172</t>
  </si>
  <si>
    <t>III. IMOBILIZARI FINANCIARE</t>
  </si>
  <si>
    <t>1. Actiuni detinute la filiale (ct. 261 - 2961)</t>
  </si>
  <si>
    <t>1. Acțiuni deținute la filiale</t>
  </si>
  <si>
    <t>F10_0181</t>
  </si>
  <si>
    <t>F10_0182</t>
  </si>
  <si>
    <t>2. Imprumuturi acordate entitatilor din grup (ct. 2671 + 2672 -2964)</t>
  </si>
  <si>
    <t>2. Împrumuturi acordate entităților din grup</t>
  </si>
  <si>
    <t>F10_0191</t>
  </si>
  <si>
    <t>F10_0192</t>
  </si>
  <si>
    <t>3. Actiunile detinute la entitatile asociate si la entitatile controlate in comun (ct. 262 + 263 - 2962)</t>
  </si>
  <si>
    <t>3. Acțiuni deținute la ent. asociate și ctr. comun</t>
  </si>
  <si>
    <t>F10_0201</t>
  </si>
  <si>
    <t>F10_0202</t>
  </si>
  <si>
    <t>4. Imprumuturi acordate entitatilor asociate si entitatilor controlate in comun (ct. 2673 + 2674 - 2965)</t>
  </si>
  <si>
    <t>4. Împr. acordate ent. asociate și ctr. comun</t>
  </si>
  <si>
    <t>F10_0211</t>
  </si>
  <si>
    <t>F10_0212</t>
  </si>
  <si>
    <t>5. Alte titluri imobilizate (ct. 265 - 2963)</t>
  </si>
  <si>
    <t>5. Alte titluri imobilizate</t>
  </si>
  <si>
    <t>F10_0221</t>
  </si>
  <si>
    <t>F10_0222</t>
  </si>
  <si>
    <t>6. Alte imprumuturi (ct. 2675* + 2676* + 2677 + 2678* + 2679* -2966*-2968*)</t>
  </si>
  <si>
    <t>6. Alte împrumuturi</t>
  </si>
  <si>
    <t>F10_0231</t>
  </si>
  <si>
    <t>F10_0232</t>
  </si>
  <si>
    <t>TOTAL (rd. 18 la 23)</t>
  </si>
  <si>
    <t>F10_0241</t>
  </si>
  <si>
    <t>F10_0242</t>
  </si>
  <si>
    <t>ACTIVE IMOBILIZATE - TOTAL (rd. 07 + 17 + 24)</t>
  </si>
  <si>
    <t>F10_0251</t>
  </si>
  <si>
    <t>F10_0252</t>
  </si>
  <si>
    <t>ACTIVE CIRCULANTE</t>
  </si>
  <si>
    <t>I. STOCURI</t>
  </si>
  <si>
    <t>1. Materii prime si materiale consumabile (ct. 301 + 302 + 303 +/- 308 + 321 + 322 + 323 + 328 + 351 + 358 + 381 +/- 388 -391 -392-3951 -3958-398)</t>
  </si>
  <si>
    <t>F10_0261</t>
  </si>
  <si>
    <t>F10_0262</t>
  </si>
  <si>
    <t>2. Productia in curs de executie (ct. 331 + 332 + 341 +/- 348* -393 - 3941 - 3952)</t>
  </si>
  <si>
    <t>F10_0271</t>
  </si>
  <si>
    <t>F10_0272</t>
  </si>
  <si>
    <t>3. Produse finite si marfuri (ct. 327 + 345 + 346 + 347 +/- 348* + 354 + 356 + 357 + 361 + 326 +/- 368 + 371 +/- 378 - 3945 -3946 - 3947- 3953 - 3954 - 3955 - 3956 - 3957 - 396 - 397 - din ct. 4428)</t>
  </si>
  <si>
    <t>F10_0281</t>
  </si>
  <si>
    <t>F10_0282</t>
  </si>
  <si>
    <t>4. Avansuri (ct. 4091-4901)</t>
  </si>
  <si>
    <t>F10_0291</t>
  </si>
  <si>
    <t>F10_0292</t>
  </si>
  <si>
    <t>TOTAL (rd. 26 la 29)</t>
  </si>
  <si>
    <t>F10_0301</t>
  </si>
  <si>
    <t>F10_0302</t>
  </si>
  <si>
    <t>II. CREANTE</t>
  </si>
  <si>
    <t>1. Creante comerciale1 (ct. 2675* + 2676* + 2678* + 2679* -2966* - 2968* + 4092 + 411 + 413 + 418 - 4902 - 491)</t>
  </si>
  <si>
    <t>F10_0311</t>
  </si>
  <si>
    <t>F10_0312</t>
  </si>
  <si>
    <t>2. Sume de incasat de la entitatile afiliate (ct. 451** - 495*)</t>
  </si>
  <si>
    <t>F10_0321</t>
  </si>
  <si>
    <t>F10_0322</t>
  </si>
  <si>
    <t>3. Sume de incasat de la entitatile asociate si entitatile controlate in comun (ct. 453** - 495*)</t>
  </si>
  <si>
    <t>F10_0331</t>
  </si>
  <si>
    <t>F10_0332</t>
  </si>
  <si>
    <t>4. Alte creante (ct. 425 + 4282 + 431** + 436** + 437** + 4382 + 441** + 4424 + din ct. 4428** + 444** + 445 + 446** + 447** + 4482 + 4582 + 4662 + 461 + 473** - 496 + 5187)</t>
  </si>
  <si>
    <t>F10_0341</t>
  </si>
  <si>
    <t>F10_0342</t>
  </si>
  <si>
    <t>5. Capital subscris si nevarsat (ct. 456 - 495*)</t>
  </si>
  <si>
    <t>F10_0351</t>
  </si>
  <si>
    <t>F10_0352</t>
  </si>
  <si>
    <t>6. Creante reprezentand dividende repartizate in cursul exercitiului financiar (ct. 463)</t>
  </si>
  <si>
    <t>35a</t>
  </si>
  <si>
    <t xml:space="preserve">F10_3011 </t>
  </si>
  <si>
    <t>F10_3012</t>
  </si>
  <si>
    <t>TOTAL (rd. 31 la 36)</t>
  </si>
  <si>
    <t>II. CREANȚE</t>
  </si>
  <si>
    <t>F10_0361</t>
  </si>
  <si>
    <t>F10_0362</t>
  </si>
  <si>
    <t>III. INVESTITII PE TERMEN SCURT</t>
  </si>
  <si>
    <t>1. Actiuni detinute la entitatile afiliate (ct. 501 - 591)</t>
  </si>
  <si>
    <t>F10_0371</t>
  </si>
  <si>
    <t>F10_0372</t>
  </si>
  <si>
    <t>2. Alte investitii pe termen scurt (ct. 505 + 506 + 507 + din ct. 508 - 595 - 596 - 598 + 5113 + 5114)</t>
  </si>
  <si>
    <t>F10_0381</t>
  </si>
  <si>
    <t>F10_0382</t>
  </si>
  <si>
    <t>TOTAL (rd. 38 + 39)</t>
  </si>
  <si>
    <t>III. INVESTIȚII PE TERMEN SCURT</t>
  </si>
  <si>
    <t>F10_0391</t>
  </si>
  <si>
    <t>F10_0392</t>
  </si>
  <si>
    <t>IV. CASA si CONTURI LA BANCI (din ct. 508 + ct. 5112 + 512 + 531 + 532 + 541 + 542)</t>
  </si>
  <si>
    <t>IV. CASA ȘI CONTURI LA BĂNCI</t>
  </si>
  <si>
    <t>F10_0401</t>
  </si>
  <si>
    <t>F10_0402</t>
  </si>
  <si>
    <t>ACTIVE CIRCULANTE - TOTAL (rd. 30 + 37 + 40 + 41)</t>
  </si>
  <si>
    <t>F10_0411</t>
  </si>
  <si>
    <t>F10_0412</t>
  </si>
  <si>
    <t>CHELTUIELI IN AVANS (ct. 471) (rd. 44 + 45), din care:</t>
  </si>
  <si>
    <t>C. CHELTUIELI ÎN AVANS</t>
  </si>
  <si>
    <t>F10_0421</t>
  </si>
  <si>
    <t>F10_0422</t>
  </si>
  <si>
    <t>Sume de reluat intr-o perioada de pana la un an (din ct. 471*)</t>
  </si>
  <si>
    <t>F10_0431</t>
  </si>
  <si>
    <t>F10_0432</t>
  </si>
  <si>
    <t>Sume de reluat íntr-o perioada mai mare de un an (din ct. 471*)</t>
  </si>
  <si>
    <t>F10_0441</t>
  </si>
  <si>
    <t>F10_0442</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</si>
  <si>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</si>
  <si>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</si>
  <si>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</si>
  <si>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F10_0451</t>
  </si>
  <si>
    <t>F10_0452</t>
  </si>
  <si>
    <t>2. Sume datorate instltutiilor de credit (ct. 1621 + 1622 + 1624 + 1625 + 1627 + 1682 + 5191 + 5192 + 5198)</t>
  </si>
  <si>
    <t>2. Sume datorate instituțiilor de credit &lt;1AN</t>
  </si>
  <si>
    <t>F10_0461</t>
  </si>
  <si>
    <t>F10_0462</t>
  </si>
  <si>
    <t>3. Avansuri incasate in contul comenzilor (ct. 419)</t>
  </si>
  <si>
    <t>3. Avansuri încasate în contul comenzilor &lt;1AN</t>
  </si>
  <si>
    <t>F10_0471</t>
  </si>
  <si>
    <t>F10_0472</t>
  </si>
  <si>
    <t>4. Datoril comerciale - funizori (ct. 401 + 404 + 408)</t>
  </si>
  <si>
    <t>4. Datorii comerciale - furnizori &lt;1AN</t>
  </si>
  <si>
    <t>F10_0481</t>
  </si>
  <si>
    <t>F10_0482</t>
  </si>
  <si>
    <t>5. Efecte de comert de platit (ct. 403 + 405)</t>
  </si>
  <si>
    <t>5. Efecte de comerț de plătit &lt;1AN</t>
  </si>
  <si>
    <t>F10_0491</t>
  </si>
  <si>
    <t>F10_0492</t>
  </si>
  <si>
    <t>6. Sume datorate entitatilor din grup (ct. 1661 + 1685 + 2691 + 451***)</t>
  </si>
  <si>
    <t>6. Sume datorate entităților din grup &lt;1AN</t>
  </si>
  <si>
    <t>F10_0501</t>
  </si>
  <si>
    <t>F10_0502</t>
  </si>
  <si>
    <t>7. Sume datorate entitatilor asociate si entitatilor controlate in comun (ct. 1663 + 1686 + 2692 + 2693 + 453***)</t>
  </si>
  <si>
    <t>7. Sume datorate entităților asoc. și ctr. comun &lt;1AN</t>
  </si>
  <si>
    <t>F10_0511</t>
  </si>
  <si>
    <t>F10_0512</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</si>
  <si>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</si>
  <si>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</si>
  <si>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F10_0521</t>
  </si>
  <si>
    <t>F10_0522</t>
  </si>
  <si>
    <t>TOTAL (rd. 46 la 53)</t>
  </si>
  <si>
    <t>F10_0531</t>
  </si>
  <si>
    <t>F10_0532</t>
  </si>
  <si>
    <t>ACTIVE CIRCULANTE NETE/DATORII CURENTE NETE (rd. 42 +44 - 54 - 71 - 74 - 77)</t>
  </si>
  <si>
    <t>F10_0541</t>
  </si>
  <si>
    <t>F10_0542</t>
  </si>
  <si>
    <t>TOTAL ACTIVE MINUS DATORII CURENTE (rd. 25 +45 + 55)</t>
  </si>
  <si>
    <t>F10_0551</t>
  </si>
  <si>
    <t>F10_0552</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</si>
  <si>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</si>
  <si>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</si>
  <si>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</si>
  <si>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F10_0561</t>
  </si>
  <si>
    <t>F10_0562</t>
  </si>
  <si>
    <t>2. Sume datorate institutiilor de credit (ct. 1621 + 1622 + 1624 + 1625 +1627 +1682 + 5191+ 5192 + 5198)</t>
  </si>
  <si>
    <t>2. Sume datorate instituțiilor de credit</t>
  </si>
  <si>
    <t>F10_0571</t>
  </si>
  <si>
    <t>F10_0572</t>
  </si>
  <si>
    <t>3. Avansuri încasate în contul comenzilor</t>
  </si>
  <si>
    <t>F10_0581</t>
  </si>
  <si>
    <t>F10_0582</t>
  </si>
  <si>
    <t>4. Datorii comerciale - fumizori (ct. 401 + 404 + 408)</t>
  </si>
  <si>
    <t>4. Datorii comerciale - furnizori</t>
  </si>
  <si>
    <t>F10_0591</t>
  </si>
  <si>
    <t>F10_0592</t>
  </si>
  <si>
    <t>5. Efecte de comerț de plătit</t>
  </si>
  <si>
    <t>F10_0601</t>
  </si>
  <si>
    <t>F10_0602</t>
  </si>
  <si>
    <t>6. Sume datorate entitájilor din grup (ct. 1661 + 1685 + 2691+ 451***)</t>
  </si>
  <si>
    <t>6. Sume datorate entităților din grup</t>
  </si>
  <si>
    <t>F10_0611</t>
  </si>
  <si>
    <t>F10_0612</t>
  </si>
  <si>
    <t>7. Sume datorate entităților asoc. și ctr. comun</t>
  </si>
  <si>
    <t>F10_0621</t>
  </si>
  <si>
    <t>F10_0622</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</si>
  <si>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</si>
  <si>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</si>
  <si>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F10_0631</t>
  </si>
  <si>
    <t>F10_0632</t>
  </si>
  <si>
    <t>TOTAL (rd. 57 la 64)</t>
  </si>
  <si>
    <t>F10_0641</t>
  </si>
  <si>
    <t>F10_0642</t>
  </si>
  <si>
    <t>PROVIZIOANE</t>
  </si>
  <si>
    <t>1. Provizioane pentru beneficiile angajatilor (ct. 1515 + 1517)</t>
  </si>
  <si>
    <t>F10_0651</t>
  </si>
  <si>
    <t>F10_0652</t>
  </si>
  <si>
    <t>2. Provizioane pentru impozite (ct. 1516)</t>
  </si>
  <si>
    <t>F10_0661</t>
  </si>
  <si>
    <t>F10_0662</t>
  </si>
  <si>
    <t>3. Alte provizioane (ct. 1511 + 1512 + 1513 + 1514 + 1518)</t>
  </si>
  <si>
    <t>F10_0671</t>
  </si>
  <si>
    <t>F10_0672</t>
  </si>
  <si>
    <t>TOTAL (rd. 66 + 67 + 68)</t>
  </si>
  <si>
    <t>H. PROVIZIOANE</t>
  </si>
  <si>
    <t>F10_0681</t>
  </si>
  <si>
    <t>F10_0682</t>
  </si>
  <si>
    <t xml:space="preserve">I. VENITURI IN AVANS </t>
  </si>
  <si>
    <t>1. Subventii pentru investitii (ct. 475) (rd. 71 + 72), din care:</t>
  </si>
  <si>
    <t>F10_0691</t>
  </si>
  <si>
    <t>F10_0692</t>
  </si>
  <si>
    <t>Sume de reluat intr-o perioada de pana la un an (din ct. 475*)</t>
  </si>
  <si>
    <t>F10_0701</t>
  </si>
  <si>
    <t>F10_0702</t>
  </si>
  <si>
    <t>Sume de reluat intr-o perioada mai mare de un an (din ct. 475*)</t>
  </si>
  <si>
    <t>F10_0711</t>
  </si>
  <si>
    <t>F10_0712</t>
  </si>
  <si>
    <t>2. Venituri înregistrate în avans (ct. 472) - total (rd. 74 + 75), din care:</t>
  </si>
  <si>
    <t>F10_0721</t>
  </si>
  <si>
    <t>F10_0722</t>
  </si>
  <si>
    <t>Sume de reluat intr-o perioada de pana la un an (din ct 472*)</t>
  </si>
  <si>
    <t>F10_0731</t>
  </si>
  <si>
    <t>F10_0732</t>
  </si>
  <si>
    <t>Sume de reluat intr-o perioada mai mare de un an (din ct. 472*)</t>
  </si>
  <si>
    <t>F10_0741</t>
  </si>
  <si>
    <t>F10_0742</t>
  </si>
  <si>
    <t>3. Venituri în avans aferente activelor primite prin transfer de la clienti (ct. 478) (rd. 77 + 78), din care:</t>
  </si>
  <si>
    <t>F10_0751</t>
  </si>
  <si>
    <t>F10_0752</t>
  </si>
  <si>
    <t>Sume de reluat intr-o perioada de pana la un an (din ct. 478*)</t>
  </si>
  <si>
    <t>F10_0761</t>
  </si>
  <si>
    <t>F10_0762</t>
  </si>
  <si>
    <t>Sume de reluat intr-o perioada mai mare de un an (din ct. 478*)</t>
  </si>
  <si>
    <t>F10_0771</t>
  </si>
  <si>
    <t>F10_0772</t>
  </si>
  <si>
    <t>Fond comercial negativ (ct. 2075)</t>
  </si>
  <si>
    <t>F10_0781</t>
  </si>
  <si>
    <t>F10_0782</t>
  </si>
  <si>
    <t>TOTAL (rd. 70 + 73 + 76 + 79)</t>
  </si>
  <si>
    <t>I. VENITURI ÎN AVANS</t>
  </si>
  <si>
    <t>F10_0791</t>
  </si>
  <si>
    <t>F10_0792</t>
  </si>
  <si>
    <t>CAPITAL SI REZERVE</t>
  </si>
  <si>
    <t>I. CAPITAL</t>
  </si>
  <si>
    <t>1. Capital subscris varsat (ct. 1012)</t>
  </si>
  <si>
    <t>F10_0801</t>
  </si>
  <si>
    <t>F10_0802</t>
  </si>
  <si>
    <t>2. Capital subscris nevarsat (ct. 1011)</t>
  </si>
  <si>
    <t>F10_0811</t>
  </si>
  <si>
    <t>F10_0812</t>
  </si>
  <si>
    <t>3. Patrimoniul regiei (ct. 1015)</t>
  </si>
  <si>
    <t>F10_0821</t>
  </si>
  <si>
    <t>F10_0822</t>
  </si>
  <si>
    <t>4. Patrimoniul institutelor nationale de cercetare-dezvoltare (ct. 1018)</t>
  </si>
  <si>
    <t>F10_0831</t>
  </si>
  <si>
    <t>F10_0832</t>
  </si>
  <si>
    <t>5. Alte elemente de capitaluri proprii (ct. 1031)</t>
  </si>
  <si>
    <t>F10_0841</t>
  </si>
  <si>
    <t>F10_0842</t>
  </si>
  <si>
    <t>TOTAL (rd. 81 + 82 + 83 + 84 + 85)</t>
  </si>
  <si>
    <t>F10_0851</t>
  </si>
  <si>
    <t>F10_0852</t>
  </si>
  <si>
    <t>II. PRIME DE CAPITAL (ct 104)</t>
  </si>
  <si>
    <t>II. PRIME DE CAPITAL</t>
  </si>
  <si>
    <t>F10_0861</t>
  </si>
  <si>
    <t>F10_0862</t>
  </si>
  <si>
    <t>III. REZERVE DIN REEVALUARE (ct. 105)</t>
  </si>
  <si>
    <t>III. REZERVE DIN REEVALUARE</t>
  </si>
  <si>
    <t>F10_0871</t>
  </si>
  <si>
    <t>F10_0872</t>
  </si>
  <si>
    <t>IV. REZERVE</t>
  </si>
  <si>
    <t>1. Rezerve legale (ct. 1061)</t>
  </si>
  <si>
    <t>F10_0881</t>
  </si>
  <si>
    <t>F10_0882</t>
  </si>
  <si>
    <t>2. Rezerve statutare sau contractuale (ct. 1063)</t>
  </si>
  <si>
    <t>F10_0891</t>
  </si>
  <si>
    <t>F10_0892</t>
  </si>
  <si>
    <t>3. Alte rezerve (ct. 1068)</t>
  </si>
  <si>
    <t>F10_0901</t>
  </si>
  <si>
    <t>F10_0902</t>
  </si>
  <si>
    <t>TOTAL (rd. 89 la 91)</t>
  </si>
  <si>
    <t>F10_0911</t>
  </si>
  <si>
    <t>F10_0912</t>
  </si>
  <si>
    <t>Actiuni proprii (ct. 109)</t>
  </si>
  <si>
    <t>F10_0921</t>
  </si>
  <si>
    <t>F10_0922</t>
  </si>
  <si>
    <t>Castiguri legate de instrumentele de capitaluri proprii (ct. 141)</t>
  </si>
  <si>
    <t>F10_0931</t>
  </si>
  <si>
    <t>F10_0932</t>
  </si>
  <si>
    <t>Pierderi legate de instrumentele de capitaluri proprii (ct. 149)</t>
  </si>
  <si>
    <t>F10_0941</t>
  </si>
  <si>
    <t>F10_0942</t>
  </si>
  <si>
    <t>V. PROFITUL SAU PIERDEREA REPORTAT (A)</t>
  </si>
  <si>
    <t xml:space="preserve">                                                                  - sold C  (ct.117)         </t>
  </si>
  <si>
    <t>V. PROFITUL SAU PIERDEREA REPORTATĂ</t>
  </si>
  <si>
    <t>F10_0951</t>
  </si>
  <si>
    <t>F10_0952</t>
  </si>
  <si>
    <t xml:space="preserve">                                                                  - sold D  (ct.117)         </t>
  </si>
  <si>
    <t>F10_0961</t>
  </si>
  <si>
    <t>F10_0962</t>
  </si>
  <si>
    <t>VI. PROFITUL SAU PIERDEREA LA SFARSITUL PERIOADEI DE RAPORTARE</t>
  </si>
  <si>
    <t xml:space="preserve">                                                                  - sold C (ct.121)         </t>
  </si>
  <si>
    <t>VI. PROFITUL SAU PIERDEREA EXERCIȚIULUI FINANCIAR</t>
  </si>
  <si>
    <t>F10_0971</t>
  </si>
  <si>
    <t>F10_0972</t>
  </si>
  <si>
    <t xml:space="preserve">                                                                  - sold D (ct.121)</t>
  </si>
  <si>
    <t>F10_0981</t>
  </si>
  <si>
    <t>F10_0982</t>
  </si>
  <si>
    <t xml:space="preserve">    Repartizarea profitului(ct.129)</t>
  </si>
  <si>
    <t>F10_0991</t>
  </si>
  <si>
    <t>F10_0992</t>
  </si>
  <si>
    <t>CAPITALURI PROPRII - TOTAL (rd. 86 + 87 + 88 + 92 - 93 + 94 - 95 + 96 - 97 + 98 - 99 - 100)</t>
  </si>
  <si>
    <t>F10_1001</t>
  </si>
  <si>
    <t>F10_1002</t>
  </si>
  <si>
    <t>Patrimoniul public (ct. 1016)</t>
  </si>
  <si>
    <t>F10_1011</t>
  </si>
  <si>
    <t>F10_1012</t>
  </si>
  <si>
    <t>Patrimoniu privat (ct. 1017)</t>
  </si>
  <si>
    <t>F10_1021</t>
  </si>
  <si>
    <t>F10_1022</t>
  </si>
  <si>
    <t>CAPITALURI - TOTAL (rd. 100 +101 +102) (rd. 25+41+42-53-64-68-79)</t>
  </si>
  <si>
    <t>F10_1031</t>
  </si>
  <si>
    <t>F10_1032</t>
  </si>
  <si>
    <t>Total Capitaluri + Datorii</t>
  </si>
  <si>
    <t>Check</t>
  </si>
  <si>
    <t>Check PL</t>
  </si>
  <si>
    <t>F20 - Cont de profit si pierdere</t>
  </si>
  <si>
    <t>As per Financial Statement</t>
  </si>
  <si>
    <t>Denumirea indicatorilor</t>
  </si>
  <si>
    <t>PY</t>
  </si>
  <si>
    <t>CY</t>
  </si>
  <si>
    <t>1. Cifra de afaceri neta (rd. 03+04-05+06)</t>
  </si>
  <si>
    <t>F20_0011</t>
  </si>
  <si>
    <t>F20_0012</t>
  </si>
  <si>
    <t>- din care, cifra de afaceri netă corespunzătoare activităţii preponderente efectiv desfăşurate</t>
  </si>
  <si>
    <t>01a</t>
  </si>
  <si>
    <t>F20_3011</t>
  </si>
  <si>
    <t>F20_3012</t>
  </si>
  <si>
    <t>Productia vanduta (ct. 701+702+703+704+705+706+708)</t>
  </si>
  <si>
    <t>F20_0021</t>
  </si>
  <si>
    <t>F20_0022</t>
  </si>
  <si>
    <t>Venituri din vanzarea marfurilor (ct. 707)</t>
  </si>
  <si>
    <t>F20_0031</t>
  </si>
  <si>
    <t>F20_0032</t>
  </si>
  <si>
    <t>Reduceri comerciale acordate (ct.709)</t>
  </si>
  <si>
    <t>F20_0041</t>
  </si>
  <si>
    <t>F20_0042</t>
  </si>
  <si>
    <t>Venituri din subventii de exploatare aferente cifrei de afaceri nete(ct.7411)</t>
  </si>
  <si>
    <t>F20_0061</t>
  </si>
  <si>
    <t>F20_0062</t>
  </si>
  <si>
    <t xml:space="preserve">2.Venituri aferente costului productiei in curs de executie(ct.711+712)                                                    </t>
  </si>
  <si>
    <t>Sold C</t>
  </si>
  <si>
    <t>F20_0071</t>
  </si>
  <si>
    <t>F20_0072</t>
  </si>
  <si>
    <t>Sold D</t>
  </si>
  <si>
    <t>F20_0081</t>
  </si>
  <si>
    <t>F20_0082</t>
  </si>
  <si>
    <t>3. Productia realizata de entitate pentru scopurile sale proprii si capitalizata (ct. 721+722)</t>
  </si>
  <si>
    <t>F20_0091</t>
  </si>
  <si>
    <t>F20_0092</t>
  </si>
  <si>
    <t>4. Venituri din reevaluarea imobilizărilor corporale (ct. 755)</t>
  </si>
  <si>
    <t>F20_0101</t>
  </si>
  <si>
    <t>F20_0102</t>
  </si>
  <si>
    <t>5. Venituri din producţia de investiţii imobiliare (ct. 725)</t>
  </si>
  <si>
    <t>F20_0111</t>
  </si>
  <si>
    <t>F20_0112</t>
  </si>
  <si>
    <t>6. Venituri din subvenții de exploatare (ct. 7412 + 7413 + 7414 + 7415 + 7416 +
7417 + 7419)</t>
  </si>
  <si>
    <t>F20_0121</t>
  </si>
  <si>
    <t>F20_0122</t>
  </si>
  <si>
    <t>7. Alte venituri din exploatare (ct.751+758+7815)</t>
  </si>
  <si>
    <t>F20_0131</t>
  </si>
  <si>
    <t>F20_0132</t>
  </si>
  <si>
    <t xml:space="preserve"> din care, venituri din fondul comercial negativ (ct.7815)</t>
  </si>
  <si>
    <t>F20_0141</t>
  </si>
  <si>
    <t>F20_0142</t>
  </si>
  <si>
    <t>din care, venituri din subvenții pentru investiții (ct.7584)</t>
  </si>
  <si>
    <t>F20_0151</t>
  </si>
  <si>
    <t>F20_0152</t>
  </si>
  <si>
    <t>VENITURI DIN EXPLOATARE – TOTAL (rd. 01+ 07 - 08 + 09 + 10 + 11 + 12 + 13)</t>
  </si>
  <si>
    <t>F20_0161</t>
  </si>
  <si>
    <t>F20_0162</t>
  </si>
  <si>
    <t>8.a) Cheltuieli cu materiile prime si materialele consumabile (ct. 601+602)</t>
  </si>
  <si>
    <t>F20_0171</t>
  </si>
  <si>
    <t>F20_0172</t>
  </si>
  <si>
    <t>Alte cheltuieli materiale (ct. 603+604+606+608)</t>
  </si>
  <si>
    <t>F20_0181</t>
  </si>
  <si>
    <t>F20_0182</t>
  </si>
  <si>
    <t>b) Alte cheltuieli externe (cu energie si apa) (ct. 605)</t>
  </si>
  <si>
    <t>F20_0191</t>
  </si>
  <si>
    <t>F20_0192</t>
  </si>
  <si>
    <t>- din care, cheltuieli privind consumul de energie (ct. 6051)</t>
  </si>
  <si>
    <t>19a</t>
  </si>
  <si>
    <t>F20_019a1</t>
  </si>
  <si>
    <t>F20_019a2</t>
  </si>
  <si>
    <t>- cheltuieli privind consumul de gaze naturale (ct. 6053)</t>
  </si>
  <si>
    <t>19b</t>
  </si>
  <si>
    <t>F20_019b1</t>
  </si>
  <si>
    <t>F20_019b2</t>
  </si>
  <si>
    <t>c)Cheltuieli privind marfurile (ct. 607)</t>
  </si>
  <si>
    <t>F20_0201</t>
  </si>
  <si>
    <t>F20_0202</t>
  </si>
  <si>
    <t>Reduceri comerciale primite (ct. 609)</t>
  </si>
  <si>
    <t>F20_0211</t>
  </si>
  <si>
    <t>F20_0212</t>
  </si>
  <si>
    <t>9. Cheltuieli cu personalul (rd. 25+26), din care:</t>
  </si>
  <si>
    <t>F20_0221</t>
  </si>
  <si>
    <t>F20_0222</t>
  </si>
  <si>
    <t>a) Salarii şi indemnizaţii (ct.641+642+643+644)</t>
  </si>
  <si>
    <t>F20_0231</t>
  </si>
  <si>
    <t>F20_0232</t>
  </si>
  <si>
    <t>b) Cheltuieli cu asigurarile si protectia sociala (ct. 645+646)</t>
  </si>
  <si>
    <t>F20_0241</t>
  </si>
  <si>
    <t>F20_0242</t>
  </si>
  <si>
    <t>10.a) Ajustari de valoare privind imobilizarile corporale si  necorporale (rd. 28-29)</t>
  </si>
  <si>
    <t>F20_0251</t>
  </si>
  <si>
    <t>F20_0252</t>
  </si>
  <si>
    <t>a.1) Cheltuieli (ct.6811+6813+6817+din ct.6818)</t>
  </si>
  <si>
    <t>F20_0261</t>
  </si>
  <si>
    <t>F20_0262</t>
  </si>
  <si>
    <t>a.2) Venituri (ct.7813+din ct.7818)</t>
  </si>
  <si>
    <t>F20_0271</t>
  </si>
  <si>
    <t>F20_0272</t>
  </si>
  <si>
    <t>b) Ajustari de valoare privind activele circulante (rd. 31-32)</t>
  </si>
  <si>
    <t>F20_0281</t>
  </si>
  <si>
    <t>F20_0282</t>
  </si>
  <si>
    <t>b.1) Cheltuieli (ct. 654+6814+din ct.6818)</t>
  </si>
  <si>
    <t>F20_0291</t>
  </si>
  <si>
    <t>F20_0292</t>
  </si>
  <si>
    <t>b.2) Venituri (ct. 754+7814+din ct.7818)</t>
  </si>
  <si>
    <t>F20_0301</t>
  </si>
  <si>
    <t>F20_0302</t>
  </si>
  <si>
    <t>11. Alte cheltuieli de exploatare (rd. 34 la 39)</t>
  </si>
  <si>
    <t>F20_0311</t>
  </si>
  <si>
    <t>F20_0312</t>
  </si>
  <si>
    <t>11.1. Cheltuieli privind prestaţiile externe
(ct.611+612+613+614+615+621+622+623+624+625+626+627+628)</t>
  </si>
  <si>
    <t>F20_0321</t>
  </si>
  <si>
    <t>F20_0322</t>
  </si>
  <si>
    <t>11.2. Cheltuieli cu alte impozite, taxe şi vărsăminte asimilate;
cheltuieli reprezentând transferuri şi contribuţii datorate în baza unor acte
normative speciale(ct. 635 +6586*)</t>
  </si>
  <si>
    <t>F20_0331</t>
  </si>
  <si>
    <t>F20_0332</t>
  </si>
  <si>
    <t>11.3. Cheltuieli cu protecţia mediului înconjurător (ct. 652)</t>
  </si>
  <si>
    <t>F20_0341</t>
  </si>
  <si>
    <t>F20_0342</t>
  </si>
  <si>
    <t>11.4 Cheltuieli din reevaluarea imobilizărilor corporale (ct. 655)</t>
  </si>
  <si>
    <t>F20_0351</t>
  </si>
  <si>
    <t>F20_0352</t>
  </si>
  <si>
    <t>11.5. Cheltuieli privind calamităţile şi alte evenimente similare (ct. 6587)</t>
  </si>
  <si>
    <t>F20_0361</t>
  </si>
  <si>
    <t>F20_0362</t>
  </si>
  <si>
    <t>11.6. Alte cheltuieli (ct. 651+6581+ 6582 + 6583 + 6584 + 6588)</t>
  </si>
  <si>
    <t>F20_0371</t>
  </si>
  <si>
    <t>F20_0372</t>
  </si>
  <si>
    <t>Registrul general si care mai au in derulare contracte de leasing (ct.666*)</t>
  </si>
  <si>
    <t>F20_0381</t>
  </si>
  <si>
    <t>F20_0382</t>
  </si>
  <si>
    <t>Ajustari privind provizioanele (rd. 41-42)</t>
  </si>
  <si>
    <t>F20_0391</t>
  </si>
  <si>
    <t>F20_0392</t>
  </si>
  <si>
    <t xml:space="preserve"> - Cheltuieli (ct. 6812)</t>
  </si>
  <si>
    <t>F20_0401</t>
  </si>
  <si>
    <t>F20_0402</t>
  </si>
  <si>
    <t xml:space="preserve"> - Venituri (ct. 7812)</t>
  </si>
  <si>
    <t>F20_0411</t>
  </si>
  <si>
    <t>F20_0412</t>
  </si>
  <si>
    <t>CHELTUIELI DE EXPLOATARE – TOTAL (rd.17 la 20-21+22+25+28+31+38+39)</t>
  </si>
  <si>
    <t>F20_0421</t>
  </si>
  <si>
    <t>F20_0422</t>
  </si>
  <si>
    <t>PROFITUL SAU PIERDEREA DIN EXPLOATARE</t>
  </si>
  <si>
    <t xml:space="preserve"> - Profit (rd.16-43)</t>
  </si>
  <si>
    <t>F20_0431</t>
  </si>
  <si>
    <t>F20_0432</t>
  </si>
  <si>
    <t xml:space="preserve"> - Pierdere (rd.43-16)</t>
  </si>
  <si>
    <t>F20_0441</t>
  </si>
  <si>
    <t>F20_0442</t>
  </si>
  <si>
    <t>12. Venituri din interese de participare (ct.7611+7612+7613)</t>
  </si>
  <si>
    <t>F20_0451</t>
  </si>
  <si>
    <t>F20_0452</t>
  </si>
  <si>
    <t xml:space="preserve">   -din care, veniturile obtinute de la entitatile afiliate</t>
  </si>
  <si>
    <t>F20_0461</t>
  </si>
  <si>
    <t>F20_0462</t>
  </si>
  <si>
    <t>13. Venituri din dobânzi (ct. 766*)</t>
  </si>
  <si>
    <t>F20_0471</t>
  </si>
  <si>
    <t>F20_0472</t>
  </si>
  <si>
    <t>F20_0481</t>
  </si>
  <si>
    <t>F20_0482</t>
  </si>
  <si>
    <t>14. Venituri din subvenţii de exploatare pentru dobânda datorată (ct. 7418)</t>
  </si>
  <si>
    <t>F20_0491</t>
  </si>
  <si>
    <t>F20_0492</t>
  </si>
  <si>
    <t>15. Alte venituri financiare (ct.762+764+765+767+768+7615)</t>
  </si>
  <si>
    <t>F20_0501</t>
  </si>
  <si>
    <t>F20_0502</t>
  </si>
  <si>
    <t>din care, venituri din alte imobilizări financiare ( ct. 7615)</t>
  </si>
  <si>
    <t>F20_0511</t>
  </si>
  <si>
    <t>F20_0512</t>
  </si>
  <si>
    <t>VENITURI FINANCIARE – TOTAL (rd. 46+48+50+51)</t>
  </si>
  <si>
    <t>F20_0521</t>
  </si>
  <si>
    <t>F20_0522</t>
  </si>
  <si>
    <t>16. Ajustări de valoare privind imobilizările financiare şi investiţiile financiare
deţinute ca active circulante (rd. 55 - 56)</t>
  </si>
  <si>
    <t>F20_0531</t>
  </si>
  <si>
    <t>F20_0532</t>
  </si>
  <si>
    <t xml:space="preserve">   -Cheltuieli (ct.686)</t>
  </si>
  <si>
    <t>F20_0541</t>
  </si>
  <si>
    <t>F20_0542</t>
  </si>
  <si>
    <t xml:space="preserve">   -Venituri (ct.786)</t>
  </si>
  <si>
    <t>F20_0551</t>
  </si>
  <si>
    <t>F20_0552</t>
  </si>
  <si>
    <t>17. Cheltuieli privind dobânzile (ct.666*)</t>
  </si>
  <si>
    <t>F20_0561</t>
  </si>
  <si>
    <t>F20_0562</t>
  </si>
  <si>
    <t>- din care, cheltuielile in relatia cu entitatile afiliate</t>
  </si>
  <si>
    <t>F20_0571</t>
  </si>
  <si>
    <t>F20_0572</t>
  </si>
  <si>
    <t>Alte cheltuieli financiare (ct. 663+664+665+667+668)</t>
  </si>
  <si>
    <t>F20_0581</t>
  </si>
  <si>
    <t>F20_0582</t>
  </si>
  <si>
    <t>CHELTUIELI FINANCIARE – TOTAL (rd. 54+57+59)</t>
  </si>
  <si>
    <t>F20_0591</t>
  </si>
  <si>
    <t>F20_0592</t>
  </si>
  <si>
    <t>PROFITUL SAU PIERDEREA FINANCIARA</t>
  </si>
  <si>
    <t xml:space="preserve">     -Profit (rd.53-60)</t>
  </si>
  <si>
    <t>F20_0601</t>
  </si>
  <si>
    <t>F20_0602</t>
  </si>
  <si>
    <t xml:space="preserve">     - Pierdere(rd.59-52)</t>
  </si>
  <si>
    <t>F20_0611</t>
  </si>
  <si>
    <t>F20_0612</t>
  </si>
  <si>
    <t>VENITURI TOTALE (rd. 16 + 53)</t>
  </si>
  <si>
    <t>F20_0621</t>
  </si>
  <si>
    <t>F20_0622</t>
  </si>
  <si>
    <t>CHELTUIELI TOTALE (rd. 43 + 60)</t>
  </si>
  <si>
    <t>F20_0631</t>
  </si>
  <si>
    <t>F20_0632</t>
  </si>
  <si>
    <t>18. PROFITUL SAU PIERDEREA BRUT(Ă):</t>
  </si>
  <si>
    <t xml:space="preserve"> - Profit  (rd. 63-64)</t>
  </si>
  <si>
    <t>F20_0641</t>
  </si>
  <si>
    <t>F20_0642</t>
  </si>
  <si>
    <t xml:space="preserve"> - Pierdere (rd.64-63)</t>
  </si>
  <si>
    <t>F20_0651</t>
  </si>
  <si>
    <t>F20_0652</t>
  </si>
  <si>
    <t>19. Impozitul pe profit (ct 691)</t>
  </si>
  <si>
    <t>F20_0661</t>
  </si>
  <si>
    <t>F20_0662</t>
  </si>
  <si>
    <t>20. Cheltuieli cu impozitul pe profit rezultat din decontările în cadrul grupului fiscal în domeniul impozitului pe profit (ct. 694)</t>
  </si>
  <si>
    <t>66a</t>
  </si>
  <si>
    <t>F20_066a1</t>
  </si>
  <si>
    <t>F20_066a2</t>
  </si>
  <si>
    <t>21. Venituri din impozitul pe profit rezultat din decontările în cadrul grupului fiscal în domeniul impozitului pe profit (ct. 794)</t>
  </si>
  <si>
    <t>66b</t>
  </si>
  <si>
    <t>F20_066b1</t>
  </si>
  <si>
    <t>F20_066b2</t>
  </si>
  <si>
    <t>22. Impozitul specific unor activități (ct. 695)</t>
  </si>
  <si>
    <t>F20_0671</t>
  </si>
  <si>
    <t>F20_0672</t>
  </si>
  <si>
    <t>23. Alte impozite neprezentate la elementele de mai sus (ct.698)</t>
  </si>
  <si>
    <t>F20_0681</t>
  </si>
  <si>
    <t>F20_0682</t>
  </si>
  <si>
    <t>PROFITUL SAU PIERDEREA NET(A) A PERIOADEI DE RAPORTARE:</t>
  </si>
  <si>
    <t>• Profit (rd. 65 - 67 - 68 - 70 - 71 + 69)</t>
  </si>
  <si>
    <t>F20_0691</t>
  </si>
  <si>
    <t>F20_0692</t>
  </si>
  <si>
    <t>- Pierdere (rd. 66 + 67 + 68 - 69 + 70 + 71 ); (rd. 67 + 68+ 70 + 71 - 65 - 69)</t>
  </si>
  <si>
    <t>F20_0701</t>
  </si>
  <si>
    <t>F20_0702</t>
  </si>
  <si>
    <t>As per BS</t>
  </si>
  <si>
    <t>Flag</t>
  </si>
  <si>
    <t>Code col 1</t>
  </si>
  <si>
    <t>Code col 2</t>
  </si>
  <si>
    <t>Code col 3</t>
  </si>
  <si>
    <t>Code col 4</t>
  </si>
  <si>
    <t>1. Date privind rezultatul înregistrat</t>
  </si>
  <si>
    <t>Nr. unităţi</t>
  </si>
  <si>
    <t>Sume (lei)</t>
  </si>
  <si>
    <t>A</t>
  </si>
  <si>
    <t>B</t>
  </si>
  <si>
    <t>1</t>
  </si>
  <si>
    <t>2</t>
  </si>
  <si>
    <t>Unităţi care au înregistrat profit</t>
  </si>
  <si>
    <t>Formula partial automata</t>
  </si>
  <si>
    <t>F30_0011</t>
  </si>
  <si>
    <t>F30_0012</t>
  </si>
  <si>
    <t>Unităţi care au înregistrat pierdere</t>
  </si>
  <si>
    <t>F30_0021</t>
  </si>
  <si>
    <t>F30_0022</t>
  </si>
  <si>
    <t>Unităţi care nu au înregistrat nici profit, nici pierdere</t>
  </si>
  <si>
    <t>Manual</t>
  </si>
  <si>
    <t>F30_0031</t>
  </si>
  <si>
    <t>F30_0032</t>
  </si>
  <si>
    <t>II. Date privind plăţile restante</t>
  </si>
  <si>
    <t>Total (col. 2 + 3)</t>
  </si>
  <si>
    <t>Din care:</t>
  </si>
  <si>
    <t>Pentru activitatea curentă</t>
  </si>
  <si>
    <t>Pentru activitatea de investiţii</t>
  </si>
  <si>
    <t>3</t>
  </si>
  <si>
    <t>Plăţi restante - total (rd. 05 + 09 + 15 la 17 + 19), din care:</t>
  </si>
  <si>
    <t>Total</t>
  </si>
  <si>
    <t>F30_0041</t>
  </si>
  <si>
    <t>F30_0042</t>
  </si>
  <si>
    <t>F30_0043</t>
  </si>
  <si>
    <t>Furnizori restanţi - total (rd. 06 la 08). din care:</t>
  </si>
  <si>
    <t>Preluare doar pentru activitatea curenta</t>
  </si>
  <si>
    <t>F30_0051</t>
  </si>
  <si>
    <t>F30_0052</t>
  </si>
  <si>
    <t>F30_0053</t>
  </si>
  <si>
    <t>- peste 30 de zile</t>
  </si>
  <si>
    <t>F30_0061</t>
  </si>
  <si>
    <t>F30_0062</t>
  </si>
  <si>
    <t>F30_0063</t>
  </si>
  <si>
    <t>- peste 90 de zile</t>
  </si>
  <si>
    <t>F30_0071</t>
  </si>
  <si>
    <t>F30_0072</t>
  </si>
  <si>
    <t>F30_0073</t>
  </si>
  <si>
    <t>- peste 1 an</t>
  </si>
  <si>
    <t>F30_0081</t>
  </si>
  <si>
    <t>F30_0082</t>
  </si>
  <si>
    <t>F30_0083</t>
  </si>
  <si>
    <t>Obligaţii restante faţă de bugetul asigurărilor sociale - total (rd. 10 la 14), din care:</t>
  </si>
  <si>
    <t>F30_0091</t>
  </si>
  <si>
    <t>F30_0092</t>
  </si>
  <si>
    <t>F30_0093</t>
  </si>
  <si>
    <t>- contribuţii pentru asigurări sociale de stat datorate de angajatori, salariaţi şi alte persoane asimilate</t>
  </si>
  <si>
    <t>F30_0101</t>
  </si>
  <si>
    <t>F30_0102</t>
  </si>
  <si>
    <t>F30_0103</t>
  </si>
  <si>
    <t>- contribuţii pentru fondul asigurărilor sociale de sănătate</t>
  </si>
  <si>
    <t>F30_0111</t>
  </si>
  <si>
    <t>F30_0112</t>
  </si>
  <si>
    <t>F30_0113</t>
  </si>
  <si>
    <t>- contribuţia pentru pensia suplimentară</t>
  </si>
  <si>
    <t>F30_0121</t>
  </si>
  <si>
    <t>F30_0122</t>
  </si>
  <si>
    <t>F30_0123</t>
  </si>
  <si>
    <t>- contribuţii pentru bugetul asigurărilor pentru şomaj</t>
  </si>
  <si>
    <t>F30_0131</t>
  </si>
  <si>
    <t>F30_0132</t>
  </si>
  <si>
    <t>F30_0133</t>
  </si>
  <si>
    <t>- alte datorii sociale</t>
  </si>
  <si>
    <t>F30_0141</t>
  </si>
  <si>
    <t>F30_0142</t>
  </si>
  <si>
    <t>F30_0143</t>
  </si>
  <si>
    <t>Obligaţii restante faţă de bugetele fondurilor speciale şi alte fonduri</t>
  </si>
  <si>
    <t>F30_0151</t>
  </si>
  <si>
    <t>F30_0152</t>
  </si>
  <si>
    <t>F30_0153</t>
  </si>
  <si>
    <t>Obligaţii restante faţă de alţi creditori</t>
  </si>
  <si>
    <t>F30_0161</t>
  </si>
  <si>
    <t>F30_0162</t>
  </si>
  <si>
    <t>F30_0163</t>
  </si>
  <si>
    <t>Impozite, taxe şi contribuţii neplătite la termenul stabilit la bugetul de stat, din care:</t>
  </si>
  <si>
    <t>F30_0171</t>
  </si>
  <si>
    <t>F30_0172</t>
  </si>
  <si>
    <t>F30_0173</t>
  </si>
  <si>
    <t>• contribuţia asiguratorie pentru muncă</t>
  </si>
  <si>
    <t>F30_3011</t>
  </si>
  <si>
    <t>F30_3012</t>
  </si>
  <si>
    <t>F30_3013</t>
  </si>
  <si>
    <t>Impozite şi taxe neplătite la termenul stabilit la bugetele locale</t>
  </si>
  <si>
    <t>F30_0181</t>
  </si>
  <si>
    <t>F30_0182</t>
  </si>
  <si>
    <t>F30_0183</t>
  </si>
  <si>
    <t>III. Număr mediu de salariaţi</t>
  </si>
  <si>
    <t>31 decembrie 2021</t>
  </si>
  <si>
    <t>31 decembrie 2022</t>
  </si>
  <si>
    <t>Număr mediu de salariaţi</t>
  </si>
  <si>
    <t>F30_0191</t>
  </si>
  <si>
    <t>F30_0192</t>
  </si>
  <si>
    <t>Numărul efectiv de salariaţi existenţi la sfârşitul perioadei, respectiv la data de 31 decembrie</t>
  </si>
  <si>
    <t>F30_0201</t>
  </si>
  <si>
    <t>F30_0202</t>
  </si>
  <si>
    <t>IV. Redevenţe plătite în cursul perioadei de raportare, subvenţii încasate şi creanţe restante</t>
  </si>
  <si>
    <t>Redevenţe plătite în cursul perioadei de raportare pentru bunurile din domeniul public, primite în concesiune, din care:</t>
  </si>
  <si>
    <t>F30_0211</t>
  </si>
  <si>
    <t>F30_0212</t>
  </si>
  <si>
    <t>- redevenţe pentru bunurile din domeniul public plătite la bugetul de stat</t>
  </si>
  <si>
    <t>F30_0221</t>
  </si>
  <si>
    <t>F30_0222</t>
  </si>
  <si>
    <t>Redevenţă minieră plătită la bugetul de stat</t>
  </si>
  <si>
    <t>F30_0231</t>
  </si>
  <si>
    <t>F30_0232</t>
  </si>
  <si>
    <t>Redevenţă petrolieră plătită la bugetul de stat</t>
  </si>
  <si>
    <t>F30_0241</t>
  </si>
  <si>
    <t>F30_0242</t>
  </si>
  <si>
    <t>Chirii plătite în cursul perioadei de raportare pentru terenuri1*</t>
  </si>
  <si>
    <t>F30_0251</t>
  </si>
  <si>
    <t>F30_0252</t>
  </si>
  <si>
    <t>Venituri brute din servicii plătite către persoane nerezidente, din care:</t>
  </si>
  <si>
    <t>F30_0261</t>
  </si>
  <si>
    <t>F30_0262</t>
  </si>
  <si>
    <t>- impozitul datorat la bugetul de stat</t>
  </si>
  <si>
    <t>F30_0271</t>
  </si>
  <si>
    <t>F30_0272</t>
  </si>
  <si>
    <t>Venituri brute din servicii plătite către persoane nerezidente din statele membre ale Uniunii Europene, din care:</t>
  </si>
  <si>
    <t>F30_0281</t>
  </si>
  <si>
    <t>F30_0282</t>
  </si>
  <si>
    <t>F30_0291</t>
  </si>
  <si>
    <t>F30_0292</t>
  </si>
  <si>
    <t>Subvenţii încasate în cursul perioadei de raportare, din care:</t>
  </si>
  <si>
    <t>F30_0301</t>
  </si>
  <si>
    <t>F30_0302</t>
  </si>
  <si>
    <t>- subvenţii încasate în cursul perioadei de raportare aferente activelor</t>
  </si>
  <si>
    <t>F30_0311</t>
  </si>
  <si>
    <t>F30_0312</t>
  </si>
  <si>
    <t>- subvenţii aferente veniturilor, din care:</t>
  </si>
  <si>
    <t>F30_0321</t>
  </si>
  <si>
    <t>F30_0322</t>
  </si>
  <si>
    <t>- subvenţii pentru stimularea ocupării forţei de muncă*1</t>
  </si>
  <si>
    <t>F30_0331</t>
  </si>
  <si>
    <t>F30_0332</t>
  </si>
  <si>
    <t>- subvenţii pentru energie din surse regenerabile</t>
  </si>
  <si>
    <t>F30_3161</t>
  </si>
  <si>
    <t>F30_3162</t>
  </si>
  <si>
    <t>- subvenţii pentru combustibili fosili</t>
  </si>
  <si>
    <t>F30_3171</t>
  </si>
  <si>
    <t>F30_3172</t>
  </si>
  <si>
    <t>Creanţe restante, care nu au fost încasate la termenele prevăzute în contractele comerciale şi/sau în actele normative în vigoare, din care:</t>
  </si>
  <si>
    <t>F30_0341</t>
  </si>
  <si>
    <t>F30_0342</t>
  </si>
  <si>
    <t>• creanţe restante de la entităţi din sectorul majoritar sau integral de stat</t>
  </si>
  <si>
    <t>F30_0351</t>
  </si>
  <si>
    <t>F30_0352</t>
  </si>
  <si>
    <t>• creanţe restante de la entităţi din sectorul privat</t>
  </si>
  <si>
    <t>F30_0361</t>
  </si>
  <si>
    <t>F30_0362</t>
  </si>
  <si>
    <t>V. Tichete acordate salariaţilor</t>
  </si>
  <si>
    <t>Contravaloarea tichetelor acordate salariaţilor</t>
  </si>
  <si>
    <t>Formula automata</t>
  </si>
  <si>
    <t>F30_0371</t>
  </si>
  <si>
    <t>F30_0372</t>
  </si>
  <si>
    <t>Contravaloarea tichetelor acordate altor categorii de beneficiari, alţii decât salariaţii</t>
  </si>
  <si>
    <t>F30_3021</t>
  </si>
  <si>
    <t>F30_3022</t>
  </si>
  <si>
    <t>VI. Cheltuieli efectuate pentru activitatea de cercetare - dezvoltare**1</t>
  </si>
  <si>
    <t>Cheltuieli de cercetare-dezvoltare</t>
  </si>
  <si>
    <t>F30_0381</t>
  </si>
  <si>
    <t>F30_0382</t>
  </si>
  <si>
    <t>- din care, efectuate în scopul diminuării impactului activităţii entităţii asupra mediului sau al dezvoltării unor noi tehnologii sau a unor produse mai sustenabile</t>
  </si>
  <si>
    <t>F30_3181</t>
  </si>
  <si>
    <t>F30_3182</t>
  </si>
  <si>
    <t>- după surse de finanţare (rd. 45 + 46), din care:</t>
  </si>
  <si>
    <t>F30_0391</t>
  </si>
  <si>
    <t>F30_0392</t>
  </si>
  <si>
    <t>- din fonduri publice</t>
  </si>
  <si>
    <t>F30_0401</t>
  </si>
  <si>
    <t>F30_0402</t>
  </si>
  <si>
    <t>- din fonduri private</t>
  </si>
  <si>
    <t>F30_0411</t>
  </si>
  <si>
    <t>F30_0412</t>
  </si>
  <si>
    <t>- după natura cheltuielilor (rd. 48 + 49), din care:</t>
  </si>
  <si>
    <t>F30_0421</t>
  </si>
  <si>
    <t>F30_0422</t>
  </si>
  <si>
    <t>- cheltuieli curente</t>
  </si>
  <si>
    <t>F30_0431</t>
  </si>
  <si>
    <t>F30_0432</t>
  </si>
  <si>
    <t>- cheltuieli de capital</t>
  </si>
  <si>
    <t>F30_0441</t>
  </si>
  <si>
    <t>F30_0442</t>
  </si>
  <si>
    <t>VII. Cheltuieli de inovare***1</t>
  </si>
  <si>
    <t>Cheltuieli de inovare</t>
  </si>
  <si>
    <t>F30_0451</t>
  </si>
  <si>
    <t>F30_0452</t>
  </si>
  <si>
    <t>F30_3191</t>
  </si>
  <si>
    <t>F30_3192</t>
  </si>
  <si>
    <t>VIII. Alte informaţii</t>
  </si>
  <si>
    <t>Avansuri acordate pentru imobilizări necorporale (ct. 4094), din care:</t>
  </si>
  <si>
    <t>F30_0461</t>
  </si>
  <si>
    <t>F30_0462</t>
  </si>
  <si>
    <t>- avansuri acordate entităţilor neafiliate nerezidente pentru imobilizări necorporale (din ct. 4094)</t>
  </si>
  <si>
    <t>F30_3031</t>
  </si>
  <si>
    <t>F30_3032</t>
  </si>
  <si>
    <t>- avansuri acordate entităţilor afiliate nerezidente pentru imobilizări necorporale (din ct. 4094)</t>
  </si>
  <si>
    <t>F30_3041</t>
  </si>
  <si>
    <t>F30_3042</t>
  </si>
  <si>
    <t>Avansuri acordate pentru imobilizări corporale (ct. 4093), din care:</t>
  </si>
  <si>
    <t>F30_0471</t>
  </si>
  <si>
    <t>F30_0472</t>
  </si>
  <si>
    <t>• avansuri acordate entităţilor neafiliate nerezidente pentru imobilizări corporale (din ct. 4093)</t>
  </si>
  <si>
    <t>F30_3051</t>
  </si>
  <si>
    <t>F30_3052</t>
  </si>
  <si>
    <t>- avansuri acordate entităţilor afiliate nerezidente pentru imobilizări corporale (din ct. 4093)</t>
  </si>
  <si>
    <t>F30_3061</t>
  </si>
  <si>
    <t>F30_3062</t>
  </si>
  <si>
    <t>Imobilizări financiare, în sume brute (rd. 59 + 65), din care:</t>
  </si>
  <si>
    <t>F30_0481</t>
  </si>
  <si>
    <t>F30_0482</t>
  </si>
  <si>
    <t>Acţiuni deţinute la entităţile afiliate, interese de participare, alte titluri imobilizate şi obligaţiuni, în sume brute (rd. 60 +61 + 62 + 64), din care:</t>
  </si>
  <si>
    <t>F30_0491</t>
  </si>
  <si>
    <t>F30_0492</t>
  </si>
  <si>
    <t>- acţiuni necotate emise de rezidenţi</t>
  </si>
  <si>
    <t>F30_0501</t>
  </si>
  <si>
    <t>F30_0502</t>
  </si>
  <si>
    <t>- părţi sociale emise de rezidenţi</t>
  </si>
  <si>
    <t>F30_0511</t>
  </si>
  <si>
    <t>F30_0512</t>
  </si>
  <si>
    <t>- acţiuni şi părţi sociale emise de nerezidenţi, din care:</t>
  </si>
  <si>
    <t>F30_0521</t>
  </si>
  <si>
    <t>F30_0522</t>
  </si>
  <si>
    <t>- deţineri de cel puţin 10%</t>
  </si>
  <si>
    <t>F30_3071</t>
  </si>
  <si>
    <t>F30_3072</t>
  </si>
  <si>
    <t>- obligaţiuni emise de nerezidenţi</t>
  </si>
  <si>
    <t>F30_0531</t>
  </si>
  <si>
    <t>F30_0532</t>
  </si>
  <si>
    <t>Creanţe imobilizate, în sume brute (rd. 66 + 67), din care:</t>
  </si>
  <si>
    <t>F30_0541</t>
  </si>
  <si>
    <t>F30_0542</t>
  </si>
  <si>
    <t>- creanţe imobilizate în lei şi exprimate în lei, a căror decontare se face în funcţie de cursul unei valute (din ct. 267)</t>
  </si>
  <si>
    <t>Totul exprimat in Lei F10 Linia 23</t>
  </si>
  <si>
    <t>F30_0551</t>
  </si>
  <si>
    <t>F30_0552</t>
  </si>
  <si>
    <t>- creanţe imobilizate în valută (din ct. 267)</t>
  </si>
  <si>
    <t>F30_0561</t>
  </si>
  <si>
    <t>F30_0562</t>
  </si>
  <si>
    <t>Creanţe comerciale, avansuri pentru cumpărări de bunuri de natura stocurilor şi pentru prestări de servicii acordate furnizorilor şi alte conturi asimilate, în sume brute (ct. 4091 +4092 + 411 + 413 + 418 +4642), din care:</t>
  </si>
  <si>
    <t>F30_0571</t>
  </si>
  <si>
    <t>F30_0572</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</si>
  <si>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</si>
  <si>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F30_0581</t>
  </si>
  <si>
    <t>F30_0582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</si>
  <si>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</si>
  <si>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F30_3081</t>
  </si>
  <si>
    <t>F30_3082</t>
  </si>
  <si>
    <t>Creanţe neîncasate la termenul stabilit (din ct. 4091 + din ct. 4092 + din ct. 411 + din ct. 413)</t>
  </si>
  <si>
    <t>F30_0591</t>
  </si>
  <si>
    <t>F30_0592</t>
  </si>
  <si>
    <t>Creanţe în legătură cu personalul şi conturi asimilate (ct. 425 + 4282)</t>
  </si>
  <si>
    <t>F30_0601</t>
  </si>
  <si>
    <t>F30_0602</t>
  </si>
  <si>
    <t>Creanţe în legătură cu bugetul asigurărilor sociale şi bugetul de stat (din ct. 431 + 436 + 437 + 4382 + 441 + 4424 + 4428 + 444 + 445 + 446 + 447 + 4482) (rd. 74 la 78), din care:</t>
  </si>
  <si>
    <t>F30_0611</t>
  </si>
  <si>
    <t>F30_0612</t>
  </si>
  <si>
    <t>- creanţe în legătură cu bugetul asigurărilor sociale’(ct. 431 + 437 + 4382)</t>
  </si>
  <si>
    <t>doar #4382, restul este mapat pe linia 129</t>
  </si>
  <si>
    <t>F30_0621</t>
  </si>
  <si>
    <t>F30_0622</t>
  </si>
  <si>
    <t>- creanţe fiscale în legătură cu bugetul de stat (Ct. 436 + 441 + 4424 + 4428 + 444 + 446)</t>
  </si>
  <si>
    <t>Mapare doar 4424, restul pe rd.130</t>
  </si>
  <si>
    <t>F30_0631</t>
  </si>
  <si>
    <t>F30_0632</t>
  </si>
  <si>
    <t>- subvenţii deîncasat (ct. 445)</t>
  </si>
  <si>
    <t>F30_0641</t>
  </si>
  <si>
    <t>F30_0642</t>
  </si>
  <si>
    <t>- fonduri speciale - taxe şi vărsăminte asimilate (ct. 447)</t>
  </si>
  <si>
    <t>Mapare efectuata pe rd. 131</t>
  </si>
  <si>
    <t>F30_0651</t>
  </si>
  <si>
    <t>F30_0652</t>
  </si>
  <si>
    <t>- alte creanţe în legătură cu bugetul de stat (ct. 4482)</t>
  </si>
  <si>
    <t>F30_0661</t>
  </si>
  <si>
    <t>F30_0662</t>
  </si>
  <si>
    <t>Creanţele entităţii în relaţiile cu entităţile afiliate (ct. 451), din care:</t>
  </si>
  <si>
    <t>A se verifica daca aceste creante sunt prinse in 411</t>
  </si>
  <si>
    <t>F30_0671</t>
  </si>
  <si>
    <t>F30_0672</t>
  </si>
  <si>
    <t>- creanţe cu entităţi afiliate nerezidente (din ct. 451), din care:</t>
  </si>
  <si>
    <t>F30_0681</t>
  </si>
  <si>
    <t>F30_0682</t>
  </si>
  <si>
    <t>- creanţe comerciale cu entităţi afiliate nerezidente (din ct. 451)</t>
  </si>
  <si>
    <t>F30_0691</t>
  </si>
  <si>
    <t>F30_0692</t>
  </si>
  <si>
    <t>Creanţe în legătură cu bugetul asigurărilor sociale şi bugetul de stat neîncasate la termenul stabilit (din ct. 431 + din ct. 436 + din ct. 437 + din ct. 4382 + din ct. 441 + din ct. 4424 + din ct. 4428 + din ct. 444 + din ct. 445 + din ct. 446 + din ct. 447 + din ct. 4482)</t>
  </si>
  <si>
    <t>F30_0701</t>
  </si>
  <si>
    <t>F30_0702</t>
  </si>
  <si>
    <t>Creanţe din operaţiuni cu instrumente derivate (ct. 4652)</t>
  </si>
  <si>
    <t>Alte creanţe (ct. 453 + 456 + 4582 + 461 + 4662 + 471 + 473 + 4762), din care:</t>
  </si>
  <si>
    <t>F30_0711</t>
  </si>
  <si>
    <t>F30_0712</t>
  </si>
  <si>
    <t>- decontări cu entităţile asociate şi entităţile controlate în comun, decontări cu acţionarii privind capitalul şi decontări din operaţiuni în participatie (ct. 453 + 456 + 4582)’</t>
  </si>
  <si>
    <t>F30_0721</t>
  </si>
  <si>
    <t>F30_0722</t>
  </si>
  <si>
    <t>- alte creanţe în legătură cu persoanele fizice şi persoanele juridice, altele decât creanţele în legătură cu instituţiile publice (instituţiile statului) (din ct. 461 + 4662 + din ct. 471 + din ct. 473)</t>
  </si>
  <si>
    <t>F30_0731</t>
  </si>
  <si>
    <t>F30_0732</t>
  </si>
  <si>
    <t>- sumele preluate din contul 542 „Avansuri de trezorerie" reprezentând avansurile de trezorerie, acordate potrivit legii şi nedecontate până la data de raportare (din ct. 461)</t>
  </si>
  <si>
    <t>F30_0741</t>
  </si>
  <si>
    <t>F30_0742</t>
  </si>
  <si>
    <t>Dobânzi de încasat (ct. 5187), din care:</t>
  </si>
  <si>
    <t>F30_0751</t>
  </si>
  <si>
    <t>F30_0752</t>
  </si>
  <si>
    <t>- de la nerezidenţi</t>
  </si>
  <si>
    <t>F30_0761</t>
  </si>
  <si>
    <t>F30_0762</t>
  </si>
  <si>
    <t>Dobânzi de încasat de la nerezidenţi (din ct. 4518 + din ct. 4538)</t>
  </si>
  <si>
    <t>F30_3131</t>
  </si>
  <si>
    <t>F30_3132</t>
  </si>
  <si>
    <t>i/aloarea împrumuturilor acordate operatorilor economici ****'&gt;</t>
  </si>
  <si>
    <t>F30_0771</t>
  </si>
  <si>
    <t>F30_0772</t>
  </si>
  <si>
    <t>Investiţii pe termen scurt, în sume brute (ct. 505 + 506 + 507 + din ct. 508), din care:</t>
  </si>
  <si>
    <t>F30_0781</t>
  </si>
  <si>
    <t>F30_0782</t>
  </si>
  <si>
    <t>F30_0791</t>
  </si>
  <si>
    <t>F30_0792</t>
  </si>
  <si>
    <t>F30_0801</t>
  </si>
  <si>
    <t>F30_0802</t>
  </si>
  <si>
    <t>- acţiuni emise de nerezidenţi</t>
  </si>
  <si>
    <t>F30_0811</t>
  </si>
  <si>
    <t>F30_0812</t>
  </si>
  <si>
    <t>F30_0821</t>
  </si>
  <si>
    <t>F30_0822</t>
  </si>
  <si>
    <t>- deţineri de obligaţiuni verzi</t>
  </si>
  <si>
    <t>F30_3201</t>
  </si>
  <si>
    <t>F30_3202</t>
  </si>
  <si>
    <t>Alte valori de încasat (ct. 5113 + 5114)</t>
  </si>
  <si>
    <t>F30_0831</t>
  </si>
  <si>
    <t>F30_0832</t>
  </si>
  <si>
    <t>Casa în lei şi în valută (rd. 100 + 101), din care:</t>
  </si>
  <si>
    <t>F30_0841</t>
  </si>
  <si>
    <t>F30_0842</t>
  </si>
  <si>
    <t>-în lei (ct. 5311)</t>
  </si>
  <si>
    <t>F30_0851</t>
  </si>
  <si>
    <t>F30_0852</t>
  </si>
  <si>
    <t>-în valută (ct. 5314)</t>
  </si>
  <si>
    <t>F30_0861</t>
  </si>
  <si>
    <t>F30_0862</t>
  </si>
  <si>
    <t>Conturi curente la bănci în lei şi în valută (rd. 103 + 105), din care:</t>
  </si>
  <si>
    <t>F30_0871</t>
  </si>
  <si>
    <t>F30_0872</t>
  </si>
  <si>
    <t>-în lei (ct. 5121), din care:</t>
  </si>
  <si>
    <t>F30_0881</t>
  </si>
  <si>
    <t>F30_0882</t>
  </si>
  <si>
    <t>- conturi curente în lei deschise la bănci nerezidente</t>
  </si>
  <si>
    <t>F30_0891</t>
  </si>
  <si>
    <t>F30_0892</t>
  </si>
  <si>
    <t>-în valută (ct. 5124), din care:</t>
  </si>
  <si>
    <t>F30_0901</t>
  </si>
  <si>
    <t>F30_0902</t>
  </si>
  <si>
    <t>- conturi curente în valută deschise la bănci nerezidente</t>
  </si>
  <si>
    <t>F30_0911</t>
  </si>
  <si>
    <t>F30_0912</t>
  </si>
  <si>
    <t>Alte conturi curente la bănci şi acreditive (rd. 108 + 109), din care:</t>
  </si>
  <si>
    <t>F30_0921</t>
  </si>
  <si>
    <t>F30_0922</t>
  </si>
  <si>
    <t>- sume în curs de decontare, acreditive şi alte valori de încasat, în lei (ct. 5112 + din ct. 5125 + 5411)</t>
  </si>
  <si>
    <t>5125 considerat doar in lei</t>
  </si>
  <si>
    <t>F30_0931</t>
  </si>
  <si>
    <t>F30_0932</t>
  </si>
  <si>
    <t>- sume în curs de decontare şi acreditive în valută (din ct. 5125 + 5414)</t>
  </si>
  <si>
    <t>Accounts 5412&amp;5414</t>
  </si>
  <si>
    <t>F30_0941</t>
  </si>
  <si>
    <t>F30_0942</t>
  </si>
  <si>
    <t>Datorii (rd. 111 + 114 + 117 + 118 + 121 + 124 + 127 + 128 + 133 + 137 + 140 + 141 + 147), din care:</t>
  </si>
  <si>
    <t>F30_0951</t>
  </si>
  <si>
    <t>F30_0952</t>
  </si>
  <si>
    <t>Credite bancare externe pe termen scurt (credite primite de la instituţii financiare nerezidente pentru care durata contractului de credit este mai mică de 1 an) (din ct. 519), (rd. 112 + 113), din care:</t>
  </si>
  <si>
    <t>F30_0961</t>
  </si>
  <si>
    <t>F30_0962</t>
  </si>
  <si>
    <t>- în lei</t>
  </si>
  <si>
    <t>F30_0971</t>
  </si>
  <si>
    <t>F30_0972</t>
  </si>
  <si>
    <t>- în valută</t>
  </si>
  <si>
    <t>F30_0981</t>
  </si>
  <si>
    <t>F30_0982</t>
  </si>
  <si>
    <t>Credite bancare externe pe termen lung (credite primite de la instituţii financiare nerezidente pentru care durata contractului de credit este mai mare sau egală cu 1 an) (din ct. 162), (rd. 115+116), din care:</t>
  </si>
  <si>
    <t>F30_0991</t>
  </si>
  <si>
    <t>F30_0992</t>
  </si>
  <si>
    <t>-In lei</t>
  </si>
  <si>
    <t>F30_1001</t>
  </si>
  <si>
    <t>F30_1002</t>
  </si>
  <si>
    <t>F30_1011</t>
  </si>
  <si>
    <t>F30_1012</t>
  </si>
  <si>
    <t>Credite de la trezoreria statului şi dobânzile aferente (ct. 1626 + din ct. 1682)</t>
  </si>
  <si>
    <t>F30_1021</t>
  </si>
  <si>
    <t>F30_1022</t>
  </si>
  <si>
    <t>Alte împrumuturi şi dobânzile aferente (ct. 166 + 1685+ 1686 + 1687), (rd. 119+ 120), din care:</t>
  </si>
  <si>
    <t>F30_1031</t>
  </si>
  <si>
    <t>F30_1032</t>
  </si>
  <si>
    <t>-în lei şi exprimate în lei, a căror decontare se face în funcţie de cursul unei valute</t>
  </si>
  <si>
    <t>F30_1041</t>
  </si>
  <si>
    <t>F30_1042</t>
  </si>
  <si>
    <t>F30_1051</t>
  </si>
  <si>
    <t>F30_1052</t>
  </si>
  <si>
    <t>Alte împrumuturi şi datorii asimilate (ct. 167), din care:</t>
  </si>
  <si>
    <t>F30_1061</t>
  </si>
  <si>
    <t>F30_1062</t>
  </si>
  <si>
    <t>- valoarea concesiunilor primite (din ct. 167)</t>
  </si>
  <si>
    <t>F30_1071</t>
  </si>
  <si>
    <t>F30_1072</t>
  </si>
  <si>
    <t>- valoarea obligaţiunilor verzi emise de entitate</t>
  </si>
  <si>
    <t>F30_3211</t>
  </si>
  <si>
    <t>F30_3212</t>
  </si>
  <si>
    <t>Datorii comerciale, avansuri primite de la clienţi şi alte conturi asimilate, în sume brute (Ct. 401 + 403 + 404 + 405 + 408 + 419 + 4641), din care:</t>
  </si>
  <si>
    <t>F30_1081</t>
  </si>
  <si>
    <t>F30_1082</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</si>
  <si>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</si>
  <si>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F30_1091</t>
  </si>
  <si>
    <t>F30_1092</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</si>
  <si>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</si>
  <si>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F30_3091</t>
  </si>
  <si>
    <t>F30_3092</t>
  </si>
  <si>
    <t>Datorii în legătură cu personalul si conturi asimilate (ct. 421 + 422 + 423 + 424 + 426 + 427 + 4281)</t>
  </si>
  <si>
    <t>F30_1101</t>
  </si>
  <si>
    <t>F30_1102</t>
  </si>
  <si>
    <t>Datorii în legătură cu bugetul asigurărilor sociale şi bugetul de stat (ct. 431 + 436 + 437 + 4381 + 441 + 4423 + 4428 + 444 + 446 + 447 + 4481), (rd. 129 la 132), din care:</t>
  </si>
  <si>
    <t>F30_1111</t>
  </si>
  <si>
    <t>F30_1112</t>
  </si>
  <si>
    <t>- datorii în legătură cu bugetul asigurărilor sociale (ct. 431 +437 + 4381)</t>
  </si>
  <si>
    <t xml:space="preserve">De evaluat daca este o creanta (rd 74) sau o datorie (rd. 129), acolo unde este mapat </t>
  </si>
  <si>
    <t>F30_1121</t>
  </si>
  <si>
    <t>F30_1122</t>
  </si>
  <si>
    <t>- datorii fiscale în legătură cu bugetul de stat (Ct. 436 + 441 + 4423 + 4428 + 444 + 446)</t>
  </si>
  <si>
    <t>De evaluat daca este o creanta (rd 75) sau o datorie (rd. 130) acolo unde este mapat</t>
  </si>
  <si>
    <t>F30_1131</t>
  </si>
  <si>
    <t>F30_1132</t>
  </si>
  <si>
    <t>De evaluat natura soldului (datorie rd.131 sau creanta rd.77)</t>
  </si>
  <si>
    <t>F30_1141</t>
  </si>
  <si>
    <t>F30_1142</t>
  </si>
  <si>
    <t>- alte datorii în legătură cu bugetul de stat (ct. 4481)</t>
  </si>
  <si>
    <t>F30_1151</t>
  </si>
  <si>
    <t>F30_1152</t>
  </si>
  <si>
    <t>Datoriile entităţii în relaţiile cu entităţile afiliate (ct. 451), din care:</t>
  </si>
  <si>
    <t>F30_1161</t>
  </si>
  <si>
    <t>F30_1162</t>
  </si>
  <si>
    <t>- datorii cu entităţi afiliate nerezidente21 (din ct. 451), din care:</t>
  </si>
  <si>
    <t>F30_1171</t>
  </si>
  <si>
    <t>F30_1172</t>
  </si>
  <si>
    <t>- cu scadenţa iniţială mai mare de un an</t>
  </si>
  <si>
    <t>F30_1181</t>
  </si>
  <si>
    <t>F30_1182</t>
  </si>
  <si>
    <t>- datorii comerciale cu entităţi afiliate nerezidente indiferent de scadenţă (din ct. 451)</t>
  </si>
  <si>
    <t>F30_3101</t>
  </si>
  <si>
    <t>F30_3102</t>
  </si>
  <si>
    <t>Sume datorate acţionarilor/asociaţilor (ct. 455), din care:</t>
  </si>
  <si>
    <t>F30_1191</t>
  </si>
  <si>
    <t>F30_1192</t>
  </si>
  <si>
    <t>- sume datorate acţionarilor/asociaţilor persoane fizice</t>
  </si>
  <si>
    <t>F30_1201</t>
  </si>
  <si>
    <t>F30_1202</t>
  </si>
  <si>
    <t>- sume datorate acţionarilor/asociaţilor persoane juridice</t>
  </si>
  <si>
    <t>F30_1211</t>
  </si>
  <si>
    <t>F30_1212</t>
  </si>
  <si>
    <t>Datorii din operaţiuni cu instrumente derivate (ct. 4651)</t>
  </si>
  <si>
    <t>Alte datorii (ct. 269 + 453 + 456 + 457 + 4581 + 462 + 4661 + 467 + 472 + 473 + 4761 + 478 + 509), din care:</t>
  </si>
  <si>
    <t>F30_1221</t>
  </si>
  <si>
    <t>F30_1222</t>
  </si>
  <si>
    <t>- decontări cu entităţile asociate ş&lt; entităţile controlate în comun, decontări ci acţionarii/asociaţii privind capitalul, dividende şi decontări din operaţii în pârtiei pa tie (ct. 453 + 456 + 457 + 4581 + 467)</t>
  </si>
  <si>
    <t>F30_1231</t>
  </si>
  <si>
    <t>F30_1232</t>
  </si>
  <si>
    <t>- alte datorii în legătură cu persoanele fizice şi persoanele juridice, altele decât datoriile în legătură cu instituţiile publice (instituţiile statului)31 (din ct. 462 + 4661+ din ct. 472 + din ct. 473)</t>
  </si>
  <si>
    <t>F30_1241</t>
  </si>
  <si>
    <t>F30_1242</t>
  </si>
  <si>
    <t>- subvenţii nereluate la venituri (din ct. 472)</t>
  </si>
  <si>
    <t>F30_1251</t>
  </si>
  <si>
    <t>F30_1252</t>
  </si>
  <si>
    <t>- vărsăminte de efectuat pentru imobilizări financiare şi investiţii pe termen scurt (ct. 269 + 509)</t>
  </si>
  <si>
    <t>F30_1261</t>
  </si>
  <si>
    <t>F30_1262</t>
  </si>
  <si>
    <t>- venituri în avans aferente activelor primite prin transfer de la clienţi (ct. 478)</t>
  </si>
  <si>
    <t>F30_1271</t>
  </si>
  <si>
    <t>F30_1272</t>
  </si>
  <si>
    <t>Dobânzi de plătit (ct. 5186), din care:</t>
  </si>
  <si>
    <t>F30_1281</t>
  </si>
  <si>
    <t>F30_1282</t>
  </si>
  <si>
    <t>- către nerezidenţi</t>
  </si>
  <si>
    <t>F30_3111</t>
  </si>
  <si>
    <t>F30_3112</t>
  </si>
  <si>
    <t>Dobânzi de plătit către nerezidenţi (din ct. 4518 + din ct. 4538)</t>
  </si>
  <si>
    <t>F30_3141</t>
  </si>
  <si>
    <t>F30_3142</t>
  </si>
  <si>
    <t>Valoarea împrumuturilor primite de la operatorii economici*****</t>
  </si>
  <si>
    <t>F30_1291</t>
  </si>
  <si>
    <t>F30_1292</t>
  </si>
  <si>
    <t>Capital subscris vărsat (ct. 1012), din care:</t>
  </si>
  <si>
    <t>F30_1301</t>
  </si>
  <si>
    <t>F30_1302</t>
  </si>
  <si>
    <t>- acţiuni cotate4*</t>
  </si>
  <si>
    <t>F30_1311</t>
  </si>
  <si>
    <t>F30_1312</t>
  </si>
  <si>
    <t>- acţiuni necotate5*</t>
  </si>
  <si>
    <t>F30_1321</t>
  </si>
  <si>
    <t>F30_1322</t>
  </si>
  <si>
    <t>- părţi sociale</t>
  </si>
  <si>
    <t>F30_1331</t>
  </si>
  <si>
    <t>F30_1332</t>
  </si>
  <si>
    <t>- capital subscris vărsat de nerezidenti (din ct. 1012)</t>
  </si>
  <si>
    <t>F30_1341</t>
  </si>
  <si>
    <t>F30_1342</t>
  </si>
  <si>
    <t>Brevete şi licenţe (din ct. 205)</t>
  </si>
  <si>
    <t>F30_1351</t>
  </si>
  <si>
    <t>F30_1352</t>
  </si>
  <si>
    <t>IX. Informaţii privind cheltuielile cu colaboratorii</t>
  </si>
  <si>
    <t>Cheltuieli cu colaboratorii (ct. 621)</t>
  </si>
  <si>
    <t>F30_1361</t>
  </si>
  <si>
    <t>F30_1362</t>
  </si>
  <si>
    <t>X. Informaţii privind bunurile din domeniul public al statului</t>
  </si>
  <si>
    <t>Valoarea bunurilor din domeniul public al statului aflate în administrare</t>
  </si>
  <si>
    <t>F30_1371</t>
  </si>
  <si>
    <t>F30_1372</t>
  </si>
  <si>
    <t>Valoarea bunurilor din domeniul public al statului aflate în concesiune</t>
  </si>
  <si>
    <t>F30_1381</t>
  </si>
  <si>
    <t>F30_1382</t>
  </si>
  <si>
    <t>Valoarea bunurilor din domeniul public al statului închiriate</t>
  </si>
  <si>
    <t>F30_1391</t>
  </si>
  <si>
    <t>F30_1392</t>
  </si>
  <si>
    <t>Valoarea contabilă netă a bunurilor61</t>
  </si>
  <si>
    <t>F30_1401</t>
  </si>
  <si>
    <t>F30_1402</t>
  </si>
  <si>
    <t>XII. Capital social vărsat</t>
  </si>
  <si>
    <t>Suma (Col. 1)</t>
  </si>
  <si>
    <t>%71 (Col. 2)</t>
  </si>
  <si>
    <t>Suma (Col. 3)</t>
  </si>
  <si>
    <t>%71 (Col. 4)</t>
  </si>
  <si>
    <t>Capital social vărsat (ct. 1012)71 (rd. 163 + 166 + 170 + 171 + 172 + 173), din care:</t>
  </si>
  <si>
    <t>X</t>
  </si>
  <si>
    <t>F30_1411</t>
  </si>
  <si>
    <t>F30_1412</t>
  </si>
  <si>
    <t>F30_1413</t>
  </si>
  <si>
    <t>F30_1414</t>
  </si>
  <si>
    <t>- deţinut de instituţii publice (rd. 164 + 165), din care:</t>
  </si>
  <si>
    <t>F30_1421</t>
  </si>
  <si>
    <t>F30_1422</t>
  </si>
  <si>
    <t>F30_1423</t>
  </si>
  <si>
    <t>F30_1424</t>
  </si>
  <si>
    <t>- deţinut de instituţii publice de subordonare centrală;</t>
  </si>
  <si>
    <t>F30_1431</t>
  </si>
  <si>
    <t>F30_1432</t>
  </si>
  <si>
    <t>F30_1433</t>
  </si>
  <si>
    <t>F30_1434</t>
  </si>
  <si>
    <t>- deţinut de instituţii publice de subordonare locală;</t>
  </si>
  <si>
    <t>F30_1441</t>
  </si>
  <si>
    <t>F30_1442</t>
  </si>
  <si>
    <t>F30_1443</t>
  </si>
  <si>
    <t>F30_1444</t>
  </si>
  <si>
    <t>- deţinut de societăţile cu capital de stat, din care:</t>
  </si>
  <si>
    <t>F30_1451</t>
  </si>
  <si>
    <t>F30_1452</t>
  </si>
  <si>
    <t>F30_1453</t>
  </si>
  <si>
    <t>F30_1454</t>
  </si>
  <si>
    <t>- cu capital integral de stat;</t>
  </si>
  <si>
    <t>F30_1461</t>
  </si>
  <si>
    <t>F30_1462</t>
  </si>
  <si>
    <t>F30_1463</t>
  </si>
  <si>
    <t>F30_1464</t>
  </si>
  <si>
    <t>- cu capital majoritar de stat;</t>
  </si>
  <si>
    <t>F30_1471</t>
  </si>
  <si>
    <t>F30_1472</t>
  </si>
  <si>
    <t>F30_1473</t>
  </si>
  <si>
    <t>F30_1474</t>
  </si>
  <si>
    <t>- cu capital minoritar de stat;</t>
  </si>
  <si>
    <t>F30_1481</t>
  </si>
  <si>
    <t>F30_1482</t>
  </si>
  <si>
    <t>F30_1483</t>
  </si>
  <si>
    <t>F30_1484</t>
  </si>
  <si>
    <t>- deţinut de regii autonome</t>
  </si>
  <si>
    <t>F30_1491</t>
  </si>
  <si>
    <t>F30_1492</t>
  </si>
  <si>
    <t>F30_1493</t>
  </si>
  <si>
    <t>F30_1494</t>
  </si>
  <si>
    <t>- deţinut de societăţile cu capital privat</t>
  </si>
  <si>
    <t>F30_1501</t>
  </si>
  <si>
    <t>F30_1502</t>
  </si>
  <si>
    <t>F30_1503</t>
  </si>
  <si>
    <t>F30_1504</t>
  </si>
  <si>
    <t>- deţinut de persoane fizice</t>
  </si>
  <si>
    <t>F30_1511</t>
  </si>
  <si>
    <t>F30_1512</t>
  </si>
  <si>
    <t>F30_1513</t>
  </si>
  <si>
    <t>F30_1514</t>
  </si>
  <si>
    <t>- detinut de alte entităţi</t>
  </si>
  <si>
    <t>F30_1521</t>
  </si>
  <si>
    <t>F30_1522</t>
  </si>
  <si>
    <t>F30_1523</t>
  </si>
  <si>
    <t>F30_1524</t>
  </si>
  <si>
    <t>2021</t>
  </si>
  <si>
    <t>2022</t>
  </si>
  <si>
    <t>XIII. Dividende/vărsăminte cuvenite bugetului de stat sau local, de repartizat din profitul exerciţiului financiar de către companiile naţionale, societăţile naţionale, societăţile şi regiile autonome, din care:</t>
  </si>
  <si>
    <t>F30_1531</t>
  </si>
  <si>
    <t>F30_1532</t>
  </si>
  <si>
    <t>- către instituţii publice centrale;</t>
  </si>
  <si>
    <t>F30_1541</t>
  </si>
  <si>
    <t>F30_1542</t>
  </si>
  <si>
    <t>- către instituţii publice locale;</t>
  </si>
  <si>
    <t>F30_1551</t>
  </si>
  <si>
    <t>F30_1552</t>
  </si>
  <si>
    <t>- către alţi acţionari la care statul/unităţile administrativ teritoriale/instituţiile publice deţin direct/indirect acţiuni sau participaţi:' indiferent de ponderea acestora.</t>
  </si>
  <si>
    <t>F30_1561</t>
  </si>
  <si>
    <t>F30_1562</t>
  </si>
  <si>
    <t>XIV. Dividende/vărsăminte cuvenite bugetului de stat sau local şi virate în perioada de raportare din profitul reportat al companiilor naţionale, societăţilor naţionale, societăţilor şi al regiilor autonome, din care:</t>
  </si>
  <si>
    <t>F30_1571</t>
  </si>
  <si>
    <t>F30_1572</t>
  </si>
  <si>
    <t>- dividende/vărsăminte din profitul exerciţiului financiar al anului precedent, din care virate:</t>
  </si>
  <si>
    <t>F30_1581</t>
  </si>
  <si>
    <t>F30_1582</t>
  </si>
  <si>
    <t>- către instituţii publice centrale</t>
  </si>
  <si>
    <t>F30_1591</t>
  </si>
  <si>
    <t>F30_1592</t>
  </si>
  <si>
    <t>• către instituţii publice locale</t>
  </si>
  <si>
    <t>F30_1601</t>
  </si>
  <si>
    <t>F30_1602</t>
  </si>
  <si>
    <t>- către alţi acţionari la care statul/unităţile administrativ teritoriale/instituţiile publice deţin direct/indirect acţiuni sau participaţi!" indiferent de ponderea acestora</t>
  </si>
  <si>
    <t>F30_1611</t>
  </si>
  <si>
    <t>F30_1612</t>
  </si>
  <si>
    <t>- dividende/vărsăminte din profitul exerciţiilor financiare anterioare anului precedent, din care virate:</t>
  </si>
  <si>
    <t>F30_1621</t>
  </si>
  <si>
    <t>F30_1622</t>
  </si>
  <si>
    <t>F30_1631</t>
  </si>
  <si>
    <t>F30_1632</t>
  </si>
  <si>
    <t>- către instituţii publice locale</t>
  </si>
  <si>
    <t>F30_1641</t>
  </si>
  <si>
    <t>F30_1642</t>
  </si>
  <si>
    <t>- către alţi acţionari la care statul/unităţile administrativ teritoriale/instituţiile publice deţin direct/indirect acţiuni sau participaţi!' indiferent de ponderea acestora</t>
  </si>
  <si>
    <t>F30_1651</t>
  </si>
  <si>
    <t>F30_1652</t>
  </si>
  <si>
    <t>XV. Dividende distribuite acţionarilor/asociaţilor din profitul reportat</t>
  </si>
  <si>
    <t>Dividende distribuite acţionarilor/asociaţilor în perioada de raportare din profitul reportat</t>
  </si>
  <si>
    <t>F30_3121</t>
  </si>
  <si>
    <t>F30_3122</t>
  </si>
  <si>
    <t>XVI. Repartizări interimare de dividende potrivit Legii nr. 163/2018</t>
  </si>
  <si>
    <t>- dividendele interimare repartizate8!</t>
  </si>
  <si>
    <t>F30_3151</t>
  </si>
  <si>
    <t>F30_3152</t>
  </si>
  <si>
    <t>XVII. Creanţe preluate prin cesionare de la</t>
  </si>
  <si>
    <t>Nr.</t>
  </si>
  <si>
    <t>persoane juridice*****)</t>
  </si>
  <si>
    <t>rd.</t>
  </si>
  <si>
    <t>Creanţe preluate prin cesionare de la persoane juridice (la valoarea nominală), din care:</t>
  </si>
  <si>
    <t>F30_1661</t>
  </si>
  <si>
    <t>F30_1662</t>
  </si>
  <si>
    <t>• creanţe preluate prin cesionare de la persoane juridice afiliate</t>
  </si>
  <si>
    <t>F30_1671</t>
  </si>
  <si>
    <t>F30_1672</t>
  </si>
  <si>
    <t>Creanţe preluate prin cesionare de la persoane juridice (la cost de achiziţie), din care:</t>
  </si>
  <si>
    <t>F30_1681</t>
  </si>
  <si>
    <t>F30_1682</t>
  </si>
  <si>
    <t>- creanţe preluate prin cesionare de la persoane juridice afiliate</t>
  </si>
  <si>
    <t>F30_1691</t>
  </si>
  <si>
    <t>F30_1692</t>
  </si>
  <si>
    <t>.</t>
  </si>
  <si>
    <t>Venituri obţinute din activităţi agricole</t>
  </si>
  <si>
    <t>F30_1701</t>
  </si>
  <si>
    <t>F30_1702</t>
  </si>
  <si>
    <t>XIX. Cheltuieli privind calamităţile şi alte evenimente similare (ct. 6587), din care:</t>
  </si>
  <si>
    <t>F30_3221</t>
  </si>
  <si>
    <t>F30_3222</t>
  </si>
  <si>
    <t>- inundaţii</t>
  </si>
  <si>
    <t>F30_3231</t>
  </si>
  <si>
    <t>F30_3232</t>
  </si>
  <si>
    <t>- secetă</t>
  </si>
  <si>
    <t>F30_3241</t>
  </si>
  <si>
    <t>F30_3242</t>
  </si>
  <si>
    <t>- alunecări de teren</t>
  </si>
  <si>
    <t>F30_3251</t>
  </si>
  <si>
    <t>F30_3252</t>
  </si>
  <si>
    <t xml:space="preserve">Company:                </t>
  </si>
  <si>
    <t xml:space="preserve">Address:                    </t>
  </si>
  <si>
    <t xml:space="preserve">VAT tax code: </t>
  </si>
  <si>
    <t xml:space="preserve">Registration no:            </t>
  </si>
  <si>
    <t xml:space="preserve">Type of Company:        </t>
  </si>
  <si>
    <t xml:space="preserve">Main activity:            </t>
  </si>
  <si>
    <t>Financial Year</t>
  </si>
  <si>
    <t>ENG</t>
  </si>
  <si>
    <t>ROM</t>
  </si>
  <si>
    <t>Code inc</t>
  </si>
  <si>
    <t>Code decr1</t>
  </si>
  <si>
    <t>Code decr2</t>
  </si>
  <si>
    <t>Type of non-current assets</t>
  </si>
  <si>
    <t>Elemente de imobilizari</t>
  </si>
  <si>
    <t>Nr. Rd.</t>
  </si>
  <si>
    <t>Sold  inițial</t>
  </si>
  <si>
    <t>Creșteri</t>
  </si>
  <si>
    <t xml:space="preserve"> Reduceri </t>
  </si>
  <si>
    <t xml:space="preserve">Sold final 
(col. 5 = 1 + 2 - 3) </t>
  </si>
  <si>
    <t xml:space="preserve"> </t>
  </si>
  <si>
    <t xml:space="preserve">Din care: 
dezmembrări 
și casări </t>
  </si>
  <si>
    <t xml:space="preserve"> A</t>
  </si>
  <si>
    <t xml:space="preserve"> A </t>
  </si>
  <si>
    <t xml:space="preserve"> B </t>
  </si>
  <si>
    <t xml:space="preserve">  I. Intangible assets</t>
  </si>
  <si>
    <t xml:space="preserve"> I. Imobilizări  necorporale </t>
  </si>
  <si>
    <t xml:space="preserve">  Set-up costs</t>
  </si>
  <si>
    <t>1.Cheltuieli de constituire</t>
  </si>
  <si>
    <t>01</t>
  </si>
  <si>
    <t>F40_0011</t>
  </si>
  <si>
    <t>F40_0012</t>
  </si>
  <si>
    <t>F40_0013</t>
  </si>
  <si>
    <t>F40_0014</t>
  </si>
  <si>
    <t>F40_0015</t>
  </si>
  <si>
    <t xml:space="preserve">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</si>
  <si>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</si>
  <si>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</si>
  <si>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</si>
  <si>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</si>
  <si>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</si>
  <si>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</si>
  <si>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</si>
  <si>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</si>
  <si>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</si>
  <si>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</si>
  <si>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</si>
  <si>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</si>
  <si>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</si>
  <si>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</si>
  <si>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</si>
  <si>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</si>
  <si>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</si>
  <si>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</si>
  <si>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</si>
  <si>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</si>
  <si>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</si>
  <si>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</si>
  <si>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</si>
  <si>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xml:space="preserve">  Intangible assets for the exploration and evaluation of mineral resources</t>
  </si>
  <si>
    <t xml:space="preserve">5.Active necorporale de  explorare și evaluare a resurselor minerale </t>
  </si>
  <si>
    <t>05</t>
  </si>
  <si>
    <t>F40_0051</t>
  </si>
  <si>
    <t>F40_0052</t>
  </si>
  <si>
    <t>F40_0053</t>
  </si>
  <si>
    <t>F40_0054</t>
  </si>
  <si>
    <t>F40_0055</t>
  </si>
  <si>
    <t xml:space="preserve">  Advance payments for intangible assets</t>
  </si>
  <si>
    <t xml:space="preserve">6. Avansuri acordate pentru  imobilizări necorporale </t>
  </si>
  <si>
    <t>06</t>
  </si>
  <si>
    <t>F40_0061</t>
  </si>
  <si>
    <t>F40_0062</t>
  </si>
  <si>
    <t>F40_0063</t>
  </si>
  <si>
    <t>F40_0064</t>
  </si>
  <si>
    <t>F40_0065</t>
  </si>
  <si>
    <t xml:space="preserve">  TOTAL (01 to 06)</t>
  </si>
  <si>
    <t xml:space="preserve"> TOTAL (rd. 01 la 06) </t>
  </si>
  <si>
    <t>07</t>
  </si>
  <si>
    <t>F40_0071</t>
  </si>
  <si>
    <t>F40_0072</t>
  </si>
  <si>
    <t>F40_0073</t>
  </si>
  <si>
    <t>F40_0074</t>
  </si>
  <si>
    <t>F40_0075</t>
  </si>
  <si>
    <t xml:space="preserve">  II. Tangible assets</t>
  </si>
  <si>
    <t xml:space="preserve"> II. Imobilizări  corporale </t>
  </si>
  <si>
    <t xml:space="preserve">  Land and landscaping</t>
  </si>
  <si>
    <t xml:space="preserve">1. Terenuri </t>
  </si>
  <si>
    <t>08</t>
  </si>
  <si>
    <t>F40_0081</t>
  </si>
  <si>
    <t>F40_0082</t>
  </si>
  <si>
    <t>F40_0083</t>
  </si>
  <si>
    <t>F40_0084</t>
  </si>
  <si>
    <t>F40_0085</t>
  </si>
  <si>
    <t xml:space="preserve">  Constructions</t>
  </si>
  <si>
    <t xml:space="preserve">2. Construcții </t>
  </si>
  <si>
    <t>09</t>
  </si>
  <si>
    <t>F40_0091</t>
  </si>
  <si>
    <t>F40_0092</t>
  </si>
  <si>
    <t>F40_0093</t>
  </si>
  <si>
    <t>F40_0094</t>
  </si>
  <si>
    <t>F40_0095</t>
  </si>
  <si>
    <t xml:space="preserve">  Technical installations and machinery</t>
  </si>
  <si>
    <t xml:space="preserve">3. Instalații tehnice și  mașini </t>
  </si>
  <si>
    <t>F40_0101</t>
  </si>
  <si>
    <t>F40_0102</t>
  </si>
  <si>
    <t>F40_0103</t>
  </si>
  <si>
    <t>F40_0104</t>
  </si>
  <si>
    <t>F40_0105</t>
  </si>
  <si>
    <t xml:space="preserve">  Other plant, machinery and furniture</t>
  </si>
  <si>
    <t xml:space="preserve">4. Alte instalații, utilaje  și mobilier </t>
  </si>
  <si>
    <t>F40_0111</t>
  </si>
  <si>
    <t>F40_0112</t>
  </si>
  <si>
    <t>F40_0113</t>
  </si>
  <si>
    <t>F40_0114</t>
  </si>
  <si>
    <t>F40_0115</t>
  </si>
  <si>
    <t xml:space="preserve">  Real estate investments</t>
  </si>
  <si>
    <t xml:space="preserve">5. Investiții imobiliare </t>
  </si>
  <si>
    <t>F40_0121</t>
  </si>
  <si>
    <t>F40_0122</t>
  </si>
  <si>
    <t>F40_0123</t>
  </si>
  <si>
    <t>F40_0124</t>
  </si>
  <si>
    <t>F40_0125</t>
  </si>
  <si>
    <t xml:space="preserve">  Tangible fixed assets under construction</t>
  </si>
  <si>
    <t xml:space="preserve">6. Imobilizări corporale în  curs de execuție </t>
  </si>
  <si>
    <t>F40_0131</t>
  </si>
  <si>
    <t>F40_0132</t>
  </si>
  <si>
    <t>F40_0133</t>
  </si>
  <si>
    <t>F40_0134</t>
  </si>
  <si>
    <t>F40_0135</t>
  </si>
  <si>
    <t xml:space="preserve">  Real estate investments in progress</t>
  </si>
  <si>
    <t xml:space="preserve">7. Investiții imobiliare în  curs de execuție </t>
  </si>
  <si>
    <t>F40_0141</t>
  </si>
  <si>
    <t>F40_0142</t>
  </si>
  <si>
    <t>F40_0143</t>
  </si>
  <si>
    <t>F40_0144</t>
  </si>
  <si>
    <t>F40_0145</t>
  </si>
  <si>
    <t xml:space="preserve">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</si>
  <si>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</si>
  <si>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</si>
  <si>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</si>
  <si>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</si>
  <si>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</si>
  <si>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</si>
  <si>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</si>
  <si>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</si>
  <si>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</si>
  <si>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</si>
  <si>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</si>
  <si>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</si>
  <si>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</si>
  <si>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xml:space="preserve">  Advance payments for tangible assets</t>
  </si>
  <si>
    <t xml:space="preserve">10. Avansuri acordate pentru  imobilizări corporale </t>
  </si>
  <si>
    <t>F40_0171</t>
  </si>
  <si>
    <t>F40_0172</t>
  </si>
  <si>
    <t>F40_0173</t>
  </si>
  <si>
    <t>F40_0174</t>
  </si>
  <si>
    <t>F40_0175</t>
  </si>
  <si>
    <t xml:space="preserve">  TOTAL (lines 08 to 17)</t>
  </si>
  <si>
    <t xml:space="preserve"> TOTAL (rd. 08 la 17) </t>
  </si>
  <si>
    <t>F40_0181</t>
  </si>
  <si>
    <t>F40_0182</t>
  </si>
  <si>
    <t>F40_0183</t>
  </si>
  <si>
    <t>F40_0184</t>
  </si>
  <si>
    <t>F40_0185</t>
  </si>
  <si>
    <t xml:space="preserve">  III. Financial assets</t>
  </si>
  <si>
    <t xml:space="preserve"> IV. Imobilizări  financiare </t>
  </si>
  <si>
    <t>F40_0191</t>
  </si>
  <si>
    <t>F40_0192</t>
  </si>
  <si>
    <t>F40_0193</t>
  </si>
  <si>
    <t>F40_0194</t>
  </si>
  <si>
    <t>F40_0195</t>
  </si>
  <si>
    <t xml:space="preserve">  INVESTMENTS - TOTAL (07 + 18 + 19)</t>
  </si>
  <si>
    <t xml:space="preserve"> ACTIVE IMOBILIZATE -  TOTAL (07 + 18 + 19)</t>
  </si>
  <si>
    <t>F40_0201</t>
  </si>
  <si>
    <t>F40_0202</t>
  </si>
  <si>
    <t>F40_0203</t>
  </si>
  <si>
    <t>F40_0204</t>
  </si>
  <si>
    <t>F40_0205</t>
  </si>
  <si>
    <t>Sold Initial</t>
  </si>
  <si>
    <t>Amortizare in cursul anului</t>
  </si>
  <si>
    <t>Reducerea/eliminarea 
în cursul anului a
valorii amortizării</t>
  </si>
  <si>
    <t>Amortizare la
 sfarsitul anului
(col.9=6+7-8)</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</si>
  <si>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</si>
  <si>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</si>
  <si>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</si>
  <si>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</si>
  <si>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</si>
  <si>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</si>
  <si>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</si>
  <si>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</si>
  <si>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</si>
  <si>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</si>
  <si>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</si>
  <si>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</si>
  <si>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</si>
  <si>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</si>
  <si>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</si>
  <si>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</si>
  <si>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</si>
  <si>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</si>
  <si>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</si>
  <si>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</si>
  <si>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 xml:space="preserve">  TOTAL (line 21 to 25)</t>
  </si>
  <si>
    <t xml:space="preserve"> TOTAL (rd. 21 la 25)</t>
  </si>
  <si>
    <t>F40_0261</t>
  </si>
  <si>
    <t>F40_0262</t>
  </si>
  <si>
    <t>F40_0263</t>
  </si>
  <si>
    <t>F40_0264</t>
  </si>
  <si>
    <t xml:space="preserve"> II. Imobilizări   corporale </t>
  </si>
  <si>
    <t xml:space="preserve">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</si>
  <si>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</si>
  <si>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</si>
  <si>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</si>
  <si>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</si>
  <si>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</si>
  <si>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</si>
  <si>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</si>
  <si>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</si>
  <si>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</si>
  <si>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</si>
  <si>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</si>
  <si>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</si>
  <si>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</si>
  <si>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</si>
  <si>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</si>
  <si>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</si>
  <si>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</si>
  <si>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</si>
  <si>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</si>
  <si>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</si>
  <si>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</si>
  <si>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</si>
  <si>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</si>
  <si>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</si>
  <si>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</si>
  <si>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</si>
  <si>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</si>
  <si>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</si>
  <si>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</si>
  <si>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</si>
  <si>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xml:space="preserve">  Productive biological plants</t>
  </si>
  <si>
    <t xml:space="preserve">7.  Plante biologice productive </t>
  </si>
  <si>
    <t>F40_0331</t>
  </si>
  <si>
    <t>F40_0332</t>
  </si>
  <si>
    <t>F40_0333</t>
  </si>
  <si>
    <t>F40_0334</t>
  </si>
  <si>
    <t xml:space="preserve">  TOTAL (lines 27 to 33)</t>
  </si>
  <si>
    <t xml:space="preserve"> TOTAL (rd. 27 la 33) </t>
  </si>
  <si>
    <t>F40_0341</t>
  </si>
  <si>
    <t>F40_0342</t>
  </si>
  <si>
    <t>F40_0343</t>
  </si>
  <si>
    <t>F40_0344</t>
  </si>
  <si>
    <t xml:space="preserve">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</si>
  <si>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</si>
  <si>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</si>
  <si>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</si>
  <si>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</si>
  <si>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</si>
  <si>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</si>
  <si>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</si>
  <si>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</si>
  <si>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</si>
  <si>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</si>
  <si>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</si>
  <si>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</si>
  <si>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</si>
  <si>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</si>
  <si>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</si>
  <si>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</si>
  <si>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F40_0371</t>
  </si>
  <si>
    <t>F40_0372</t>
  </si>
  <si>
    <t>F40_0373</t>
  </si>
  <si>
    <t>F40_0374</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</si>
  <si>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</si>
  <si>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</si>
  <si>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</si>
  <si>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</si>
  <si>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</si>
  <si>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</si>
  <si>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</si>
  <si>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</si>
  <si>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</si>
  <si>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</si>
  <si>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</si>
  <si>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</si>
  <si>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</si>
  <si>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</si>
  <si>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NBV</t>
  </si>
  <si>
    <t>F10</t>
  </si>
  <si>
    <t xml:space="preserve">  TOTAL (lines 34 to 39)</t>
  </si>
  <si>
    <t xml:space="preserve"> TOTAL (rd. 34 la 39) </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</si>
  <si>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</si>
  <si>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</si>
  <si>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</si>
  <si>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</si>
  <si>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</si>
  <si>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</si>
  <si>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</si>
  <si>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</si>
  <si>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</si>
  <si>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</si>
  <si>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</si>
  <si>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</si>
  <si>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</si>
  <si>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</si>
  <si>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</si>
  <si>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</si>
  <si>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</si>
  <si>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</si>
  <si>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</si>
  <si>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</si>
  <si>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</si>
  <si>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</si>
  <si>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</si>
  <si>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</si>
  <si>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</si>
  <si>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</si>
  <si>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</si>
  <si>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</si>
  <si>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</si>
  <si>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</si>
  <si>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</si>
  <si>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</si>
  <si>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</si>
  <si>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</si>
  <si>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</si>
  <si>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</si>
  <si>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</si>
  <si>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</si>
  <si>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</si>
  <si>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</si>
  <si>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</si>
  <si>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F40_0501</t>
  </si>
  <si>
    <t>F40_0502</t>
  </si>
  <si>
    <t>F40_0503</t>
  </si>
  <si>
    <t>F40_0504</t>
  </si>
  <si>
    <t>F40_3021</t>
  </si>
  <si>
    <t>F40_3022</t>
  </si>
  <si>
    <t>F40_3023</t>
  </si>
  <si>
    <t>F40_3024</t>
  </si>
  <si>
    <t xml:space="preserve">  TOTAL (lines 41 to 50)</t>
  </si>
  <si>
    <t xml:space="preserve"> TOTAL (rd. 41 la 50) </t>
  </si>
  <si>
    <t>F40_0511</t>
  </si>
  <si>
    <t>F40_0512</t>
  </si>
  <si>
    <t>F40_0513</t>
  </si>
  <si>
    <t>F40_0514</t>
  </si>
  <si>
    <t xml:space="preserve"> IV. Imobilizări financiare </t>
  </si>
  <si>
    <t>F40_0521</t>
  </si>
  <si>
    <t>F40_0522</t>
  </si>
  <si>
    <t>F40_0523</t>
  </si>
  <si>
    <t>F40_0524</t>
  </si>
  <si>
    <t xml:space="preserve">  ADJUSTMENTS FOR DEPRECIATION - TOTAL (lines 40+51+52)</t>
  </si>
  <si>
    <t xml:space="preserve"> AJUSTĂRI PENTRU DEPRECIERE -  TOTAL (rd. 40+51+52) </t>
  </si>
  <si>
    <t>F40_0531</t>
  </si>
  <si>
    <t>F40_0532</t>
  </si>
  <si>
    <t>F40_0533</t>
  </si>
  <si>
    <t>F40_0534</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</si>
  <si>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</si>
  <si>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</si>
  <si>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</si>
  <si>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</si>
  <si>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</si>
  <si>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</si>
  <si>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</si>
  <si>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</si>
  <si>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</si>
  <si>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</si>
  <si>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</si>
  <si>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</si>
  <si>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</si>
  <si>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</si>
  <si>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</si>
  <si>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</si>
  <si>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</si>
  <si>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</si>
  <si>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</si>
  <si>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</si>
  <si>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</si>
  <si>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</si>
  <si>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</si>
  <si>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</si>
  <si>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</si>
  <si>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</si>
  <si>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</si>
  <si>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</si>
  <si>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</si>
  <si>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</si>
  <si>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</si>
  <si>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</si>
  <si>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</si>
  <si>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</si>
  <si>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</si>
  <si>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</si>
  <si>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</si>
  <si>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</si>
  <si>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</si>
  <si>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</si>
  <si>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</si>
  <si>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</si>
  <si>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</si>
  <si>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</si>
  <si>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</si>
  <si>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</si>
  <si>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</si>
  <si>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</si>
  <si>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</si>
  <si>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</si>
  <si>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</si>
  <si>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</si>
  <si>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</si>
  <si>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</si>
  <si>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</si>
  <si>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</si>
  <si>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</si>
  <si>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</si>
  <si>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</si>
  <si>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</si>
  <si>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</si>
  <si>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</si>
  <si>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</si>
  <si>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</si>
  <si>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</si>
  <si>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</si>
  <si>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</si>
  <si>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</si>
  <si>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</si>
  <si>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</si>
  <si>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</si>
  <si>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</si>
  <si>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</si>
  <si>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</si>
  <si>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</si>
  <si>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Exercitiul Financiar</t>
  </si>
  <si>
    <t>Manual Input</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</si>
  <si>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</si>
  <si>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</si>
  <si>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</si>
  <si>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</si>
  <si>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</si>
  <si>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</si>
  <si>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</si>
  <si>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</si>
  <si>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</si>
  <si>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</si>
  <si>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</si>
  <si>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</si>
  <si>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</si>
  <si>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</si>
  <si>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</si>
  <si>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</si>
  <si>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</si>
  <si>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</si>
  <si>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</si>
  <si>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</si>
  <si>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</si>
  <si>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</si>
  <si>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</si>
  <si>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</si>
  <si>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</si>
  <si>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</si>
  <si>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</si>
  <si>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</si>
  <si>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</si>
  <si>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</si>
  <si>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</si>
  <si>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</si>
  <si>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</si>
  <si>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</si>
  <si>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</si>
  <si>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</si>
  <si>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</si>
  <si>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</si>
  <si>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</si>
  <si>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</si>
  <si>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</si>
  <si>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</si>
  <si>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</si>
  <si>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</si>
  <si>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</si>
  <si>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</si>
  <si>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</si>
  <si>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</si>
  <si>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</si>
  <si>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</si>
  <si>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</si>
  <si>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</si>
  <si>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</si>
  <si>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</si>
  <si>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 xml:space="preserve">a) Imobilizari necorporale </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</si>
  <si>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</si>
  <si>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</si>
  <si>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</si>
  <si>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</si>
  <si>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</si>
  <si>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</si>
  <si>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</si>
  <si>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</si>
  <si>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</si>
  <si>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</si>
  <si>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</si>
  <si>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</si>
  <si>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</si>
  <si>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</si>
  <si>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</si>
  <si>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</si>
  <si>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</si>
  <si>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</si>
  <si>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</si>
  <si>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</si>
  <si>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</si>
  <si>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</si>
  <si>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</si>
  <si>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</si>
  <si>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</si>
  <si>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</si>
  <si>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</si>
  <si>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</si>
  <si>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</si>
  <si>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</si>
  <si>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</si>
  <si>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</si>
  <si>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</si>
  <si>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</si>
  <si>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</si>
  <si>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</si>
  <si>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</si>
  <si>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</si>
  <si>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</si>
  <si>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</si>
  <si>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</si>
  <si>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</si>
  <si>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</si>
  <si>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</si>
  <si>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</si>
  <si>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</si>
  <si>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</si>
  <si>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</si>
  <si>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</si>
  <si>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</si>
  <si>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</si>
  <si>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</si>
  <si>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</si>
  <si>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</si>
  <si>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</si>
  <si>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</si>
  <si>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</si>
  <si>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</si>
  <si>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</si>
  <si>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</si>
  <si>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</si>
  <si>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</si>
  <si>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</si>
  <si>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</si>
  <si>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</si>
  <si>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</si>
  <si>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</si>
  <si>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</si>
  <si>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</si>
  <si>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</si>
  <si>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 xml:space="preserve">Termenul de </t>
  </si>
  <si>
    <t>lichiditate</t>
  </si>
  <si>
    <t>Sub 1 an</t>
  </si>
  <si>
    <t>Peste 1 an</t>
  </si>
  <si>
    <t>Creante comerciale - terti</t>
  </si>
  <si>
    <t>Creante comerciale - alte parti afiliate</t>
  </si>
  <si>
    <t>Avansuri TR</t>
  </si>
  <si>
    <t>Total creante comerciale</t>
  </si>
  <si>
    <t>Ajutor pentru creanțele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</si>
  <si>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</si>
  <si>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</si>
  <si>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</si>
  <si>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</si>
  <si>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</si>
  <si>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</si>
  <si>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</si>
  <si>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</si>
  <si>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</si>
  <si>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</si>
  <si>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</si>
  <si>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</si>
  <si>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</si>
  <si>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</si>
  <si>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</si>
  <si>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</si>
  <si>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</si>
  <si>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</si>
  <si>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</si>
  <si>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</si>
  <si>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</si>
  <si>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</si>
  <si>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</si>
  <si>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</si>
  <si>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</si>
  <si>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</si>
  <si>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</si>
  <si>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</si>
  <si>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</si>
  <si>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</si>
  <si>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</si>
  <si>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</si>
  <si>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</si>
  <si>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</si>
  <si>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NOTA 9: DATORII</t>
  </si>
  <si>
    <t>Scadenta</t>
  </si>
  <si>
    <t>Datorii</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</si>
  <si>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</si>
  <si>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</si>
  <si>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</si>
  <si>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</si>
  <si>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</si>
  <si>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</si>
  <si>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</si>
  <si>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</si>
  <si>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</si>
  <si>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</si>
  <si>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</si>
  <si>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</si>
  <si>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</si>
  <si>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</si>
  <si>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</si>
  <si>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</si>
  <si>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</si>
  <si>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</si>
  <si>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</si>
  <si>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Balanta finala</t>
  </si>
  <si>
    <t>Numele provizionului</t>
  </si>
  <si>
    <t>Balanta initiala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</si>
  <si>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</si>
  <si>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</si>
  <si>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</si>
  <si>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</si>
  <si>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</si>
  <si>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</si>
  <si>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</si>
  <si>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</si>
  <si>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</si>
  <si>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</si>
  <si>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</si>
  <si>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</si>
  <si>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</si>
  <si>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manual</t>
  </si>
  <si>
    <t>automated</t>
  </si>
  <si>
    <t>b) Informatii privind relatiile cu entitatile afiliate si alte parti legate</t>
  </si>
  <si>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</si>
  <si>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</si>
  <si>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</si>
  <si>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</si>
  <si>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</si>
  <si>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</si>
  <si>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</si>
  <si>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</si>
  <si>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</si>
  <si>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2023</t>
  </si>
  <si>
    <t>Imprumuturi acordate</t>
  </si>
  <si>
    <t>Creante comerciale</t>
  </si>
  <si>
    <t>(ii) Datorii catre entitatile mentionate mai sus</t>
  </si>
  <si>
    <t xml:space="preserve">31 decembrie 2022 </t>
  </si>
  <si>
    <t xml:space="preserve">31 decembrie 2023 </t>
  </si>
  <si>
    <t>Imprumuturi primite</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</si>
  <si>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</si>
  <si>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</si>
  <si>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</si>
  <si>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</si>
  <si>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</si>
  <si>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</si>
  <si>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</si>
  <si>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</si>
  <si>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</si>
  <si>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</si>
  <si>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</si>
  <si>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</si>
  <si>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</si>
  <si>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</si>
  <si>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</si>
  <si>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</si>
  <si>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</si>
  <si>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</si>
  <si>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</si>
  <si>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</si>
  <si>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</si>
  <si>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</si>
  <si>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</si>
  <si>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</si>
  <si>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</si>
  <si>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</si>
  <si>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</si>
  <si>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</si>
  <si>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</si>
  <si>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</si>
  <si>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</si>
  <si>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</si>
  <si>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</si>
  <si>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</si>
  <si>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</si>
  <si>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</si>
  <si>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</si>
  <si>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</si>
  <si>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</si>
  <si>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</si>
  <si>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</si>
  <si>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</si>
  <si>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</si>
  <si>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</si>
  <si>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</si>
  <si>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</si>
  <si>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ICO OB</t>
  </si>
  <si>
    <t>ICO CB</t>
  </si>
  <si>
    <t xml:space="preserve"> Capital subscris nevărsat (P)</t>
  </si>
  <si>
    <t>101</t>
  </si>
  <si>
    <t>1012</t>
  </si>
  <si>
    <t xml:space="preserve"> Capital subscris vărsat (P)</t>
  </si>
  <si>
    <t>1015</t>
  </si>
  <si>
    <t xml:space="preserve"> Patrimoniul regiei (P)</t>
  </si>
  <si>
    <t>1016</t>
  </si>
  <si>
    <t xml:space="preserve"> Patrimoniul public (P)</t>
  </si>
  <si>
    <t>BS101</t>
  </si>
  <si>
    <t>1017</t>
  </si>
  <si>
    <t xml:space="preserve"> Patrimoniul privat (P)</t>
  </si>
  <si>
    <t>BS102</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</si>
  <si>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</si>
  <si>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</si>
  <si>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</si>
  <si>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</si>
  <si>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</si>
  <si>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</si>
  <si>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</si>
  <si>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</si>
  <si>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</si>
  <si>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</si>
  <si>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</si>
  <si>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</si>
  <si>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</si>
  <si>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</si>
  <si>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</si>
  <si>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</si>
  <si>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</si>
  <si>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</si>
  <si>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</si>
  <si>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</si>
  <si>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</si>
  <si>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</si>
  <si>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</si>
  <si>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</si>
  <si>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</si>
  <si>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</si>
  <si>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</si>
  <si>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</si>
  <si>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</si>
  <si>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</si>
  <si>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</si>
  <si>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</si>
  <si>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</si>
  <si>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</si>
  <si>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</si>
  <si>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</si>
  <si>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</si>
  <si>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</si>
  <si>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</si>
  <si>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</si>
  <si>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</si>
  <si>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</si>
  <si>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</si>
  <si>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</si>
  <si>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</si>
  <si>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</si>
  <si>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</si>
  <si>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</si>
  <si>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</si>
  <si>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</si>
  <si>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</si>
  <si>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</si>
  <si>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</si>
  <si>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</si>
  <si>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</si>
  <si>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</si>
  <si>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</si>
  <si>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</si>
  <si>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</si>
  <si>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</si>
  <si>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</si>
  <si>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</si>
  <si>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</si>
  <si>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</si>
  <si>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</si>
  <si>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</si>
  <si>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</si>
  <si>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BS65</t>
  </si>
  <si>
    <t>1516</t>
  </si>
  <si>
    <t xml:space="preserve"> Provizioane pentru impozite (P)</t>
  </si>
  <si>
    <t>BS66</t>
  </si>
  <si>
    <t>1511</t>
  </si>
  <si>
    <t xml:space="preserve"> Provizioane pentru litigii (P)</t>
  </si>
  <si>
    <t>BS67</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</si>
  <si>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</si>
  <si>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</si>
  <si>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</si>
  <si>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</si>
  <si>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</si>
  <si>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</si>
  <si>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</si>
  <si>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</si>
  <si>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</si>
  <si>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</si>
  <si>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</si>
  <si>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</si>
  <si>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BS45</t>
  </si>
  <si>
    <t>ST/LT - Vă rugăm să analizati</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</si>
  <si>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</si>
  <si>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</si>
  <si>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</si>
  <si>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</si>
  <si>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</si>
  <si>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</si>
  <si>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</si>
  <si>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</si>
  <si>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</si>
  <si>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</si>
  <si>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BS57</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</si>
  <si>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</si>
  <si>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</si>
  <si>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</si>
  <si>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</si>
  <si>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</si>
  <si>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</si>
  <si>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</si>
  <si>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</si>
  <si>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</si>
  <si>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</si>
  <si>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BS63</t>
  </si>
  <si>
    <t>1626</t>
  </si>
  <si>
    <t xml:space="preserve"> Credite de la trezoreria statului (P)</t>
  </si>
  <si>
    <t>1661</t>
  </si>
  <si>
    <t xml:space="preserve"> Datorii faţă de entităţile afiliate (P)</t>
  </si>
  <si>
    <t>166</t>
  </si>
  <si>
    <t>BS61</t>
  </si>
  <si>
    <t>1663</t>
  </si>
  <si>
    <t xml:space="preserve"> Datorii faţă de entităţile de care compania este legată prin interese de participare (P)</t>
  </si>
  <si>
    <t>BS62</t>
  </si>
  <si>
    <t>167</t>
  </si>
  <si>
    <t xml:space="preserve"> Alte împrumuturi şi datorii asimilate (P)</t>
  </si>
  <si>
    <t>BS52</t>
  </si>
  <si>
    <t>1681</t>
  </si>
  <si>
    <t xml:space="preserve"> Dobânzi aferente împrumuturilor din emisiuni de obligaţiuni (P)</t>
  </si>
  <si>
    <t>168</t>
  </si>
  <si>
    <t>1682</t>
  </si>
  <si>
    <t xml:space="preserve"> Dobânzi aferente creditelor bancare pe termen lung (P)</t>
  </si>
  <si>
    <t>BS46</t>
  </si>
  <si>
    <t>Imprumuturi bancare</t>
  </si>
  <si>
    <t>1685</t>
  </si>
  <si>
    <t xml:space="preserve"> Dobânzi aferente datoriilor faţă de entităţile afiliate (P)</t>
  </si>
  <si>
    <t>BS50</t>
  </si>
  <si>
    <t>1686</t>
  </si>
  <si>
    <t xml:space="preserve"> Dobânzi aferente datoriilor faţă de entităţile de care compania este legată prin interese de participare (P)</t>
  </si>
  <si>
    <t>BS51</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</si>
  <si>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</si>
  <si>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</si>
  <si>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</si>
  <si>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</si>
  <si>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</si>
  <si>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</si>
  <si>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</si>
  <si>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</si>
  <si>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</si>
  <si>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</si>
  <si>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</si>
  <si>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</si>
  <si>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</si>
  <si>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</si>
  <si>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</si>
  <si>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</si>
  <si>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</si>
  <si>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</si>
  <si>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</si>
  <si>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</si>
  <si>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</si>
  <si>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</si>
  <si>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</si>
  <si>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</si>
  <si>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</si>
  <si>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</si>
  <si>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BS78</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</si>
  <si>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</si>
  <si>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</si>
  <si>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</si>
  <si>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</si>
  <si>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</si>
  <si>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</si>
  <si>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</si>
  <si>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</si>
  <si>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</si>
  <si>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</si>
  <si>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</si>
  <si>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</si>
  <si>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</si>
  <si>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</si>
  <si>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</si>
  <si>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</si>
  <si>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</si>
  <si>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</si>
  <si>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</si>
  <si>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</si>
  <si>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</si>
  <si>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</si>
  <si>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</si>
  <si>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</si>
  <si>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</si>
  <si>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</si>
  <si>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</si>
  <si>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</si>
  <si>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</si>
  <si>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</si>
  <si>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</si>
  <si>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</si>
  <si>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</si>
  <si>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</si>
  <si>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</si>
  <si>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</si>
  <si>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</si>
  <si>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</si>
  <si>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</si>
  <si>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</si>
  <si>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</si>
  <si>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</si>
  <si>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</si>
  <si>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</si>
  <si>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</si>
  <si>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</si>
  <si>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</si>
  <si>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</si>
  <si>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</si>
  <si>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</si>
  <si>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</si>
  <si>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</si>
  <si>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</si>
  <si>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</si>
  <si>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</si>
  <si>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</si>
  <si>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</si>
  <si>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</si>
  <si>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</si>
  <si>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</si>
  <si>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</si>
  <si>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</si>
  <si>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</si>
  <si>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</si>
  <si>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</si>
  <si>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</si>
  <si>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</si>
  <si>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</si>
  <si>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</si>
  <si>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</si>
  <si>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</si>
  <si>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</si>
  <si>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</si>
  <si>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</si>
  <si>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</si>
  <si>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</si>
  <si>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</si>
  <si>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</si>
  <si>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</si>
  <si>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</si>
  <si>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</si>
  <si>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</si>
  <si>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</si>
  <si>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</si>
  <si>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</si>
  <si>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</si>
  <si>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</si>
  <si>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</si>
  <si>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</si>
  <si>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</si>
  <si>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</si>
  <si>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</si>
  <si>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</si>
  <si>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</si>
  <si>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</si>
  <si>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</si>
  <si>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</si>
  <si>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</si>
  <si>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</si>
  <si>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</si>
  <si>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</si>
  <si>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</si>
  <si>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</si>
  <si>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</si>
  <si>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</si>
  <si>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</si>
  <si>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</si>
  <si>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</si>
  <si>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</si>
  <si>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</si>
  <si>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</si>
  <si>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</si>
  <si>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</si>
  <si>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</si>
  <si>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</si>
  <si>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</si>
  <si>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</si>
  <si>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</si>
  <si>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</si>
  <si>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</si>
  <si>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</si>
  <si>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</si>
  <si>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</si>
  <si>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</si>
  <si>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</si>
  <si>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</si>
  <si>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</si>
  <si>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</si>
  <si>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</si>
  <si>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</si>
  <si>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</si>
  <si>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</si>
  <si>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</si>
  <si>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</si>
  <si>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</si>
  <si>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</si>
  <si>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</si>
  <si>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</si>
  <si>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</si>
  <si>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</si>
  <si>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</si>
  <si>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</si>
  <si>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</si>
  <si>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</si>
  <si>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</si>
  <si>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</si>
  <si>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</si>
  <si>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</si>
  <si>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</si>
  <si>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</si>
  <si>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</si>
  <si>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</si>
  <si>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</si>
  <si>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</si>
  <si>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</si>
  <si>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</si>
  <si>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</si>
  <si>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</si>
  <si>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</si>
  <si>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</si>
  <si>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</si>
  <si>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</si>
  <si>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</si>
  <si>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</si>
  <si>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</si>
  <si>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</si>
  <si>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</si>
  <si>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</si>
  <si>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</si>
  <si>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</si>
  <si>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</si>
  <si>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</si>
  <si>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</si>
  <si>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</si>
  <si>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</si>
  <si>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</si>
  <si>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</si>
  <si>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</si>
  <si>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</si>
  <si>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</si>
  <si>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</si>
  <si>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</si>
  <si>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</si>
  <si>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</si>
  <si>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</si>
  <si>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</si>
  <si>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</si>
  <si>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</si>
  <si>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</si>
  <si>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</si>
  <si>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</si>
  <si>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</si>
  <si>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</si>
  <si>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</si>
  <si>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</si>
  <si>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</si>
  <si>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</si>
  <si>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</si>
  <si>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</si>
  <si>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</si>
  <si>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</si>
  <si>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</si>
  <si>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</si>
  <si>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</si>
  <si>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</si>
  <si>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</si>
  <si>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</si>
  <si>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</si>
  <si>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</si>
  <si>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</si>
  <si>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</si>
  <si>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</si>
  <si>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</si>
  <si>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Bifuncțional - Vă rugăm să analizati</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</si>
  <si>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</si>
  <si>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</si>
  <si>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</si>
  <si>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</si>
  <si>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</si>
  <si>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</si>
  <si>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</si>
  <si>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</si>
  <si>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</si>
  <si>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</si>
  <si>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</si>
  <si>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</si>
  <si>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</si>
  <si>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</si>
  <si>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</si>
  <si>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</si>
  <si>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</si>
  <si>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</si>
  <si>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</si>
  <si>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</si>
  <si>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</si>
  <si>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</si>
  <si>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</si>
  <si>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</si>
  <si>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</si>
  <si>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</si>
  <si>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</si>
  <si>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</si>
  <si>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</si>
  <si>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</si>
  <si>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</si>
  <si>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</si>
  <si>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</si>
  <si>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</si>
  <si>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</si>
  <si>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</si>
  <si>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</si>
  <si>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</si>
  <si>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</si>
  <si>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</si>
  <si>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</si>
  <si>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</si>
  <si>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</si>
  <si>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</si>
  <si>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</si>
  <si>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</si>
  <si>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</si>
  <si>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</si>
  <si>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</si>
  <si>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</si>
  <si>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</si>
  <si>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</si>
  <si>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</si>
  <si>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</si>
  <si>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</si>
  <si>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</si>
  <si>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</si>
  <si>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</si>
  <si>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</si>
  <si>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</si>
  <si>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</si>
  <si>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</si>
  <si>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</si>
  <si>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</si>
  <si>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</si>
  <si>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</si>
  <si>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</si>
  <si>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</si>
  <si>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</si>
  <si>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</si>
  <si>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</si>
  <si>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</si>
  <si>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</si>
  <si>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</si>
  <si>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</si>
  <si>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</si>
  <si>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</si>
  <si>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</si>
  <si>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</si>
  <si>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</si>
  <si>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</si>
  <si>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</si>
  <si>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</si>
  <si>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</si>
  <si>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</si>
  <si>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</si>
  <si>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</si>
  <si>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</si>
  <si>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</si>
  <si>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</si>
  <si>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</si>
  <si>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</si>
  <si>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</si>
  <si>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</si>
  <si>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</si>
  <si>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</si>
  <si>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</si>
  <si>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</si>
  <si>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</si>
  <si>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</si>
  <si>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</si>
  <si>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BS48</t>
  </si>
  <si>
    <t>403</t>
  </si>
  <si>
    <t xml:space="preserve"> Efecte de plătit (P)</t>
  </si>
  <si>
    <t>BS49</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</si>
  <si>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</si>
  <si>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</si>
  <si>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</si>
  <si>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</si>
  <si>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</si>
  <si>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</si>
  <si>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</si>
  <si>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</si>
  <si>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</si>
  <si>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</si>
  <si>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</si>
  <si>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</si>
  <si>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</si>
  <si>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</si>
  <si>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</si>
  <si>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</si>
  <si>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</si>
  <si>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</si>
  <si>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</si>
  <si>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</si>
  <si>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</si>
  <si>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</si>
  <si>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</si>
  <si>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</si>
  <si>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</si>
  <si>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</si>
  <si>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</si>
  <si>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</si>
  <si>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</si>
  <si>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</si>
  <si>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BS47</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</si>
  <si>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</si>
  <si>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</si>
  <si>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</si>
  <si>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</si>
  <si>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</si>
  <si>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</si>
  <si>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</si>
  <si>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</si>
  <si>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</si>
  <si>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</si>
  <si>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</si>
  <si>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</si>
  <si>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</si>
  <si>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</si>
  <si>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</si>
  <si>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</si>
  <si>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</si>
  <si>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</si>
  <si>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</si>
  <si>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</si>
  <si>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</si>
  <si>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</si>
  <si>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</si>
  <si>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</si>
  <si>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</si>
  <si>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</si>
  <si>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</si>
  <si>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</si>
  <si>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</si>
  <si>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</si>
  <si>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</si>
  <si>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</si>
  <si>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</si>
  <si>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</si>
  <si>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</si>
  <si>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</si>
  <si>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</si>
  <si>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</si>
  <si>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</si>
  <si>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</si>
  <si>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</si>
  <si>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</si>
  <si>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</si>
  <si>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</si>
  <si>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</si>
  <si>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</si>
  <si>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</si>
  <si>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</si>
  <si>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</si>
  <si>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</si>
  <si>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</si>
  <si>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</si>
  <si>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</si>
  <si>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</si>
  <si>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</si>
  <si>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</si>
  <si>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</si>
  <si>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</si>
  <si>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</si>
  <si>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</si>
  <si>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</si>
  <si>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</si>
  <si>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</si>
  <si>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</si>
  <si>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</si>
  <si>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</si>
  <si>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</si>
  <si>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</si>
  <si>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</si>
  <si>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</si>
  <si>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</si>
  <si>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</si>
  <si>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</si>
  <si>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</si>
  <si>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</si>
  <si>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</si>
  <si>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</si>
  <si>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</si>
  <si>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</si>
  <si>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</si>
  <si>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</si>
  <si>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Bifuncțional si/sau ST/LT - Vă rugăm să analizati</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</si>
  <si>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</si>
  <si>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</si>
  <si>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</si>
  <si>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</si>
  <si>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</si>
  <si>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</si>
  <si>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</si>
  <si>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</si>
  <si>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</si>
  <si>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</si>
  <si>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</si>
  <si>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</si>
  <si>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</si>
  <si>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</si>
  <si>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</si>
  <si>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</si>
  <si>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</si>
  <si>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</si>
  <si>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</si>
  <si>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</si>
  <si>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</si>
  <si>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</si>
  <si>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</si>
  <si>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</si>
  <si>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</si>
  <si>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</si>
  <si>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</si>
  <si>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</si>
  <si>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BS35a</t>
  </si>
  <si>
    <t>4662</t>
  </si>
  <si>
    <t>Creante din operatiuni de fiducie (A)</t>
  </si>
  <si>
    <t>466</t>
  </si>
  <si>
    <t>4661</t>
  </si>
  <si>
    <t>Datorii din operatiuni de fiducie (P)</t>
  </si>
  <si>
    <t>471</t>
  </si>
  <si>
    <t xml:space="preserve"> Cheltuieli înregistrate în avans (A)</t>
  </si>
  <si>
    <t>BS43</t>
  </si>
  <si>
    <t>472</t>
  </si>
  <si>
    <t xml:space="preserve"> Venituri înregistrate în avans (P)</t>
  </si>
  <si>
    <t>BS73</t>
  </si>
  <si>
    <t>472L</t>
  </si>
  <si>
    <t>473</t>
  </si>
  <si>
    <t xml:space="preserve"> Decontări din operaţii în curs de clarificare (A/P)</t>
  </si>
  <si>
    <t>4751</t>
  </si>
  <si>
    <t xml:space="preserve"> Subvenţii guvernamentale pentru investiţii (P)</t>
  </si>
  <si>
    <t>475</t>
  </si>
  <si>
    <t>BS70</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</si>
  <si>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</si>
  <si>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</si>
  <si>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</si>
  <si>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</si>
  <si>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</si>
  <si>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</si>
  <si>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</si>
  <si>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</si>
  <si>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</si>
  <si>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</si>
  <si>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BS76</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</si>
  <si>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</si>
  <si>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</si>
  <si>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</si>
  <si>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</si>
  <si>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</si>
  <si>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</si>
  <si>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</si>
  <si>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</si>
  <si>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</si>
  <si>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</si>
  <si>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</si>
  <si>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</si>
  <si>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</si>
  <si>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</si>
  <si>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</si>
  <si>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</si>
  <si>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</si>
  <si>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</si>
  <si>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</si>
  <si>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</si>
  <si>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</si>
  <si>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</si>
  <si>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BS37</t>
  </si>
  <si>
    <t>505</t>
  </si>
  <si>
    <t xml:space="preserve"> Obligaţiuni emise şi răscumpărate (A)</t>
  </si>
  <si>
    <t>BS38</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</si>
  <si>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</si>
  <si>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</si>
  <si>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</si>
  <si>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</si>
  <si>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</si>
  <si>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</si>
  <si>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</si>
  <si>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</si>
  <si>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</si>
  <si>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</si>
  <si>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</si>
  <si>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</si>
  <si>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</si>
  <si>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</si>
  <si>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</si>
  <si>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</si>
  <si>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</si>
  <si>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</si>
  <si>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</si>
  <si>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</si>
  <si>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</si>
  <si>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</si>
  <si>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BS40</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</si>
  <si>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</si>
  <si>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</si>
  <si>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</si>
  <si>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</si>
  <si>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</si>
  <si>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</si>
  <si>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</si>
  <si>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</si>
  <si>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</si>
  <si>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</si>
  <si>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</si>
  <si>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</si>
  <si>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</si>
  <si>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</si>
  <si>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</si>
  <si>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</si>
  <si>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</si>
  <si>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</si>
  <si>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</si>
  <si>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</si>
  <si>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</si>
  <si>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</si>
  <si>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</si>
  <si>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</si>
  <si>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</si>
  <si>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</si>
  <si>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</si>
  <si>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</si>
  <si>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</si>
  <si>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</si>
  <si>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</si>
  <si>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</si>
  <si>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</si>
  <si>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</si>
  <si>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</si>
  <si>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</si>
  <si>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</si>
  <si>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</si>
  <si>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</si>
  <si>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</si>
  <si>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</si>
  <si>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</si>
  <si>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</si>
  <si>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</si>
  <si>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</si>
  <si>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</si>
  <si>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</si>
  <si>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</si>
  <si>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</si>
  <si>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</si>
  <si>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</si>
  <si>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</si>
  <si>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</si>
  <si>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</si>
  <si>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</si>
  <si>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</si>
  <si>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</si>
  <si>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</si>
  <si>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</si>
  <si>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</si>
  <si>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</si>
  <si>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</si>
  <si>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</si>
  <si>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</si>
  <si>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</si>
  <si>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</si>
  <si>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</si>
  <si>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</si>
  <si>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</si>
  <si>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</si>
  <si>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</si>
  <si>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</si>
  <si>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</si>
  <si>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</si>
  <si>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</si>
  <si>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</si>
  <si>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</si>
  <si>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</si>
  <si>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</si>
  <si>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</si>
  <si>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</si>
  <si>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</si>
  <si>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</si>
  <si>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</si>
  <si>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</si>
  <si>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</si>
  <si>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</si>
  <si>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</si>
  <si>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</si>
  <si>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</si>
  <si>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</si>
  <si>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</si>
  <si>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</si>
  <si>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</si>
  <si>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</si>
  <si>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</si>
  <si>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</si>
  <si>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</si>
  <si>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</si>
  <si>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</si>
  <si>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</si>
  <si>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</si>
  <si>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</si>
  <si>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</si>
  <si>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</si>
  <si>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</si>
  <si>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</si>
  <si>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</si>
  <si>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</si>
  <si>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</si>
  <si>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</si>
  <si>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</si>
  <si>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</si>
  <si>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</si>
  <si>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</si>
  <si>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</si>
  <si>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</si>
  <si>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</si>
  <si>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</si>
  <si>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</si>
  <si>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</si>
  <si>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</si>
  <si>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</si>
  <si>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</si>
  <si>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PL20</t>
  </si>
  <si>
    <t>608</t>
  </si>
  <si>
    <t xml:space="preserve"> Cheltuieli privind ambalajele</t>
  </si>
  <si>
    <t>609</t>
  </si>
  <si>
    <t xml:space="preserve"> Reduceri comerciale primite</t>
  </si>
  <si>
    <t>PL21</t>
  </si>
  <si>
    <t>611</t>
  </si>
  <si>
    <t xml:space="preserve"> Cheltuieli cu întreţinerea şi reparaţiile</t>
  </si>
  <si>
    <t>PL32</t>
  </si>
  <si>
    <t>612</t>
  </si>
  <si>
    <t xml:space="preserve"> Cheltuieli cu redevenţele, locaţiile de gestiune şi chiriile</t>
  </si>
  <si>
    <t>Cheltuieli cu redevenţele</t>
  </si>
  <si>
    <t>Cheltuieli cu locaţiile de gestiune</t>
  </si>
  <si>
    <t>Cheltuieli cu chiriile</t>
  </si>
  <si>
    <t>613</t>
  </si>
  <si>
    <t xml:space="preserve"> Cheltuieli cu primele de asigurare</t>
  </si>
  <si>
    <t>614</t>
  </si>
  <si>
    <t xml:space="preserve"> Cheltuieli cu studiile şi cercetările</t>
  </si>
  <si>
    <t>615</t>
  </si>
  <si>
    <t>Cheltuieli cu pregătirea personalului</t>
  </si>
  <si>
    <t>Cheltuieli aferente drepturilor de proprietate intelectuală</t>
  </si>
  <si>
    <t>Cheltuieli de management</t>
  </si>
  <si>
    <t>Cheltuieli de consultanţă.</t>
  </si>
  <si>
    <t>621</t>
  </si>
  <si>
    <t xml:space="preserve"> Cheltuieli cu colaboratorii</t>
  </si>
  <si>
    <t>621pf</t>
  </si>
  <si>
    <t>PL23</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</si>
  <si>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</si>
  <si>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</si>
  <si>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</si>
  <si>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</si>
  <si>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</si>
  <si>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</si>
  <si>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</si>
  <si>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</si>
  <si>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</si>
  <si>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</si>
  <si>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</si>
  <si>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</si>
  <si>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</si>
  <si>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</si>
  <si>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</si>
  <si>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</si>
  <si>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PL33</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</si>
  <si>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</si>
  <si>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</si>
  <si>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</si>
  <si>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</si>
  <si>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</si>
  <si>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</si>
  <si>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</si>
  <si>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</si>
  <si>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</si>
  <si>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</si>
  <si>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</si>
  <si>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</si>
  <si>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</si>
  <si>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</si>
  <si>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</si>
  <si>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PL24</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</si>
  <si>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</si>
  <si>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</si>
  <si>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</si>
  <si>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</si>
  <si>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</si>
  <si>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</si>
  <si>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</si>
  <si>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</si>
  <si>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</si>
  <si>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</si>
  <si>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</si>
  <si>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</si>
  <si>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</si>
  <si>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</si>
  <si>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</si>
  <si>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</si>
  <si>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</si>
  <si>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</si>
  <si>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</si>
  <si>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PL37</t>
  </si>
  <si>
    <t>6512</t>
  </si>
  <si>
    <t>Cheltuieli din derularea operatiunilor de fiducie</t>
  </si>
  <si>
    <t>6513</t>
  </si>
  <si>
    <t>Cheltuieli din lichidarea operatiunilor de fiducie</t>
  </si>
  <si>
    <t>652</t>
  </si>
  <si>
    <t xml:space="preserve"> Cheltuieli cu protecţia mediului înconjurător</t>
  </si>
  <si>
    <t>PL34</t>
  </si>
  <si>
    <t>654</t>
  </si>
  <si>
    <t xml:space="preserve"> Pierderi din creanţe şi debitori diverşi</t>
  </si>
  <si>
    <t>PL29</t>
  </si>
  <si>
    <t>655</t>
  </si>
  <si>
    <t>Cheltuieli din reevaluarea imobilizărilor corporale</t>
  </si>
  <si>
    <t>PL35</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</si>
  <si>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</si>
  <si>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</si>
  <si>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</si>
  <si>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</si>
  <si>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</si>
  <si>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</si>
  <si>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</si>
  <si>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</si>
  <si>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</si>
  <si>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</si>
  <si>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</si>
  <si>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</si>
  <si>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</si>
  <si>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</si>
  <si>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</si>
  <si>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PL36</t>
  </si>
  <si>
    <t>663</t>
  </si>
  <si>
    <t xml:space="preserve"> Pierderi din creanţe legate de participaţii</t>
  </si>
  <si>
    <t>PL58</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</si>
  <si>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</si>
  <si>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</si>
  <si>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</si>
  <si>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</si>
  <si>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</si>
  <si>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</si>
  <si>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</si>
  <si>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</si>
  <si>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</si>
  <si>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</si>
  <si>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</si>
  <si>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</si>
  <si>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</si>
  <si>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</si>
  <si>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PL56</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</si>
  <si>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</si>
  <si>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</si>
  <si>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</si>
  <si>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</si>
  <si>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</si>
  <si>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</si>
  <si>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</si>
  <si>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</si>
  <si>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</si>
  <si>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</si>
  <si>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PL26</t>
  </si>
  <si>
    <t>6812</t>
  </si>
  <si>
    <t xml:space="preserve"> Cheltuieli de exploatare privind provizioanele</t>
  </si>
  <si>
    <t>PL40</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</si>
  <si>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</si>
  <si>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</si>
  <si>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</si>
  <si>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</si>
  <si>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</si>
  <si>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</si>
  <si>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</si>
  <si>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</si>
  <si>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</si>
  <si>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</si>
  <si>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</si>
  <si>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PL54</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</si>
  <si>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</si>
  <si>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</si>
  <si>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</si>
  <si>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</si>
  <si>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</si>
  <si>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</si>
  <si>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</si>
  <si>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</si>
  <si>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</si>
  <si>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</si>
  <si>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PL66</t>
  </si>
  <si>
    <t>PL66a</t>
  </si>
  <si>
    <t>695</t>
  </si>
  <si>
    <t>Cheltuieli cu impozitul specific unor activitati</t>
  </si>
  <si>
    <t>PL67</t>
  </si>
  <si>
    <t>698</t>
  </si>
  <si>
    <t xml:space="preserve"> Cheltuieli cu impozitul pe venit şi cu alte impozite care nu apar în elementele de mai sus*18)</t>
  </si>
  <si>
    <t>PL68</t>
  </si>
  <si>
    <t>701</t>
  </si>
  <si>
    <t xml:space="preserve"> Venituri din vânzarea produselor finite</t>
  </si>
  <si>
    <t>PL2</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</si>
  <si>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</si>
  <si>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</si>
  <si>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</si>
  <si>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</si>
  <si>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</si>
  <si>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</si>
  <si>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</si>
  <si>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</si>
  <si>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</si>
  <si>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</si>
  <si>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</si>
  <si>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</si>
  <si>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</si>
  <si>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</si>
  <si>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</si>
  <si>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</si>
  <si>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</si>
  <si>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PL3</t>
  </si>
  <si>
    <t>708</t>
  </si>
  <si>
    <t xml:space="preserve"> Venituri din activităţi diverse</t>
  </si>
  <si>
    <t>709</t>
  </si>
  <si>
    <t xml:space="preserve"> Reduceri comerciale acordate</t>
  </si>
  <si>
    <t>PL4</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</si>
  <si>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</si>
  <si>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</si>
  <si>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</si>
  <si>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</si>
  <si>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</si>
  <si>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</si>
  <si>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</si>
  <si>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</si>
  <si>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</si>
  <si>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</si>
  <si>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</si>
  <si>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</si>
  <si>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</si>
  <si>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</si>
  <si>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</si>
  <si>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</si>
  <si>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</si>
  <si>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</si>
  <si>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</si>
  <si>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</si>
  <si>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</si>
  <si>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</si>
  <si>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</si>
  <si>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</si>
  <si>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</si>
  <si>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</si>
  <si>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</si>
  <si>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</si>
  <si>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</si>
  <si>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</si>
  <si>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</si>
  <si>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</si>
  <si>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PL49</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</si>
  <si>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</si>
  <si>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</si>
  <si>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</si>
  <si>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</si>
  <si>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</si>
  <si>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</si>
  <si>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</si>
  <si>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</si>
  <si>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</si>
  <si>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</si>
  <si>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</si>
  <si>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</si>
  <si>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PL30</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</si>
  <si>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</si>
  <si>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</si>
  <si>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</si>
  <si>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</si>
  <si>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</si>
  <si>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</si>
  <si>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</si>
  <si>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</si>
  <si>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</si>
  <si>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</si>
  <si>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</si>
  <si>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</si>
  <si>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</si>
  <si>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</si>
  <si>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</si>
  <si>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</si>
  <si>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</si>
  <si>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PL45</t>
  </si>
  <si>
    <t>7613</t>
  </si>
  <si>
    <t xml:space="preserve"> Venituri din interese de participare</t>
  </si>
  <si>
    <t>7615</t>
  </si>
  <si>
    <t>Venituri din alte imobilizări financiare</t>
  </si>
  <si>
    <t>PL50</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</si>
  <si>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</si>
  <si>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</si>
  <si>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</si>
  <si>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</si>
  <si>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</si>
  <si>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</si>
  <si>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</si>
  <si>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</si>
  <si>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</si>
  <si>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</si>
  <si>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</si>
  <si>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</si>
  <si>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</si>
  <si>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</si>
  <si>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</si>
  <si>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</si>
  <si>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</si>
  <si>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</si>
  <si>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</si>
  <si>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</si>
  <si>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PL47</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</si>
  <si>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</si>
  <si>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</si>
  <si>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</si>
  <si>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</si>
  <si>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</si>
  <si>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</si>
  <si>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</si>
  <si>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</si>
  <si>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</si>
  <si>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</si>
  <si>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</si>
  <si>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PL41</t>
  </si>
  <si>
    <t>7813</t>
  </si>
  <si>
    <t xml:space="preserve"> Venituri din ajustări pentru deprecierea imobilizărilor</t>
  </si>
  <si>
    <t>PL27</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</si>
  <si>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</si>
  <si>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</si>
  <si>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</si>
  <si>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</si>
  <si>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</si>
  <si>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</si>
  <si>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</si>
  <si>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</si>
  <si>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PL55</t>
  </si>
  <si>
    <t>7863</t>
  </si>
  <si>
    <t>Venituri financiare din ajustări pentru pierderea de valoare a imobilizărilor financiare</t>
  </si>
  <si>
    <t>7864</t>
  </si>
  <si>
    <t xml:space="preserve"> Venituri financiare din ajustări pentru pierderea de valoare a activelor circulante</t>
  </si>
  <si>
    <t>7410</t>
  </si>
  <si>
    <t>PL66b</t>
  </si>
  <si>
    <t>Mapping F30</t>
  </si>
  <si>
    <t>1011</t>
  </si>
  <si>
    <t>Datorii din operaţiuni cu instrumente derivate</t>
  </si>
  <si>
    <t>Increases / Depreciation during the year</t>
  </si>
  <si>
    <t>266</t>
  </si>
  <si>
    <t>Caption</t>
  </si>
</sst>
</file>

<file path=xl/styles.xml><?xml version="1.0" encoding="utf-8"?>
<styleSheet xmlns="http://schemas.openxmlformats.org/spreadsheetml/2006/main">
  <numFmts count="1">
    <numFmt numFmtId="164" formatCode="_(* #,##0_);_(* \(#,##0\);_(* &quot;-&quot;??_);_(@_)"/>
  </numFmts>
  <fonts count="36">
    <font>
      <name val="Calibri"/>
      <family val="2"/>
      <color theme="1"/>
      <sz val="9"/>
    </font>
    <font>
      <name val="Calibri"/>
      <family val="2"/>
      <color theme="1"/>
      <sz val="11"/>
      <scheme val="minor"/>
    </font>
    <font>
      <name val="Calibri"/>
      <family val="2"/>
      <color theme="1"/>
      <sz val="11"/>
      <scheme val="minor"/>
    </font>
    <font>
      <name val="Calibri"/>
      <family val="2"/>
      <b val="1"/>
      <color theme="1"/>
      <sz val="9"/>
    </font>
    <font>
      <name val="Calibri"/>
      <family val="2"/>
      <b val="1"/>
      <color rgb="FFFF0000"/>
      <sz val="9"/>
    </font>
    <font>
      <name val="Calibri"/>
      <family val="2"/>
      <b val="1"/>
      <i val="1"/>
      <color theme="1"/>
      <sz val="9"/>
      <u val="single"/>
    </font>
    <font>
      <name val="Tahoma"/>
      <family val="2"/>
      <b val="1"/>
      <color theme="1"/>
      <sz val="8"/>
    </font>
    <font>
      <name val="Arial"/>
      <family val="2"/>
      <sz val="10"/>
    </font>
    <font>
      <name val="Arial"/>
      <family val="2"/>
      <color theme="1"/>
      <sz val="10"/>
    </font>
    <font>
      <name val="Tahoma"/>
      <family val="2"/>
      <color theme="1"/>
      <sz val="8"/>
    </font>
    <font>
      <name val="Tahoma"/>
      <family val="2"/>
      <b val="1"/>
      <color indexed="8"/>
      <sz val="8"/>
    </font>
    <font>
      <name val="Tahoma"/>
      <family val="2"/>
      <color rgb="FFFF0000"/>
      <sz val="8"/>
    </font>
    <font>
      <name val="Arial"/>
      <family val="2"/>
      <color rgb="FF9C0006"/>
      <sz val="10"/>
    </font>
    <font>
      <name val="Tahoma"/>
      <family val="2"/>
      <color rgb="FF9C0006"/>
      <sz val="8"/>
    </font>
    <font>
      <name val="Tahoma"/>
      <family val="2"/>
      <i val="1"/>
      <color theme="1"/>
      <sz val="8"/>
    </font>
    <font>
      <name val="Arial"/>
      <family val="2"/>
      <b val="1"/>
      <color theme="1"/>
      <sz val="10"/>
    </font>
    <font>
      <name val="Arial"/>
      <family val="2"/>
      <color rgb="FFFF0000"/>
      <sz val="10"/>
    </font>
    <font>
      <name val="Calibri"/>
      <family val="2"/>
      <color rgb="FFFF0000"/>
      <sz val="9"/>
    </font>
    <font>
      <name val="Calibri"/>
      <family val="2"/>
      <b val="1"/>
      <color rgb="FF00B0F0"/>
      <sz val="9"/>
    </font>
    <font>
      <name val="Calibri"/>
      <family val="2"/>
      <color rgb="FF00B0F0"/>
      <sz val="9"/>
    </font>
    <font>
      <name val="Calibri"/>
      <family val="2"/>
      <i val="1"/>
      <color theme="1"/>
      <sz val="9"/>
    </font>
    <font>
      <name val="Calibri"/>
      <family val="2"/>
      <b val="1"/>
      <color theme="1"/>
      <sz val="9"/>
      <scheme val="minor"/>
    </font>
    <font>
      <name val="Calibri"/>
      <family val="2"/>
      <b val="1"/>
      <color rgb="FFFF0000"/>
      <sz val="9"/>
      <scheme val="minor"/>
    </font>
    <font>
      <name val="Calibri"/>
      <family val="2"/>
      <color rgb="FFFF0000"/>
      <sz val="9"/>
      <scheme val="minor"/>
    </font>
    <font>
      <name val="Calibri"/>
      <family val="2"/>
      <b val="1"/>
      <i val="1"/>
      <color theme="1"/>
      <sz val="15"/>
      <u val="single"/>
    </font>
    <font>
      <name val="Tahoma"/>
      <family val="2"/>
      <b val="1"/>
      <i val="1"/>
      <color theme="1"/>
      <sz val="9"/>
    </font>
    <font>
      <name val="Tahoma"/>
      <family val="2"/>
      <b val="1"/>
      <color theme="1"/>
      <sz val="9"/>
    </font>
    <font>
      <name val="Tahoma"/>
      <family val="2"/>
      <b val="1"/>
      <color rgb="FF0000FF"/>
      <sz val="9"/>
    </font>
    <font>
      <name val="Tahoma"/>
      <family val="2"/>
      <b val="1"/>
      <i val="1"/>
      <color rgb="FF0000FF"/>
      <sz val="9"/>
    </font>
    <font>
      <name val="Tahoma"/>
      <family val="2"/>
      <color theme="1"/>
      <sz val="9"/>
    </font>
    <font>
      <name val="Tahoma"/>
      <family val="2"/>
      <i val="1"/>
      <color rgb="FF0000FF"/>
      <sz val="9"/>
    </font>
    <font>
      <name val="Tahoma"/>
      <family val="2"/>
      <color rgb="FFFF0000"/>
      <sz val="9"/>
    </font>
    <font>
      <name val="Tahoma"/>
      <family val="2"/>
      <color rgb="FF000000"/>
      <sz val="9"/>
    </font>
    <font>
      <name val="Calibri"/>
      <family val="2"/>
      <color theme="1"/>
      <sz val="9"/>
      <scheme val="minor"/>
    </font>
    <font>
      <name val="Tahoma"/>
      <family val="2"/>
      <sz val="8"/>
    </font>
    <font>
      <name val="Arial"/>
      <family val="2"/>
      <b val="1"/>
      <sz val="10"/>
    </font>
  </fonts>
  <fills count="14">
    <fill>
      <patternFill/>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
        <bgColor indexed="64"/>
      </patternFill>
    </fill>
    <fill>
      <patternFill patternType="solid">
        <fgColor theme="0" tint="-0.1499984740745262"/>
        <bgColor indexed="64"/>
      </patternFill>
    </fill>
    <fill>
      <patternFill patternType="solid">
        <fgColor theme="0"/>
        <bgColor indexed="64"/>
      </patternFill>
    </fill>
    <fill>
      <patternFill patternType="solid">
        <fgColor theme="1"/>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0" tint="-0.0499893185216834"/>
        <bgColor indexed="64"/>
      </patternFill>
    </fill>
    <fill>
      <patternFill patternType="solid">
        <fgColor rgb="FFFF0000"/>
        <bgColor indexed="64"/>
      </patternFill>
    </fill>
    <fill>
      <patternFill patternType="solid">
        <fgColor theme="5" tint="0.5999938962981048"/>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2" fillId="0" borderId="0"/>
    <xf numFmtId="43" fontId="2" fillId="0" borderId="0"/>
    <xf numFmtId="43" fontId="2" fillId="0" borderId="0"/>
    <xf numFmtId="0" fontId="2" fillId="0" borderId="0"/>
  </cellStyleXfs>
  <cellXfs count="266">
    <xf numFmtId="0" fontId="0" fillId="0" borderId="0" pivotButton="0" quotePrefix="0" xfId="0"/>
    <xf numFmtId="0" fontId="3" fillId="3" borderId="0" pivotButton="0" quotePrefix="0" xfId="0"/>
    <xf numFmtId="0" fontId="3" fillId="3" borderId="1" applyAlignment="1" pivotButton="0" quotePrefix="0" xfId="0">
      <alignment horizontal="center"/>
    </xf>
    <xf numFmtId="0" fontId="3" fillId="0" borderId="0" pivotButton="0" quotePrefix="0" xfId="0"/>
    <xf numFmtId="0" fontId="0" fillId="0" borderId="2" pivotButton="0" quotePrefix="0" xfId="0"/>
    <xf numFmtId="41" fontId="0" fillId="0" borderId="3" pivotButton="0" quotePrefix="0" xfId="0"/>
    <xf numFmtId="0" fontId="0" fillId="0" borderId="4" pivotButton="0" quotePrefix="0" xfId="0"/>
    <xf numFmtId="41" fontId="0" fillId="0" borderId="2" pivotButton="0" quotePrefix="0" xfId="0"/>
    <xf numFmtId="0" fontId="0" fillId="0" borderId="5" pivotButton="0" quotePrefix="0" xfId="0"/>
    <xf numFmtId="41" fontId="0" fillId="0" borderId="0" pivotButton="0" quotePrefix="0" xfId="0"/>
    <xf numFmtId="0" fontId="0" fillId="0" borderId="6" pivotButton="0" quotePrefix="0" xfId="0"/>
    <xf numFmtId="41" fontId="0" fillId="0" borderId="5" pivotButton="0" quotePrefix="0" xfId="0"/>
    <xf numFmtId="0" fontId="0" fillId="0" borderId="7" pivotButton="0" quotePrefix="0" xfId="0"/>
    <xf numFmtId="41" fontId="0" fillId="0" borderId="8" pivotButton="0" quotePrefix="0" xfId="0"/>
    <xf numFmtId="0" fontId="0" fillId="0" borderId="9" pivotButton="0" quotePrefix="0" xfId="0"/>
    <xf numFmtId="41" fontId="0" fillId="0" borderId="7" pivotButton="0" quotePrefix="0" xfId="0"/>
    <xf numFmtId="0" fontId="3" fillId="0" borderId="1" pivotButton="0" quotePrefix="0" xfId="0"/>
    <xf numFmtId="0" fontId="3" fillId="0" borderId="1" applyAlignment="1" pivotButton="0" quotePrefix="0" xfId="0">
      <alignment horizontal="center"/>
    </xf>
    <xf numFmtId="0" fontId="3" fillId="0" borderId="0" applyAlignment="1" pivotButton="0" quotePrefix="0" xfId="0">
      <alignment horizontal="left"/>
    </xf>
    <xf numFmtId="0" fontId="4" fillId="0" borderId="10" pivotButton="0" quotePrefix="0" xfId="0"/>
    <xf numFmtId="41" fontId="4" fillId="0" borderId="10" pivotButton="0" quotePrefix="0" xfId="0"/>
    <xf numFmtId="0" fontId="0" fillId="0" borderId="11" pivotButton="0" quotePrefix="0" xfId="0"/>
    <xf numFmtId="41" fontId="0" fillId="0" borderId="11" pivotButton="0" quotePrefix="0" xfId="0"/>
    <xf numFmtId="0" fontId="0" fillId="0" borderId="1" pivotButton="0" quotePrefix="0" xfId="0"/>
    <xf numFmtId="41" fontId="0" fillId="0" borderId="1" pivotButton="0" quotePrefix="0" xfId="0"/>
    <xf numFmtId="41" fontId="3" fillId="0" borderId="0" pivotButton="0" quotePrefix="0" xfId="0"/>
    <xf numFmtId="0" fontId="4" fillId="0" borderId="0" pivotButton="0" quotePrefix="0" xfId="0"/>
    <xf numFmtId="41" fontId="4" fillId="0" borderId="0" pivotButton="0" quotePrefix="0" xfId="0"/>
    <xf numFmtId="0" fontId="3" fillId="4" borderId="1" applyAlignment="1" pivotButton="0" quotePrefix="0" xfId="0">
      <alignment horizontal="center" wrapText="1"/>
    </xf>
    <xf numFmtId="0" fontId="3" fillId="5" borderId="1" applyAlignment="1" pivotButton="0" quotePrefix="0" xfId="0">
      <alignment horizontal="center"/>
    </xf>
    <xf numFmtId="0" fontId="4" fillId="5" borderId="1" applyAlignment="1" pivotButton="0" quotePrefix="0" xfId="0">
      <alignment horizontal="center"/>
    </xf>
    <xf numFmtId="0" fontId="3" fillId="5" borderId="0" applyAlignment="1" pivotButton="0" quotePrefix="0" xfId="0">
      <alignment horizontal="center"/>
    </xf>
    <xf numFmtId="9" fontId="0" fillId="0" borderId="0" pivotButton="0" quotePrefix="0" xfId="2"/>
    <xf numFmtId="0" fontId="5" fillId="0" borderId="0" pivotButton="0" quotePrefix="0" xfId="0"/>
    <xf numFmtId="0" fontId="3" fillId="3" borderId="1" applyAlignment="1" pivotButton="0" quotePrefix="0" xfId="0">
      <alignment horizontal="center" vertical="center"/>
    </xf>
    <xf numFmtId="0" fontId="3" fillId="4" borderId="1" applyAlignment="1" pivotButton="0" quotePrefix="0" xfId="0">
      <alignment horizontal="center" vertical="center" wrapText="1"/>
    </xf>
    <xf numFmtId="0" fontId="3" fillId="5" borderId="1" applyAlignment="1" pivotButton="0" quotePrefix="0" xfId="0">
      <alignment horizontal="center" vertical="center"/>
    </xf>
    <xf numFmtId="0" fontId="4" fillId="5" borderId="1" applyAlignment="1" pivotButton="0" quotePrefix="0" xfId="0">
      <alignment vertical="center"/>
    </xf>
    <xf numFmtId="0" fontId="4" fillId="0" borderId="0" applyAlignment="1" pivotButton="0" quotePrefix="0" xfId="0">
      <alignment horizontal="center"/>
    </xf>
    <xf numFmtId="0" fontId="3" fillId="0" borderId="12" applyAlignment="1" pivotButton="0" quotePrefix="0" xfId="0">
      <alignment horizontal="center" vertical="center"/>
    </xf>
    <xf numFmtId="0" fontId="3" fillId="0" borderId="12" applyAlignment="1" pivotButton="0" quotePrefix="0" xfId="0">
      <alignment horizontal="center" vertical="center" wrapText="1"/>
    </xf>
    <xf numFmtId="0" fontId="3" fillId="5" borderId="0" applyAlignment="1" pivotButton="0" quotePrefix="0" xfId="0">
      <alignment horizontal="center" vertical="center"/>
    </xf>
    <xf numFmtId="0" fontId="3" fillId="0" borderId="13" pivotButton="0" quotePrefix="0" xfId="0"/>
    <xf numFmtId="0" fontId="0" fillId="0" borderId="13" pivotButton="0" quotePrefix="0" xfId="0"/>
    <xf numFmtId="0" fontId="3" fillId="0" borderId="14" pivotButton="0" quotePrefix="0" xfId="0"/>
    <xf numFmtId="0" fontId="0" fillId="0" borderId="14" pivotButton="0" quotePrefix="0" xfId="0"/>
    <xf numFmtId="41" fontId="0" fillId="0" borderId="14" pivotButton="0" quotePrefix="0" xfId="0"/>
    <xf numFmtId="0" fontId="3" fillId="6" borderId="14" pivotButton="0" quotePrefix="0" xfId="0"/>
    <xf numFmtId="41" fontId="3" fillId="6" borderId="14" pivotButton="0" quotePrefix="0" xfId="0"/>
    <xf numFmtId="0" fontId="0" fillId="4" borderId="14" pivotButton="0" quotePrefix="0" xfId="0"/>
    <xf numFmtId="0" fontId="3" fillId="0" borderId="2" pivotButton="0" quotePrefix="0" xfId="0"/>
    <xf numFmtId="0" fontId="3" fillId="0" borderId="3" pivotButton="0" quotePrefix="0" xfId="0"/>
    <xf numFmtId="41" fontId="3" fillId="0" borderId="3" pivotButton="0" quotePrefix="0" xfId="0"/>
    <xf numFmtId="41" fontId="3" fillId="0" borderId="4" pivotButton="0" quotePrefix="0" xfId="0"/>
    <xf numFmtId="0" fontId="3" fillId="0" borderId="15" pivotButton="0" quotePrefix="0" xfId="0"/>
    <xf numFmtId="41" fontId="3" fillId="0" borderId="1" pivotButton="0" quotePrefix="0" xfId="0"/>
    <xf numFmtId="41" fontId="3" fillId="0" borderId="16" pivotButton="0" quotePrefix="0" xfId="0"/>
    <xf numFmtId="0" fontId="4" fillId="0" borderId="7" pivotButton="0" quotePrefix="0" xfId="0"/>
    <xf numFmtId="0" fontId="3" fillId="0" borderId="8" pivotButton="0" quotePrefix="0" xfId="0"/>
    <xf numFmtId="41" fontId="4" fillId="0" borderId="8" pivotButton="0" quotePrefix="0" xfId="0"/>
    <xf numFmtId="41" fontId="4" fillId="0" borderId="9" pivotButton="0" quotePrefix="0" xfId="0"/>
    <xf numFmtId="41" fontId="4" fillId="0" borderId="0" applyAlignment="1" pivotButton="0" quotePrefix="0" xfId="0">
      <alignment horizontal="right"/>
    </xf>
    <xf numFmtId="0" fontId="3" fillId="0" borderId="12" applyAlignment="1" pivotButton="0" quotePrefix="0" xfId="0">
      <alignment horizontal="center"/>
    </xf>
    <xf numFmtId="0" fontId="3" fillId="6" borderId="13" pivotButton="0" quotePrefix="0" xfId="0"/>
    <xf numFmtId="41" fontId="3" fillId="6" borderId="13" pivotButton="0" quotePrefix="0" xfId="0"/>
    <xf numFmtId="0" fontId="0" fillId="0" borderId="14" applyAlignment="1" pivotButton="0" quotePrefix="0" xfId="0">
      <alignment wrapText="1"/>
    </xf>
    <xf numFmtId="0" fontId="3" fillId="6" borderId="14" applyAlignment="1" pivotButton="0" quotePrefix="0" xfId="0">
      <alignment wrapText="1"/>
    </xf>
    <xf numFmtId="0" fontId="6" fillId="7" borderId="0" applyAlignment="1" pivotButton="0" quotePrefix="0" xfId="3">
      <alignment horizontal="left" vertical="center" wrapText="1"/>
    </xf>
    <xf numFmtId="0" fontId="7" fillId="0" borderId="0" pivotButton="0" quotePrefix="0" xfId="4"/>
    <xf numFmtId="0" fontId="7" fillId="8" borderId="0" pivotButton="0" quotePrefix="0" xfId="4"/>
    <xf numFmtId="0" fontId="3" fillId="0" borderId="0" applyAlignment="1" pivotButton="0" quotePrefix="0" xfId="0">
      <alignment horizontal="center"/>
    </xf>
    <xf numFmtId="0" fontId="3" fillId="0" borderId="14" applyAlignment="1" pivotButton="0" quotePrefix="0" xfId="0">
      <alignment horizontal="center"/>
    </xf>
    <xf numFmtId="41" fontId="7" fillId="0" borderId="0" pivotButton="0" quotePrefix="0" xfId="4"/>
    <xf numFmtId="0" fontId="7" fillId="0" borderId="0" applyAlignment="1" pivotButton="0" quotePrefix="0" xfId="4">
      <alignment horizontal="left" wrapText="1"/>
    </xf>
    <xf numFmtId="0" fontId="7" fillId="0" borderId="0" applyAlignment="1" pivotButton="0" quotePrefix="0" xfId="4">
      <alignment horizontal="center" vertical="top"/>
    </xf>
    <xf numFmtId="0" fontId="7" fillId="0" borderId="0" applyAlignment="1" pivotButton="0" quotePrefix="0" xfId="4">
      <alignment horizontal="left" vertical="top" indent="3"/>
    </xf>
    <xf numFmtId="41" fontId="3" fillId="0" borderId="14" pivotButton="0" quotePrefix="0" xfId="0"/>
    <xf numFmtId="0" fontId="7" fillId="0" borderId="0" applyAlignment="1" pivotButton="0" quotePrefix="0" xfId="4">
      <alignment horizontal="justify" vertical="top" wrapText="1"/>
    </xf>
    <xf numFmtId="0" fontId="7" fillId="0" borderId="0" applyAlignment="1" pivotButton="0" quotePrefix="0" xfId="4">
      <alignment horizontal="left" vertical="top"/>
    </xf>
    <xf numFmtId="0" fontId="7" fillId="0" borderId="0" applyAlignment="1" pivotButton="0" quotePrefix="0" xfId="4">
      <alignment horizontal="left" vertical="top" indent="1"/>
    </xf>
    <xf numFmtId="0" fontId="7" fillId="0" borderId="0" applyAlignment="1" pivotButton="0" quotePrefix="0" xfId="4">
      <alignment horizontal="justify" wrapText="1"/>
    </xf>
    <xf numFmtId="0" fontId="7" fillId="0" borderId="0" applyAlignment="1" pivotButton="0" quotePrefix="0" xfId="4">
      <alignment horizontal="center" vertical="center"/>
    </xf>
    <xf numFmtId="0" fontId="7" fillId="0" borderId="0" applyAlignment="1" pivotButton="0" quotePrefix="0" xfId="4">
      <alignment horizontal="left" wrapText="1" indent="3"/>
    </xf>
    <xf numFmtId="0" fontId="7" fillId="0" borderId="0" applyAlignment="1" pivotButton="0" quotePrefix="0" xfId="4">
      <alignment horizontal="left" vertical="top" indent="8"/>
    </xf>
    <xf numFmtId="41" fontId="7" fillId="0" borderId="0" applyAlignment="1" pivotButton="0" quotePrefix="0" xfId="4">
      <alignment horizontal="left" vertical="top" indent="8"/>
    </xf>
    <xf numFmtId="0" fontId="7" fillId="0" borderId="0" applyAlignment="1" pivotButton="0" quotePrefix="0" xfId="4">
      <alignment horizontal="center"/>
    </xf>
    <xf numFmtId="0" fontId="7" fillId="0" borderId="0" applyAlignment="1" pivotButton="0" quotePrefix="0" xfId="4">
      <alignment horizontal="left"/>
    </xf>
    <xf numFmtId="41" fontId="7" fillId="0" borderId="17" applyAlignment="1" pivotButton="0" quotePrefix="0" xfId="4">
      <alignment horizontal="left" vertical="top" indent="1"/>
    </xf>
    <xf numFmtId="41" fontId="7" fillId="0" borderId="0" applyAlignment="1" pivotButton="0" quotePrefix="0" xfId="4">
      <alignment horizontal="left" vertical="top" indent="1"/>
    </xf>
    <xf numFmtId="0" fontId="7" fillId="0" borderId="0" applyAlignment="1" pivotButton="0" quotePrefix="0" xfId="4">
      <alignment horizontal="justify" vertical="top"/>
    </xf>
    <xf numFmtId="0" fontId="7" fillId="0" borderId="5" applyAlignment="1" pivotButton="0" quotePrefix="0" xfId="4">
      <alignment horizontal="justify" vertical="top"/>
    </xf>
    <xf numFmtId="0" fontId="7" fillId="0" borderId="0" applyAlignment="1" pivotButton="0" quotePrefix="0" xfId="4">
      <alignment horizontal="left" vertical="top" indent="4"/>
    </xf>
    <xf numFmtId="0" fontId="7" fillId="0" borderId="0" applyAlignment="1" pivotButton="0" quotePrefix="0" xfId="4">
      <alignment horizontal="left" vertical="center"/>
    </xf>
    <xf numFmtId="0" fontId="6" fillId="0" borderId="0" applyAlignment="1" pivotButton="0" quotePrefix="0" xfId="5">
      <alignment horizontal="left" wrapText="1"/>
    </xf>
    <xf numFmtId="0" fontId="6" fillId="0" borderId="0" applyAlignment="1" pivotButton="0" quotePrefix="0" xfId="5">
      <alignment horizontal="center" wrapText="1"/>
    </xf>
    <xf numFmtId="0" fontId="6" fillId="0" borderId="0" applyAlignment="1" pivotButton="0" quotePrefix="0" xfId="5">
      <alignment wrapText="1"/>
    </xf>
    <xf numFmtId="0" fontId="9" fillId="0" borderId="0" pivotButton="0" quotePrefix="0" xfId="5"/>
    <xf numFmtId="0" fontId="10" fillId="0" borderId="0" pivotButton="0" quotePrefix="0" xfId="5"/>
    <xf numFmtId="41" fontId="9" fillId="0" borderId="0" pivotButton="0" quotePrefix="0" xfId="5"/>
    <xf numFmtId="0" fontId="11" fillId="0" borderId="0" pivotButton="0" quotePrefix="0" xfId="5"/>
    <xf numFmtId="41" fontId="10" fillId="0" borderId="0" pivotButton="0" quotePrefix="0" xfId="5"/>
    <xf numFmtId="0" fontId="9" fillId="0" borderId="0" applyAlignment="1" pivotButton="0" quotePrefix="0" xfId="5">
      <alignment wrapText="1"/>
    </xf>
    <xf numFmtId="0" fontId="9" fillId="0" borderId="0" applyAlignment="1" pivotButton="0" quotePrefix="0" xfId="5">
      <alignment horizontal="center" wrapText="1"/>
    </xf>
    <xf numFmtId="0" fontId="9" fillId="0" borderId="0" applyAlignment="1" pivotButton="0" quotePrefix="0" xfId="5">
      <alignment horizontal="left" wrapText="1"/>
    </xf>
    <xf numFmtId="0" fontId="6" fillId="0" borderId="0" pivotButton="0" quotePrefix="0" xfId="5"/>
    <xf numFmtId="0" fontId="9" fillId="0" borderId="0" applyAlignment="1" pivotButton="0" quotePrefix="0" xfId="5">
      <alignment horizontal="left"/>
    </xf>
    <xf numFmtId="0" fontId="13" fillId="0" borderId="0" pivotButton="0" quotePrefix="0" xfId="6"/>
    <xf numFmtId="0" fontId="14" fillId="0" borderId="0" pivotButton="0" quotePrefix="0" xfId="5"/>
    <xf numFmtId="0" fontId="15" fillId="0" borderId="0" applyAlignment="1" pivotButton="0" quotePrefix="0" xfId="7">
      <alignment horizontal="left" vertical="center" wrapText="1"/>
    </xf>
    <xf numFmtId="0" fontId="8" fillId="0" borderId="0" pivotButton="0" quotePrefix="0" xfId="7"/>
    <xf numFmtId="0" fontId="8" fillId="0" borderId="0" applyAlignment="1" pivotButton="0" quotePrefix="0" xfId="7">
      <alignment horizontal="left"/>
    </xf>
    <xf numFmtId="0" fontId="16" fillId="0" borderId="0" applyAlignment="1" pivotButton="0" quotePrefix="0" xfId="7">
      <alignment horizontal="left"/>
    </xf>
    <xf numFmtId="0" fontId="15" fillId="0" borderId="0" applyAlignment="1" pivotButton="0" quotePrefix="0" xfId="7">
      <alignment horizontal="left"/>
    </xf>
    <xf numFmtId="0" fontId="8" fillId="0" borderId="14" pivotButton="0" quotePrefix="0" xfId="7"/>
    <xf numFmtId="0" fontId="16" fillId="0" borderId="14" pivotButton="0" quotePrefix="0" xfId="7"/>
    <xf numFmtId="0" fontId="8" fillId="0" borderId="14" applyAlignment="1" pivotButton="0" quotePrefix="0" xfId="7">
      <alignment horizontal="left"/>
    </xf>
    <xf numFmtId="0" fontId="16" fillId="0" borderId="0" pivotButton="0" quotePrefix="0" xfId="7"/>
    <xf numFmtId="0" fontId="15" fillId="0" borderId="0" applyAlignment="1" pivotButton="0" quotePrefix="0" xfId="7">
      <alignment vertical="center" wrapText="1"/>
    </xf>
    <xf numFmtId="0" fontId="7" fillId="0" borderId="0" pivotButton="0" quotePrefix="0" xfId="8"/>
    <xf numFmtId="0" fontId="0" fillId="0" borderId="0" pivotButton="0" quotePrefix="0" xfId="8"/>
    <xf numFmtId="0" fontId="0" fillId="6" borderId="0" pivotButton="0" quotePrefix="0" xfId="8"/>
    <xf numFmtId="0" fontId="3" fillId="0" borderId="18" pivotButton="0" quotePrefix="0" xfId="0"/>
    <xf numFmtId="0" fontId="3" fillId="0" borderId="19" pivotButton="0" quotePrefix="0" xfId="0"/>
    <xf numFmtId="0" fontId="3" fillId="0" borderId="19" applyAlignment="1" pivotButton="0" quotePrefix="0" xfId="0">
      <alignment horizontal="right"/>
    </xf>
    <xf numFmtId="0" fontId="3" fillId="0" borderId="20" pivotButton="0" quotePrefix="0" xfId="0"/>
    <xf numFmtId="0" fontId="0" fillId="0" borderId="21" pivotButton="0" quotePrefix="0" xfId="0"/>
    <xf numFmtId="0" fontId="0" fillId="0" borderId="22" pivotButton="0" quotePrefix="0" xfId="0"/>
    <xf numFmtId="0" fontId="3" fillId="0" borderId="22" pivotButton="0" quotePrefix="0" xfId="0"/>
    <xf numFmtId="0" fontId="3" fillId="0" borderId="22" applyAlignment="1" pivotButton="0" quotePrefix="0" xfId="0">
      <alignment wrapText="1"/>
    </xf>
    <xf numFmtId="0" fontId="3" fillId="0" borderId="23" pivotButton="0" quotePrefix="0" xfId="0"/>
    <xf numFmtId="41" fontId="17" fillId="0" borderId="0" pivotButton="0" quotePrefix="0" xfId="0"/>
    <xf numFmtId="0" fontId="3" fillId="0" borderId="14" applyAlignment="1" pivotButton="0" quotePrefix="0" xfId="0">
      <alignment horizontal="center" vertical="center"/>
    </xf>
    <xf numFmtId="0" fontId="0" fillId="0" borderId="0" applyAlignment="1" pivotButton="0" quotePrefix="0" xfId="0">
      <alignment horizontal="center"/>
    </xf>
    <xf numFmtId="41" fontId="0" fillId="4" borderId="14" pivotButton="0" quotePrefix="0" xfId="0"/>
    <xf numFmtId="41" fontId="3" fillId="4" borderId="14" pivotButton="0" quotePrefix="0" xfId="0"/>
    <xf numFmtId="41" fontId="3" fillId="0" borderId="0" pivotButton="0" quotePrefix="0" xfId="1"/>
    <xf numFmtId="0" fontId="3" fillId="0" borderId="14" applyAlignment="1" pivotButton="0" quotePrefix="0" xfId="0">
      <alignment horizontal="center" vertical="center" wrapText="1"/>
    </xf>
    <xf numFmtId="0" fontId="3" fillId="0" borderId="0" applyAlignment="1" pivotButton="0" quotePrefix="0" xfId="0">
      <alignment horizontal="center" vertical="center" wrapText="1"/>
    </xf>
    <xf numFmtId="0" fontId="18" fillId="0" borderId="0" applyAlignment="1" pivotButton="0" quotePrefix="0" xfId="0">
      <alignment horizontal="center" vertical="center" wrapText="1"/>
    </xf>
    <xf numFmtId="0" fontId="4" fillId="0" borderId="0" applyAlignment="1" pivotButton="0" quotePrefix="0" xfId="0">
      <alignment horizontal="center" vertical="center" wrapText="1"/>
    </xf>
    <xf numFmtId="41" fontId="19" fillId="0" borderId="0" pivotButton="0" quotePrefix="0" xfId="0"/>
    <xf numFmtId="0" fontId="3" fillId="0" borderId="24" pivotButton="0" quotePrefix="0" xfId="0"/>
    <xf numFmtId="41" fontId="3" fillId="0" borderId="25" pivotButton="0" quotePrefix="0" xfId="0"/>
    <xf numFmtId="41" fontId="3" fillId="0" borderId="26" pivotButton="0" quotePrefix="0" xfId="0"/>
    <xf numFmtId="0" fontId="0" fillId="0" borderId="18" pivotButton="0" quotePrefix="0" xfId="0"/>
    <xf numFmtId="0" fontId="0" fillId="0" borderId="19" pivotButton="0" quotePrefix="0" xfId="0"/>
    <xf numFmtId="0" fontId="0" fillId="0" borderId="20" pivotButton="0" quotePrefix="0" xfId="0"/>
    <xf numFmtId="0" fontId="3" fillId="0" borderId="14" applyAlignment="1" pivotButton="0" quotePrefix="0" xfId="0">
      <alignment vertical="center"/>
    </xf>
    <xf numFmtId="0" fontId="3" fillId="4" borderId="14" pivotButton="0" quotePrefix="0" xfId="0"/>
    <xf numFmtId="0" fontId="3" fillId="0" borderId="28" applyAlignment="1" pivotButton="0" quotePrefix="0" xfId="0">
      <alignment horizontal="center" vertical="center" wrapText="1"/>
    </xf>
    <xf numFmtId="0" fontId="3" fillId="0" borderId="28" applyAlignment="1" pivotButton="0" quotePrefix="0" xfId="0">
      <alignment horizontal="center" vertical="center"/>
    </xf>
    <xf numFmtId="0" fontId="3" fillId="0" borderId="13" applyAlignment="1" pivotButton="0" quotePrefix="0" xfId="0">
      <alignment horizontal="center" vertical="center" wrapText="1"/>
    </xf>
    <xf numFmtId="0" fontId="3" fillId="0" borderId="13" applyAlignment="1" pivotButton="0" quotePrefix="0" xfId="0">
      <alignment horizontal="center" vertical="center"/>
    </xf>
    <xf numFmtId="0" fontId="3" fillId="7" borderId="14" applyAlignment="1" pivotButton="0" quotePrefix="0" xfId="0">
      <alignment horizontal="center" vertical="center"/>
    </xf>
    <xf numFmtId="0" fontId="3" fillId="0" borderId="20" applyAlignment="1" pivotButton="0" quotePrefix="0" xfId="0">
      <alignment horizontal="center" vertical="center" wrapText="1"/>
    </xf>
    <xf numFmtId="0" fontId="3" fillId="0" borderId="29" applyAlignment="1" pivotButton="0" quotePrefix="0" xfId="0">
      <alignment horizontal="center" vertical="center" wrapText="1"/>
    </xf>
    <xf numFmtId="0" fontId="3" fillId="7" borderId="14" applyAlignment="1" pivotButton="0" quotePrefix="0" xfId="0">
      <alignment vertical="center"/>
    </xf>
    <xf numFmtId="0" fontId="3" fillId="0" borderId="23" applyAlignment="1" pivotButton="0" quotePrefix="0" xfId="0">
      <alignment horizontal="center" vertical="center" wrapText="1"/>
    </xf>
    <xf numFmtId="41" fontId="17" fillId="9" borderId="0" pivotButton="0" quotePrefix="0" xfId="0"/>
    <xf numFmtId="0" fontId="4" fillId="0" borderId="0" applyAlignment="1" pivotButton="0" quotePrefix="0" xfId="0">
      <alignment horizontal="right"/>
    </xf>
    <xf numFmtId="0" fontId="4" fillId="4" borderId="0" applyAlignment="1" pivotButton="0" quotePrefix="0" xfId="0">
      <alignment horizontal="center"/>
    </xf>
    <xf numFmtId="0" fontId="20" fillId="0" borderId="14" pivotButton="0" quotePrefix="0" xfId="0"/>
    <xf numFmtId="41" fontId="0" fillId="10" borderId="0" pivotButton="0" quotePrefix="0" xfId="0"/>
    <xf numFmtId="41" fontId="0" fillId="0" borderId="6" pivotButton="0" quotePrefix="0" xfId="0"/>
    <xf numFmtId="41" fontId="0" fillId="0" borderId="9" pivotButton="0" quotePrefix="0" xfId="0"/>
    <xf numFmtId="0" fontId="3" fillId="0" borderId="30" applyAlignment="1" pivotButton="0" quotePrefix="0" xfId="0">
      <alignment horizontal="center"/>
    </xf>
    <xf numFmtId="0" fontId="0" fillId="0" borderId="14" applyAlignment="1" pivotButton="0" quotePrefix="0" xfId="0">
      <alignment horizontal="right"/>
    </xf>
    <xf numFmtId="0" fontId="3" fillId="0" borderId="14" applyAlignment="1" pivotButton="0" quotePrefix="0" xfId="0">
      <alignment horizontal="center" wrapText="1"/>
    </xf>
    <xf numFmtId="0" fontId="18" fillId="0" borderId="0" applyAlignment="1" pivotButton="0" quotePrefix="0" xfId="0">
      <alignment horizontal="center"/>
    </xf>
    <xf numFmtId="0" fontId="0" fillId="4" borderId="0" pivotButton="0" quotePrefix="0" xfId="0"/>
    <xf numFmtId="41" fontId="18" fillId="0" borderId="0" pivotButton="0" quotePrefix="0" xfId="0"/>
    <xf numFmtId="0" fontId="3" fillId="0" borderId="14" applyAlignment="1" pivotButton="0" quotePrefix="0" xfId="0">
      <alignment wrapText="1"/>
    </xf>
    <xf numFmtId="0" fontId="3" fillId="0" borderId="30" applyAlignment="1" pivotButton="0" quotePrefix="0" xfId="0">
      <alignment horizontal="left"/>
    </xf>
    <xf numFmtId="0" fontId="0" fillId="0" borderId="31" pivotButton="0" quotePrefix="0" xfId="0"/>
    <xf numFmtId="0" fontId="3" fillId="0" borderId="30" applyAlignment="1" pivotButton="0" quotePrefix="0" xfId="0">
      <alignment horizontal="center" vertical="center"/>
    </xf>
    <xf numFmtId="0" fontId="3" fillId="0" borderId="31" applyAlignment="1" pivotButton="0" quotePrefix="0" xfId="0">
      <alignment horizontal="center" vertical="center"/>
    </xf>
    <xf numFmtId="0" fontId="3" fillId="0" borderId="18" applyAlignment="1" pivotButton="0" quotePrefix="0" xfId="0">
      <alignment horizontal="center" vertical="center"/>
    </xf>
    <xf numFmtId="0" fontId="3" fillId="0" borderId="19" applyAlignment="1" pivotButton="0" quotePrefix="0" xfId="0">
      <alignment horizontal="center" vertical="center"/>
    </xf>
    <xf numFmtId="0" fontId="3" fillId="0" borderId="20" applyAlignment="1" pivotButton="0" quotePrefix="0" xfId="0">
      <alignment horizontal="center" vertical="center"/>
    </xf>
    <xf numFmtId="0" fontId="3" fillId="0" borderId="21" applyAlignment="1" pivotButton="0" quotePrefix="0" xfId="0">
      <alignment horizontal="center" vertical="center"/>
    </xf>
    <xf numFmtId="0" fontId="3" fillId="0" borderId="22" applyAlignment="1" pivotButton="0" quotePrefix="0" xfId="0">
      <alignment horizontal="center" vertical="center"/>
    </xf>
    <xf numFmtId="0" fontId="3" fillId="0" borderId="23" applyAlignment="1" pivotButton="0" quotePrefix="0" xfId="0">
      <alignment horizontal="center" vertical="center"/>
    </xf>
    <xf numFmtId="0" fontId="3" fillId="0" borderId="27" applyAlignment="1" pivotButton="0" quotePrefix="0" xfId="0">
      <alignment horizontal="center" vertical="center"/>
    </xf>
    <xf numFmtId="0" fontId="3" fillId="0" borderId="17" applyAlignment="1" pivotButton="0" quotePrefix="0" xfId="0">
      <alignment horizontal="center" vertical="center"/>
    </xf>
    <xf numFmtId="0" fontId="3" fillId="0" borderId="14" applyAlignment="1" pivotButton="0" quotePrefix="0" xfId="0">
      <alignment horizontal="right" vertical="center"/>
    </xf>
    <xf numFmtId="0" fontId="3" fillId="0" borderId="14" applyAlignment="1" pivotButton="0" quotePrefix="0" xfId="0">
      <alignment horizontal="left" vertical="center"/>
    </xf>
    <xf numFmtId="0" fontId="3" fillId="0" borderId="33" pivotButton="0" quotePrefix="0" xfId="0"/>
    <xf numFmtId="41" fontId="0" fillId="0" borderId="33" pivotButton="0" quotePrefix="0" xfId="0"/>
    <xf numFmtId="0" fontId="3" fillId="0" borderId="31" applyAlignment="1" pivotButton="0" quotePrefix="0" xfId="0">
      <alignment horizontal="center"/>
    </xf>
    <xf numFmtId="0" fontId="3" fillId="0" borderId="28" applyAlignment="1" pivotButton="0" quotePrefix="0" xfId="0">
      <alignment horizontal="center"/>
    </xf>
    <xf numFmtId="0" fontId="0" fillId="4" borderId="13" pivotButton="0" quotePrefix="0" xfId="0"/>
    <xf numFmtId="0" fontId="3" fillId="0" borderId="13" applyAlignment="1" pivotButton="0" quotePrefix="0" xfId="0">
      <alignment horizontal="center"/>
    </xf>
    <xf numFmtId="0" fontId="3" fillId="0" borderId="27" applyAlignment="1" pivotButton="0" quotePrefix="0" xfId="0">
      <alignment horizontal="center"/>
    </xf>
    <xf numFmtId="0" fontId="3" fillId="0" borderId="32" applyAlignment="1" pivotButton="0" quotePrefix="0" xfId="0">
      <alignment horizontal="center"/>
    </xf>
    <xf numFmtId="0" fontId="3" fillId="0" borderId="18" applyAlignment="1" pivotButton="0" quotePrefix="0" xfId="0">
      <alignment horizontal="center"/>
    </xf>
    <xf numFmtId="0" fontId="3" fillId="0" borderId="20" applyAlignment="1" pivotButton="0" quotePrefix="0" xfId="0">
      <alignment horizontal="center"/>
    </xf>
    <xf numFmtId="0" fontId="3" fillId="0" borderId="23" applyAlignment="1" pivotButton="0" quotePrefix="0" xfId="0">
      <alignment horizontal="center"/>
    </xf>
    <xf numFmtId="41" fontId="0" fillId="0" borderId="13" pivotButton="0" quotePrefix="0" xfId="0"/>
    <xf numFmtId="0" fontId="3" fillId="7" borderId="31" applyAlignment="1" pivotButton="0" quotePrefix="0" xfId="0">
      <alignment horizontal="center" vertical="center"/>
    </xf>
    <xf numFmtId="0" fontId="3" fillId="7" borderId="31" applyAlignment="1" pivotButton="0" quotePrefix="0" xfId="0">
      <alignment vertical="center"/>
    </xf>
    <xf numFmtId="0" fontId="3" fillId="0" borderId="27" applyAlignment="1" pivotButton="0" quotePrefix="0" xfId="0">
      <alignment horizontal="center" vertical="center" wrapText="1"/>
    </xf>
    <xf numFmtId="0" fontId="21" fillId="0" borderId="33" pivotButton="0" quotePrefix="0" xfId="5"/>
    <xf numFmtId="0" fontId="22" fillId="0" borderId="0" pivotButton="0" quotePrefix="0" xfId="5"/>
    <xf numFmtId="41" fontId="23" fillId="0" borderId="0" pivotButton="0" quotePrefix="0" xfId="5"/>
    <xf numFmtId="0" fontId="3" fillId="0" borderId="14" applyAlignment="1" pivotButton="0" quotePrefix="0" xfId="0">
      <alignment horizontal="right"/>
    </xf>
    <xf numFmtId="0" fontId="0" fillId="7" borderId="14" pivotButton="0" quotePrefix="0" xfId="0"/>
    <xf numFmtId="41" fontId="0" fillId="7" borderId="14" pivotButton="0" quotePrefix="0" xfId="0"/>
    <xf numFmtId="0" fontId="3" fillId="0" borderId="1" applyAlignment="1" pivotButton="0" quotePrefix="0" xfId="0">
      <alignment horizontal="center" vertical="center"/>
    </xf>
    <xf numFmtId="0" fontId="3" fillId="0" borderId="1" applyAlignment="1" pivotButton="0" quotePrefix="0" xfId="0">
      <alignment horizontal="center" vertical="center" wrapText="1"/>
    </xf>
    <xf numFmtId="0" fontId="5" fillId="6" borderId="0" pivotButton="0" quotePrefix="0" xfId="0"/>
    <xf numFmtId="0" fontId="24" fillId="0" borderId="0" pivotButton="0" quotePrefix="0" xfId="0"/>
    <xf numFmtId="0" fontId="6" fillId="4" borderId="0" applyAlignment="1" pivotButton="0" quotePrefix="0" xfId="5">
      <alignment wrapText="1"/>
    </xf>
    <xf numFmtId="0" fontId="9" fillId="11" borderId="0" pivotButton="0" quotePrefix="0" xfId="5"/>
    <xf numFmtId="0" fontId="25" fillId="0" borderId="0" applyAlignment="1" pivotButton="0" quotePrefix="0" xfId="3">
      <alignment vertical="center"/>
    </xf>
    <xf numFmtId="0" fontId="27" fillId="0" borderId="0" applyAlignment="1" pivotButton="0" quotePrefix="0" xfId="3">
      <alignment vertical="center"/>
    </xf>
    <xf numFmtId="0" fontId="28" fillId="0" borderId="0" applyAlignment="1" pivotButton="0" quotePrefix="0" xfId="3">
      <alignment horizontal="left" vertical="center"/>
    </xf>
    <xf numFmtId="0" fontId="26" fillId="0" borderId="0" applyAlignment="1" pivotButton="0" quotePrefix="0" xfId="3">
      <alignment horizontal="left" vertical="center"/>
    </xf>
    <xf numFmtId="0" fontId="26" fillId="0" borderId="34" applyAlignment="1" pivotButton="0" quotePrefix="0" xfId="3">
      <alignment vertical="center" wrapText="1"/>
    </xf>
    <xf numFmtId="0" fontId="26" fillId="0" borderId="4" applyAlignment="1" pivotButton="0" quotePrefix="0" xfId="3">
      <alignment vertical="center" wrapText="1"/>
    </xf>
    <xf numFmtId="0" fontId="28" fillId="0" borderId="35" applyAlignment="1" pivotButton="0" quotePrefix="0" xfId="3">
      <alignment vertical="center" wrapText="1"/>
    </xf>
    <xf numFmtId="0" fontId="28" fillId="0" borderId="9" applyAlignment="1" pivotButton="0" quotePrefix="0" xfId="3">
      <alignment vertical="center" wrapText="1"/>
    </xf>
    <xf numFmtId="0" fontId="26" fillId="6" borderId="35" applyAlignment="1" pivotButton="0" quotePrefix="0" xfId="3">
      <alignment vertical="center" wrapText="1"/>
    </xf>
    <xf numFmtId="0" fontId="26" fillId="6" borderId="9" applyAlignment="1" pivotButton="0" quotePrefix="0" xfId="3">
      <alignment vertical="center" wrapText="1"/>
    </xf>
    <xf numFmtId="0" fontId="29" fillId="6" borderId="35" applyAlignment="1" pivotButton="0" quotePrefix="0" xfId="3">
      <alignment vertical="center" wrapText="1"/>
    </xf>
    <xf numFmtId="0" fontId="29" fillId="6" borderId="9" applyAlignment="1" pivotButton="0" quotePrefix="0" xfId="3">
      <alignment vertical="center" wrapText="1"/>
    </xf>
    <xf numFmtId="0" fontId="30" fillId="6" borderId="9" applyAlignment="1" pivotButton="0" quotePrefix="0" xfId="3">
      <alignment vertical="center"/>
    </xf>
    <xf numFmtId="0" fontId="29" fillId="6" borderId="9" applyAlignment="1" pivotButton="0" quotePrefix="0" xfId="3">
      <alignment vertical="center"/>
    </xf>
    <xf numFmtId="0" fontId="31" fillId="6" borderId="9" applyAlignment="1" pivotButton="0" quotePrefix="0" xfId="3">
      <alignment vertical="center"/>
    </xf>
    <xf numFmtId="0" fontId="29" fillId="6" borderId="35" applyAlignment="1" pivotButton="0" quotePrefix="0" xfId="3">
      <alignment vertical="center"/>
    </xf>
    <xf numFmtId="0" fontId="32" fillId="0" borderId="0" applyAlignment="1" pivotButton="0" quotePrefix="0" xfId="3">
      <alignment vertical="center"/>
    </xf>
    <xf numFmtId="0" fontId="26" fillId="0" borderId="0" applyAlignment="1" pivotButton="0" quotePrefix="0" xfId="3">
      <alignment vertical="center"/>
    </xf>
    <xf numFmtId="0" fontId="29" fillId="0" borderId="0" applyAlignment="1" pivotButton="0" quotePrefix="0" xfId="3">
      <alignment horizontal="left" vertical="center"/>
    </xf>
    <xf numFmtId="0" fontId="26" fillId="0" borderId="4" applyAlignment="1" pivotButton="0" quotePrefix="0" xfId="3">
      <alignment horizontal="right" vertical="center" wrapText="1"/>
    </xf>
    <xf numFmtId="0" fontId="26" fillId="0" borderId="6" applyAlignment="1" pivotButton="0" quotePrefix="0" xfId="3">
      <alignment horizontal="right" vertical="center" wrapText="1"/>
    </xf>
    <xf numFmtId="0" fontId="28" fillId="0" borderId="6" applyAlignment="1" pivotButton="0" quotePrefix="0" xfId="3">
      <alignment horizontal="right" vertical="center" wrapText="1"/>
    </xf>
    <xf numFmtId="15" fontId="28" fillId="0" borderId="9" applyAlignment="1" pivotButton="0" quotePrefix="0" xfId="3">
      <alignment horizontal="right" vertical="center" wrapText="1"/>
    </xf>
    <xf numFmtId="0" fontId="29" fillId="0" borderId="35" applyAlignment="1" pivotButton="0" quotePrefix="0" xfId="3">
      <alignment vertical="center" wrapText="1"/>
    </xf>
    <xf numFmtId="0" fontId="26" fillId="0" borderId="9" applyAlignment="1" pivotButton="0" quotePrefix="0" xfId="3">
      <alignment horizontal="right" vertical="center" wrapText="1"/>
    </xf>
    <xf numFmtId="41" fontId="26" fillId="4" borderId="9" applyAlignment="1" pivotButton="0" quotePrefix="0" xfId="3">
      <alignment horizontal="right" vertical="center" wrapText="1"/>
    </xf>
    <xf numFmtId="0" fontId="29" fillId="0" borderId="35" applyAlignment="1" pivotButton="0" quotePrefix="0" xfId="3">
      <alignment horizontal="right" vertical="center" wrapText="1"/>
    </xf>
    <xf numFmtId="41" fontId="29" fillId="0" borderId="9" applyAlignment="1" pivotButton="0" quotePrefix="0" xfId="3">
      <alignment horizontal="right" vertical="center" wrapText="1"/>
    </xf>
    <xf numFmtId="0" fontId="26" fillId="0" borderId="36" applyAlignment="1" pivotButton="0" quotePrefix="0" xfId="3">
      <alignment vertical="center" wrapText="1"/>
    </xf>
    <xf numFmtId="0" fontId="26" fillId="0" borderId="35" applyAlignment="1" pivotButton="0" quotePrefix="0" xfId="3">
      <alignment vertical="center" wrapText="1"/>
    </xf>
    <xf numFmtId="0" fontId="29" fillId="0" borderId="0" applyAlignment="1" pivotButton="0" quotePrefix="0" xfId="3">
      <alignment vertical="center"/>
    </xf>
    <xf numFmtId="0" fontId="29" fillId="0" borderId="9" applyAlignment="1" pivotButton="0" quotePrefix="0" xfId="3">
      <alignment horizontal="right" vertical="center" wrapText="1"/>
    </xf>
    <xf numFmtId="0" fontId="28" fillId="0" borderId="0" applyAlignment="1" pivotButton="0" quotePrefix="0" xfId="3">
      <alignment vertical="center"/>
    </xf>
    <xf numFmtId="0" fontId="30" fillId="0" borderId="0" applyAlignment="1" pivotButton="0" quotePrefix="0" xfId="3">
      <alignment vertical="center"/>
    </xf>
    <xf numFmtId="0" fontId="29" fillId="0" borderId="0" applyAlignment="1" pivotButton="0" quotePrefix="0" xfId="3">
      <alignment horizontal="right" vertical="center"/>
    </xf>
    <xf numFmtId="0" fontId="29" fillId="0" borderId="0" pivotButton="0" quotePrefix="0" xfId="3"/>
    <xf numFmtId="0" fontId="33" fillId="0" borderId="0" pivotButton="0" quotePrefix="0" xfId="3"/>
    <xf numFmtId="0" fontId="29" fillId="6" borderId="0" pivotButton="0" quotePrefix="0" xfId="3"/>
    <xf numFmtId="0" fontId="29" fillId="4" borderId="0" pivotButton="0" quotePrefix="0" xfId="3"/>
    <xf numFmtId="0" fontId="25" fillId="0" borderId="34" applyAlignment="1" pivotButton="0" quotePrefix="0" xfId="3">
      <alignment vertical="center" wrapText="1"/>
    </xf>
    <xf numFmtId="0" fontId="25" fillId="0" borderId="36" applyAlignment="1" pivotButton="0" quotePrefix="0" xfId="3">
      <alignment vertical="center" wrapText="1"/>
    </xf>
    <xf numFmtId="0" fontId="25" fillId="0" borderId="35" applyAlignment="1" pivotButton="0" quotePrefix="0" xfId="3">
      <alignment vertical="center" wrapText="1"/>
    </xf>
    <xf numFmtId="41" fontId="29" fillId="12" borderId="9" applyAlignment="1" pivotButton="0" quotePrefix="0" xfId="3">
      <alignment horizontal="right" vertical="center" wrapText="1"/>
    </xf>
    <xf numFmtId="0" fontId="9" fillId="13" borderId="0" pivotButton="0" quotePrefix="0" xfId="5"/>
    <xf numFmtId="0" fontId="34" fillId="6" borderId="0" pivotButton="0" quotePrefix="0" xfId="15"/>
    <xf numFmtId="0" fontId="9" fillId="6" borderId="0" pivotButton="0" quotePrefix="0" xfId="15"/>
    <xf numFmtId="0" fontId="6" fillId="6" borderId="0" pivotButton="0" quotePrefix="0" xfId="15"/>
    <xf numFmtId="0" fontId="9" fillId="6" borderId="0" pivotButton="0" quotePrefix="0" xfId="14"/>
    <xf numFmtId="0" fontId="6" fillId="6" borderId="0" pivotButton="0" quotePrefix="0" xfId="14"/>
    <xf numFmtId="0" fontId="35" fillId="0" borderId="0" pivotButton="0" quotePrefix="0" xfId="4"/>
    <xf numFmtId="0" fontId="4" fillId="5" borderId="0" applyAlignment="1" pivotButton="0" quotePrefix="0" xfId="0">
      <alignment horizontal="center"/>
    </xf>
    <xf numFmtId="164" fontId="2" fillId="0" borderId="0" pivotButton="0" quotePrefix="0" xfId="1"/>
    <xf numFmtId="164" fontId="2" fillId="0" borderId="0" pivotButton="0" quotePrefix="0" xfId="1"/>
  </cellXfs>
  <cellStyles count="16">
    <cellStyle name="Normal" xfId="0" builtinId="0"/>
    <cellStyle name="Comma" xfId="1" builtinId="3"/>
    <cellStyle name="Percent" xfId="2" builtinId="5"/>
    <cellStyle name="Normal 32 18 2" xfId="3"/>
    <cellStyle name="Normal 3" xfId="4"/>
    <cellStyle name="Normal 2" xfId="5"/>
    <cellStyle name="Bad 2" xfId="6"/>
    <cellStyle name="Normal 4" xfId="7"/>
    <cellStyle name="Normal 32 2" xfId="8"/>
    <cellStyle name="Comma 3" xfId="9"/>
    <cellStyle name="Comma 37 3" xfId="10"/>
    <cellStyle name="Comma 2" xfId="11"/>
    <cellStyle name="Normal 33 2 9" xfId="12"/>
    <cellStyle name="Comma 38 2" xfId="13"/>
    <cellStyle name="Comma 37 2 2" xfId="14"/>
    <cellStyle name="Normal 32 18" xfId="15"/>
  </cellStyles>
  <dxfs count="7">
    <dxf>
      <font>
        <color rgb="FF9C0006"/>
      </font>
      <fill>
        <patternFill>
          <bgColor rgb="FFFF0000"/>
        </patternFill>
      </fill>
    </dxf>
    <dxf>
      <font>
        <color rgb="FF9C0006"/>
      </font>
      <fill>
        <patternFill>
          <bgColor rgb="FFFF0000"/>
        </patternFill>
      </fill>
    </dxf>
    <dxf>
      <fill>
        <patternFill>
          <bgColor theme="9" tint="0.5999633777886288"/>
        </patternFill>
      </fill>
    </dxf>
    <dxf>
      <fill>
        <patternFill>
          <bgColor rgb="FFFFFF00"/>
        </patternFill>
      </fill>
    </dxf>
    <dxf>
      <fill>
        <patternFill>
          <bgColor theme="9" tint="0.5999633777886288"/>
        </patternFill>
      </fill>
    </dxf>
    <dxf>
      <fill>
        <patternFill>
          <bgColor rgb="FFFFFF00"/>
        </patternFill>
      </fill>
    </dxf>
    <dxf>
      <fill>
        <patternFill patternType="solid">
          <fgColor rgb="FFF2F2F2"/>
          <bgColor rgb="FF000000"/>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sharedStrings" Target="sharedStrings.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rgb="FFFF0000"/>
    <outlinePr summaryBelow="1" summaryRight="1"/>
    <pageSetUpPr/>
  </sheetPr>
  <dimension ref="A1:Y391"/>
  <sheetViews>
    <sheetView showGridLines="0" zoomScale="80" zoomScaleNormal="80" workbookViewId="0">
      <selection activeCell="G8" sqref="G8"/>
    </sheetView>
  </sheetViews>
  <sheetFormatPr baseColWidth="8" defaultRowHeight="12" outlineLevelCol="0"/>
  <cols>
    <col width="20.44140625" bestFit="1" customWidth="1" min="1" max="1"/>
    <col width="5.44140625" bestFit="1" customWidth="1" min="2" max="2"/>
    <col width="9.44140625" bestFit="1" customWidth="1" min="3" max="3"/>
    <col width="5.44140625" bestFit="1" customWidth="1" min="4" max="4"/>
    <col width="9.44140625" bestFit="1" customWidth="1" min="5" max="5"/>
    <col width="9" bestFit="1" customWidth="1" min="6" max="6"/>
    <col width="43.44140625" bestFit="1" customWidth="1" min="7" max="7"/>
    <col width="12.6640625" bestFit="1" customWidth="1" min="8" max="8"/>
    <col width="13.44140625" bestFit="1" customWidth="1" min="9" max="11"/>
    <col width="21.77734375" bestFit="1" customWidth="1" min="12" max="12"/>
    <col width="11.109375" bestFit="1" customWidth="1" min="13" max="13"/>
    <col width="9.44140625" bestFit="1" customWidth="1" min="14" max="14"/>
    <col width="10.44140625" bestFit="1" customWidth="1" min="15" max="15"/>
    <col width="15.6640625" bestFit="1" customWidth="1" min="16" max="16"/>
    <col width="12.6640625" bestFit="1" customWidth="1" min="18" max="18"/>
    <col width="45.33203125" bestFit="1" customWidth="1" min="19" max="19"/>
    <col width="27.109375" bestFit="1" customWidth="1" min="20" max="20"/>
    <col width="24.6640625" bestFit="1" customWidth="1" min="22" max="22"/>
  </cols>
  <sheetData>
    <row r="1" spans="1:25">
      <c r="A1" s="1" t="s">
        <v>0</v>
      </c>
      <c r="B1" s="3" t="s"/>
    </row>
    <row r="2" spans="1:25" ht="12.65" customHeight="1" thickBot="1">
      <c r="A2" s="1" t="s">
        <v>1</v>
      </c>
      <c r="B2" s="3" t="s"/>
      <c r="O2" t="s">
        <v>2</v>
      </c>
      <c r="P2" t="s">
        <v>3</v>
      </c>
      <c r="Q2" t="s">
        <v>4</v>
      </c>
      <c r="R2" t="s">
        <v>5</v>
      </c>
      <c r="S2" t="s">
        <v>4</v>
      </c>
    </row>
    <row r="3" spans="1:25">
      <c r="A3" s="1" t="s">
        <v>6</v>
      </c>
      <c r="B3" s="3" t="s"/>
      <c r="O3" s="4" t="n">
        <v>121</v>
      </c>
      <c r="P3" s="5">
        <f>SUMIF(D:D,O3,K:K)</f>
        <v/>
      </c>
      <c r="Q3" s="6">
        <f>IF(P3&lt;0,"BS97","BS98")</f>
        <v/>
      </c>
      <c r="R3" s="7">
        <f>SUMIF(D:D,O3,H:H)</f>
        <v/>
      </c>
      <c r="S3" s="6">
        <f>IF(R3&lt;0,"BS97","BS98")</f>
        <v/>
      </c>
    </row>
    <row r="4" spans="1:25">
      <c r="A4" s="1" t="s">
        <v>7</v>
      </c>
      <c r="B4" s="3" t="s"/>
      <c r="O4" s="8" t="n">
        <v>117</v>
      </c>
      <c r="P4" s="9">
        <f>SUMIF(D:D,O4,K:K)</f>
        <v/>
      </c>
      <c r="Q4" s="10">
        <f>IF(P4&lt;0,"BS95","BS96")</f>
        <v/>
      </c>
      <c r="R4" s="11">
        <f>SUMIF(D:D,O4,H:H)</f>
        <v/>
      </c>
      <c r="S4" s="10">
        <f>IF(R4&lt;0,"BS95","BS96")</f>
        <v/>
      </c>
    </row>
    <row r="5" spans="1:25" ht="12.65" customHeight="1" thickBot="1">
      <c r="A5" s="1" t="s">
        <v>8</v>
      </c>
      <c r="B5" s="3" t="s"/>
      <c r="O5" s="12" t="n">
        <v>711</v>
      </c>
      <c r="P5" s="13">
        <f>SUMIF(D:D,O5,K:K)</f>
        <v/>
      </c>
      <c r="Q5" s="14">
        <f>IF(P5&lt;0,"PL7","PL8")</f>
        <v/>
      </c>
      <c r="R5" s="15">
        <f>SUMIF(D:D,O5,H:H)</f>
        <v/>
      </c>
      <c r="S5" s="14">
        <f>IF(R5&lt;0,"PL7","PL8")</f>
        <v/>
      </c>
    </row>
    <row r="6" spans="1:25" ht="12.65" customHeight="1" thickBot="1">
      <c r="A6" s="1" t="s">
        <v>9</v>
      </c>
      <c r="B6" s="3" t="s"/>
      <c r="I6" s="16" t="s">
        <v>10</v>
      </c>
      <c r="J6" s="17">
        <f>K6-1</f>
        <v/>
      </c>
      <c r="K6" s="17">
        <f>B7</f>
        <v/>
      </c>
    </row>
    <row r="7" spans="1:25" ht="13" customHeight="1" thickBot="1" thickTop="1">
      <c r="A7" s="1" t="s">
        <v>11</v>
      </c>
      <c r="B7" s="3" t="s"/>
      <c r="I7" s="19" t="s">
        <v>12</v>
      </c>
      <c r="J7" s="20">
        <f>SUMIF(A:A,"BS",H:H)</f>
        <v/>
      </c>
      <c r="K7" s="20">
        <f>SUMIF(A:A,"BS",K:K)</f>
        <v/>
      </c>
    </row>
    <row r="8" spans="1:25" ht="12.65" customHeight="1" thickTop="1">
      <c r="I8" s="21" t="s">
        <v>13</v>
      </c>
      <c r="J8" s="22">
        <f>SUMIF(A:A,"Rev",H:H)</f>
        <v/>
      </c>
      <c r="K8" s="22">
        <f>SUMIF(A:A,"Rev",K:K)</f>
        <v/>
      </c>
    </row>
    <row r="9" spans="1:25" ht="12.65" customHeight="1" thickBot="1">
      <c r="I9" s="23" t="s">
        <v>14</v>
      </c>
      <c r="J9" s="24">
        <f>SUMIF(A:A,"Exp",H:H)</f>
        <v/>
      </c>
      <c r="K9" s="24">
        <f>SUMIF(A:A,"Exp",K:K)</f>
        <v/>
      </c>
    </row>
    <row r="10" spans="1:25" ht="12.65" customHeight="1" thickTop="1">
      <c r="I10" s="3" t="s">
        <v>15</v>
      </c>
      <c r="J10" s="25">
        <f>SUM(J8:J9)</f>
        <v/>
      </c>
      <c r="K10" s="25">
        <f>SUM(K8:K9)</f>
        <v/>
      </c>
    </row>
    <row r="11" spans="1:25" ht="12.65" customHeight="1" thickBot="1">
      <c r="I11" s="23" t="s">
        <v>16</v>
      </c>
      <c r="J11" s="23">
        <f>SUMIF(D:D,"121",H:H)</f>
        <v/>
      </c>
      <c r="K11" s="24">
        <f>SUMIF(D:D,"121",K:K)</f>
        <v/>
      </c>
    </row>
    <row r="12" spans="1:25" ht="12.65" customHeight="1" thickTop="1">
      <c r="I12" s="26" t="s">
        <v>17</v>
      </c>
      <c r="J12" s="27">
        <f>J10-J11</f>
        <v/>
      </c>
      <c r="K12" s="27">
        <f>K10-K11</f>
        <v/>
      </c>
    </row>
    <row r="13" spans="1:25">
      <c r="O13" s="3" t="n"/>
      <c r="P13" s="3" t="s">
        <v>18</v>
      </c>
    </row>
    <row r="14" spans="1:25" ht="12.65" customHeight="1" thickBot="1">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38</v>
      </c>
      <c r="Y14" s="29" t="s">
        <v>39</v>
      </c>
    </row>
    <row r="15" spans="1:25" ht="12.65" customHeight="1" thickTop="1">
      <c r="A15">
        <f>IF(B15&lt;6,"BS",IF(B15=6,"Exp","Rev"))</f>
        <v/>
      </c>
      <c r="B15">
        <f>_xlfn.NUMBERVALUE(LEFT(F15,1))</f>
        <v/>
      </c>
      <c r="C15">
        <f>Left(F15,2)</f>
        <v/>
      </c>
      <c r="D15">
        <f>Left(F15,3)</f>
        <v/>
      </c>
      <c r="E15">
        <f>IF(F15="121",Left(F15,3)&amp;"0",Left(F15,4))</f>
        <v/>
      </c>
      <c r="F15" t="n">
        <v>10120000</v>
      </c>
      <c r="G15" t="s">
        <v>40</v>
      </c>
      <c r="H15" s="9" t="n">
        <v>-35710940</v>
      </c>
      <c r="I15" s="9" t="n">
        <v>0</v>
      </c>
      <c r="J15" s="9" t="n">
        <v>0</v>
      </c>
      <c r="K15" s="9" t="n">
        <v>-35710940</v>
      </c>
      <c r="L15" s="9">
        <f>K15-H15</f>
        <v/>
      </c>
      <c r="M15" s="32">
        <f>IFERROR(L15/H15," ")</f>
        <v/>
      </c>
      <c r="N15">
        <f>IF(A15="BS",IFERROR(VLOOKUP(TRIM($E15),'BS Mapping std'!$A:$D,4,0),VLOOKUP(TRIM($D15),'BS Mapping std'!$A:$D,4,0)),IFERROR(VLOOKUP(TRIM($E15),'PL mapping Std'!$A:$D,4,0),VLOOKUP(TRIM($D15),'PL mapping Std'!$A:$D,4,0)))</f>
        <v/>
      </c>
      <c r="O15">
        <f>_xlfn.IFERROR(VLOOKUP(E15,'F30 mapping'!A:C,3,0),VLOOKUP(D15,'F30 mapping'!A:C,3,0))</f>
        <v/>
      </c>
      <c r="P15">
        <f>_xlfn.IFERROR(IFERROR(VLOOKUP(E15,'F40 mapping'!A:C,3,0),VLOOKUP(D15,'F40 mapping'!A:C,3,0)),0)</f>
        <v/>
      </c>
      <c r="Q15">
        <f>_xlfn.IFERROR(IFERROR(VLOOKUP(E15,'F40 mapping'!A:D,4,0),VLOOKUP(D15,'F40 mapping'!A:D,4,0)),0)</f>
        <v/>
      </c>
      <c r="R15">
        <f>_xlfn.IFERROR(IFERROR(VLOOKUP(E15,'F40 mapping'!A:E,5,0),VLOOKUP(D15,'F40 mapping'!A:E,5,0)),0)</f>
        <v/>
      </c>
      <c r="S15">
        <f>_xlfn.IF(B15&lt;6,IFERROR(VLOOKUP(E15,'BS Mapping std'!A:E,5,0),VLOOKUP(D15,'BS Mapping std'!A:E,5,0)),IFERROR(VLOOKUP(E15,'PL mapping Std'!A:F,6,0),VLOOKUP(D15,'PL mapping Std'!A:F,6,0)))</f>
        <v/>
      </c>
      <c r="T15">
        <f>_xlfn.IF(B15&lt;6,IFERROR(VLOOKUP(E15,'BS Mapping std'!A:F,6,0),VLOOKUP(D15,'BS Mapping std'!A:F,6,0)),IFERROR(VLOOKUP(E15,'PL mapping Std'!A:G,7,0),VLOOKUP(D15,'PL mapping Std'!A:G,7,0)))</f>
        <v/>
      </c>
      <c r="V15">
        <f>IF(IF(A15="BS",IFERROR(VLOOKUP(TRIM($E15),'BS Mapping std'!$A:$H,8,0),VLOOKUP(TRIM($D15),'BS Mapping std'!$A:$H,8,0)),IFERROR(VLOOKUP(TRIM($E15),'PL mapping Std'!$A:$E,5,0),VLOOKUP(TRIM($D15),'PL mapping Std'!$A:$E,5,0)))=0,"",IF(A15="BS",IFERROR(VLOOKUP(TRIM($E15),'BS Mapping std'!$A:$H,8,0),VLOOKUP(TRIM($D15),'BS Mapping std'!$A:$H,8,0)),IFERROR(VLOOKUP(TRIM($E15),'PL mapping Std'!$A:$E,5,0),VLOOKUP(TRIM($D15),'PL mapping Std'!$A:$E,5,0))))</f>
        <v/>
      </c>
      <c r="W15">
        <f>_xlfn.IFERROR(VLOOKUP(E15,'F30 mapping'!A:D,4,0),VLOOKUP(D15,'F30 mapping'!A:D,4,0))</f>
        <v/>
      </c>
      <c r="X15">
        <f>IF(B15&lt;6,IFERROR(VLOOKUP(E15,'BS Mapping std'!A:M,13,0),VLOOKUP(D15,'BS Mapping std'!A:M,13,0)),0)</f>
        <v/>
      </c>
      <c r="Y15">
        <f>IF(B15&lt;6,IFERROR(VLOOKUP(E15,'BS Mapping std'!A:N,14,0),VLOOKUP(D15,'BS Mapping std'!A:N,14,0)),0)</f>
        <v/>
      </c>
    </row>
    <row r="16" spans="1:25">
      <c r="A16">
        <f>IF(B16&lt;6,"BS",IF(B16=6,"Exp","Rev"))</f>
        <v/>
      </c>
      <c r="B16">
        <f>_xlfn.NUMBERVALUE(LEFT(F16,1))</f>
        <v/>
      </c>
      <c r="C16">
        <f>Left(F16,2)</f>
        <v/>
      </c>
      <c r="D16">
        <f>Left(F16,3)</f>
        <v/>
      </c>
      <c r="E16">
        <f>IF(F16="121",Left(F16,3)&amp;"0",Left(F16,4))</f>
        <v/>
      </c>
      <c r="F16" t="n">
        <v>10500010</v>
      </c>
      <c r="G16" t="s">
        <v>41</v>
      </c>
      <c r="H16" s="9" t="n">
        <v>-3538982.47</v>
      </c>
      <c r="I16" s="9" t="n">
        <v>129471.96</v>
      </c>
      <c r="J16" s="9" t="n">
        <v>0</v>
      </c>
      <c r="K16" s="9" t="n">
        <v>-3409510.51</v>
      </c>
      <c r="L16" s="9">
        <f>K16-H16</f>
        <v/>
      </c>
      <c r="M16" s="32">
        <f>IFERROR(L16/H16," ")</f>
        <v/>
      </c>
      <c r="N16">
        <f>IF(A16="BS",IFERROR(VLOOKUP(TRIM($E16),'BS Mapping std'!$A:$D,4,0),VLOOKUP(TRIM($D16),'BS Mapping std'!$A:$D,4,0)),IFERROR(VLOOKUP(TRIM($E16),'PL mapping Std'!$A:$D,4,0),VLOOKUP(TRIM($D16),'PL mapping Std'!$A:$D,4,0)))</f>
        <v/>
      </c>
      <c r="O16">
        <f>_xlfn.IFERROR(VLOOKUP(E16,'F30 mapping'!A:C,3,0),VLOOKUP(D16,'F30 mapping'!A:C,3,0))</f>
        <v/>
      </c>
      <c r="P16">
        <f>_xlfn.IFERROR(IFERROR(VLOOKUP(E16,'F40 mapping'!A:C,3,0),VLOOKUP(D16,'F40 mapping'!A:C,3,0)),0)</f>
        <v/>
      </c>
      <c r="Q16">
        <f>_xlfn.IFERROR(IFERROR(VLOOKUP(E16,'F40 mapping'!A:D,4,0),VLOOKUP(D16,'F40 mapping'!A:D,4,0)),0)</f>
        <v/>
      </c>
      <c r="R16">
        <f>_xlfn.IFERROR(IFERROR(VLOOKUP(E16,'F40 mapping'!A:E,5,0),VLOOKUP(D16,'F40 mapping'!A:E,5,0)),0)</f>
        <v/>
      </c>
      <c r="S16">
        <f>_xlfn.IF(B16&lt;6,IFERROR(VLOOKUP(E16,'BS Mapping std'!A:E,5,0),VLOOKUP(D16,'BS Mapping std'!A:E,5,0)),IFERROR(VLOOKUP(E16,'PL mapping Std'!A:F,6,0),VLOOKUP(D16,'PL mapping Std'!A:F,6,0)))</f>
        <v/>
      </c>
      <c r="T16">
        <f>_xlfn.IF(B16&lt;6,IFERROR(VLOOKUP(E16,'BS Mapping std'!A:F,6,0),VLOOKUP(D16,'BS Mapping std'!A:F,6,0)),IFERROR(VLOOKUP(E16,'PL mapping Std'!A:G,7,0),VLOOKUP(D16,'PL mapping Std'!A:G,7,0)))</f>
        <v/>
      </c>
      <c r="V16">
        <f>IF(IF(A16="BS",IFERROR(VLOOKUP(TRIM($E16),'BS Mapping std'!$A:$H,8,0),VLOOKUP(TRIM($D16),'BS Mapping std'!$A:$H,8,0)),IFERROR(VLOOKUP(TRIM($E16),'PL mapping Std'!$A:$E,5,0),VLOOKUP(TRIM($D16),'PL mapping Std'!$A:$E,5,0)))=0,"",IF(A16="BS",IFERROR(VLOOKUP(TRIM($E16),'BS Mapping std'!$A:$H,8,0),VLOOKUP(TRIM($D16),'BS Mapping std'!$A:$H,8,0)),IFERROR(VLOOKUP(TRIM($E16),'PL mapping Std'!$A:$E,5,0),VLOOKUP(TRIM($D16),'PL mapping Std'!$A:$E,5,0))))</f>
        <v/>
      </c>
      <c r="W16">
        <f>_xlfn.IFERROR(VLOOKUP(E16,'F30 mapping'!A:D,4,0),VLOOKUP(D16,'F30 mapping'!A:D,4,0))</f>
        <v/>
      </c>
      <c r="X16">
        <f>IF(B16&lt;6,IFERROR(VLOOKUP(E16,'BS Mapping std'!A:M,13,0),VLOOKUP(D16,'BS Mapping std'!A:M,13,0)),0)</f>
        <v/>
      </c>
      <c r="Y16">
        <f>IF(B16&lt;6,IFERROR(VLOOKUP(E16,'BS Mapping std'!A:N,14,0),VLOOKUP(D16,'BS Mapping std'!A:N,14,0)),0)</f>
        <v/>
      </c>
    </row>
    <row r="17" spans="1:25">
      <c r="A17">
        <f>IF(B17&lt;6,"BS",IF(B17=6,"Exp","Rev"))</f>
        <v/>
      </c>
      <c r="B17">
        <f>_xlfn.NUMBERVALUE(LEFT(F17,1))</f>
        <v/>
      </c>
      <c r="C17">
        <f>Left(F17,2)</f>
        <v/>
      </c>
      <c r="D17">
        <f>Left(F17,3)</f>
        <v/>
      </c>
      <c r="E17">
        <f>IF(F17="121",Left(F17,3)&amp;"0",Left(F17,4))</f>
        <v/>
      </c>
      <c r="F17" t="n">
        <v>10610000</v>
      </c>
      <c r="G17" t="s">
        <v>42</v>
      </c>
      <c r="H17" s="9" t="n">
        <v>-593350</v>
      </c>
      <c r="I17" s="9" t="n">
        <v>60118</v>
      </c>
      <c r="J17" s="9" t="n">
        <v>119999.76</v>
      </c>
      <c r="K17" s="9" t="n">
        <v>-653231.76</v>
      </c>
      <c r="L17" s="9">
        <f>K17-H17</f>
        <v/>
      </c>
      <c r="M17" s="32">
        <f>IFERROR(L17/H17," ")</f>
        <v/>
      </c>
      <c r="N17">
        <f>IF(A17="BS",IFERROR(VLOOKUP(TRIM($E17),'BS Mapping std'!$A:$D,4,0),VLOOKUP(TRIM($D17),'BS Mapping std'!$A:$D,4,0)),IFERROR(VLOOKUP(TRIM($E17),'PL mapping Std'!$A:$D,4,0),VLOOKUP(TRIM($D17),'PL mapping Std'!$A:$D,4,0)))</f>
        <v/>
      </c>
      <c r="O17">
        <f>_xlfn.IFERROR(VLOOKUP(E17,'F30 mapping'!A:C,3,0),VLOOKUP(D17,'F30 mapping'!A:C,3,0))</f>
        <v/>
      </c>
      <c r="P17">
        <f>_xlfn.IFERROR(IFERROR(VLOOKUP(E17,'F40 mapping'!A:C,3,0),VLOOKUP(D17,'F40 mapping'!A:C,3,0)),0)</f>
        <v/>
      </c>
      <c r="Q17">
        <f>_xlfn.IFERROR(IFERROR(VLOOKUP(E17,'F40 mapping'!A:D,4,0),VLOOKUP(D17,'F40 mapping'!A:D,4,0)),0)</f>
        <v/>
      </c>
      <c r="R17">
        <f>_xlfn.IFERROR(IFERROR(VLOOKUP(E17,'F40 mapping'!A:E,5,0),VLOOKUP(D17,'F40 mapping'!A:E,5,0)),0)</f>
        <v/>
      </c>
      <c r="S17">
        <f>_xlfn.IF(B17&lt;6,IFERROR(VLOOKUP(E17,'BS Mapping std'!A:E,5,0),VLOOKUP(D17,'BS Mapping std'!A:E,5,0)),IFERROR(VLOOKUP(E17,'PL mapping Std'!A:F,6,0),VLOOKUP(D17,'PL mapping Std'!A:F,6,0)))</f>
        <v/>
      </c>
      <c r="T17">
        <f>_xlfn.IF(B17&lt;6,IFERROR(VLOOKUP(E17,'BS Mapping std'!A:F,6,0),VLOOKUP(D17,'BS Mapping std'!A:F,6,0)),IFERROR(VLOOKUP(E17,'PL mapping Std'!A:G,7,0),VLOOKUP(D17,'PL mapping Std'!A:G,7,0)))</f>
        <v/>
      </c>
      <c r="V17">
        <f>IF(IF(A17="BS",IFERROR(VLOOKUP(TRIM($E17),'BS Mapping std'!$A:$H,8,0),VLOOKUP(TRIM($D17),'BS Mapping std'!$A:$H,8,0)),IFERROR(VLOOKUP(TRIM($E17),'PL mapping Std'!$A:$E,5,0),VLOOKUP(TRIM($D17),'PL mapping Std'!$A:$E,5,0)))=0,"",IF(A17="BS",IFERROR(VLOOKUP(TRIM($E17),'BS Mapping std'!$A:$H,8,0),VLOOKUP(TRIM($D17),'BS Mapping std'!$A:$H,8,0)),IFERROR(VLOOKUP(TRIM($E17),'PL mapping Std'!$A:$E,5,0),VLOOKUP(TRIM($D17),'PL mapping Std'!$A:$E,5,0))))</f>
        <v/>
      </c>
      <c r="W17">
        <f>_xlfn.IFERROR(VLOOKUP(E17,'F30 mapping'!A:D,4,0),VLOOKUP(D17,'F30 mapping'!A:D,4,0))</f>
        <v/>
      </c>
      <c r="X17">
        <f>IF(B17&lt;6,IFERROR(VLOOKUP(E17,'BS Mapping std'!A:M,13,0),VLOOKUP(D17,'BS Mapping std'!A:M,13,0)),0)</f>
        <v/>
      </c>
      <c r="Y17">
        <f>IF(B17&lt;6,IFERROR(VLOOKUP(E17,'BS Mapping std'!A:N,14,0),VLOOKUP(D17,'BS Mapping std'!A:N,14,0)),0)</f>
        <v/>
      </c>
    </row>
    <row r="18" spans="1:25">
      <c r="A18">
        <f>IF(B18&lt;6,"BS",IF(B18=6,"Exp","Rev"))</f>
        <v/>
      </c>
      <c r="B18">
        <f>_xlfn.NUMBERVALUE(LEFT(F18,1))</f>
        <v/>
      </c>
      <c r="C18">
        <f>Left(F18,2)</f>
        <v/>
      </c>
      <c r="D18">
        <f>Left(F18,3)</f>
        <v/>
      </c>
      <c r="E18">
        <f>IF(F18="121",Left(F18,3)&amp;"0",Left(F18,4))</f>
        <v/>
      </c>
      <c r="F18" t="n">
        <v>10680000</v>
      </c>
      <c r="G18" t="s">
        <v>43</v>
      </c>
      <c r="H18" s="9" t="n">
        <v>-1172862.29</v>
      </c>
      <c r="I18" s="9" t="n">
        <v>0</v>
      </c>
      <c r="J18" s="9" t="n">
        <v>0</v>
      </c>
      <c r="K18" s="9" t="n">
        <v>-1172862.29</v>
      </c>
      <c r="L18" s="9">
        <f>K18-H18</f>
        <v/>
      </c>
      <c r="M18" s="32">
        <f>IFERROR(L18/H18," ")</f>
        <v/>
      </c>
      <c r="N18">
        <f>IF(A18="BS",IFERROR(VLOOKUP(TRIM($E18),'BS Mapping std'!$A:$D,4,0),VLOOKUP(TRIM($D18),'BS Mapping std'!$A:$D,4,0)),IFERROR(VLOOKUP(TRIM($E18),'PL mapping Std'!$A:$D,4,0),VLOOKUP(TRIM($D18),'PL mapping Std'!$A:$D,4,0)))</f>
        <v/>
      </c>
      <c r="O18">
        <f>_xlfn.IFERROR(VLOOKUP(E18,'F30 mapping'!A:C,3,0),VLOOKUP(D18,'F30 mapping'!A:C,3,0))</f>
        <v/>
      </c>
      <c r="P18">
        <f>_xlfn.IFERROR(IFERROR(VLOOKUP(E18,'F40 mapping'!A:C,3,0),VLOOKUP(D18,'F40 mapping'!A:C,3,0)),0)</f>
        <v/>
      </c>
      <c r="Q18">
        <f>_xlfn.IFERROR(IFERROR(VLOOKUP(E18,'F40 mapping'!A:D,4,0),VLOOKUP(D18,'F40 mapping'!A:D,4,0)),0)</f>
        <v/>
      </c>
      <c r="R18">
        <f>_xlfn.IFERROR(IFERROR(VLOOKUP(E18,'F40 mapping'!A:E,5,0),VLOOKUP(D18,'F40 mapping'!A:E,5,0)),0)</f>
        <v/>
      </c>
      <c r="S18">
        <f>_xlfn.IF(B18&lt;6,IFERROR(VLOOKUP(E18,'BS Mapping std'!A:E,5,0),VLOOKUP(D18,'BS Mapping std'!A:E,5,0)),IFERROR(VLOOKUP(E18,'PL mapping Std'!A:F,6,0),VLOOKUP(D18,'PL mapping Std'!A:F,6,0)))</f>
        <v/>
      </c>
      <c r="T18">
        <f>_xlfn.IF(B18&lt;6,IFERROR(VLOOKUP(E18,'BS Mapping std'!A:F,6,0),VLOOKUP(D18,'BS Mapping std'!A:F,6,0)),IFERROR(VLOOKUP(E18,'PL mapping Std'!A:G,7,0),VLOOKUP(D18,'PL mapping Std'!A:G,7,0)))</f>
        <v/>
      </c>
      <c r="V18">
        <f>IF(IF(A18="BS",IFERROR(VLOOKUP(TRIM($E18),'BS Mapping std'!$A:$H,8,0),VLOOKUP(TRIM($D18),'BS Mapping std'!$A:$H,8,0)),IFERROR(VLOOKUP(TRIM($E18),'PL mapping Std'!$A:$E,5,0),VLOOKUP(TRIM($D18),'PL mapping Std'!$A:$E,5,0)))=0,"",IF(A18="BS",IFERROR(VLOOKUP(TRIM($E18),'BS Mapping std'!$A:$H,8,0),VLOOKUP(TRIM($D18),'BS Mapping std'!$A:$H,8,0)),IFERROR(VLOOKUP(TRIM($E18),'PL mapping Std'!$A:$E,5,0),VLOOKUP(TRIM($D18),'PL mapping Std'!$A:$E,5,0))))</f>
        <v/>
      </c>
      <c r="W18">
        <f>_xlfn.IFERROR(VLOOKUP(E18,'F30 mapping'!A:D,4,0),VLOOKUP(D18,'F30 mapping'!A:D,4,0))</f>
        <v/>
      </c>
      <c r="X18">
        <f>IF(B18&lt;6,IFERROR(VLOOKUP(E18,'BS Mapping std'!A:M,13,0),VLOOKUP(D18,'BS Mapping std'!A:M,13,0)),0)</f>
        <v/>
      </c>
      <c r="Y18">
        <f>IF(B18&lt;6,IFERROR(VLOOKUP(E18,'BS Mapping std'!A:N,14,0),VLOOKUP(D18,'BS Mapping std'!A:N,14,0)),0)</f>
        <v/>
      </c>
    </row>
    <row r="19" spans="1:25">
      <c r="A19">
        <f>IF(B19&lt;6,"BS",IF(B19=6,"Exp","Rev"))</f>
        <v/>
      </c>
      <c r="B19">
        <f>_xlfn.NUMBERVALUE(LEFT(F19,1))</f>
        <v/>
      </c>
      <c r="C19">
        <f>Left(F19,2)</f>
        <v/>
      </c>
      <c r="D19">
        <f>Left(F19,3)</f>
        <v/>
      </c>
      <c r="E19">
        <f>IF(F19="121",Left(F19,3)&amp;"0",Left(F19,4))</f>
        <v/>
      </c>
      <c r="F19" t="n">
        <v>10680010</v>
      </c>
      <c r="G19" t="s">
        <v>44</v>
      </c>
      <c r="H19" s="9" t="n">
        <v>-1762978</v>
      </c>
      <c r="I19" s="9" t="n">
        <v>0</v>
      </c>
      <c r="J19" s="9" t="n">
        <v>0</v>
      </c>
      <c r="K19" s="9" t="n">
        <v>-1762978</v>
      </c>
      <c r="L19" s="9">
        <f>K19-H19</f>
        <v/>
      </c>
      <c r="M19" s="32">
        <f>IFERROR(L19/H19," ")</f>
        <v/>
      </c>
      <c r="N19">
        <f>IF(A19="BS",IFERROR(VLOOKUP(TRIM($E19),'BS Mapping std'!$A:$D,4,0),VLOOKUP(TRIM($D19),'BS Mapping std'!$A:$D,4,0)),IFERROR(VLOOKUP(TRIM($E19),'PL mapping Std'!$A:$D,4,0),VLOOKUP(TRIM($D19),'PL mapping Std'!$A:$D,4,0)))</f>
        <v/>
      </c>
      <c r="O19">
        <f>_xlfn.IFERROR(VLOOKUP(E19,'F30 mapping'!A:C,3,0),VLOOKUP(D19,'F30 mapping'!A:C,3,0))</f>
        <v/>
      </c>
      <c r="P19">
        <f>_xlfn.IFERROR(IFERROR(VLOOKUP(E19,'F40 mapping'!A:C,3,0),VLOOKUP(D19,'F40 mapping'!A:C,3,0)),0)</f>
        <v/>
      </c>
      <c r="Q19">
        <f>_xlfn.IFERROR(IFERROR(VLOOKUP(E19,'F40 mapping'!A:D,4,0),VLOOKUP(D19,'F40 mapping'!A:D,4,0)),0)</f>
        <v/>
      </c>
      <c r="R19">
        <f>_xlfn.IFERROR(IFERROR(VLOOKUP(E19,'F40 mapping'!A:E,5,0),VLOOKUP(D19,'F40 mapping'!A:E,5,0)),0)</f>
        <v/>
      </c>
      <c r="S19">
        <f>_xlfn.IF(B19&lt;6,IFERROR(VLOOKUP(E19,'BS Mapping std'!A:E,5,0),VLOOKUP(D19,'BS Mapping std'!A:E,5,0)),IFERROR(VLOOKUP(E19,'PL mapping Std'!A:F,6,0),VLOOKUP(D19,'PL mapping Std'!A:F,6,0)))</f>
        <v/>
      </c>
      <c r="T19">
        <f>_xlfn.IF(B19&lt;6,IFERROR(VLOOKUP(E19,'BS Mapping std'!A:F,6,0),VLOOKUP(D19,'BS Mapping std'!A:F,6,0)),IFERROR(VLOOKUP(E19,'PL mapping Std'!A:G,7,0),VLOOKUP(D19,'PL mapping Std'!A:G,7,0)))</f>
        <v/>
      </c>
      <c r="V19">
        <f>IF(IF(A19="BS",IFERROR(VLOOKUP(TRIM($E19),'BS Mapping std'!$A:$H,8,0),VLOOKUP(TRIM($D19),'BS Mapping std'!$A:$H,8,0)),IFERROR(VLOOKUP(TRIM($E19),'PL mapping Std'!$A:$E,5,0),VLOOKUP(TRIM($D19),'PL mapping Std'!$A:$E,5,0)))=0,"",IF(A19="BS",IFERROR(VLOOKUP(TRIM($E19),'BS Mapping std'!$A:$H,8,0),VLOOKUP(TRIM($D19),'BS Mapping std'!$A:$H,8,0)),IFERROR(VLOOKUP(TRIM($E19),'PL mapping Std'!$A:$E,5,0),VLOOKUP(TRIM($D19),'PL mapping Std'!$A:$E,5,0))))</f>
        <v/>
      </c>
      <c r="W19">
        <f>_xlfn.IFERROR(VLOOKUP(E19,'F30 mapping'!A:D,4,0),VLOOKUP(D19,'F30 mapping'!A:D,4,0))</f>
        <v/>
      </c>
      <c r="X19">
        <f>IF(B19&lt;6,IFERROR(VLOOKUP(E19,'BS Mapping std'!A:M,13,0),VLOOKUP(D19,'BS Mapping std'!A:M,13,0)),0)</f>
        <v/>
      </c>
      <c r="Y19">
        <f>IF(B19&lt;6,IFERROR(VLOOKUP(E19,'BS Mapping std'!A:N,14,0),VLOOKUP(D19,'BS Mapping std'!A:N,14,0)),0)</f>
        <v/>
      </c>
    </row>
    <row r="20" spans="1:25">
      <c r="A20">
        <f>IF(B20&lt;6,"BS",IF(B20=6,"Exp","Rev"))</f>
        <v/>
      </c>
      <c r="B20">
        <f>_xlfn.NUMBERVALUE(LEFT(F20,1))</f>
        <v/>
      </c>
      <c r="C20">
        <f>Left(F20,2)</f>
        <v/>
      </c>
      <c r="D20">
        <f>Left(F20,3)</f>
        <v/>
      </c>
      <c r="E20">
        <f>IF(F20="121",Left(F20,3)&amp;"0",Left(F20,4))</f>
        <v/>
      </c>
      <c r="F20" t="n">
        <v>11710000</v>
      </c>
      <c r="G20" t="s">
        <v>45</v>
      </c>
      <c r="H20" s="9" t="n">
        <v>-40270761.29</v>
      </c>
      <c r="I20" s="9" t="n">
        <v>8059</v>
      </c>
      <c r="J20" s="9" t="n">
        <v>0</v>
      </c>
      <c r="K20" s="9" t="n">
        <v>-49487234.85</v>
      </c>
      <c r="L20" s="9">
        <f>K20-H20</f>
        <v/>
      </c>
      <c r="M20" s="32">
        <f>IFERROR(L20/H20," ")</f>
        <v/>
      </c>
      <c r="N20">
        <f>IF(A20="BS",IFERROR(VLOOKUP(TRIM($E20),'BS Mapping std'!$A:$D,4,0),VLOOKUP(TRIM($D20),'BS Mapping std'!$A:$D,4,0)),IFERROR(VLOOKUP(TRIM($E20),'PL mapping Std'!$A:$D,4,0),VLOOKUP(TRIM($D20),'PL mapping Std'!$A:$D,4,0)))</f>
        <v/>
      </c>
      <c r="O20">
        <f>_xlfn.IFERROR(VLOOKUP(E20,'F30 mapping'!A:C,3,0),VLOOKUP(D20,'F30 mapping'!A:C,3,0))</f>
        <v/>
      </c>
      <c r="P20">
        <f>_xlfn.IFERROR(IFERROR(VLOOKUP(E20,'F40 mapping'!A:C,3,0),VLOOKUP(D20,'F40 mapping'!A:C,3,0)),0)</f>
        <v/>
      </c>
      <c r="Q20">
        <f>_xlfn.IFERROR(IFERROR(VLOOKUP(E20,'F40 mapping'!A:D,4,0),VLOOKUP(D20,'F40 mapping'!A:D,4,0)),0)</f>
        <v/>
      </c>
      <c r="R20">
        <f>_xlfn.IFERROR(IFERROR(VLOOKUP(E20,'F40 mapping'!A:E,5,0),VLOOKUP(D20,'F40 mapping'!A:E,5,0)),0)</f>
        <v/>
      </c>
      <c r="S20">
        <f>_xlfn.IF(B20&lt;6,IFERROR(VLOOKUP(E20,'BS Mapping std'!A:E,5,0),VLOOKUP(D20,'BS Mapping std'!A:E,5,0)),IFERROR(VLOOKUP(E20,'PL mapping Std'!A:F,6,0),VLOOKUP(D20,'PL mapping Std'!A:F,6,0)))</f>
        <v/>
      </c>
      <c r="T20">
        <f>_xlfn.IF(B20&lt;6,IFERROR(VLOOKUP(E20,'BS Mapping std'!A:F,6,0),VLOOKUP(D20,'BS Mapping std'!A:F,6,0)),IFERROR(VLOOKUP(E20,'PL mapping Std'!A:G,7,0),VLOOKUP(D20,'PL mapping Std'!A:G,7,0)))</f>
        <v/>
      </c>
      <c r="V20">
        <f>IF(IF(A20="BS",IFERROR(VLOOKUP(TRIM($E20),'BS Mapping std'!$A:$H,8,0),VLOOKUP(TRIM($D20),'BS Mapping std'!$A:$H,8,0)),IFERROR(VLOOKUP(TRIM($E20),'PL mapping Std'!$A:$E,5,0),VLOOKUP(TRIM($D20),'PL mapping Std'!$A:$E,5,0)))=0,"",IF(A20="BS",IFERROR(VLOOKUP(TRIM($E20),'BS Mapping std'!$A:$H,8,0),VLOOKUP(TRIM($D20),'BS Mapping std'!$A:$H,8,0)),IFERROR(VLOOKUP(TRIM($E20),'PL mapping Std'!$A:$E,5,0),VLOOKUP(TRIM($D20),'PL mapping Std'!$A:$E,5,0))))</f>
        <v/>
      </c>
      <c r="W20">
        <f>_xlfn.IFERROR(VLOOKUP(E20,'F30 mapping'!A:D,4,0),VLOOKUP(D20,'F30 mapping'!A:D,4,0))</f>
        <v/>
      </c>
      <c r="X20">
        <f>IF(B20&lt;6,IFERROR(VLOOKUP(E20,'BS Mapping std'!A:M,13,0),VLOOKUP(D20,'BS Mapping std'!A:M,13,0)),0)</f>
        <v/>
      </c>
      <c r="Y20">
        <f>IF(B20&lt;6,IFERROR(VLOOKUP(E20,'BS Mapping std'!A:N,14,0),VLOOKUP(D20,'BS Mapping std'!A:N,14,0)),0)</f>
        <v/>
      </c>
    </row>
    <row r="21" spans="1:25">
      <c r="A21">
        <f>IF(B21&lt;6,"BS",IF(B21=6,"Exp","Rev"))</f>
        <v/>
      </c>
      <c r="B21">
        <f>_xlfn.NUMBERVALUE(LEFT(F21,1))</f>
        <v/>
      </c>
      <c r="C21">
        <f>Left(F21,2)</f>
        <v/>
      </c>
      <c r="D21">
        <f>Left(F21,3)</f>
        <v/>
      </c>
      <c r="E21">
        <f>IF(F21="121",Left(F21,3)&amp;"0",Left(F21,4))</f>
        <v/>
      </c>
      <c r="F21" t="n">
        <v>11710010</v>
      </c>
      <c r="G21" t="s">
        <v>46</v>
      </c>
      <c r="H21" s="9" t="n">
        <v>46906523.49</v>
      </c>
      <c r="I21" s="9" t="n">
        <v>0</v>
      </c>
      <c r="J21" s="9" t="n">
        <v>0</v>
      </c>
      <c r="K21" s="9" t="n">
        <v>55969883.85</v>
      </c>
      <c r="L21" s="9">
        <f>K21-H21</f>
        <v/>
      </c>
      <c r="M21" s="32">
        <f>IFERROR(L21/H21," ")</f>
        <v/>
      </c>
      <c r="N21">
        <f>IF(A21="BS",IFERROR(VLOOKUP(TRIM($E21),'BS Mapping std'!$A:$D,4,0),VLOOKUP(TRIM($D21),'BS Mapping std'!$A:$D,4,0)),IFERROR(VLOOKUP(TRIM($E21),'PL mapping Std'!$A:$D,4,0),VLOOKUP(TRIM($D21),'PL mapping Std'!$A:$D,4,0)))</f>
        <v/>
      </c>
      <c r="O21">
        <f>_xlfn.IFERROR(VLOOKUP(E21,'F30 mapping'!A:C,3,0),VLOOKUP(D21,'F30 mapping'!A:C,3,0))</f>
        <v/>
      </c>
      <c r="P21">
        <f>_xlfn.IFERROR(IFERROR(VLOOKUP(E21,'F40 mapping'!A:C,3,0),VLOOKUP(D21,'F40 mapping'!A:C,3,0)),0)</f>
        <v/>
      </c>
      <c r="Q21">
        <f>_xlfn.IFERROR(IFERROR(VLOOKUP(E21,'F40 mapping'!A:D,4,0),VLOOKUP(D21,'F40 mapping'!A:D,4,0)),0)</f>
        <v/>
      </c>
      <c r="R21">
        <f>_xlfn.IFERROR(IFERROR(VLOOKUP(E21,'F40 mapping'!A:E,5,0),VLOOKUP(D21,'F40 mapping'!A:E,5,0)),0)</f>
        <v/>
      </c>
      <c r="S21">
        <f>_xlfn.IF(B21&lt;6,IFERROR(VLOOKUP(E21,'BS Mapping std'!A:E,5,0),VLOOKUP(D21,'BS Mapping std'!A:E,5,0)),IFERROR(VLOOKUP(E21,'PL mapping Std'!A:F,6,0),VLOOKUP(D21,'PL mapping Std'!A:F,6,0)))</f>
        <v/>
      </c>
      <c r="T21">
        <f>_xlfn.IF(B21&lt;6,IFERROR(VLOOKUP(E21,'BS Mapping std'!A:F,6,0),VLOOKUP(D21,'BS Mapping std'!A:F,6,0)),IFERROR(VLOOKUP(E21,'PL mapping Std'!A:G,7,0),VLOOKUP(D21,'PL mapping Std'!A:G,7,0)))</f>
        <v/>
      </c>
      <c r="V21">
        <f>IF(IF(A21="BS",IFERROR(VLOOKUP(TRIM($E21),'BS Mapping std'!$A:$H,8,0),VLOOKUP(TRIM($D21),'BS Mapping std'!$A:$H,8,0)),IFERROR(VLOOKUP(TRIM($E21),'PL mapping Std'!$A:$E,5,0),VLOOKUP(TRIM($D21),'PL mapping Std'!$A:$E,5,0)))=0,"",IF(A21="BS",IFERROR(VLOOKUP(TRIM($E21),'BS Mapping std'!$A:$H,8,0),VLOOKUP(TRIM($D21),'BS Mapping std'!$A:$H,8,0)),IFERROR(VLOOKUP(TRIM($E21),'PL mapping Std'!$A:$E,5,0),VLOOKUP(TRIM($D21),'PL mapping Std'!$A:$E,5,0))))</f>
        <v/>
      </c>
      <c r="W21">
        <f>_xlfn.IFERROR(VLOOKUP(E21,'F30 mapping'!A:D,4,0),VLOOKUP(D21,'F30 mapping'!A:D,4,0))</f>
        <v/>
      </c>
      <c r="X21">
        <f>IF(B21&lt;6,IFERROR(VLOOKUP(E21,'BS Mapping std'!A:M,13,0),VLOOKUP(D21,'BS Mapping std'!A:M,13,0)),0)</f>
        <v/>
      </c>
      <c r="Y21">
        <f>IF(B21&lt;6,IFERROR(VLOOKUP(E21,'BS Mapping std'!A:N,14,0),VLOOKUP(D21,'BS Mapping std'!A:N,14,0)),0)</f>
        <v/>
      </c>
    </row>
    <row r="22" spans="1:25">
      <c r="A22">
        <f>IF(B22&lt;6,"BS",IF(B22=6,"Exp","Rev"))</f>
        <v/>
      </c>
      <c r="B22">
        <f>_xlfn.NUMBERVALUE(LEFT(F22,1))</f>
        <v/>
      </c>
      <c r="C22">
        <f>Left(F22,2)</f>
        <v/>
      </c>
      <c r="D22">
        <f>Left(F22,3)</f>
        <v/>
      </c>
      <c r="E22">
        <f>IF(F22="121",Left(F22,3)&amp;"0",Left(F22,4))</f>
        <v/>
      </c>
      <c r="F22" t="n">
        <v>11710020</v>
      </c>
      <c r="G22" t="s">
        <v>47</v>
      </c>
      <c r="H22" s="9" t="n">
        <v>-1277071.32</v>
      </c>
      <c r="I22" s="9" t="n">
        <v>0</v>
      </c>
      <c r="J22" s="9" t="n">
        <v>0</v>
      </c>
      <c r="K22" s="9" t="n">
        <v>-1277071.32</v>
      </c>
      <c r="L22" s="9">
        <f>K22-H22</f>
        <v/>
      </c>
      <c r="M22" s="32">
        <f>IFERROR(L22/H22," ")</f>
        <v/>
      </c>
      <c r="N22">
        <f>IF(A22="BS",IFERROR(VLOOKUP(TRIM($E22),'BS Mapping std'!$A:$D,4,0),VLOOKUP(TRIM($D22),'BS Mapping std'!$A:$D,4,0)),IFERROR(VLOOKUP(TRIM($E22),'PL mapping Std'!$A:$D,4,0),VLOOKUP(TRIM($D22),'PL mapping Std'!$A:$D,4,0)))</f>
        <v/>
      </c>
      <c r="O22">
        <f>_xlfn.IFERROR(VLOOKUP(E22,'F30 mapping'!A:C,3,0),VLOOKUP(D22,'F30 mapping'!A:C,3,0))</f>
        <v/>
      </c>
      <c r="P22">
        <f>_xlfn.IFERROR(IFERROR(VLOOKUP(E22,'F40 mapping'!A:C,3,0),VLOOKUP(D22,'F40 mapping'!A:C,3,0)),0)</f>
        <v/>
      </c>
      <c r="Q22">
        <f>_xlfn.IFERROR(IFERROR(VLOOKUP(E22,'F40 mapping'!A:D,4,0),VLOOKUP(D22,'F40 mapping'!A:D,4,0)),0)</f>
        <v/>
      </c>
      <c r="R22">
        <f>_xlfn.IFERROR(IFERROR(VLOOKUP(E22,'F40 mapping'!A:E,5,0),VLOOKUP(D22,'F40 mapping'!A:E,5,0)),0)</f>
        <v/>
      </c>
      <c r="S22">
        <f>_xlfn.IF(B22&lt;6,IFERROR(VLOOKUP(E22,'BS Mapping std'!A:E,5,0),VLOOKUP(D22,'BS Mapping std'!A:E,5,0)),IFERROR(VLOOKUP(E22,'PL mapping Std'!A:F,6,0),VLOOKUP(D22,'PL mapping Std'!A:F,6,0)))</f>
        <v/>
      </c>
      <c r="T22">
        <f>_xlfn.IF(B22&lt;6,IFERROR(VLOOKUP(E22,'BS Mapping std'!A:F,6,0),VLOOKUP(D22,'BS Mapping std'!A:F,6,0)),IFERROR(VLOOKUP(E22,'PL mapping Std'!A:G,7,0),VLOOKUP(D22,'PL mapping Std'!A:G,7,0)))</f>
        <v/>
      </c>
      <c r="V22">
        <f>IF(IF(A22="BS",IFERROR(VLOOKUP(TRIM($E22),'BS Mapping std'!$A:$H,8,0),VLOOKUP(TRIM($D22),'BS Mapping std'!$A:$H,8,0)),IFERROR(VLOOKUP(TRIM($E22),'PL mapping Std'!$A:$E,5,0),VLOOKUP(TRIM($D22),'PL mapping Std'!$A:$E,5,0)))=0,"",IF(A22="BS",IFERROR(VLOOKUP(TRIM($E22),'BS Mapping std'!$A:$H,8,0),VLOOKUP(TRIM($D22),'BS Mapping std'!$A:$H,8,0)),IFERROR(VLOOKUP(TRIM($E22),'PL mapping Std'!$A:$E,5,0),VLOOKUP(TRIM($D22),'PL mapping Std'!$A:$E,5,0))))</f>
        <v/>
      </c>
      <c r="W22">
        <f>_xlfn.IFERROR(VLOOKUP(E22,'F30 mapping'!A:D,4,0),VLOOKUP(D22,'F30 mapping'!A:D,4,0))</f>
        <v/>
      </c>
      <c r="X22">
        <f>IF(B22&lt;6,IFERROR(VLOOKUP(E22,'BS Mapping std'!A:M,13,0),VLOOKUP(D22,'BS Mapping std'!A:M,13,0)),0)</f>
        <v/>
      </c>
      <c r="Y22">
        <f>IF(B22&lt;6,IFERROR(VLOOKUP(E22,'BS Mapping std'!A:N,14,0),VLOOKUP(D22,'BS Mapping std'!A:N,14,0)),0)</f>
        <v/>
      </c>
    </row>
    <row r="23" spans="1:25">
      <c r="A23">
        <f>IF(B23&lt;6,"BS",IF(B23=6,"Exp","Rev"))</f>
        <v/>
      </c>
      <c r="B23">
        <f>_xlfn.NUMBERVALUE(LEFT(F23,1))</f>
        <v/>
      </c>
      <c r="C23">
        <f>Left(F23,2)</f>
        <v/>
      </c>
      <c r="D23">
        <f>Left(F23,3)</f>
        <v/>
      </c>
      <c r="E23">
        <f>IF(F23="121",Left(F23,3)&amp;"0",Left(F23,4))</f>
        <v/>
      </c>
      <c r="F23" t="n">
        <v>11710030</v>
      </c>
      <c r="G23" t="s">
        <v>48</v>
      </c>
      <c r="H23" s="9" t="n">
        <v>3461.44</v>
      </c>
      <c r="I23" s="9" t="n">
        <v>0</v>
      </c>
      <c r="J23" s="9" t="n">
        <v>0</v>
      </c>
      <c r="K23" s="9" t="n">
        <v>3461.44</v>
      </c>
      <c r="L23" s="9">
        <f>K23-H23</f>
        <v/>
      </c>
      <c r="M23" s="32">
        <f>IFERROR(L23/H23," ")</f>
        <v/>
      </c>
      <c r="N23">
        <f>IF(A23="BS",IFERROR(VLOOKUP(TRIM($E23),'BS Mapping std'!$A:$D,4,0),VLOOKUP(TRIM($D23),'BS Mapping std'!$A:$D,4,0)),IFERROR(VLOOKUP(TRIM($E23),'PL mapping Std'!$A:$D,4,0),VLOOKUP(TRIM($D23),'PL mapping Std'!$A:$D,4,0)))</f>
        <v/>
      </c>
      <c r="O23">
        <f>_xlfn.IFERROR(VLOOKUP(E23,'F30 mapping'!A:C,3,0),VLOOKUP(D23,'F30 mapping'!A:C,3,0))</f>
        <v/>
      </c>
      <c r="P23">
        <f>_xlfn.IFERROR(IFERROR(VLOOKUP(E23,'F40 mapping'!A:C,3,0),VLOOKUP(D23,'F40 mapping'!A:C,3,0)),0)</f>
        <v/>
      </c>
      <c r="Q23">
        <f>_xlfn.IFERROR(IFERROR(VLOOKUP(E23,'F40 mapping'!A:D,4,0),VLOOKUP(D23,'F40 mapping'!A:D,4,0)),0)</f>
        <v/>
      </c>
      <c r="R23">
        <f>_xlfn.IFERROR(IFERROR(VLOOKUP(E23,'F40 mapping'!A:E,5,0),VLOOKUP(D23,'F40 mapping'!A:E,5,0)),0)</f>
        <v/>
      </c>
      <c r="S23">
        <f>_xlfn.IF(B23&lt;6,IFERROR(VLOOKUP(E23,'BS Mapping std'!A:E,5,0),VLOOKUP(D23,'BS Mapping std'!A:E,5,0)),IFERROR(VLOOKUP(E23,'PL mapping Std'!A:F,6,0),VLOOKUP(D23,'PL mapping Std'!A:F,6,0)))</f>
        <v/>
      </c>
      <c r="T23">
        <f>_xlfn.IF(B23&lt;6,IFERROR(VLOOKUP(E23,'BS Mapping std'!A:F,6,0),VLOOKUP(D23,'BS Mapping std'!A:F,6,0)),IFERROR(VLOOKUP(E23,'PL mapping Std'!A:G,7,0),VLOOKUP(D23,'PL mapping Std'!A:G,7,0)))</f>
        <v/>
      </c>
      <c r="V23">
        <f>IF(IF(A23="BS",IFERROR(VLOOKUP(TRIM($E23),'BS Mapping std'!$A:$H,8,0),VLOOKUP(TRIM($D23),'BS Mapping std'!$A:$H,8,0)),IFERROR(VLOOKUP(TRIM($E23),'PL mapping Std'!$A:$E,5,0),VLOOKUP(TRIM($D23),'PL mapping Std'!$A:$E,5,0)))=0,"",IF(A23="BS",IFERROR(VLOOKUP(TRIM($E23),'BS Mapping std'!$A:$H,8,0),VLOOKUP(TRIM($D23),'BS Mapping std'!$A:$H,8,0)),IFERROR(VLOOKUP(TRIM($E23),'PL mapping Std'!$A:$E,5,0),VLOOKUP(TRIM($D23),'PL mapping Std'!$A:$E,5,0))))</f>
        <v/>
      </c>
      <c r="W23">
        <f>_xlfn.IFERROR(VLOOKUP(E23,'F30 mapping'!A:D,4,0),VLOOKUP(D23,'F30 mapping'!A:D,4,0))</f>
        <v/>
      </c>
      <c r="X23">
        <f>IF(B23&lt;6,IFERROR(VLOOKUP(E23,'BS Mapping std'!A:M,13,0),VLOOKUP(D23,'BS Mapping std'!A:M,13,0)),0)</f>
        <v/>
      </c>
      <c r="Y23">
        <f>IF(B23&lt;6,IFERROR(VLOOKUP(E23,'BS Mapping std'!A:N,14,0),VLOOKUP(D23,'BS Mapping std'!A:N,14,0)),0)</f>
        <v/>
      </c>
    </row>
    <row r="24" spans="1:25">
      <c r="A24">
        <f>IF(B24&lt;6,"BS",IF(B24=6,"Exp","Rev"))</f>
        <v/>
      </c>
      <c r="B24">
        <f>_xlfn.NUMBERVALUE(LEFT(F24,1))</f>
        <v/>
      </c>
      <c r="C24">
        <f>Left(F24,2)</f>
        <v/>
      </c>
      <c r="D24">
        <f>Left(F24,3)</f>
        <v/>
      </c>
      <c r="E24">
        <f>IF(F24="121",Left(F24,3)&amp;"0",Left(F24,4))</f>
        <v/>
      </c>
      <c r="F24" t="n">
        <v>11750000</v>
      </c>
      <c r="G24" t="s">
        <v>49</v>
      </c>
      <c r="H24" s="9" t="n">
        <v>-259545.36</v>
      </c>
      <c r="I24" s="9" t="n">
        <v>0</v>
      </c>
      <c r="J24" s="9" t="n">
        <v>129471.96</v>
      </c>
      <c r="K24" s="9" t="n">
        <v>-389017.32</v>
      </c>
      <c r="L24" s="9">
        <f>K24-H24</f>
        <v/>
      </c>
      <c r="M24" s="32">
        <f>IFERROR(L24/H24," ")</f>
        <v/>
      </c>
      <c r="N24">
        <f>IF(A24="BS",IFERROR(VLOOKUP(TRIM($E24),'BS Mapping std'!$A:$D,4,0),VLOOKUP(TRIM($D24),'BS Mapping std'!$A:$D,4,0)),IFERROR(VLOOKUP(TRIM($E24),'PL mapping Std'!$A:$D,4,0),VLOOKUP(TRIM($D24),'PL mapping Std'!$A:$D,4,0)))</f>
        <v/>
      </c>
      <c r="O24">
        <f>_xlfn.IFERROR(VLOOKUP(E24,'F30 mapping'!A:C,3,0),VLOOKUP(D24,'F30 mapping'!A:C,3,0))</f>
        <v/>
      </c>
      <c r="P24">
        <f>_xlfn.IFERROR(IFERROR(VLOOKUP(E24,'F40 mapping'!A:C,3,0),VLOOKUP(D24,'F40 mapping'!A:C,3,0)),0)</f>
        <v/>
      </c>
      <c r="Q24">
        <f>_xlfn.IFERROR(IFERROR(VLOOKUP(E24,'F40 mapping'!A:D,4,0),VLOOKUP(D24,'F40 mapping'!A:D,4,0)),0)</f>
        <v/>
      </c>
      <c r="R24">
        <f>_xlfn.IFERROR(IFERROR(VLOOKUP(E24,'F40 mapping'!A:E,5,0),VLOOKUP(D24,'F40 mapping'!A:E,5,0)),0)</f>
        <v/>
      </c>
      <c r="S24">
        <f>_xlfn.IF(B24&lt;6,IFERROR(VLOOKUP(E24,'BS Mapping std'!A:E,5,0),VLOOKUP(D24,'BS Mapping std'!A:E,5,0)),IFERROR(VLOOKUP(E24,'PL mapping Std'!A:F,6,0),VLOOKUP(D24,'PL mapping Std'!A:F,6,0)))</f>
        <v/>
      </c>
      <c r="T24">
        <f>_xlfn.IF(B24&lt;6,IFERROR(VLOOKUP(E24,'BS Mapping std'!A:F,6,0),VLOOKUP(D24,'BS Mapping std'!A:F,6,0)),IFERROR(VLOOKUP(E24,'PL mapping Std'!A:G,7,0),VLOOKUP(D24,'PL mapping Std'!A:G,7,0)))</f>
        <v/>
      </c>
      <c r="V24">
        <f>IF(IF(A24="BS",IFERROR(VLOOKUP(TRIM($E24),'BS Mapping std'!$A:$H,8,0),VLOOKUP(TRIM($D24),'BS Mapping std'!$A:$H,8,0)),IFERROR(VLOOKUP(TRIM($E24),'PL mapping Std'!$A:$E,5,0),VLOOKUP(TRIM($D24),'PL mapping Std'!$A:$E,5,0)))=0,"",IF(A24="BS",IFERROR(VLOOKUP(TRIM($E24),'BS Mapping std'!$A:$H,8,0),VLOOKUP(TRIM($D24),'BS Mapping std'!$A:$H,8,0)),IFERROR(VLOOKUP(TRIM($E24),'PL mapping Std'!$A:$E,5,0),VLOOKUP(TRIM($D24),'PL mapping Std'!$A:$E,5,0))))</f>
        <v/>
      </c>
      <c r="W24">
        <f>_xlfn.IFERROR(VLOOKUP(E24,'F30 mapping'!A:D,4,0),VLOOKUP(D24,'F30 mapping'!A:D,4,0))</f>
        <v/>
      </c>
      <c r="X24">
        <f>IF(B24&lt;6,IFERROR(VLOOKUP(E24,'BS Mapping std'!A:M,13,0),VLOOKUP(D24,'BS Mapping std'!A:M,13,0)),0)</f>
        <v/>
      </c>
      <c r="Y24">
        <f>IF(B24&lt;6,IFERROR(VLOOKUP(E24,'BS Mapping std'!A:N,14,0),VLOOKUP(D24,'BS Mapping std'!A:N,14,0)),0)</f>
        <v/>
      </c>
    </row>
    <row r="25" spans="1:25">
      <c r="A25">
        <f>IF(B25&lt;6,"BS",IF(B25=6,"Exp","Rev"))</f>
        <v/>
      </c>
      <c r="B25">
        <f>_xlfn.NUMBERVALUE(LEFT(F25,1))</f>
        <v/>
      </c>
      <c r="C25">
        <f>Left(F25,2)</f>
        <v/>
      </c>
      <c r="D25">
        <f>Left(F25,3)</f>
        <v/>
      </c>
      <c r="E25">
        <f>IF(F25="121",Left(F25,3)&amp;"0",Left(F25,4))</f>
        <v/>
      </c>
      <c r="F25" t="n">
        <v>12100000</v>
      </c>
      <c r="G25" t="s">
        <v>48</v>
      </c>
      <c r="H25" s="9" t="n">
        <v>-161172.1999999434</v>
      </c>
      <c r="I25" s="9" t="n">
        <v>163690564.8799999</v>
      </c>
      <c r="J25" s="9" t="n">
        <v>164888200.1500001</v>
      </c>
      <c r="K25" s="9" t="n">
        <v>-1197635.270000219</v>
      </c>
      <c r="L25" s="9">
        <f>K25-H25</f>
        <v/>
      </c>
      <c r="M25" s="32">
        <f>IFERROR(L25/H25," ")</f>
        <v/>
      </c>
      <c r="N25">
        <f>IF(A25="BS",IFERROR(VLOOKUP(TRIM($E25),'BS Mapping std'!$A:$D,4,0),VLOOKUP(TRIM($D25),'BS Mapping std'!$A:$D,4,0)),IFERROR(VLOOKUP(TRIM($E25),'PL mapping Std'!$A:$D,4,0),VLOOKUP(TRIM($D25),'PL mapping Std'!$A:$D,4,0)))</f>
        <v/>
      </c>
      <c r="O25">
        <f>_xlfn.IFERROR(VLOOKUP(E25,'F30 mapping'!A:C,3,0),VLOOKUP(D25,'F30 mapping'!A:C,3,0))</f>
        <v/>
      </c>
      <c r="P25">
        <f>_xlfn.IFERROR(IFERROR(VLOOKUP(E25,'F40 mapping'!A:C,3,0),VLOOKUP(D25,'F40 mapping'!A:C,3,0)),0)</f>
        <v/>
      </c>
      <c r="Q25">
        <f>_xlfn.IFERROR(IFERROR(VLOOKUP(E25,'F40 mapping'!A:D,4,0),VLOOKUP(D25,'F40 mapping'!A:D,4,0)),0)</f>
        <v/>
      </c>
      <c r="R25">
        <f>_xlfn.IFERROR(IFERROR(VLOOKUP(E25,'F40 mapping'!A:E,5,0),VLOOKUP(D25,'F40 mapping'!A:E,5,0)),0)</f>
        <v/>
      </c>
      <c r="S25">
        <f>_xlfn.IF(B25&lt;6,IFERROR(VLOOKUP(E25,'BS Mapping std'!A:E,5,0),VLOOKUP(D25,'BS Mapping std'!A:E,5,0)),IFERROR(VLOOKUP(E25,'PL mapping Std'!A:F,6,0),VLOOKUP(D25,'PL mapping Std'!A:F,6,0)))</f>
        <v/>
      </c>
      <c r="T25">
        <f>_xlfn.IF(B25&lt;6,IFERROR(VLOOKUP(E25,'BS Mapping std'!A:F,6,0),VLOOKUP(D25,'BS Mapping std'!A:F,6,0)),IFERROR(VLOOKUP(E25,'PL mapping Std'!A:G,7,0),VLOOKUP(D25,'PL mapping Std'!A:G,7,0)))</f>
        <v/>
      </c>
      <c r="V25">
        <f>IF(IF(A25="BS",IFERROR(VLOOKUP(TRIM($E25),'BS Mapping std'!$A:$H,8,0),VLOOKUP(TRIM($D25),'BS Mapping std'!$A:$H,8,0)),IFERROR(VLOOKUP(TRIM($E25),'PL mapping Std'!$A:$E,5,0),VLOOKUP(TRIM($D25),'PL mapping Std'!$A:$E,5,0)))=0,"",IF(A25="BS",IFERROR(VLOOKUP(TRIM($E25),'BS Mapping std'!$A:$H,8,0),VLOOKUP(TRIM($D25),'BS Mapping std'!$A:$H,8,0)),IFERROR(VLOOKUP(TRIM($E25),'PL mapping Std'!$A:$E,5,0),VLOOKUP(TRIM($D25),'PL mapping Std'!$A:$E,5,0))))</f>
        <v/>
      </c>
      <c r="W25">
        <f>_xlfn.IFERROR(VLOOKUP(E25,'F30 mapping'!A:D,4,0),VLOOKUP(D25,'F30 mapping'!A:D,4,0))</f>
        <v/>
      </c>
      <c r="X25">
        <f>IF(B25&lt;6,IFERROR(VLOOKUP(E25,'BS Mapping std'!A:M,13,0),VLOOKUP(D25,'BS Mapping std'!A:M,13,0)),0)</f>
        <v/>
      </c>
      <c r="Y25">
        <f>IF(B25&lt;6,IFERROR(VLOOKUP(E25,'BS Mapping std'!A:N,14,0),VLOOKUP(D25,'BS Mapping std'!A:N,14,0)),0)</f>
        <v/>
      </c>
    </row>
    <row r="26" spans="1:25">
      <c r="A26">
        <f>IF(B26&lt;6,"BS",IF(B26=6,"Exp","Rev"))</f>
        <v/>
      </c>
      <c r="B26">
        <f>_xlfn.NUMBERVALUE(LEFT(F26,1))</f>
        <v/>
      </c>
      <c r="C26">
        <f>Left(F26,2)</f>
        <v/>
      </c>
      <c r="D26">
        <f>Left(F26,3)</f>
        <v/>
      </c>
      <c r="E26">
        <f>IF(F26="121",Left(F26,3)&amp;"0",Left(F26,4))</f>
        <v/>
      </c>
      <c r="F26" t="n">
        <v>12900000</v>
      </c>
      <c r="G26" t="s">
        <v>50</v>
      </c>
      <c r="H26" s="9" t="n">
        <v>8059</v>
      </c>
      <c r="I26" s="9" t="n">
        <v>119999.76</v>
      </c>
      <c r="J26" s="9" t="n">
        <v>68177</v>
      </c>
      <c r="K26" s="9" t="n">
        <v>59881.76</v>
      </c>
      <c r="L26" s="9">
        <f>K26-H26</f>
        <v/>
      </c>
      <c r="M26" s="32">
        <f>IFERROR(L26/H26," ")</f>
        <v/>
      </c>
      <c r="N26">
        <f>IF(A26="BS",IFERROR(VLOOKUP(TRIM($E26),'BS Mapping std'!$A:$D,4,0),VLOOKUP(TRIM($D26),'BS Mapping std'!$A:$D,4,0)),IFERROR(VLOOKUP(TRIM($E26),'PL mapping Std'!$A:$D,4,0),VLOOKUP(TRIM($D26),'PL mapping Std'!$A:$D,4,0)))</f>
        <v/>
      </c>
      <c r="O26">
        <f>_xlfn.IFERROR(VLOOKUP(E26,'F30 mapping'!A:C,3,0),VLOOKUP(D26,'F30 mapping'!A:C,3,0))</f>
        <v/>
      </c>
      <c r="P26">
        <f>_xlfn.IFERROR(IFERROR(VLOOKUP(E26,'F40 mapping'!A:C,3,0),VLOOKUP(D26,'F40 mapping'!A:C,3,0)),0)</f>
        <v/>
      </c>
      <c r="Q26">
        <f>_xlfn.IFERROR(IFERROR(VLOOKUP(E26,'F40 mapping'!A:D,4,0),VLOOKUP(D26,'F40 mapping'!A:D,4,0)),0)</f>
        <v/>
      </c>
      <c r="R26">
        <f>_xlfn.IFERROR(IFERROR(VLOOKUP(E26,'F40 mapping'!A:E,5,0),VLOOKUP(D26,'F40 mapping'!A:E,5,0)),0)</f>
        <v/>
      </c>
      <c r="S26">
        <f>_xlfn.IF(B26&lt;6,IFERROR(VLOOKUP(E26,'BS Mapping std'!A:E,5,0),VLOOKUP(D26,'BS Mapping std'!A:E,5,0)),IFERROR(VLOOKUP(E26,'PL mapping Std'!A:F,6,0),VLOOKUP(D26,'PL mapping Std'!A:F,6,0)))</f>
        <v/>
      </c>
      <c r="T26">
        <f>_xlfn.IF(B26&lt;6,IFERROR(VLOOKUP(E26,'BS Mapping std'!A:F,6,0),VLOOKUP(D26,'BS Mapping std'!A:F,6,0)),IFERROR(VLOOKUP(E26,'PL mapping Std'!A:G,7,0),VLOOKUP(D26,'PL mapping Std'!A:G,7,0)))</f>
        <v/>
      </c>
      <c r="V26">
        <f>IF(IF(A26="BS",IFERROR(VLOOKUP(TRIM($E26),'BS Mapping std'!$A:$H,8,0),VLOOKUP(TRIM($D26),'BS Mapping std'!$A:$H,8,0)),IFERROR(VLOOKUP(TRIM($E26),'PL mapping Std'!$A:$E,5,0),VLOOKUP(TRIM($D26),'PL mapping Std'!$A:$E,5,0)))=0,"",IF(A26="BS",IFERROR(VLOOKUP(TRIM($E26),'BS Mapping std'!$A:$H,8,0),VLOOKUP(TRIM($D26),'BS Mapping std'!$A:$H,8,0)),IFERROR(VLOOKUP(TRIM($E26),'PL mapping Std'!$A:$E,5,0),VLOOKUP(TRIM($D26),'PL mapping Std'!$A:$E,5,0))))</f>
        <v/>
      </c>
      <c r="W26">
        <f>_xlfn.IFERROR(VLOOKUP(E26,'F30 mapping'!A:D,4,0),VLOOKUP(D26,'F30 mapping'!A:D,4,0))</f>
        <v/>
      </c>
      <c r="X26">
        <f>IF(B26&lt;6,IFERROR(VLOOKUP(E26,'BS Mapping std'!A:M,13,0),VLOOKUP(D26,'BS Mapping std'!A:M,13,0)),0)</f>
        <v/>
      </c>
      <c r="Y26">
        <f>IF(B26&lt;6,IFERROR(VLOOKUP(E26,'BS Mapping std'!A:N,14,0),VLOOKUP(D26,'BS Mapping std'!A:N,14,0)),0)</f>
        <v/>
      </c>
    </row>
    <row r="27" spans="1:25">
      <c r="A27">
        <f>IF(B27&lt;6,"BS",IF(B27=6,"Exp","Rev"))</f>
        <v/>
      </c>
      <c r="B27">
        <f>_xlfn.NUMBERVALUE(LEFT(F27,1))</f>
        <v/>
      </c>
      <c r="C27">
        <f>Left(F27,2)</f>
        <v/>
      </c>
      <c r="D27">
        <f>Left(F27,3)</f>
        <v/>
      </c>
      <c r="E27">
        <f>IF(F27="121",Left(F27,3)&amp;"0",Left(F27,4))</f>
        <v/>
      </c>
      <c r="F27" t="n">
        <v>15180000</v>
      </c>
      <c r="G27" t="s">
        <v>51</v>
      </c>
      <c r="H27" s="9" t="n">
        <v>-600</v>
      </c>
      <c r="I27" s="9" t="n">
        <v>600</v>
      </c>
      <c r="J27" s="9" t="n">
        <v>0</v>
      </c>
      <c r="K27" s="9" t="n">
        <v>0</v>
      </c>
      <c r="L27" s="9">
        <f>K27-H27</f>
        <v/>
      </c>
      <c r="M27" s="32">
        <f>IFERROR(L27/H27," ")</f>
        <v/>
      </c>
      <c r="N27">
        <f>IF(A27="BS",IFERROR(VLOOKUP(TRIM($E27),'BS Mapping std'!$A:$D,4,0),VLOOKUP(TRIM($D27),'BS Mapping std'!$A:$D,4,0)),IFERROR(VLOOKUP(TRIM($E27),'PL mapping Std'!$A:$D,4,0),VLOOKUP(TRIM($D27),'PL mapping Std'!$A:$D,4,0)))</f>
        <v/>
      </c>
      <c r="O27">
        <f>_xlfn.IFERROR(VLOOKUP(E27,'F30 mapping'!A:C,3,0),VLOOKUP(D27,'F30 mapping'!A:C,3,0))</f>
        <v/>
      </c>
      <c r="P27">
        <f>_xlfn.IFERROR(IFERROR(VLOOKUP(E27,'F40 mapping'!A:C,3,0),VLOOKUP(D27,'F40 mapping'!A:C,3,0)),0)</f>
        <v/>
      </c>
      <c r="Q27">
        <f>_xlfn.IFERROR(IFERROR(VLOOKUP(E27,'F40 mapping'!A:D,4,0),VLOOKUP(D27,'F40 mapping'!A:D,4,0)),0)</f>
        <v/>
      </c>
      <c r="R27">
        <f>_xlfn.IFERROR(IFERROR(VLOOKUP(E27,'F40 mapping'!A:E,5,0),VLOOKUP(D27,'F40 mapping'!A:E,5,0)),0)</f>
        <v/>
      </c>
      <c r="S27">
        <f>_xlfn.IF(B27&lt;6,IFERROR(VLOOKUP(E27,'BS Mapping std'!A:E,5,0),VLOOKUP(D27,'BS Mapping std'!A:E,5,0)),IFERROR(VLOOKUP(E27,'PL mapping Std'!A:F,6,0),VLOOKUP(D27,'PL mapping Std'!A:F,6,0)))</f>
        <v/>
      </c>
      <c r="T27">
        <f>_xlfn.IF(B27&lt;6,IFERROR(VLOOKUP(E27,'BS Mapping std'!A:F,6,0),VLOOKUP(D27,'BS Mapping std'!A:F,6,0)),IFERROR(VLOOKUP(E27,'PL mapping Std'!A:G,7,0),VLOOKUP(D27,'PL mapping Std'!A:G,7,0)))</f>
        <v/>
      </c>
      <c r="V27">
        <f>IF(IF(A27="BS",IFERROR(VLOOKUP(TRIM($E27),'BS Mapping std'!$A:$H,8,0),VLOOKUP(TRIM($D27),'BS Mapping std'!$A:$H,8,0)),IFERROR(VLOOKUP(TRIM($E27),'PL mapping Std'!$A:$E,5,0),VLOOKUP(TRIM($D27),'PL mapping Std'!$A:$E,5,0)))=0,"",IF(A27="BS",IFERROR(VLOOKUP(TRIM($E27),'BS Mapping std'!$A:$H,8,0),VLOOKUP(TRIM($D27),'BS Mapping std'!$A:$H,8,0)),IFERROR(VLOOKUP(TRIM($E27),'PL mapping Std'!$A:$E,5,0),VLOOKUP(TRIM($D27),'PL mapping Std'!$A:$E,5,0))))</f>
        <v/>
      </c>
      <c r="W27">
        <f>_xlfn.IFERROR(VLOOKUP(E27,'F30 mapping'!A:D,4,0),VLOOKUP(D27,'F30 mapping'!A:D,4,0))</f>
        <v/>
      </c>
      <c r="X27">
        <f>IF(B27&lt;6,IFERROR(VLOOKUP(E27,'BS Mapping std'!A:M,13,0),VLOOKUP(D27,'BS Mapping std'!A:M,13,0)),0)</f>
        <v/>
      </c>
      <c r="Y27">
        <f>IF(B27&lt;6,IFERROR(VLOOKUP(E27,'BS Mapping std'!A:N,14,0),VLOOKUP(D27,'BS Mapping std'!A:N,14,0)),0)</f>
        <v/>
      </c>
    </row>
    <row r="28" spans="1:25">
      <c r="A28">
        <f>IF(B28&lt;6,"BS",IF(B28=6,"Exp","Rev"))</f>
        <v/>
      </c>
      <c r="B28">
        <f>_xlfn.NUMBERVALUE(LEFT(F28,1))</f>
        <v/>
      </c>
      <c r="C28">
        <f>Left(F28,2)</f>
        <v/>
      </c>
      <c r="D28">
        <f>Left(F28,3)</f>
        <v/>
      </c>
      <c r="E28">
        <f>IF(F28="121",Left(F28,3)&amp;"0",Left(F28,4))</f>
        <v/>
      </c>
      <c r="F28" t="n">
        <v>15180030</v>
      </c>
      <c r="G28" t="s">
        <v>52</v>
      </c>
      <c r="H28" s="9" t="n">
        <v>-341970</v>
      </c>
      <c r="I28" s="9" t="n">
        <v>341970</v>
      </c>
      <c r="J28" s="9" t="n">
        <v>433041</v>
      </c>
      <c r="K28" s="9" t="n">
        <v>-433041</v>
      </c>
      <c r="L28" s="9">
        <f>K28-H28</f>
        <v/>
      </c>
      <c r="M28" s="32">
        <f>IFERROR(L28/H28," ")</f>
        <v/>
      </c>
      <c r="N28">
        <f>IF(A28="BS",IFERROR(VLOOKUP(TRIM($E28),'BS Mapping std'!$A:$D,4,0),VLOOKUP(TRIM($D28),'BS Mapping std'!$A:$D,4,0)),IFERROR(VLOOKUP(TRIM($E28),'PL mapping Std'!$A:$D,4,0),VLOOKUP(TRIM($D28),'PL mapping Std'!$A:$D,4,0)))</f>
        <v/>
      </c>
      <c r="O28">
        <f>_xlfn.IFERROR(VLOOKUP(E28,'F30 mapping'!A:C,3,0),VLOOKUP(D28,'F30 mapping'!A:C,3,0))</f>
        <v/>
      </c>
      <c r="P28">
        <f>_xlfn.IFERROR(IFERROR(VLOOKUP(E28,'F40 mapping'!A:C,3,0),VLOOKUP(D28,'F40 mapping'!A:C,3,0)),0)</f>
        <v/>
      </c>
      <c r="Q28">
        <f>_xlfn.IFERROR(IFERROR(VLOOKUP(E28,'F40 mapping'!A:D,4,0),VLOOKUP(D28,'F40 mapping'!A:D,4,0)),0)</f>
        <v/>
      </c>
      <c r="R28">
        <f>_xlfn.IFERROR(IFERROR(VLOOKUP(E28,'F40 mapping'!A:E,5,0),VLOOKUP(D28,'F40 mapping'!A:E,5,0)),0)</f>
        <v/>
      </c>
      <c r="S28">
        <f>_xlfn.IF(B28&lt;6,IFERROR(VLOOKUP(E28,'BS Mapping std'!A:E,5,0),VLOOKUP(D28,'BS Mapping std'!A:E,5,0)),IFERROR(VLOOKUP(E28,'PL mapping Std'!A:F,6,0),VLOOKUP(D28,'PL mapping Std'!A:F,6,0)))</f>
        <v/>
      </c>
      <c r="T28">
        <f>_xlfn.IF(B28&lt;6,IFERROR(VLOOKUP(E28,'BS Mapping std'!A:F,6,0),VLOOKUP(D28,'BS Mapping std'!A:F,6,0)),IFERROR(VLOOKUP(E28,'PL mapping Std'!A:G,7,0),VLOOKUP(D28,'PL mapping Std'!A:G,7,0)))</f>
        <v/>
      </c>
      <c r="V28">
        <f>IF(IF(A28="BS",IFERROR(VLOOKUP(TRIM($E28),'BS Mapping std'!$A:$H,8,0),VLOOKUP(TRIM($D28),'BS Mapping std'!$A:$H,8,0)),IFERROR(VLOOKUP(TRIM($E28),'PL mapping Std'!$A:$E,5,0),VLOOKUP(TRIM($D28),'PL mapping Std'!$A:$E,5,0)))=0,"",IF(A28="BS",IFERROR(VLOOKUP(TRIM($E28),'BS Mapping std'!$A:$H,8,0),VLOOKUP(TRIM($D28),'BS Mapping std'!$A:$H,8,0)),IFERROR(VLOOKUP(TRIM($E28),'PL mapping Std'!$A:$E,5,0),VLOOKUP(TRIM($D28),'PL mapping Std'!$A:$E,5,0))))</f>
        <v/>
      </c>
      <c r="W28">
        <f>_xlfn.IFERROR(VLOOKUP(E28,'F30 mapping'!A:D,4,0),VLOOKUP(D28,'F30 mapping'!A:D,4,0))</f>
        <v/>
      </c>
      <c r="X28">
        <f>IF(B28&lt;6,IFERROR(VLOOKUP(E28,'BS Mapping std'!A:M,13,0),VLOOKUP(D28,'BS Mapping std'!A:M,13,0)),0)</f>
        <v/>
      </c>
      <c r="Y28">
        <f>IF(B28&lt;6,IFERROR(VLOOKUP(E28,'BS Mapping std'!A:N,14,0),VLOOKUP(D28,'BS Mapping std'!A:N,14,0)),0)</f>
        <v/>
      </c>
    </row>
    <row r="29" spans="1:25">
      <c r="A29">
        <f>IF(B29&lt;6,"BS",IF(B29=6,"Exp","Rev"))</f>
        <v/>
      </c>
      <c r="B29">
        <f>_xlfn.NUMBERVALUE(LEFT(F29,1))</f>
        <v/>
      </c>
      <c r="C29">
        <f>Left(F29,2)</f>
        <v/>
      </c>
      <c r="D29">
        <f>Left(F29,3)</f>
        <v/>
      </c>
      <c r="E29">
        <f>IF(F29="121",Left(F29,3)&amp;"0",Left(F29,4))</f>
        <v/>
      </c>
      <c r="F29" t="n">
        <v>15180040</v>
      </c>
      <c r="G29" t="s">
        <v>53</v>
      </c>
      <c r="H29" s="9" t="n">
        <v>-103970.11</v>
      </c>
      <c r="I29" s="9" t="n">
        <v>141674.99</v>
      </c>
      <c r="J29" s="9" t="n">
        <v>136102.88</v>
      </c>
      <c r="K29" s="9" t="n">
        <v>-98398</v>
      </c>
      <c r="L29" s="9">
        <f>K29-H29</f>
        <v/>
      </c>
      <c r="M29" s="32">
        <f>IFERROR(L29/H29," ")</f>
        <v/>
      </c>
      <c r="N29">
        <f>IF(A29="BS",IFERROR(VLOOKUP(TRIM($E29),'BS Mapping std'!$A:$D,4,0),VLOOKUP(TRIM($D29),'BS Mapping std'!$A:$D,4,0)),IFERROR(VLOOKUP(TRIM($E29),'PL mapping Std'!$A:$D,4,0),VLOOKUP(TRIM($D29),'PL mapping Std'!$A:$D,4,0)))</f>
        <v/>
      </c>
      <c r="O29">
        <f>_xlfn.IFERROR(VLOOKUP(E29,'F30 mapping'!A:C,3,0),VLOOKUP(D29,'F30 mapping'!A:C,3,0))</f>
        <v/>
      </c>
      <c r="P29">
        <f>_xlfn.IFERROR(IFERROR(VLOOKUP(E29,'F40 mapping'!A:C,3,0),VLOOKUP(D29,'F40 mapping'!A:C,3,0)),0)</f>
        <v/>
      </c>
      <c r="Q29">
        <f>_xlfn.IFERROR(IFERROR(VLOOKUP(E29,'F40 mapping'!A:D,4,0),VLOOKUP(D29,'F40 mapping'!A:D,4,0)),0)</f>
        <v/>
      </c>
      <c r="R29">
        <f>_xlfn.IFERROR(IFERROR(VLOOKUP(E29,'F40 mapping'!A:E,5,0),VLOOKUP(D29,'F40 mapping'!A:E,5,0)),0)</f>
        <v/>
      </c>
      <c r="S29">
        <f>_xlfn.IF(B29&lt;6,IFERROR(VLOOKUP(E29,'BS Mapping std'!A:E,5,0),VLOOKUP(D29,'BS Mapping std'!A:E,5,0)),IFERROR(VLOOKUP(E29,'PL mapping Std'!A:F,6,0),VLOOKUP(D29,'PL mapping Std'!A:F,6,0)))</f>
        <v/>
      </c>
      <c r="T29">
        <f>_xlfn.IF(B29&lt;6,IFERROR(VLOOKUP(E29,'BS Mapping std'!A:F,6,0),VLOOKUP(D29,'BS Mapping std'!A:F,6,0)),IFERROR(VLOOKUP(E29,'PL mapping Std'!A:G,7,0),VLOOKUP(D29,'PL mapping Std'!A:G,7,0)))</f>
        <v/>
      </c>
      <c r="V29">
        <f>IF(IF(A29="BS",IFERROR(VLOOKUP(TRIM($E29),'BS Mapping std'!$A:$H,8,0),VLOOKUP(TRIM($D29),'BS Mapping std'!$A:$H,8,0)),IFERROR(VLOOKUP(TRIM($E29),'PL mapping Std'!$A:$E,5,0),VLOOKUP(TRIM($D29),'PL mapping Std'!$A:$E,5,0)))=0,"",IF(A29="BS",IFERROR(VLOOKUP(TRIM($E29),'BS Mapping std'!$A:$H,8,0),VLOOKUP(TRIM($D29),'BS Mapping std'!$A:$H,8,0)),IFERROR(VLOOKUP(TRIM($E29),'PL mapping Std'!$A:$E,5,0),VLOOKUP(TRIM($D29),'PL mapping Std'!$A:$E,5,0))))</f>
        <v/>
      </c>
      <c r="W29">
        <f>_xlfn.IFERROR(VLOOKUP(E29,'F30 mapping'!A:D,4,0),VLOOKUP(D29,'F30 mapping'!A:D,4,0))</f>
        <v/>
      </c>
      <c r="X29">
        <f>IF(B29&lt;6,IFERROR(VLOOKUP(E29,'BS Mapping std'!A:M,13,0),VLOOKUP(D29,'BS Mapping std'!A:M,13,0)),0)</f>
        <v/>
      </c>
      <c r="Y29">
        <f>IF(B29&lt;6,IFERROR(VLOOKUP(E29,'BS Mapping std'!A:N,14,0),VLOOKUP(D29,'BS Mapping std'!A:N,14,0)),0)</f>
        <v/>
      </c>
    </row>
    <row r="30" spans="1:25">
      <c r="A30">
        <f>IF(B30&lt;6,"BS",IF(B30=6,"Exp","Rev"))</f>
        <v/>
      </c>
      <c r="B30">
        <f>_xlfn.NUMBERVALUE(LEFT(F30,1))</f>
        <v/>
      </c>
      <c r="C30">
        <f>Left(F30,2)</f>
        <v/>
      </c>
      <c r="D30">
        <f>Left(F30,3)</f>
        <v/>
      </c>
      <c r="E30">
        <f>IF(F30="121",Left(F30,3)&amp;"0",Left(F30,4))</f>
        <v/>
      </c>
      <c r="F30" t="n">
        <v>16610030</v>
      </c>
      <c r="G30" t="s">
        <v>54</v>
      </c>
      <c r="H30" s="9" t="n">
        <v>-45580109.62</v>
      </c>
      <c r="I30" s="9" t="n">
        <v>7988270.2</v>
      </c>
      <c r="J30" s="9" t="n">
        <v>3289704</v>
      </c>
      <c r="K30" s="9" t="n">
        <v>-40881543.42</v>
      </c>
      <c r="L30" s="9">
        <f>K30-H30</f>
        <v/>
      </c>
      <c r="M30" s="32">
        <f>IFERROR(L30/H30," ")</f>
        <v/>
      </c>
      <c r="N30">
        <f>IF(A30="BS",IFERROR(VLOOKUP(TRIM($E30),'BS Mapping std'!$A:$D,4,0),VLOOKUP(TRIM($D30),'BS Mapping std'!$A:$D,4,0)),IFERROR(VLOOKUP(TRIM($E30),'PL mapping Std'!$A:$D,4,0),VLOOKUP(TRIM($D30),'PL mapping Std'!$A:$D,4,0)))</f>
        <v/>
      </c>
      <c r="O30">
        <f>_xlfn.IFERROR(VLOOKUP(E30,'F30 mapping'!A:C,3,0),VLOOKUP(D30,'F30 mapping'!A:C,3,0))</f>
        <v/>
      </c>
      <c r="P30">
        <f>_xlfn.IFERROR(IFERROR(VLOOKUP(E30,'F40 mapping'!A:C,3,0),VLOOKUP(D30,'F40 mapping'!A:C,3,0)),0)</f>
        <v/>
      </c>
      <c r="Q30">
        <f>_xlfn.IFERROR(IFERROR(VLOOKUP(E30,'F40 mapping'!A:D,4,0),VLOOKUP(D30,'F40 mapping'!A:D,4,0)),0)</f>
        <v/>
      </c>
      <c r="R30">
        <f>_xlfn.IFERROR(IFERROR(VLOOKUP(E30,'F40 mapping'!A:E,5,0),VLOOKUP(D30,'F40 mapping'!A:E,5,0)),0)</f>
        <v/>
      </c>
      <c r="S30">
        <f>_xlfn.IF(B30&lt;6,IFERROR(VLOOKUP(E30,'BS Mapping std'!A:E,5,0),VLOOKUP(D30,'BS Mapping std'!A:E,5,0)),IFERROR(VLOOKUP(E30,'PL mapping Std'!A:F,6,0),VLOOKUP(D30,'PL mapping Std'!A:F,6,0)))</f>
        <v/>
      </c>
      <c r="T30">
        <f>_xlfn.IF(B30&lt;6,IFERROR(VLOOKUP(E30,'BS Mapping std'!A:F,6,0),VLOOKUP(D30,'BS Mapping std'!A:F,6,0)),IFERROR(VLOOKUP(E30,'PL mapping Std'!A:G,7,0),VLOOKUP(D30,'PL mapping Std'!A:G,7,0)))</f>
        <v/>
      </c>
      <c r="V30">
        <f>IF(IF(A30="BS",IFERROR(VLOOKUP(TRIM($E30),'BS Mapping std'!$A:$H,8,0),VLOOKUP(TRIM($D30),'BS Mapping std'!$A:$H,8,0)),IFERROR(VLOOKUP(TRIM($E30),'PL mapping Std'!$A:$E,5,0),VLOOKUP(TRIM($D30),'PL mapping Std'!$A:$E,5,0)))=0,"",IF(A30="BS",IFERROR(VLOOKUP(TRIM($E30),'BS Mapping std'!$A:$H,8,0),VLOOKUP(TRIM($D30),'BS Mapping std'!$A:$H,8,0)),IFERROR(VLOOKUP(TRIM($E30),'PL mapping Std'!$A:$E,5,0),VLOOKUP(TRIM($D30),'PL mapping Std'!$A:$E,5,0))))</f>
        <v/>
      </c>
      <c r="W30">
        <f>_xlfn.IFERROR(VLOOKUP(E30,'F30 mapping'!A:D,4,0),VLOOKUP(D30,'F30 mapping'!A:D,4,0))</f>
        <v/>
      </c>
      <c r="X30">
        <f>IF(B30&lt;6,IFERROR(VLOOKUP(E30,'BS Mapping std'!A:M,13,0),VLOOKUP(D30,'BS Mapping std'!A:M,13,0)),0)</f>
        <v/>
      </c>
      <c r="Y30">
        <f>IF(B30&lt;6,IFERROR(VLOOKUP(E30,'BS Mapping std'!A:N,14,0),VLOOKUP(D30,'BS Mapping std'!A:N,14,0)),0)</f>
        <v/>
      </c>
    </row>
    <row r="31" spans="1:25">
      <c r="A31">
        <f>IF(B31&lt;6,"BS",IF(B31=6,"Exp","Rev"))</f>
        <v/>
      </c>
      <c r="B31">
        <f>_xlfn.NUMBERVALUE(LEFT(F31,1))</f>
        <v/>
      </c>
      <c r="C31">
        <f>Left(F31,2)</f>
        <v/>
      </c>
      <c r="D31">
        <f>Left(F31,3)</f>
        <v/>
      </c>
      <c r="E31">
        <f>IF(F31="121",Left(F31,3)&amp;"0",Left(F31,4))</f>
        <v/>
      </c>
      <c r="F31" t="n">
        <v>16610040</v>
      </c>
      <c r="G31" t="s">
        <v>55</v>
      </c>
      <c r="H31" s="9" t="n">
        <v>-26207905.15</v>
      </c>
      <c r="I31" s="9" t="n">
        <v>0</v>
      </c>
      <c r="J31" s="9" t="n">
        <v>0</v>
      </c>
      <c r="K31" s="9" t="n">
        <v>-26207905.15</v>
      </c>
      <c r="L31" s="9">
        <f>K31-H31</f>
        <v/>
      </c>
      <c r="M31" s="32">
        <f>IFERROR(L31/H31," ")</f>
        <v/>
      </c>
      <c r="N31">
        <f>IF(A31="BS",IFERROR(VLOOKUP(TRIM($E31),'BS Mapping std'!$A:$D,4,0),VLOOKUP(TRIM($D31),'BS Mapping std'!$A:$D,4,0)),IFERROR(VLOOKUP(TRIM($E31),'PL mapping Std'!$A:$D,4,0),VLOOKUP(TRIM($D31),'PL mapping Std'!$A:$D,4,0)))</f>
        <v/>
      </c>
      <c r="O31">
        <f>_xlfn.IFERROR(VLOOKUP(E31,'F30 mapping'!A:C,3,0),VLOOKUP(D31,'F30 mapping'!A:C,3,0))</f>
        <v/>
      </c>
      <c r="P31">
        <f>_xlfn.IFERROR(IFERROR(VLOOKUP(E31,'F40 mapping'!A:C,3,0),VLOOKUP(D31,'F40 mapping'!A:C,3,0)),0)</f>
        <v/>
      </c>
      <c r="Q31">
        <f>_xlfn.IFERROR(IFERROR(VLOOKUP(E31,'F40 mapping'!A:D,4,0),VLOOKUP(D31,'F40 mapping'!A:D,4,0)),0)</f>
        <v/>
      </c>
      <c r="R31">
        <f>_xlfn.IFERROR(IFERROR(VLOOKUP(E31,'F40 mapping'!A:E,5,0),VLOOKUP(D31,'F40 mapping'!A:E,5,0)),0)</f>
        <v/>
      </c>
      <c r="S31">
        <f>_xlfn.IF(B31&lt;6,IFERROR(VLOOKUP(E31,'BS Mapping std'!A:E,5,0),VLOOKUP(D31,'BS Mapping std'!A:E,5,0)),IFERROR(VLOOKUP(E31,'PL mapping Std'!A:F,6,0),VLOOKUP(D31,'PL mapping Std'!A:F,6,0)))</f>
        <v/>
      </c>
      <c r="T31">
        <f>_xlfn.IF(B31&lt;6,IFERROR(VLOOKUP(E31,'BS Mapping std'!A:F,6,0),VLOOKUP(D31,'BS Mapping std'!A:F,6,0)),IFERROR(VLOOKUP(E31,'PL mapping Std'!A:G,7,0),VLOOKUP(D31,'PL mapping Std'!A:G,7,0)))</f>
        <v/>
      </c>
      <c r="V31">
        <f>IF(IF(A31="BS",IFERROR(VLOOKUP(TRIM($E31),'BS Mapping std'!$A:$H,8,0),VLOOKUP(TRIM($D31),'BS Mapping std'!$A:$H,8,0)),IFERROR(VLOOKUP(TRIM($E31),'PL mapping Std'!$A:$E,5,0),VLOOKUP(TRIM($D31),'PL mapping Std'!$A:$E,5,0)))=0,"",IF(A31="BS",IFERROR(VLOOKUP(TRIM($E31),'BS Mapping std'!$A:$H,8,0),VLOOKUP(TRIM($D31),'BS Mapping std'!$A:$H,8,0)),IFERROR(VLOOKUP(TRIM($E31),'PL mapping Std'!$A:$E,5,0),VLOOKUP(TRIM($D31),'PL mapping Std'!$A:$E,5,0))))</f>
        <v/>
      </c>
      <c r="W31">
        <f>_xlfn.IFERROR(VLOOKUP(E31,'F30 mapping'!A:D,4,0),VLOOKUP(D31,'F30 mapping'!A:D,4,0))</f>
        <v/>
      </c>
      <c r="X31">
        <f>IF(B31&lt;6,IFERROR(VLOOKUP(E31,'BS Mapping std'!A:M,13,0),VLOOKUP(D31,'BS Mapping std'!A:M,13,0)),0)</f>
        <v/>
      </c>
      <c r="Y31">
        <f>IF(B31&lt;6,IFERROR(VLOOKUP(E31,'BS Mapping std'!A:N,14,0),VLOOKUP(D31,'BS Mapping std'!A:N,14,0)),0)</f>
        <v/>
      </c>
    </row>
    <row r="32" spans="1:25">
      <c r="A32">
        <f>IF(B32&lt;6,"BS",IF(B32=6,"Exp","Rev"))</f>
        <v/>
      </c>
      <c r="B32">
        <f>_xlfn.NUMBERVALUE(LEFT(F32,1))</f>
        <v/>
      </c>
      <c r="C32">
        <f>Left(F32,2)</f>
        <v/>
      </c>
      <c r="D32">
        <f>Left(F32,3)</f>
        <v/>
      </c>
      <c r="E32">
        <f>IF(F32="121",Left(F32,3)&amp;"0",Left(F32,4))</f>
        <v/>
      </c>
      <c r="F32" t="n">
        <v>16610050</v>
      </c>
      <c r="G32" t="s">
        <v>56</v>
      </c>
      <c r="H32" s="9" t="n">
        <v>-8227345.3</v>
      </c>
      <c r="I32" s="9" t="n">
        <v>0</v>
      </c>
      <c r="J32" s="9" t="n">
        <v>0</v>
      </c>
      <c r="K32" s="9" t="n">
        <v>-8227345.3</v>
      </c>
      <c r="L32" s="9">
        <f>K32-H32</f>
        <v/>
      </c>
      <c r="M32" s="32">
        <f>IFERROR(L32/H32," ")</f>
        <v/>
      </c>
      <c r="N32">
        <f>IF(A32="BS",IFERROR(VLOOKUP(TRIM($E32),'BS Mapping std'!$A:$D,4,0),VLOOKUP(TRIM($D32),'BS Mapping std'!$A:$D,4,0)),IFERROR(VLOOKUP(TRIM($E32),'PL mapping Std'!$A:$D,4,0),VLOOKUP(TRIM($D32),'PL mapping Std'!$A:$D,4,0)))</f>
        <v/>
      </c>
      <c r="O32">
        <f>_xlfn.IFERROR(VLOOKUP(E32,'F30 mapping'!A:C,3,0),VLOOKUP(D32,'F30 mapping'!A:C,3,0))</f>
        <v/>
      </c>
      <c r="P32">
        <f>_xlfn.IFERROR(IFERROR(VLOOKUP(E32,'F40 mapping'!A:C,3,0),VLOOKUP(D32,'F40 mapping'!A:C,3,0)),0)</f>
        <v/>
      </c>
      <c r="Q32">
        <f>_xlfn.IFERROR(IFERROR(VLOOKUP(E32,'F40 mapping'!A:D,4,0),VLOOKUP(D32,'F40 mapping'!A:D,4,0)),0)</f>
        <v/>
      </c>
      <c r="R32">
        <f>_xlfn.IFERROR(IFERROR(VLOOKUP(E32,'F40 mapping'!A:E,5,0),VLOOKUP(D32,'F40 mapping'!A:E,5,0)),0)</f>
        <v/>
      </c>
      <c r="S32">
        <f>_xlfn.IF(B32&lt;6,IFERROR(VLOOKUP(E32,'BS Mapping std'!A:E,5,0),VLOOKUP(D32,'BS Mapping std'!A:E,5,0)),IFERROR(VLOOKUP(E32,'PL mapping Std'!A:F,6,0),VLOOKUP(D32,'PL mapping Std'!A:F,6,0)))</f>
        <v/>
      </c>
      <c r="T32">
        <f>_xlfn.IF(B32&lt;6,IFERROR(VLOOKUP(E32,'BS Mapping std'!A:F,6,0),VLOOKUP(D32,'BS Mapping std'!A:F,6,0)),IFERROR(VLOOKUP(E32,'PL mapping Std'!A:G,7,0),VLOOKUP(D32,'PL mapping Std'!A:G,7,0)))</f>
        <v/>
      </c>
      <c r="V32">
        <f>IF(IF(A32="BS",IFERROR(VLOOKUP(TRIM($E32),'BS Mapping std'!$A:$H,8,0),VLOOKUP(TRIM($D32),'BS Mapping std'!$A:$H,8,0)),IFERROR(VLOOKUP(TRIM($E32),'PL mapping Std'!$A:$E,5,0),VLOOKUP(TRIM($D32),'PL mapping Std'!$A:$E,5,0)))=0,"",IF(A32="BS",IFERROR(VLOOKUP(TRIM($E32),'BS Mapping std'!$A:$H,8,0),VLOOKUP(TRIM($D32),'BS Mapping std'!$A:$H,8,0)),IFERROR(VLOOKUP(TRIM($E32),'PL mapping Std'!$A:$E,5,0),VLOOKUP(TRIM($D32),'PL mapping Std'!$A:$E,5,0))))</f>
        <v/>
      </c>
      <c r="W32">
        <f>_xlfn.IFERROR(VLOOKUP(E32,'F30 mapping'!A:D,4,0),VLOOKUP(D32,'F30 mapping'!A:D,4,0))</f>
        <v/>
      </c>
      <c r="X32">
        <f>IF(B32&lt;6,IFERROR(VLOOKUP(E32,'BS Mapping std'!A:M,13,0),VLOOKUP(D32,'BS Mapping std'!A:M,13,0)),0)</f>
        <v/>
      </c>
      <c r="Y32">
        <f>IF(B32&lt;6,IFERROR(VLOOKUP(E32,'BS Mapping std'!A:N,14,0),VLOOKUP(D32,'BS Mapping std'!A:N,14,0)),0)</f>
        <v/>
      </c>
    </row>
    <row r="33" spans="1:25">
      <c r="A33">
        <f>IF(B33&lt;6,"BS",IF(B33=6,"Exp","Rev"))</f>
        <v/>
      </c>
      <c r="B33">
        <f>_xlfn.NUMBERVALUE(LEFT(F33,1))</f>
        <v/>
      </c>
      <c r="C33">
        <f>Left(F33,2)</f>
        <v/>
      </c>
      <c r="D33">
        <f>Left(F33,3)</f>
        <v/>
      </c>
      <c r="E33">
        <f>IF(F33="121",Left(F33,3)&amp;"0",Left(F33,4))</f>
        <v/>
      </c>
      <c r="F33" t="n">
        <v>16610060</v>
      </c>
      <c r="G33" t="s">
        <v>57</v>
      </c>
      <c r="H33" s="9" t="n">
        <v>-3722325.38</v>
      </c>
      <c r="I33" s="9" t="n">
        <v>2453862.5</v>
      </c>
      <c r="J33" s="9" t="n">
        <v>0</v>
      </c>
      <c r="K33" s="9" t="n">
        <v>-1268462.88</v>
      </c>
      <c r="L33" s="9">
        <f>K33-H33</f>
        <v/>
      </c>
      <c r="M33" s="32">
        <f>IFERROR(L33/H33," ")</f>
        <v/>
      </c>
      <c r="N33">
        <f>IF(A33="BS",IFERROR(VLOOKUP(TRIM($E33),'BS Mapping std'!$A:$D,4,0),VLOOKUP(TRIM($D33),'BS Mapping std'!$A:$D,4,0)),IFERROR(VLOOKUP(TRIM($E33),'PL mapping Std'!$A:$D,4,0),VLOOKUP(TRIM($D33),'PL mapping Std'!$A:$D,4,0)))</f>
        <v/>
      </c>
      <c r="O33">
        <f>_xlfn.IFERROR(VLOOKUP(E33,'F30 mapping'!A:C,3,0),VLOOKUP(D33,'F30 mapping'!A:C,3,0))</f>
        <v/>
      </c>
      <c r="P33">
        <f>_xlfn.IFERROR(IFERROR(VLOOKUP(E33,'F40 mapping'!A:C,3,0),VLOOKUP(D33,'F40 mapping'!A:C,3,0)),0)</f>
        <v/>
      </c>
      <c r="Q33">
        <f>_xlfn.IFERROR(IFERROR(VLOOKUP(E33,'F40 mapping'!A:D,4,0),VLOOKUP(D33,'F40 mapping'!A:D,4,0)),0)</f>
        <v/>
      </c>
      <c r="R33">
        <f>_xlfn.IFERROR(IFERROR(VLOOKUP(E33,'F40 mapping'!A:E,5,0),VLOOKUP(D33,'F40 mapping'!A:E,5,0)),0)</f>
        <v/>
      </c>
      <c r="S33">
        <f>_xlfn.IF(B33&lt;6,IFERROR(VLOOKUP(E33,'BS Mapping std'!A:E,5,0),VLOOKUP(D33,'BS Mapping std'!A:E,5,0)),IFERROR(VLOOKUP(E33,'PL mapping Std'!A:F,6,0),VLOOKUP(D33,'PL mapping Std'!A:F,6,0)))</f>
        <v/>
      </c>
      <c r="T33">
        <f>_xlfn.IF(B33&lt;6,IFERROR(VLOOKUP(E33,'BS Mapping std'!A:F,6,0),VLOOKUP(D33,'BS Mapping std'!A:F,6,0)),IFERROR(VLOOKUP(E33,'PL mapping Std'!A:G,7,0),VLOOKUP(D33,'PL mapping Std'!A:G,7,0)))</f>
        <v/>
      </c>
      <c r="V33">
        <f>IF(IF(A33="BS",IFERROR(VLOOKUP(TRIM($E33),'BS Mapping std'!$A:$H,8,0),VLOOKUP(TRIM($D33),'BS Mapping std'!$A:$H,8,0)),IFERROR(VLOOKUP(TRIM($E33),'PL mapping Std'!$A:$E,5,0),VLOOKUP(TRIM($D33),'PL mapping Std'!$A:$E,5,0)))=0,"",IF(A33="BS",IFERROR(VLOOKUP(TRIM($E33),'BS Mapping std'!$A:$H,8,0),VLOOKUP(TRIM($D33),'BS Mapping std'!$A:$H,8,0)),IFERROR(VLOOKUP(TRIM($E33),'PL mapping Std'!$A:$E,5,0),VLOOKUP(TRIM($D33),'PL mapping Std'!$A:$E,5,0))))</f>
        <v/>
      </c>
      <c r="W33">
        <f>_xlfn.IFERROR(VLOOKUP(E33,'F30 mapping'!A:D,4,0),VLOOKUP(D33,'F30 mapping'!A:D,4,0))</f>
        <v/>
      </c>
      <c r="X33">
        <f>IF(B33&lt;6,IFERROR(VLOOKUP(E33,'BS Mapping std'!A:M,13,0),VLOOKUP(D33,'BS Mapping std'!A:M,13,0)),0)</f>
        <v/>
      </c>
      <c r="Y33">
        <f>IF(B33&lt;6,IFERROR(VLOOKUP(E33,'BS Mapping std'!A:N,14,0),VLOOKUP(D33,'BS Mapping std'!A:N,14,0)),0)</f>
        <v/>
      </c>
    </row>
    <row r="34" spans="1:25">
      <c r="A34">
        <f>IF(B34&lt;6,"BS",IF(B34=6,"Exp","Rev"))</f>
        <v/>
      </c>
      <c r="B34">
        <f>_xlfn.NUMBERVALUE(LEFT(F34,1))</f>
        <v/>
      </c>
      <c r="C34">
        <f>Left(F34,2)</f>
        <v/>
      </c>
      <c r="D34">
        <f>Left(F34,3)</f>
        <v/>
      </c>
      <c r="E34">
        <f>IF(F34="121",Left(F34,3)&amp;"0",Left(F34,4))</f>
        <v/>
      </c>
      <c r="F34" t="n">
        <v>16618888</v>
      </c>
      <c r="G34" t="s">
        <v>58</v>
      </c>
      <c r="H34" s="9" t="n">
        <v>-4092339.92</v>
      </c>
      <c r="I34" s="9" t="n">
        <v>2317320.15</v>
      </c>
      <c r="J34" s="9" t="n">
        <v>2066586.36</v>
      </c>
      <c r="K34" s="9" t="n">
        <v>-3841606.13</v>
      </c>
      <c r="L34" s="9">
        <f>K34-H34</f>
        <v/>
      </c>
      <c r="M34" s="32">
        <f>IFERROR(L34/H34," ")</f>
        <v/>
      </c>
      <c r="N34">
        <f>IF(A34="BS",IFERROR(VLOOKUP(TRIM($E34),'BS Mapping std'!$A:$D,4,0),VLOOKUP(TRIM($D34),'BS Mapping std'!$A:$D,4,0)),IFERROR(VLOOKUP(TRIM($E34),'PL mapping Std'!$A:$D,4,0),VLOOKUP(TRIM($D34),'PL mapping Std'!$A:$D,4,0)))</f>
        <v/>
      </c>
      <c r="O34">
        <f>_xlfn.IFERROR(VLOOKUP(E34,'F30 mapping'!A:C,3,0),VLOOKUP(D34,'F30 mapping'!A:C,3,0))</f>
        <v/>
      </c>
      <c r="P34">
        <f>_xlfn.IFERROR(IFERROR(VLOOKUP(E34,'F40 mapping'!A:C,3,0),VLOOKUP(D34,'F40 mapping'!A:C,3,0)),0)</f>
        <v/>
      </c>
      <c r="Q34">
        <f>_xlfn.IFERROR(IFERROR(VLOOKUP(E34,'F40 mapping'!A:D,4,0),VLOOKUP(D34,'F40 mapping'!A:D,4,0)),0)</f>
        <v/>
      </c>
      <c r="R34">
        <f>_xlfn.IFERROR(IFERROR(VLOOKUP(E34,'F40 mapping'!A:E,5,0),VLOOKUP(D34,'F40 mapping'!A:E,5,0)),0)</f>
        <v/>
      </c>
      <c r="S34">
        <f>_xlfn.IF(B34&lt;6,IFERROR(VLOOKUP(E34,'BS Mapping std'!A:E,5,0),VLOOKUP(D34,'BS Mapping std'!A:E,5,0)),IFERROR(VLOOKUP(E34,'PL mapping Std'!A:F,6,0),VLOOKUP(D34,'PL mapping Std'!A:F,6,0)))</f>
        <v/>
      </c>
      <c r="T34">
        <f>_xlfn.IF(B34&lt;6,IFERROR(VLOOKUP(E34,'BS Mapping std'!A:F,6,0),VLOOKUP(D34,'BS Mapping std'!A:F,6,0)),IFERROR(VLOOKUP(E34,'PL mapping Std'!A:G,7,0),VLOOKUP(D34,'PL mapping Std'!A:G,7,0)))</f>
        <v/>
      </c>
      <c r="V34">
        <f>IF(IF(A34="BS",IFERROR(VLOOKUP(TRIM($E34),'BS Mapping std'!$A:$H,8,0),VLOOKUP(TRIM($D34),'BS Mapping std'!$A:$H,8,0)),IFERROR(VLOOKUP(TRIM($E34),'PL mapping Std'!$A:$E,5,0),VLOOKUP(TRIM($D34),'PL mapping Std'!$A:$E,5,0)))=0,"",IF(A34="BS",IFERROR(VLOOKUP(TRIM($E34),'BS Mapping std'!$A:$H,8,0),VLOOKUP(TRIM($D34),'BS Mapping std'!$A:$H,8,0)),IFERROR(VLOOKUP(TRIM($E34),'PL mapping Std'!$A:$E,5,0),VLOOKUP(TRIM($D34),'PL mapping Std'!$A:$E,5,0))))</f>
        <v/>
      </c>
      <c r="W34">
        <f>_xlfn.IFERROR(VLOOKUP(E34,'F30 mapping'!A:D,4,0),VLOOKUP(D34,'F30 mapping'!A:D,4,0))</f>
        <v/>
      </c>
      <c r="X34">
        <f>IF(B34&lt;6,IFERROR(VLOOKUP(E34,'BS Mapping std'!A:M,13,0),VLOOKUP(D34,'BS Mapping std'!A:M,13,0)),0)</f>
        <v/>
      </c>
      <c r="Y34">
        <f>IF(B34&lt;6,IFERROR(VLOOKUP(E34,'BS Mapping std'!A:N,14,0),VLOOKUP(D34,'BS Mapping std'!A:N,14,0)),0)</f>
        <v/>
      </c>
    </row>
    <row r="35" spans="1:25">
      <c r="A35">
        <f>IF(B35&lt;6,"BS",IF(B35=6,"Exp","Rev"))</f>
        <v/>
      </c>
      <c r="B35">
        <f>_xlfn.NUMBERVALUE(LEFT(F35,1))</f>
        <v/>
      </c>
      <c r="C35">
        <f>Left(F35,2)</f>
        <v/>
      </c>
      <c r="D35">
        <f>Left(F35,3)</f>
        <v/>
      </c>
      <c r="E35">
        <f>IF(F35="121",Left(F35,3)&amp;"0",Left(F35,4))</f>
        <v/>
      </c>
      <c r="F35" t="n">
        <v>16619999</v>
      </c>
      <c r="G35" t="s">
        <v>59</v>
      </c>
      <c r="H35" s="9" t="n">
        <v>-3106052.62</v>
      </c>
      <c r="I35" s="9" t="n">
        <v>140725</v>
      </c>
      <c r="J35" s="9" t="n">
        <v>119921.5</v>
      </c>
      <c r="K35" s="9" t="n">
        <v>-3085249.12</v>
      </c>
      <c r="L35" s="9">
        <f>K35-H35</f>
        <v/>
      </c>
      <c r="M35" s="32">
        <f>IFERROR(L35/H35," ")</f>
        <v/>
      </c>
      <c r="N35">
        <f>IF(A35="BS",IFERROR(VLOOKUP(TRIM($E35),'BS Mapping std'!$A:$D,4,0),VLOOKUP(TRIM($D35),'BS Mapping std'!$A:$D,4,0)),IFERROR(VLOOKUP(TRIM($E35),'PL mapping Std'!$A:$D,4,0),VLOOKUP(TRIM($D35),'PL mapping Std'!$A:$D,4,0)))</f>
        <v/>
      </c>
      <c r="O35">
        <f>_xlfn.IFERROR(VLOOKUP(E35,'F30 mapping'!A:C,3,0),VLOOKUP(D35,'F30 mapping'!A:C,3,0))</f>
        <v/>
      </c>
      <c r="P35">
        <f>_xlfn.IFERROR(IFERROR(VLOOKUP(E35,'F40 mapping'!A:C,3,0),VLOOKUP(D35,'F40 mapping'!A:C,3,0)),0)</f>
        <v/>
      </c>
      <c r="Q35">
        <f>_xlfn.IFERROR(IFERROR(VLOOKUP(E35,'F40 mapping'!A:D,4,0),VLOOKUP(D35,'F40 mapping'!A:D,4,0)),0)</f>
        <v/>
      </c>
      <c r="R35">
        <f>_xlfn.IFERROR(IFERROR(VLOOKUP(E35,'F40 mapping'!A:E,5,0),VLOOKUP(D35,'F40 mapping'!A:E,5,0)),0)</f>
        <v/>
      </c>
      <c r="S35">
        <f>_xlfn.IF(B35&lt;6,IFERROR(VLOOKUP(E35,'BS Mapping std'!A:E,5,0),VLOOKUP(D35,'BS Mapping std'!A:E,5,0)),IFERROR(VLOOKUP(E35,'PL mapping Std'!A:F,6,0),VLOOKUP(D35,'PL mapping Std'!A:F,6,0)))</f>
        <v/>
      </c>
      <c r="T35">
        <f>_xlfn.IF(B35&lt;6,IFERROR(VLOOKUP(E35,'BS Mapping std'!A:F,6,0),VLOOKUP(D35,'BS Mapping std'!A:F,6,0)),IFERROR(VLOOKUP(E35,'PL mapping Std'!A:G,7,0),VLOOKUP(D35,'PL mapping Std'!A:G,7,0)))</f>
        <v/>
      </c>
      <c r="V35">
        <f>IF(IF(A35="BS",IFERROR(VLOOKUP(TRIM($E35),'BS Mapping std'!$A:$H,8,0),VLOOKUP(TRIM($D35),'BS Mapping std'!$A:$H,8,0)),IFERROR(VLOOKUP(TRIM($E35),'PL mapping Std'!$A:$E,5,0),VLOOKUP(TRIM($D35),'PL mapping Std'!$A:$E,5,0)))=0,"",IF(A35="BS",IFERROR(VLOOKUP(TRIM($E35),'BS Mapping std'!$A:$H,8,0),VLOOKUP(TRIM($D35),'BS Mapping std'!$A:$H,8,0)),IFERROR(VLOOKUP(TRIM($E35),'PL mapping Std'!$A:$E,5,0),VLOOKUP(TRIM($D35),'PL mapping Std'!$A:$E,5,0))))</f>
        <v/>
      </c>
      <c r="W35">
        <f>_xlfn.IFERROR(VLOOKUP(E35,'F30 mapping'!A:D,4,0),VLOOKUP(D35,'F30 mapping'!A:D,4,0))</f>
        <v/>
      </c>
      <c r="X35">
        <f>IF(B35&lt;6,IFERROR(VLOOKUP(E35,'BS Mapping std'!A:M,13,0),VLOOKUP(D35,'BS Mapping std'!A:M,13,0)),0)</f>
        <v/>
      </c>
      <c r="Y35">
        <f>IF(B35&lt;6,IFERROR(VLOOKUP(E35,'BS Mapping std'!A:N,14,0),VLOOKUP(D35,'BS Mapping std'!A:N,14,0)),0)</f>
        <v/>
      </c>
    </row>
    <row r="36" spans="1:25">
      <c r="A36">
        <f>IF(B36&lt;6,"BS",IF(B36=6,"Exp","Rev"))</f>
        <v/>
      </c>
      <c r="B36">
        <f>_xlfn.NUMBERVALUE(LEFT(F36,1))</f>
        <v/>
      </c>
      <c r="C36">
        <f>Left(F36,2)</f>
        <v/>
      </c>
      <c r="D36">
        <f>Left(F36,3)</f>
        <v/>
      </c>
      <c r="E36">
        <f>IF(F36="121",Left(F36,3)&amp;"0",Left(F36,4))</f>
        <v/>
      </c>
      <c r="F36" t="n">
        <v>16700020</v>
      </c>
      <c r="G36" t="s">
        <v>60</v>
      </c>
      <c r="H36" s="9" t="n">
        <v>-647441</v>
      </c>
      <c r="I36" s="9" t="n">
        <v>467328.23</v>
      </c>
      <c r="J36" s="9" t="n">
        <v>23342.96</v>
      </c>
      <c r="K36" s="9" t="n">
        <v>-203455.73</v>
      </c>
      <c r="L36" s="9">
        <f>K36-H36</f>
        <v/>
      </c>
      <c r="M36" s="32">
        <f>IFERROR(L36/H36," ")</f>
        <v/>
      </c>
      <c r="N36">
        <f>IF(A36="BS",IFERROR(VLOOKUP(TRIM($E36),'BS Mapping std'!$A:$D,4,0),VLOOKUP(TRIM($D36),'BS Mapping std'!$A:$D,4,0)),IFERROR(VLOOKUP(TRIM($E36),'PL mapping Std'!$A:$D,4,0),VLOOKUP(TRIM($D36),'PL mapping Std'!$A:$D,4,0)))</f>
        <v/>
      </c>
      <c r="O36">
        <f>_xlfn.IFERROR(VLOOKUP(E36,'F30 mapping'!A:C,3,0),VLOOKUP(D36,'F30 mapping'!A:C,3,0))</f>
        <v/>
      </c>
      <c r="P36">
        <f>_xlfn.IFERROR(IFERROR(VLOOKUP(E36,'F40 mapping'!A:C,3,0),VLOOKUP(D36,'F40 mapping'!A:C,3,0)),0)</f>
        <v/>
      </c>
      <c r="Q36">
        <f>_xlfn.IFERROR(IFERROR(VLOOKUP(E36,'F40 mapping'!A:D,4,0),VLOOKUP(D36,'F40 mapping'!A:D,4,0)),0)</f>
        <v/>
      </c>
      <c r="R36">
        <f>_xlfn.IFERROR(IFERROR(VLOOKUP(E36,'F40 mapping'!A:E,5,0),VLOOKUP(D36,'F40 mapping'!A:E,5,0)),0)</f>
        <v/>
      </c>
      <c r="S36">
        <f>_xlfn.IF(B36&lt;6,IFERROR(VLOOKUP(E36,'BS Mapping std'!A:E,5,0),VLOOKUP(D36,'BS Mapping std'!A:E,5,0)),IFERROR(VLOOKUP(E36,'PL mapping Std'!A:F,6,0),VLOOKUP(D36,'PL mapping Std'!A:F,6,0)))</f>
        <v/>
      </c>
      <c r="T36">
        <f>_xlfn.IF(B36&lt;6,IFERROR(VLOOKUP(E36,'BS Mapping std'!A:F,6,0),VLOOKUP(D36,'BS Mapping std'!A:F,6,0)),IFERROR(VLOOKUP(E36,'PL mapping Std'!A:G,7,0),VLOOKUP(D36,'PL mapping Std'!A:G,7,0)))</f>
        <v/>
      </c>
      <c r="V36">
        <f>IF(IF(A36="BS",IFERROR(VLOOKUP(TRIM($E36),'BS Mapping std'!$A:$H,8,0),VLOOKUP(TRIM($D36),'BS Mapping std'!$A:$H,8,0)),IFERROR(VLOOKUP(TRIM($E36),'PL mapping Std'!$A:$E,5,0),VLOOKUP(TRIM($D36),'PL mapping Std'!$A:$E,5,0)))=0,"",IF(A36="BS",IFERROR(VLOOKUP(TRIM($E36),'BS Mapping std'!$A:$H,8,0),VLOOKUP(TRIM($D36),'BS Mapping std'!$A:$H,8,0)),IFERROR(VLOOKUP(TRIM($E36),'PL mapping Std'!$A:$E,5,0),VLOOKUP(TRIM($D36),'PL mapping Std'!$A:$E,5,0))))</f>
        <v/>
      </c>
      <c r="W36">
        <f>_xlfn.IFERROR(VLOOKUP(E36,'F30 mapping'!A:D,4,0),VLOOKUP(D36,'F30 mapping'!A:D,4,0))</f>
        <v/>
      </c>
      <c r="X36">
        <f>IF(B36&lt;6,IFERROR(VLOOKUP(E36,'BS Mapping std'!A:M,13,0),VLOOKUP(D36,'BS Mapping std'!A:M,13,0)),0)</f>
        <v/>
      </c>
      <c r="Y36">
        <f>IF(B36&lt;6,IFERROR(VLOOKUP(E36,'BS Mapping std'!A:N,14,0),VLOOKUP(D36,'BS Mapping std'!A:N,14,0)),0)</f>
        <v/>
      </c>
    </row>
    <row r="37" spans="1:25">
      <c r="A37">
        <f>IF(B37&lt;6,"BS",IF(B37=6,"Exp","Rev"))</f>
        <v/>
      </c>
      <c r="B37">
        <f>_xlfn.NUMBERVALUE(LEFT(F37,1))</f>
        <v/>
      </c>
      <c r="C37">
        <f>Left(F37,2)</f>
        <v/>
      </c>
      <c r="D37">
        <f>Left(F37,3)</f>
        <v/>
      </c>
      <c r="E37">
        <f>IF(F37="121",Left(F37,3)&amp;"0",Left(F37,4))</f>
        <v/>
      </c>
      <c r="F37" t="n">
        <v>20800000</v>
      </c>
      <c r="G37" t="s">
        <v>61</v>
      </c>
      <c r="H37" s="9" t="n">
        <v>1566059.8</v>
      </c>
      <c r="I37" s="9" t="n">
        <v>39870.51</v>
      </c>
      <c r="J37" s="9" t="n">
        <v>0</v>
      </c>
      <c r="K37" s="9" t="n">
        <v>1605930.31</v>
      </c>
      <c r="L37" s="9">
        <f>K37-H37</f>
        <v/>
      </c>
      <c r="M37" s="32">
        <f>IFERROR(L37/H37," ")</f>
        <v/>
      </c>
      <c r="N37">
        <f>IF(A37="BS",IFERROR(VLOOKUP(TRIM($E37),'BS Mapping std'!$A:$D,4,0),VLOOKUP(TRIM($D37),'BS Mapping std'!$A:$D,4,0)),IFERROR(VLOOKUP(TRIM($E37),'PL mapping Std'!$A:$D,4,0),VLOOKUP(TRIM($D37),'PL mapping Std'!$A:$D,4,0)))</f>
        <v/>
      </c>
      <c r="O37">
        <f>_xlfn.IFERROR(VLOOKUP(E37,'F30 mapping'!A:C,3,0),VLOOKUP(D37,'F30 mapping'!A:C,3,0))</f>
        <v/>
      </c>
      <c r="P37">
        <f>_xlfn.IFERROR(IFERROR(VLOOKUP(E37,'F40 mapping'!A:C,3,0),VLOOKUP(D37,'F40 mapping'!A:C,3,0)),0)</f>
        <v/>
      </c>
      <c r="Q37">
        <f>_xlfn.IFERROR(IFERROR(VLOOKUP(E37,'F40 mapping'!A:D,4,0),VLOOKUP(D37,'F40 mapping'!A:D,4,0)),0)</f>
        <v/>
      </c>
      <c r="R37">
        <f>_xlfn.IFERROR(IFERROR(VLOOKUP(E37,'F40 mapping'!A:E,5,0),VLOOKUP(D37,'F40 mapping'!A:E,5,0)),0)</f>
        <v/>
      </c>
      <c r="S37">
        <f>_xlfn.IF(B37&lt;6,IFERROR(VLOOKUP(E37,'BS Mapping std'!A:E,5,0),VLOOKUP(D37,'BS Mapping std'!A:E,5,0)),IFERROR(VLOOKUP(E37,'PL mapping Std'!A:F,6,0),VLOOKUP(D37,'PL mapping Std'!A:F,6,0)))</f>
        <v/>
      </c>
      <c r="T37">
        <f>_xlfn.IF(B37&lt;6,IFERROR(VLOOKUP(E37,'BS Mapping std'!A:F,6,0),VLOOKUP(D37,'BS Mapping std'!A:F,6,0)),IFERROR(VLOOKUP(E37,'PL mapping Std'!A:G,7,0),VLOOKUP(D37,'PL mapping Std'!A:G,7,0)))</f>
        <v/>
      </c>
      <c r="V37">
        <f>IF(IF(A37="BS",IFERROR(VLOOKUP(TRIM($E37),'BS Mapping std'!$A:$H,8,0),VLOOKUP(TRIM($D37),'BS Mapping std'!$A:$H,8,0)),IFERROR(VLOOKUP(TRIM($E37),'PL mapping Std'!$A:$E,5,0),VLOOKUP(TRIM($D37),'PL mapping Std'!$A:$E,5,0)))=0,"",IF(A37="BS",IFERROR(VLOOKUP(TRIM($E37),'BS Mapping std'!$A:$H,8,0),VLOOKUP(TRIM($D37),'BS Mapping std'!$A:$H,8,0)),IFERROR(VLOOKUP(TRIM($E37),'PL mapping Std'!$A:$E,5,0),VLOOKUP(TRIM($D37),'PL mapping Std'!$A:$E,5,0))))</f>
        <v/>
      </c>
      <c r="W37">
        <f>_xlfn.IFERROR(VLOOKUP(E37,'F30 mapping'!A:D,4,0),VLOOKUP(D37,'F30 mapping'!A:D,4,0))</f>
        <v/>
      </c>
      <c r="X37">
        <f>IF(B37&lt;6,IFERROR(VLOOKUP(E37,'BS Mapping std'!A:M,13,0),VLOOKUP(D37,'BS Mapping std'!A:M,13,0)),0)</f>
        <v/>
      </c>
      <c r="Y37">
        <f>IF(B37&lt;6,IFERROR(VLOOKUP(E37,'BS Mapping std'!A:N,14,0),VLOOKUP(D37,'BS Mapping std'!A:N,14,0)),0)</f>
        <v/>
      </c>
    </row>
    <row r="38" spans="1:25">
      <c r="A38">
        <f>IF(B38&lt;6,"BS",IF(B38=6,"Exp","Rev"))</f>
        <v/>
      </c>
      <c r="B38">
        <f>_xlfn.NUMBERVALUE(LEFT(F38,1))</f>
        <v/>
      </c>
      <c r="C38">
        <f>Left(F38,2)</f>
        <v/>
      </c>
      <c r="D38">
        <f>Left(F38,3)</f>
        <v/>
      </c>
      <c r="E38">
        <f>IF(F38="121",Left(F38,3)&amp;"0",Left(F38,4))</f>
        <v/>
      </c>
      <c r="F38" t="n">
        <v>21110000</v>
      </c>
      <c r="G38" t="s">
        <v>62</v>
      </c>
      <c r="H38" s="9" t="n">
        <v>2642285</v>
      </c>
      <c r="I38" s="9" t="n">
        <v>0</v>
      </c>
      <c r="J38" s="9" t="n">
        <v>0</v>
      </c>
      <c r="K38" s="9" t="n">
        <v>2642285</v>
      </c>
      <c r="L38" s="9">
        <f>K38-H38</f>
        <v/>
      </c>
      <c r="M38" s="32">
        <f>IFERROR(L38/H38," ")</f>
        <v/>
      </c>
      <c r="N38">
        <f>IF(A38="BS",IFERROR(VLOOKUP(TRIM($E38),'BS Mapping std'!$A:$D,4,0),VLOOKUP(TRIM($D38),'BS Mapping std'!$A:$D,4,0)),IFERROR(VLOOKUP(TRIM($E38),'PL mapping Std'!$A:$D,4,0),VLOOKUP(TRIM($D38),'PL mapping Std'!$A:$D,4,0)))</f>
        <v/>
      </c>
      <c r="O38">
        <f>_xlfn.IFERROR(VLOOKUP(E38,'F30 mapping'!A:C,3,0),VLOOKUP(D38,'F30 mapping'!A:C,3,0))</f>
        <v/>
      </c>
      <c r="P38">
        <f>_xlfn.IFERROR(IFERROR(VLOOKUP(E38,'F40 mapping'!A:C,3,0),VLOOKUP(D38,'F40 mapping'!A:C,3,0)),0)</f>
        <v/>
      </c>
      <c r="Q38">
        <f>_xlfn.IFERROR(IFERROR(VLOOKUP(E38,'F40 mapping'!A:D,4,0),VLOOKUP(D38,'F40 mapping'!A:D,4,0)),0)</f>
        <v/>
      </c>
      <c r="R38">
        <f>_xlfn.IFERROR(IFERROR(VLOOKUP(E38,'F40 mapping'!A:E,5,0),VLOOKUP(D38,'F40 mapping'!A:E,5,0)),0)</f>
        <v/>
      </c>
      <c r="S38">
        <f>_xlfn.IF(B38&lt;6,IFERROR(VLOOKUP(E38,'BS Mapping std'!A:E,5,0),VLOOKUP(D38,'BS Mapping std'!A:E,5,0)),IFERROR(VLOOKUP(E38,'PL mapping Std'!A:F,6,0),VLOOKUP(D38,'PL mapping Std'!A:F,6,0)))</f>
        <v/>
      </c>
      <c r="T38">
        <f>_xlfn.IF(B38&lt;6,IFERROR(VLOOKUP(E38,'BS Mapping std'!A:F,6,0),VLOOKUP(D38,'BS Mapping std'!A:F,6,0)),IFERROR(VLOOKUP(E38,'PL mapping Std'!A:G,7,0),VLOOKUP(D38,'PL mapping Std'!A:G,7,0)))</f>
        <v/>
      </c>
      <c r="V38">
        <f>IF(IF(A38="BS",IFERROR(VLOOKUP(TRIM($E38),'BS Mapping std'!$A:$H,8,0),VLOOKUP(TRIM($D38),'BS Mapping std'!$A:$H,8,0)),IFERROR(VLOOKUP(TRIM($E38),'PL mapping Std'!$A:$E,5,0),VLOOKUP(TRIM($D38),'PL mapping Std'!$A:$E,5,0)))=0,"",IF(A38="BS",IFERROR(VLOOKUP(TRIM($E38),'BS Mapping std'!$A:$H,8,0),VLOOKUP(TRIM($D38),'BS Mapping std'!$A:$H,8,0)),IFERROR(VLOOKUP(TRIM($E38),'PL mapping Std'!$A:$E,5,0),VLOOKUP(TRIM($D38),'PL mapping Std'!$A:$E,5,0))))</f>
        <v/>
      </c>
      <c r="W38">
        <f>_xlfn.IFERROR(VLOOKUP(E38,'F30 mapping'!A:D,4,0),VLOOKUP(D38,'F30 mapping'!A:D,4,0))</f>
        <v/>
      </c>
      <c r="X38">
        <f>IF(B38&lt;6,IFERROR(VLOOKUP(E38,'BS Mapping std'!A:M,13,0),VLOOKUP(D38,'BS Mapping std'!A:M,13,0)),0)</f>
        <v/>
      </c>
      <c r="Y38">
        <f>IF(B38&lt;6,IFERROR(VLOOKUP(E38,'BS Mapping std'!A:N,14,0),VLOOKUP(D38,'BS Mapping std'!A:N,14,0)),0)</f>
        <v/>
      </c>
    </row>
    <row r="39" spans="1:25">
      <c r="A39">
        <f>IF(B39&lt;6,"BS",IF(B39=6,"Exp","Rev"))</f>
        <v/>
      </c>
      <c r="B39">
        <f>_xlfn.NUMBERVALUE(LEFT(F39,1))</f>
        <v/>
      </c>
      <c r="C39">
        <f>Left(F39,2)</f>
        <v/>
      </c>
      <c r="D39">
        <f>Left(F39,3)</f>
        <v/>
      </c>
      <c r="E39">
        <f>IF(F39="121",Left(F39,3)&amp;"0",Left(F39,4))</f>
        <v/>
      </c>
      <c r="F39" t="n">
        <v>21200000</v>
      </c>
      <c r="G39" t="s">
        <v>63</v>
      </c>
      <c r="H39" s="9" t="n">
        <v>41867359</v>
      </c>
      <c r="I39" s="9" t="n">
        <v>59186</v>
      </c>
      <c r="J39" s="9" t="n">
        <v>0</v>
      </c>
      <c r="K39" s="9" t="n">
        <v>41926545</v>
      </c>
      <c r="L39" s="9">
        <f>K39-H39</f>
        <v/>
      </c>
      <c r="M39" s="32">
        <f>IFERROR(L39/H39," ")</f>
        <v/>
      </c>
      <c r="N39">
        <f>IF(A39="BS",IFERROR(VLOOKUP(TRIM($E39),'BS Mapping std'!$A:$D,4,0),VLOOKUP(TRIM($D39),'BS Mapping std'!$A:$D,4,0)),IFERROR(VLOOKUP(TRIM($E39),'PL mapping Std'!$A:$D,4,0),VLOOKUP(TRIM($D39),'PL mapping Std'!$A:$D,4,0)))</f>
        <v/>
      </c>
      <c r="O39">
        <f>_xlfn.IFERROR(VLOOKUP(E39,'F30 mapping'!A:C,3,0),VLOOKUP(D39,'F30 mapping'!A:C,3,0))</f>
        <v/>
      </c>
      <c r="P39">
        <f>_xlfn.IFERROR(IFERROR(VLOOKUP(E39,'F40 mapping'!A:C,3,0),VLOOKUP(D39,'F40 mapping'!A:C,3,0)),0)</f>
        <v/>
      </c>
      <c r="Q39">
        <f>_xlfn.IFERROR(IFERROR(VLOOKUP(E39,'F40 mapping'!A:D,4,0),VLOOKUP(D39,'F40 mapping'!A:D,4,0)),0)</f>
        <v/>
      </c>
      <c r="R39">
        <f>_xlfn.IFERROR(IFERROR(VLOOKUP(E39,'F40 mapping'!A:E,5,0),VLOOKUP(D39,'F40 mapping'!A:E,5,0)),0)</f>
        <v/>
      </c>
      <c r="S39">
        <f>_xlfn.IF(B39&lt;6,IFERROR(VLOOKUP(E39,'BS Mapping std'!A:E,5,0),VLOOKUP(D39,'BS Mapping std'!A:E,5,0)),IFERROR(VLOOKUP(E39,'PL mapping Std'!A:F,6,0),VLOOKUP(D39,'PL mapping Std'!A:F,6,0)))</f>
        <v/>
      </c>
      <c r="T39">
        <f>_xlfn.IF(B39&lt;6,IFERROR(VLOOKUP(E39,'BS Mapping std'!A:F,6,0),VLOOKUP(D39,'BS Mapping std'!A:F,6,0)),IFERROR(VLOOKUP(E39,'PL mapping Std'!A:G,7,0),VLOOKUP(D39,'PL mapping Std'!A:G,7,0)))</f>
        <v/>
      </c>
      <c r="V39">
        <f>IF(IF(A39="BS",IFERROR(VLOOKUP(TRIM($E39),'BS Mapping std'!$A:$H,8,0),VLOOKUP(TRIM($D39),'BS Mapping std'!$A:$H,8,0)),IFERROR(VLOOKUP(TRIM($E39),'PL mapping Std'!$A:$E,5,0),VLOOKUP(TRIM($D39),'PL mapping Std'!$A:$E,5,0)))=0,"",IF(A39="BS",IFERROR(VLOOKUP(TRIM($E39),'BS Mapping std'!$A:$H,8,0),VLOOKUP(TRIM($D39),'BS Mapping std'!$A:$H,8,0)),IFERROR(VLOOKUP(TRIM($E39),'PL mapping Std'!$A:$E,5,0),VLOOKUP(TRIM($D39),'PL mapping Std'!$A:$E,5,0))))</f>
        <v/>
      </c>
      <c r="W39">
        <f>_xlfn.IFERROR(VLOOKUP(E39,'F30 mapping'!A:D,4,0),VLOOKUP(D39,'F30 mapping'!A:D,4,0))</f>
        <v/>
      </c>
      <c r="X39">
        <f>IF(B39&lt;6,IFERROR(VLOOKUP(E39,'BS Mapping std'!A:M,13,0),VLOOKUP(D39,'BS Mapping std'!A:M,13,0)),0)</f>
        <v/>
      </c>
      <c r="Y39">
        <f>IF(B39&lt;6,IFERROR(VLOOKUP(E39,'BS Mapping std'!A:N,14,0),VLOOKUP(D39,'BS Mapping std'!A:N,14,0)),0)</f>
        <v/>
      </c>
    </row>
    <row r="40" spans="1:25">
      <c r="A40">
        <f>IF(B40&lt;6,"BS",IF(B40=6,"Exp","Rev"))</f>
        <v/>
      </c>
      <c r="B40">
        <f>_xlfn.NUMBERVALUE(LEFT(F40,1))</f>
        <v/>
      </c>
      <c r="C40">
        <f>Left(F40,2)</f>
        <v/>
      </c>
      <c r="D40">
        <f>Left(F40,3)</f>
        <v/>
      </c>
      <c r="E40">
        <f>IF(F40="121",Left(F40,3)&amp;"0",Left(F40,4))</f>
        <v/>
      </c>
      <c r="F40" t="n">
        <v>21310000</v>
      </c>
      <c r="G40" t="s">
        <v>64</v>
      </c>
      <c r="H40" s="9" t="n">
        <v>78151853.13</v>
      </c>
      <c r="I40" s="9" t="n">
        <v>10499886.81</v>
      </c>
      <c r="J40" s="9" t="n">
        <v>102029.41</v>
      </c>
      <c r="K40" s="9" t="n">
        <v>88549710.53</v>
      </c>
      <c r="L40" s="9">
        <f>K40-H40</f>
        <v/>
      </c>
      <c r="M40" s="32">
        <f>IFERROR(L40/H40," ")</f>
        <v/>
      </c>
      <c r="N40">
        <f>IF(A40="BS",IFERROR(VLOOKUP(TRIM($E40),'BS Mapping std'!$A:$D,4,0),VLOOKUP(TRIM($D40),'BS Mapping std'!$A:$D,4,0)),IFERROR(VLOOKUP(TRIM($E40),'PL mapping Std'!$A:$D,4,0),VLOOKUP(TRIM($D40),'PL mapping Std'!$A:$D,4,0)))</f>
        <v/>
      </c>
      <c r="O40">
        <f>_xlfn.IFERROR(VLOOKUP(E40,'F30 mapping'!A:C,3,0),VLOOKUP(D40,'F30 mapping'!A:C,3,0))</f>
        <v/>
      </c>
      <c r="P40">
        <f>_xlfn.IFERROR(IFERROR(VLOOKUP(E40,'F40 mapping'!A:C,3,0),VLOOKUP(D40,'F40 mapping'!A:C,3,0)),0)</f>
        <v/>
      </c>
      <c r="Q40">
        <f>_xlfn.IFERROR(IFERROR(VLOOKUP(E40,'F40 mapping'!A:D,4,0),VLOOKUP(D40,'F40 mapping'!A:D,4,0)),0)</f>
        <v/>
      </c>
      <c r="R40">
        <f>_xlfn.IFERROR(IFERROR(VLOOKUP(E40,'F40 mapping'!A:E,5,0),VLOOKUP(D40,'F40 mapping'!A:E,5,0)),0)</f>
        <v/>
      </c>
      <c r="S40">
        <f>_xlfn.IF(B40&lt;6,IFERROR(VLOOKUP(E40,'BS Mapping std'!A:E,5,0),VLOOKUP(D40,'BS Mapping std'!A:E,5,0)),IFERROR(VLOOKUP(E40,'PL mapping Std'!A:F,6,0),VLOOKUP(D40,'PL mapping Std'!A:F,6,0)))</f>
        <v/>
      </c>
      <c r="T40">
        <f>_xlfn.IF(B40&lt;6,IFERROR(VLOOKUP(E40,'BS Mapping std'!A:F,6,0),VLOOKUP(D40,'BS Mapping std'!A:F,6,0)),IFERROR(VLOOKUP(E40,'PL mapping Std'!A:G,7,0),VLOOKUP(D40,'PL mapping Std'!A:G,7,0)))</f>
        <v/>
      </c>
      <c r="V40">
        <f>IF(IF(A40="BS",IFERROR(VLOOKUP(TRIM($E40),'BS Mapping std'!$A:$H,8,0),VLOOKUP(TRIM($D40),'BS Mapping std'!$A:$H,8,0)),IFERROR(VLOOKUP(TRIM($E40),'PL mapping Std'!$A:$E,5,0),VLOOKUP(TRIM($D40),'PL mapping Std'!$A:$E,5,0)))=0,"",IF(A40="BS",IFERROR(VLOOKUP(TRIM($E40),'BS Mapping std'!$A:$H,8,0),VLOOKUP(TRIM($D40),'BS Mapping std'!$A:$H,8,0)),IFERROR(VLOOKUP(TRIM($E40),'PL mapping Std'!$A:$E,5,0),VLOOKUP(TRIM($D40),'PL mapping Std'!$A:$E,5,0))))</f>
        <v/>
      </c>
      <c r="W40">
        <f>_xlfn.IFERROR(VLOOKUP(E40,'F30 mapping'!A:D,4,0),VLOOKUP(D40,'F30 mapping'!A:D,4,0))</f>
        <v/>
      </c>
      <c r="X40">
        <f>IF(B40&lt;6,IFERROR(VLOOKUP(E40,'BS Mapping std'!A:M,13,0),VLOOKUP(D40,'BS Mapping std'!A:M,13,0)),0)</f>
        <v/>
      </c>
      <c r="Y40">
        <f>IF(B40&lt;6,IFERROR(VLOOKUP(E40,'BS Mapping std'!A:N,14,0),VLOOKUP(D40,'BS Mapping std'!A:N,14,0)),0)</f>
        <v/>
      </c>
    </row>
    <row r="41" spans="1:25">
      <c r="A41">
        <f>IF(B41&lt;6,"BS",IF(B41=6,"Exp","Rev"))</f>
        <v/>
      </c>
      <c r="B41">
        <f>_xlfn.NUMBERVALUE(LEFT(F41,1))</f>
        <v/>
      </c>
      <c r="C41">
        <f>Left(F41,2)</f>
        <v/>
      </c>
      <c r="D41">
        <f>Left(F41,3)</f>
        <v/>
      </c>
      <c r="E41">
        <f>IF(F41="121",Left(F41,3)&amp;"0",Left(F41,4))</f>
        <v/>
      </c>
      <c r="F41" t="n">
        <v>21320000</v>
      </c>
      <c r="G41" t="s">
        <v>65</v>
      </c>
      <c r="H41" s="9" t="n">
        <v>1336861.47</v>
      </c>
      <c r="I41" s="9" t="n">
        <v>249336.87</v>
      </c>
      <c r="J41" s="9" t="n">
        <v>54860.44</v>
      </c>
      <c r="K41" s="9" t="n">
        <v>1531337.9</v>
      </c>
      <c r="L41" s="9">
        <f>K41-H41</f>
        <v/>
      </c>
      <c r="M41" s="32">
        <f>IFERROR(L41/H41," ")</f>
        <v/>
      </c>
      <c r="N41">
        <f>IF(A41="BS",IFERROR(VLOOKUP(TRIM($E41),'BS Mapping std'!$A:$D,4,0),VLOOKUP(TRIM($D41),'BS Mapping std'!$A:$D,4,0)),IFERROR(VLOOKUP(TRIM($E41),'PL mapping Std'!$A:$D,4,0),VLOOKUP(TRIM($D41),'PL mapping Std'!$A:$D,4,0)))</f>
        <v/>
      </c>
      <c r="O41">
        <f>_xlfn.IFERROR(VLOOKUP(E41,'F30 mapping'!A:C,3,0),VLOOKUP(D41,'F30 mapping'!A:C,3,0))</f>
        <v/>
      </c>
      <c r="P41">
        <f>_xlfn.IFERROR(IFERROR(VLOOKUP(E41,'F40 mapping'!A:C,3,0),VLOOKUP(D41,'F40 mapping'!A:C,3,0)),0)</f>
        <v/>
      </c>
      <c r="Q41">
        <f>_xlfn.IFERROR(IFERROR(VLOOKUP(E41,'F40 mapping'!A:D,4,0),VLOOKUP(D41,'F40 mapping'!A:D,4,0)),0)</f>
        <v/>
      </c>
      <c r="R41">
        <f>_xlfn.IFERROR(IFERROR(VLOOKUP(E41,'F40 mapping'!A:E,5,0),VLOOKUP(D41,'F40 mapping'!A:E,5,0)),0)</f>
        <v/>
      </c>
      <c r="S41">
        <f>_xlfn.IF(B41&lt;6,IFERROR(VLOOKUP(E41,'BS Mapping std'!A:E,5,0),VLOOKUP(D41,'BS Mapping std'!A:E,5,0)),IFERROR(VLOOKUP(E41,'PL mapping Std'!A:F,6,0),VLOOKUP(D41,'PL mapping Std'!A:F,6,0)))</f>
        <v/>
      </c>
      <c r="T41">
        <f>_xlfn.IF(B41&lt;6,IFERROR(VLOOKUP(E41,'BS Mapping std'!A:F,6,0),VLOOKUP(D41,'BS Mapping std'!A:F,6,0)),IFERROR(VLOOKUP(E41,'PL mapping Std'!A:G,7,0),VLOOKUP(D41,'PL mapping Std'!A:G,7,0)))</f>
        <v/>
      </c>
      <c r="V41">
        <f>IF(IF(A41="BS",IFERROR(VLOOKUP(TRIM($E41),'BS Mapping std'!$A:$H,8,0),VLOOKUP(TRIM($D41),'BS Mapping std'!$A:$H,8,0)),IFERROR(VLOOKUP(TRIM($E41),'PL mapping Std'!$A:$E,5,0),VLOOKUP(TRIM($D41),'PL mapping Std'!$A:$E,5,0)))=0,"",IF(A41="BS",IFERROR(VLOOKUP(TRIM($E41),'BS Mapping std'!$A:$H,8,0),VLOOKUP(TRIM($D41),'BS Mapping std'!$A:$H,8,0)),IFERROR(VLOOKUP(TRIM($E41),'PL mapping Std'!$A:$E,5,0),VLOOKUP(TRIM($D41),'PL mapping Std'!$A:$E,5,0))))</f>
        <v/>
      </c>
      <c r="W41">
        <f>_xlfn.IFERROR(VLOOKUP(E41,'F30 mapping'!A:D,4,0),VLOOKUP(D41,'F30 mapping'!A:D,4,0))</f>
        <v/>
      </c>
      <c r="X41">
        <f>IF(B41&lt;6,IFERROR(VLOOKUP(E41,'BS Mapping std'!A:M,13,0),VLOOKUP(D41,'BS Mapping std'!A:M,13,0)),0)</f>
        <v/>
      </c>
      <c r="Y41">
        <f>IF(B41&lt;6,IFERROR(VLOOKUP(E41,'BS Mapping std'!A:N,14,0),VLOOKUP(D41,'BS Mapping std'!A:N,14,0)),0)</f>
        <v/>
      </c>
    </row>
    <row r="42" spans="1:25">
      <c r="A42">
        <f>IF(B42&lt;6,"BS",IF(B42=6,"Exp","Rev"))</f>
        <v/>
      </c>
      <c r="B42">
        <f>_xlfn.NUMBERVALUE(LEFT(F42,1))</f>
        <v/>
      </c>
      <c r="C42">
        <f>Left(F42,2)</f>
        <v/>
      </c>
      <c r="D42">
        <f>Left(F42,3)</f>
        <v/>
      </c>
      <c r="E42">
        <f>IF(F42="121",Left(F42,3)&amp;"0",Left(F42,4))</f>
        <v/>
      </c>
      <c r="F42" t="n">
        <v>21330000</v>
      </c>
      <c r="G42" t="s">
        <v>66</v>
      </c>
      <c r="H42" s="9" t="n">
        <v>1291179.07</v>
      </c>
      <c r="I42" s="9" t="n">
        <v>0</v>
      </c>
      <c r="J42" s="9" t="n">
        <v>0</v>
      </c>
      <c r="K42" s="9" t="n">
        <v>1291179.07</v>
      </c>
      <c r="L42" s="9">
        <f>K42-H42</f>
        <v/>
      </c>
      <c r="M42" s="32">
        <f>IFERROR(L42/H42," ")</f>
        <v/>
      </c>
      <c r="N42">
        <f>IF(A42="BS",IFERROR(VLOOKUP(TRIM($E42),'BS Mapping std'!$A:$D,4,0),VLOOKUP(TRIM($D42),'BS Mapping std'!$A:$D,4,0)),IFERROR(VLOOKUP(TRIM($E42),'PL mapping Std'!$A:$D,4,0),VLOOKUP(TRIM($D42),'PL mapping Std'!$A:$D,4,0)))</f>
        <v/>
      </c>
      <c r="O42">
        <f>_xlfn.IFERROR(VLOOKUP(E42,'F30 mapping'!A:C,3,0),VLOOKUP(D42,'F30 mapping'!A:C,3,0))</f>
        <v/>
      </c>
      <c r="P42">
        <f>_xlfn.IFERROR(IFERROR(VLOOKUP(E42,'F40 mapping'!A:C,3,0),VLOOKUP(D42,'F40 mapping'!A:C,3,0)),0)</f>
        <v/>
      </c>
      <c r="Q42">
        <f>_xlfn.IFERROR(IFERROR(VLOOKUP(E42,'F40 mapping'!A:D,4,0),VLOOKUP(D42,'F40 mapping'!A:D,4,0)),0)</f>
        <v/>
      </c>
      <c r="R42">
        <f>_xlfn.IFERROR(IFERROR(VLOOKUP(E42,'F40 mapping'!A:E,5,0),VLOOKUP(D42,'F40 mapping'!A:E,5,0)),0)</f>
        <v/>
      </c>
      <c r="S42">
        <f>_xlfn.IF(B42&lt;6,IFERROR(VLOOKUP(E42,'BS Mapping std'!A:E,5,0),VLOOKUP(D42,'BS Mapping std'!A:E,5,0)),IFERROR(VLOOKUP(E42,'PL mapping Std'!A:F,6,0),VLOOKUP(D42,'PL mapping Std'!A:F,6,0)))</f>
        <v/>
      </c>
      <c r="T42">
        <f>_xlfn.IF(B42&lt;6,IFERROR(VLOOKUP(E42,'BS Mapping std'!A:F,6,0),VLOOKUP(D42,'BS Mapping std'!A:F,6,0)),IFERROR(VLOOKUP(E42,'PL mapping Std'!A:G,7,0),VLOOKUP(D42,'PL mapping Std'!A:G,7,0)))</f>
        <v/>
      </c>
      <c r="V42">
        <f>IF(IF(A42="BS",IFERROR(VLOOKUP(TRIM($E42),'BS Mapping std'!$A:$H,8,0),VLOOKUP(TRIM($D42),'BS Mapping std'!$A:$H,8,0)),IFERROR(VLOOKUP(TRIM($E42),'PL mapping Std'!$A:$E,5,0),VLOOKUP(TRIM($D42),'PL mapping Std'!$A:$E,5,0)))=0,"",IF(A42="BS",IFERROR(VLOOKUP(TRIM($E42),'BS Mapping std'!$A:$H,8,0),VLOOKUP(TRIM($D42),'BS Mapping std'!$A:$H,8,0)),IFERROR(VLOOKUP(TRIM($E42),'PL mapping Std'!$A:$E,5,0),VLOOKUP(TRIM($D42),'PL mapping Std'!$A:$E,5,0))))</f>
        <v/>
      </c>
      <c r="W42">
        <f>_xlfn.IFERROR(VLOOKUP(E42,'F30 mapping'!A:D,4,0),VLOOKUP(D42,'F30 mapping'!A:D,4,0))</f>
        <v/>
      </c>
      <c r="X42">
        <f>IF(B42&lt;6,IFERROR(VLOOKUP(E42,'BS Mapping std'!A:M,13,0),VLOOKUP(D42,'BS Mapping std'!A:M,13,0)),0)</f>
        <v/>
      </c>
      <c r="Y42">
        <f>IF(B42&lt;6,IFERROR(VLOOKUP(E42,'BS Mapping std'!A:N,14,0),VLOOKUP(D42,'BS Mapping std'!A:N,14,0)),0)</f>
        <v/>
      </c>
    </row>
    <row r="43" spans="1:25">
      <c r="A43">
        <f>IF(B43&lt;6,"BS",IF(B43=6,"Exp","Rev"))</f>
        <v/>
      </c>
      <c r="B43">
        <f>_xlfn.NUMBERVALUE(LEFT(F43,1))</f>
        <v/>
      </c>
      <c r="C43">
        <f>Left(F43,2)</f>
        <v/>
      </c>
      <c r="D43">
        <f>Left(F43,3)</f>
        <v/>
      </c>
      <c r="E43">
        <f>IF(F43="121",Left(F43,3)&amp;"0",Left(F43,4))</f>
        <v/>
      </c>
      <c r="F43" t="n">
        <v>21400000</v>
      </c>
      <c r="G43" t="s">
        <v>67</v>
      </c>
      <c r="H43" s="9" t="n">
        <v>2734713.14</v>
      </c>
      <c r="I43" s="9" t="n">
        <v>371198.87</v>
      </c>
      <c r="J43" s="9" t="n">
        <v>26244.42</v>
      </c>
      <c r="K43" s="9" t="n">
        <v>3079667.59</v>
      </c>
      <c r="L43" s="9">
        <f>K43-H43</f>
        <v/>
      </c>
      <c r="M43" s="32">
        <f>IFERROR(L43/H43," ")</f>
        <v/>
      </c>
      <c r="N43">
        <f>IF(A43="BS",IFERROR(VLOOKUP(TRIM($E43),'BS Mapping std'!$A:$D,4,0),VLOOKUP(TRIM($D43),'BS Mapping std'!$A:$D,4,0)),IFERROR(VLOOKUP(TRIM($E43),'PL mapping Std'!$A:$D,4,0),VLOOKUP(TRIM($D43),'PL mapping Std'!$A:$D,4,0)))</f>
        <v/>
      </c>
      <c r="O43">
        <f>_xlfn.IFERROR(VLOOKUP(E43,'F30 mapping'!A:C,3,0),VLOOKUP(D43,'F30 mapping'!A:C,3,0))</f>
        <v/>
      </c>
      <c r="P43">
        <f>_xlfn.IFERROR(IFERROR(VLOOKUP(E43,'F40 mapping'!A:C,3,0),VLOOKUP(D43,'F40 mapping'!A:C,3,0)),0)</f>
        <v/>
      </c>
      <c r="Q43">
        <f>_xlfn.IFERROR(IFERROR(VLOOKUP(E43,'F40 mapping'!A:D,4,0),VLOOKUP(D43,'F40 mapping'!A:D,4,0)),0)</f>
        <v/>
      </c>
      <c r="R43">
        <f>_xlfn.IFERROR(IFERROR(VLOOKUP(E43,'F40 mapping'!A:E,5,0),VLOOKUP(D43,'F40 mapping'!A:E,5,0)),0)</f>
        <v/>
      </c>
      <c r="S43">
        <f>_xlfn.IF(B43&lt;6,IFERROR(VLOOKUP(E43,'BS Mapping std'!A:E,5,0),VLOOKUP(D43,'BS Mapping std'!A:E,5,0)),IFERROR(VLOOKUP(E43,'PL mapping Std'!A:F,6,0),VLOOKUP(D43,'PL mapping Std'!A:F,6,0)))</f>
        <v/>
      </c>
      <c r="T43">
        <f>_xlfn.IF(B43&lt;6,IFERROR(VLOOKUP(E43,'BS Mapping std'!A:F,6,0),VLOOKUP(D43,'BS Mapping std'!A:F,6,0)),IFERROR(VLOOKUP(E43,'PL mapping Std'!A:G,7,0),VLOOKUP(D43,'PL mapping Std'!A:G,7,0)))</f>
        <v/>
      </c>
      <c r="V43">
        <f>IF(IF(A43="BS",IFERROR(VLOOKUP(TRIM($E43),'BS Mapping std'!$A:$H,8,0),VLOOKUP(TRIM($D43),'BS Mapping std'!$A:$H,8,0)),IFERROR(VLOOKUP(TRIM($E43),'PL mapping Std'!$A:$E,5,0),VLOOKUP(TRIM($D43),'PL mapping Std'!$A:$E,5,0)))=0,"",IF(A43="BS",IFERROR(VLOOKUP(TRIM($E43),'BS Mapping std'!$A:$H,8,0),VLOOKUP(TRIM($D43),'BS Mapping std'!$A:$H,8,0)),IFERROR(VLOOKUP(TRIM($E43),'PL mapping Std'!$A:$E,5,0),VLOOKUP(TRIM($D43),'PL mapping Std'!$A:$E,5,0))))</f>
        <v/>
      </c>
      <c r="W43">
        <f>_xlfn.IFERROR(VLOOKUP(E43,'F30 mapping'!A:D,4,0),VLOOKUP(D43,'F30 mapping'!A:D,4,0))</f>
        <v/>
      </c>
      <c r="X43">
        <f>IF(B43&lt;6,IFERROR(VLOOKUP(E43,'BS Mapping std'!A:M,13,0),VLOOKUP(D43,'BS Mapping std'!A:M,13,0)),0)</f>
        <v/>
      </c>
      <c r="Y43">
        <f>IF(B43&lt;6,IFERROR(VLOOKUP(E43,'BS Mapping std'!A:N,14,0),VLOOKUP(D43,'BS Mapping std'!A:N,14,0)),0)</f>
        <v/>
      </c>
    </row>
    <row r="44" spans="1:25">
      <c r="A44">
        <f>IF(B44&lt;6,"BS",IF(B44=6,"Exp","Rev"))</f>
        <v/>
      </c>
      <c r="B44">
        <f>_xlfn.NUMBERVALUE(LEFT(F44,1))</f>
        <v/>
      </c>
      <c r="C44">
        <f>Left(F44,2)</f>
        <v/>
      </c>
      <c r="D44">
        <f>Left(F44,3)</f>
        <v/>
      </c>
      <c r="E44">
        <f>IF(F44="121",Left(F44,3)&amp;"0",Left(F44,4))</f>
        <v/>
      </c>
      <c r="F44" t="n">
        <v>22300000</v>
      </c>
      <c r="G44" t="s">
        <v>68</v>
      </c>
      <c r="H44" s="9" t="n">
        <v>928679.85</v>
      </c>
      <c r="I44" s="9" t="n">
        <v>-928679.85</v>
      </c>
      <c r="J44" s="9" t="n">
        <v>0</v>
      </c>
      <c r="K44" s="9" t="n">
        <v>0</v>
      </c>
      <c r="L44" s="9">
        <f>K44-H44</f>
        <v/>
      </c>
      <c r="M44" s="32">
        <f>IFERROR(L44/H44," ")</f>
        <v/>
      </c>
      <c r="N44">
        <f>IF(A44="BS",IFERROR(VLOOKUP(TRIM($E44),'BS Mapping std'!$A:$D,4,0),VLOOKUP(TRIM($D44),'BS Mapping std'!$A:$D,4,0)),IFERROR(VLOOKUP(TRIM($E44),'PL mapping Std'!$A:$D,4,0),VLOOKUP(TRIM($D44),'PL mapping Std'!$A:$D,4,0)))</f>
        <v/>
      </c>
      <c r="O44">
        <f>_xlfn.IFERROR(VLOOKUP(E44,'F30 mapping'!A:C,3,0),VLOOKUP(D44,'F30 mapping'!A:C,3,0))</f>
        <v/>
      </c>
      <c r="P44">
        <f>_xlfn.IFERROR(IFERROR(VLOOKUP(E44,'F40 mapping'!A:C,3,0),VLOOKUP(D44,'F40 mapping'!A:C,3,0)),0)</f>
        <v/>
      </c>
      <c r="Q44">
        <f>_xlfn.IFERROR(IFERROR(VLOOKUP(E44,'F40 mapping'!A:D,4,0),VLOOKUP(D44,'F40 mapping'!A:D,4,0)),0)</f>
        <v/>
      </c>
      <c r="R44">
        <f>_xlfn.IFERROR(IFERROR(VLOOKUP(E44,'F40 mapping'!A:E,5,0),VLOOKUP(D44,'F40 mapping'!A:E,5,0)),0)</f>
        <v/>
      </c>
      <c r="S44">
        <f>_xlfn.IF(B44&lt;6,IFERROR(VLOOKUP(E44,'BS Mapping std'!A:E,5,0),VLOOKUP(D44,'BS Mapping std'!A:E,5,0)),IFERROR(VLOOKUP(E44,'PL mapping Std'!A:F,6,0),VLOOKUP(D44,'PL mapping Std'!A:F,6,0)))</f>
        <v/>
      </c>
      <c r="T44">
        <f>_xlfn.IF(B44&lt;6,IFERROR(VLOOKUP(E44,'BS Mapping std'!A:F,6,0),VLOOKUP(D44,'BS Mapping std'!A:F,6,0)),IFERROR(VLOOKUP(E44,'PL mapping Std'!A:G,7,0),VLOOKUP(D44,'PL mapping Std'!A:G,7,0)))</f>
        <v/>
      </c>
      <c r="V44">
        <f>IF(IF(A44="BS",IFERROR(VLOOKUP(TRIM($E44),'BS Mapping std'!$A:$H,8,0),VLOOKUP(TRIM($D44),'BS Mapping std'!$A:$H,8,0)),IFERROR(VLOOKUP(TRIM($E44),'PL mapping Std'!$A:$E,5,0),VLOOKUP(TRIM($D44),'PL mapping Std'!$A:$E,5,0)))=0,"",IF(A44="BS",IFERROR(VLOOKUP(TRIM($E44),'BS Mapping std'!$A:$H,8,0),VLOOKUP(TRIM($D44),'BS Mapping std'!$A:$H,8,0)),IFERROR(VLOOKUP(TRIM($E44),'PL mapping Std'!$A:$E,5,0),VLOOKUP(TRIM($D44),'PL mapping Std'!$A:$E,5,0))))</f>
        <v/>
      </c>
      <c r="W44">
        <f>_xlfn.IFERROR(VLOOKUP(E44,'F30 mapping'!A:D,4,0),VLOOKUP(D44,'F30 mapping'!A:D,4,0))</f>
        <v/>
      </c>
      <c r="X44">
        <f>IF(B44&lt;6,IFERROR(VLOOKUP(E44,'BS Mapping std'!A:M,13,0),VLOOKUP(D44,'BS Mapping std'!A:M,13,0)),0)</f>
        <v/>
      </c>
      <c r="Y44">
        <f>IF(B44&lt;6,IFERROR(VLOOKUP(E44,'BS Mapping std'!A:N,14,0),VLOOKUP(D44,'BS Mapping std'!A:N,14,0)),0)</f>
        <v/>
      </c>
    </row>
    <row r="45" spans="1:25">
      <c r="A45">
        <f>IF(B45&lt;6,"BS",IF(B45=6,"Exp","Rev"))</f>
        <v/>
      </c>
      <c r="B45">
        <f>_xlfn.NUMBERVALUE(LEFT(F45,1))</f>
        <v/>
      </c>
      <c r="C45">
        <f>Left(F45,2)</f>
        <v/>
      </c>
      <c r="D45">
        <f>Left(F45,3)</f>
        <v/>
      </c>
      <c r="E45">
        <f>IF(F45="121",Left(F45,3)&amp;"0",Left(F45,4))</f>
        <v/>
      </c>
      <c r="F45" t="n">
        <v>23100010</v>
      </c>
      <c r="G45" t="s">
        <v>69</v>
      </c>
      <c r="H45" s="9" t="n">
        <v>7562297.85</v>
      </c>
      <c r="I45" s="9" t="n">
        <v>6932437.54</v>
      </c>
      <c r="J45" s="9" t="n">
        <v>11192975.61</v>
      </c>
      <c r="K45" s="9" t="n">
        <v>3301759.78</v>
      </c>
      <c r="L45" s="9">
        <f>K45-H45</f>
        <v/>
      </c>
      <c r="M45" s="32">
        <f>IFERROR(L45/H45," ")</f>
        <v/>
      </c>
      <c r="N45">
        <f>IF(A45="BS",IFERROR(VLOOKUP(TRIM($E45),'BS Mapping std'!$A:$D,4,0),VLOOKUP(TRIM($D45),'BS Mapping std'!$A:$D,4,0)),IFERROR(VLOOKUP(TRIM($E45),'PL mapping Std'!$A:$D,4,0),VLOOKUP(TRIM($D45),'PL mapping Std'!$A:$D,4,0)))</f>
        <v/>
      </c>
      <c r="O45">
        <f>_xlfn.IFERROR(VLOOKUP(E45,'F30 mapping'!A:C,3,0),VLOOKUP(D45,'F30 mapping'!A:C,3,0))</f>
        <v/>
      </c>
      <c r="P45">
        <f>_xlfn.IFERROR(IFERROR(VLOOKUP(E45,'F40 mapping'!A:C,3,0),VLOOKUP(D45,'F40 mapping'!A:C,3,0)),0)</f>
        <v/>
      </c>
      <c r="Q45">
        <f>_xlfn.IFERROR(IFERROR(VLOOKUP(E45,'F40 mapping'!A:D,4,0),VLOOKUP(D45,'F40 mapping'!A:D,4,0)),0)</f>
        <v/>
      </c>
      <c r="R45">
        <f>_xlfn.IFERROR(IFERROR(VLOOKUP(E45,'F40 mapping'!A:E,5,0),VLOOKUP(D45,'F40 mapping'!A:E,5,0)),0)</f>
        <v/>
      </c>
      <c r="S45">
        <f>_xlfn.IF(B45&lt;6,IFERROR(VLOOKUP(E45,'BS Mapping std'!A:E,5,0),VLOOKUP(D45,'BS Mapping std'!A:E,5,0)),IFERROR(VLOOKUP(E45,'PL mapping Std'!A:F,6,0),VLOOKUP(D45,'PL mapping Std'!A:F,6,0)))</f>
        <v/>
      </c>
      <c r="T45">
        <f>_xlfn.IF(B45&lt;6,IFERROR(VLOOKUP(E45,'BS Mapping std'!A:F,6,0),VLOOKUP(D45,'BS Mapping std'!A:F,6,0)),IFERROR(VLOOKUP(E45,'PL mapping Std'!A:G,7,0),VLOOKUP(D45,'PL mapping Std'!A:G,7,0)))</f>
        <v/>
      </c>
      <c r="V45">
        <f>IF(IF(A45="BS",IFERROR(VLOOKUP(TRIM($E45),'BS Mapping std'!$A:$H,8,0),VLOOKUP(TRIM($D45),'BS Mapping std'!$A:$H,8,0)),IFERROR(VLOOKUP(TRIM($E45),'PL mapping Std'!$A:$E,5,0),VLOOKUP(TRIM($D45),'PL mapping Std'!$A:$E,5,0)))=0,"",IF(A45="BS",IFERROR(VLOOKUP(TRIM($E45),'BS Mapping std'!$A:$H,8,0),VLOOKUP(TRIM($D45),'BS Mapping std'!$A:$H,8,0)),IFERROR(VLOOKUP(TRIM($E45),'PL mapping Std'!$A:$E,5,0),VLOOKUP(TRIM($D45),'PL mapping Std'!$A:$E,5,0))))</f>
        <v/>
      </c>
      <c r="W45">
        <f>_xlfn.IFERROR(VLOOKUP(E45,'F30 mapping'!A:D,4,0),VLOOKUP(D45,'F30 mapping'!A:D,4,0))</f>
        <v/>
      </c>
      <c r="X45">
        <f>IF(B45&lt;6,IFERROR(VLOOKUP(E45,'BS Mapping std'!A:M,13,0),VLOOKUP(D45,'BS Mapping std'!A:M,13,0)),0)</f>
        <v/>
      </c>
      <c r="Y45">
        <f>IF(B45&lt;6,IFERROR(VLOOKUP(E45,'BS Mapping std'!A:N,14,0),VLOOKUP(D45,'BS Mapping std'!A:N,14,0)),0)</f>
        <v/>
      </c>
    </row>
    <row r="46" spans="1:25">
      <c r="A46">
        <f>IF(B46&lt;6,"BS",IF(B46=6,"Exp","Rev"))</f>
        <v/>
      </c>
      <c r="B46">
        <f>_xlfn.NUMBERVALUE(LEFT(F46,1))</f>
        <v/>
      </c>
      <c r="C46">
        <f>Left(F46,2)</f>
        <v/>
      </c>
      <c r="D46">
        <f>Left(F46,3)</f>
        <v/>
      </c>
      <c r="E46">
        <f>IF(F46="121",Left(F46,3)&amp;"0",Left(F46,4))</f>
        <v/>
      </c>
      <c r="F46" t="n">
        <v>23109998</v>
      </c>
      <c r="G46" t="s">
        <v>70</v>
      </c>
      <c r="H46" s="9" t="n">
        <v>10236458.68</v>
      </c>
      <c r="I46" s="9" t="n">
        <v>6919631.78</v>
      </c>
      <c r="J46" s="9" t="n">
        <v>14303.68</v>
      </c>
      <c r="K46" s="9" t="n">
        <v>6905328.1</v>
      </c>
      <c r="L46" s="9">
        <f>K46-H46</f>
        <v/>
      </c>
      <c r="M46" s="32">
        <f>IFERROR(L46/H46," ")</f>
        <v/>
      </c>
      <c r="N46">
        <f>IF(A46="BS",IFERROR(VLOOKUP(TRIM($E46),'BS Mapping std'!$A:$D,4,0),VLOOKUP(TRIM($D46),'BS Mapping std'!$A:$D,4,0)),IFERROR(VLOOKUP(TRIM($E46),'PL mapping Std'!$A:$D,4,0),VLOOKUP(TRIM($D46),'PL mapping Std'!$A:$D,4,0)))</f>
        <v/>
      </c>
      <c r="O46">
        <f>_xlfn.IFERROR(VLOOKUP(E46,'F30 mapping'!A:C,3,0),VLOOKUP(D46,'F30 mapping'!A:C,3,0))</f>
        <v/>
      </c>
      <c r="P46">
        <f>_xlfn.IFERROR(IFERROR(VLOOKUP(E46,'F40 mapping'!A:C,3,0),VLOOKUP(D46,'F40 mapping'!A:C,3,0)),0)</f>
        <v/>
      </c>
      <c r="Q46">
        <f>_xlfn.IFERROR(IFERROR(VLOOKUP(E46,'F40 mapping'!A:D,4,0),VLOOKUP(D46,'F40 mapping'!A:D,4,0)),0)</f>
        <v/>
      </c>
      <c r="R46">
        <f>_xlfn.IFERROR(IFERROR(VLOOKUP(E46,'F40 mapping'!A:E,5,0),VLOOKUP(D46,'F40 mapping'!A:E,5,0)),0)</f>
        <v/>
      </c>
      <c r="S46">
        <f>_xlfn.IF(B46&lt;6,IFERROR(VLOOKUP(E46,'BS Mapping std'!A:E,5,0),VLOOKUP(D46,'BS Mapping std'!A:E,5,0)),IFERROR(VLOOKUP(E46,'PL mapping Std'!A:F,6,0),VLOOKUP(D46,'PL mapping Std'!A:F,6,0)))</f>
        <v/>
      </c>
      <c r="T46">
        <f>_xlfn.IF(B46&lt;6,IFERROR(VLOOKUP(E46,'BS Mapping std'!A:F,6,0),VLOOKUP(D46,'BS Mapping std'!A:F,6,0)),IFERROR(VLOOKUP(E46,'PL mapping Std'!A:G,7,0),VLOOKUP(D46,'PL mapping Std'!A:G,7,0)))</f>
        <v/>
      </c>
      <c r="V46">
        <f>IF(IF(A46="BS",IFERROR(VLOOKUP(TRIM($E46),'BS Mapping std'!$A:$H,8,0),VLOOKUP(TRIM($D46),'BS Mapping std'!$A:$H,8,0)),IFERROR(VLOOKUP(TRIM($E46),'PL mapping Std'!$A:$E,5,0),VLOOKUP(TRIM($D46),'PL mapping Std'!$A:$E,5,0)))=0,"",IF(A46="BS",IFERROR(VLOOKUP(TRIM($E46),'BS Mapping std'!$A:$H,8,0),VLOOKUP(TRIM($D46),'BS Mapping std'!$A:$H,8,0)),IFERROR(VLOOKUP(TRIM($E46),'PL mapping Std'!$A:$E,5,0),VLOOKUP(TRIM($D46),'PL mapping Std'!$A:$E,5,0))))</f>
        <v/>
      </c>
      <c r="W46">
        <f>_xlfn.IFERROR(VLOOKUP(E46,'F30 mapping'!A:D,4,0),VLOOKUP(D46,'F30 mapping'!A:D,4,0))</f>
        <v/>
      </c>
      <c r="X46">
        <f>IF(B46&lt;6,IFERROR(VLOOKUP(E46,'BS Mapping std'!A:M,13,0),VLOOKUP(D46,'BS Mapping std'!A:M,13,0)),0)</f>
        <v/>
      </c>
      <c r="Y46">
        <f>IF(B46&lt;6,IFERROR(VLOOKUP(E46,'BS Mapping std'!A:N,14,0),VLOOKUP(D46,'BS Mapping std'!A:N,14,0)),0)</f>
        <v/>
      </c>
    </row>
    <row r="47" spans="1:25">
      <c r="A47">
        <f>IF(B47&lt;6,"BS",IF(B47=6,"Exp","Rev"))</f>
        <v/>
      </c>
      <c r="B47">
        <f>_xlfn.NUMBERVALUE(LEFT(F47,1))</f>
        <v/>
      </c>
      <c r="C47">
        <f>Left(F47,2)</f>
        <v/>
      </c>
      <c r="D47">
        <f>Left(F47,3)</f>
        <v/>
      </c>
      <c r="E47">
        <f>IF(F47="121",Left(F47,3)&amp;"0",Left(F47,4))</f>
        <v/>
      </c>
      <c r="F47" t="n">
        <v>23109999</v>
      </c>
      <c r="G47" t="s">
        <v>71</v>
      </c>
      <c r="H47" s="9" t="n">
        <v>-10236458.68</v>
      </c>
      <c r="I47" s="9" t="n">
        <v>27109.44</v>
      </c>
      <c r="J47" s="9" t="n">
        <v>6932437.54</v>
      </c>
      <c r="K47" s="9" t="n">
        <v>-6905328.1</v>
      </c>
      <c r="L47" s="9">
        <f>K47-H47</f>
        <v/>
      </c>
      <c r="M47" s="32">
        <f>IFERROR(L47/H47," ")</f>
        <v/>
      </c>
      <c r="N47">
        <f>IF(A47="BS",IFERROR(VLOOKUP(TRIM($E47),'BS Mapping std'!$A:$D,4,0),VLOOKUP(TRIM($D47),'BS Mapping std'!$A:$D,4,0)),IFERROR(VLOOKUP(TRIM($E47),'PL mapping Std'!$A:$D,4,0),VLOOKUP(TRIM($D47),'PL mapping Std'!$A:$D,4,0)))</f>
        <v/>
      </c>
      <c r="O47">
        <f>_xlfn.IFERROR(VLOOKUP(E47,'F30 mapping'!A:C,3,0),VLOOKUP(D47,'F30 mapping'!A:C,3,0))</f>
        <v/>
      </c>
      <c r="P47">
        <f>_xlfn.IFERROR(IFERROR(VLOOKUP(E47,'F40 mapping'!A:C,3,0),VLOOKUP(D47,'F40 mapping'!A:C,3,0)),0)</f>
        <v/>
      </c>
      <c r="Q47">
        <f>_xlfn.IFERROR(IFERROR(VLOOKUP(E47,'F40 mapping'!A:D,4,0),VLOOKUP(D47,'F40 mapping'!A:D,4,0)),0)</f>
        <v/>
      </c>
      <c r="R47">
        <f>_xlfn.IFERROR(IFERROR(VLOOKUP(E47,'F40 mapping'!A:E,5,0),VLOOKUP(D47,'F40 mapping'!A:E,5,0)),0)</f>
        <v/>
      </c>
      <c r="S47">
        <f>_xlfn.IF(B47&lt;6,IFERROR(VLOOKUP(E47,'BS Mapping std'!A:E,5,0),VLOOKUP(D47,'BS Mapping std'!A:E,5,0)),IFERROR(VLOOKUP(E47,'PL mapping Std'!A:F,6,0),VLOOKUP(D47,'PL mapping Std'!A:F,6,0)))</f>
        <v/>
      </c>
      <c r="T47">
        <f>_xlfn.IF(B47&lt;6,IFERROR(VLOOKUP(E47,'BS Mapping std'!A:F,6,0),VLOOKUP(D47,'BS Mapping std'!A:F,6,0)),IFERROR(VLOOKUP(E47,'PL mapping Std'!A:G,7,0),VLOOKUP(D47,'PL mapping Std'!A:G,7,0)))</f>
        <v/>
      </c>
      <c r="V47">
        <f>IF(IF(A47="BS",IFERROR(VLOOKUP(TRIM($E47),'BS Mapping std'!$A:$H,8,0),VLOOKUP(TRIM($D47),'BS Mapping std'!$A:$H,8,0)),IFERROR(VLOOKUP(TRIM($E47),'PL mapping Std'!$A:$E,5,0),VLOOKUP(TRIM($D47),'PL mapping Std'!$A:$E,5,0)))=0,"",IF(A47="BS",IFERROR(VLOOKUP(TRIM($E47),'BS Mapping std'!$A:$H,8,0),VLOOKUP(TRIM($D47),'BS Mapping std'!$A:$H,8,0)),IFERROR(VLOOKUP(TRIM($E47),'PL mapping Std'!$A:$E,5,0),VLOOKUP(TRIM($D47),'PL mapping Std'!$A:$E,5,0))))</f>
        <v/>
      </c>
      <c r="W47">
        <f>_xlfn.IFERROR(VLOOKUP(E47,'F30 mapping'!A:D,4,0),VLOOKUP(D47,'F30 mapping'!A:D,4,0))</f>
        <v/>
      </c>
      <c r="X47">
        <f>IF(B47&lt;6,IFERROR(VLOOKUP(E47,'BS Mapping std'!A:M,13,0),VLOOKUP(D47,'BS Mapping std'!A:M,13,0)),0)</f>
        <v/>
      </c>
      <c r="Y47">
        <f>IF(B47&lt;6,IFERROR(VLOOKUP(E47,'BS Mapping std'!A:N,14,0),VLOOKUP(D47,'BS Mapping std'!A:N,14,0)),0)</f>
        <v/>
      </c>
    </row>
    <row r="48" spans="1:25">
      <c r="A48">
        <f>IF(B48&lt;6,"BS",IF(B48=6,"Exp","Rev"))</f>
        <v/>
      </c>
      <c r="B48">
        <f>_xlfn.NUMBERVALUE(LEFT(F48,1))</f>
        <v/>
      </c>
      <c r="C48">
        <f>Left(F48,2)</f>
        <v/>
      </c>
      <c r="D48">
        <f>Left(F48,3)</f>
        <v/>
      </c>
      <c r="E48">
        <f>IF(F48="121",Left(F48,3)&amp;"0",Left(F48,4))</f>
        <v/>
      </c>
      <c r="F48" t="n">
        <v>26780030</v>
      </c>
      <c r="G48" t="s">
        <v>72</v>
      </c>
      <c r="H48" s="9" t="n">
        <v>20660</v>
      </c>
      <c r="I48" s="9" t="n">
        <v>0</v>
      </c>
      <c r="J48" s="9" t="n">
        <v>0</v>
      </c>
      <c r="K48" s="9" t="n">
        <v>20660</v>
      </c>
      <c r="L48" s="9">
        <f>K48-H48</f>
        <v/>
      </c>
      <c r="M48" s="32">
        <f>IFERROR(L48/H48," ")</f>
        <v/>
      </c>
      <c r="N48">
        <f>IF(A48="BS",IFERROR(VLOOKUP(TRIM($E48),'BS Mapping std'!$A:$D,4,0),VLOOKUP(TRIM($D48),'BS Mapping std'!$A:$D,4,0)),IFERROR(VLOOKUP(TRIM($E48),'PL mapping Std'!$A:$D,4,0),VLOOKUP(TRIM($D48),'PL mapping Std'!$A:$D,4,0)))</f>
        <v/>
      </c>
      <c r="O48">
        <f>_xlfn.IFERROR(VLOOKUP(E48,'F30 mapping'!A:C,3,0),VLOOKUP(D48,'F30 mapping'!A:C,3,0))</f>
        <v/>
      </c>
      <c r="P48">
        <f>_xlfn.IFERROR(IFERROR(VLOOKUP(E48,'F40 mapping'!A:C,3,0),VLOOKUP(D48,'F40 mapping'!A:C,3,0)),0)</f>
        <v/>
      </c>
      <c r="Q48">
        <f>_xlfn.IFERROR(IFERROR(VLOOKUP(E48,'F40 mapping'!A:D,4,0),VLOOKUP(D48,'F40 mapping'!A:D,4,0)),0)</f>
        <v/>
      </c>
      <c r="R48">
        <f>_xlfn.IFERROR(IFERROR(VLOOKUP(E48,'F40 mapping'!A:E,5,0),VLOOKUP(D48,'F40 mapping'!A:E,5,0)),0)</f>
        <v/>
      </c>
      <c r="S48">
        <f>_xlfn.IF(B48&lt;6,IFERROR(VLOOKUP(E48,'BS Mapping std'!A:E,5,0),VLOOKUP(D48,'BS Mapping std'!A:E,5,0)),IFERROR(VLOOKUP(E48,'PL mapping Std'!A:F,6,0),VLOOKUP(D48,'PL mapping Std'!A:F,6,0)))</f>
        <v/>
      </c>
      <c r="T48">
        <f>_xlfn.IF(B48&lt;6,IFERROR(VLOOKUP(E48,'BS Mapping std'!A:F,6,0),VLOOKUP(D48,'BS Mapping std'!A:F,6,0)),IFERROR(VLOOKUP(E48,'PL mapping Std'!A:G,7,0),VLOOKUP(D48,'PL mapping Std'!A:G,7,0)))</f>
        <v/>
      </c>
      <c r="V48">
        <f>IF(IF(A48="BS",IFERROR(VLOOKUP(TRIM($E48),'BS Mapping std'!$A:$H,8,0),VLOOKUP(TRIM($D48),'BS Mapping std'!$A:$H,8,0)),IFERROR(VLOOKUP(TRIM($E48),'PL mapping Std'!$A:$E,5,0),VLOOKUP(TRIM($D48),'PL mapping Std'!$A:$E,5,0)))=0,"",IF(A48="BS",IFERROR(VLOOKUP(TRIM($E48),'BS Mapping std'!$A:$H,8,0),VLOOKUP(TRIM($D48),'BS Mapping std'!$A:$H,8,0)),IFERROR(VLOOKUP(TRIM($E48),'PL mapping Std'!$A:$E,5,0),VLOOKUP(TRIM($D48),'PL mapping Std'!$A:$E,5,0))))</f>
        <v/>
      </c>
      <c r="W48">
        <f>_xlfn.IFERROR(VLOOKUP(E48,'F30 mapping'!A:D,4,0),VLOOKUP(D48,'F30 mapping'!A:D,4,0))</f>
        <v/>
      </c>
      <c r="X48">
        <f>IF(B48&lt;6,IFERROR(VLOOKUP(E48,'BS Mapping std'!A:M,13,0),VLOOKUP(D48,'BS Mapping std'!A:M,13,0)),0)</f>
        <v/>
      </c>
      <c r="Y48">
        <f>IF(B48&lt;6,IFERROR(VLOOKUP(E48,'BS Mapping std'!A:N,14,0),VLOOKUP(D48,'BS Mapping std'!A:N,14,0)),0)</f>
        <v/>
      </c>
    </row>
    <row r="49" spans="1:25">
      <c r="A49">
        <f>IF(B49&lt;6,"BS",IF(B49=6,"Exp","Rev"))</f>
        <v/>
      </c>
      <c r="B49">
        <f>_xlfn.NUMBERVALUE(LEFT(F49,1))</f>
        <v/>
      </c>
      <c r="C49">
        <f>Left(F49,2)</f>
        <v/>
      </c>
      <c r="D49">
        <f>Left(F49,3)</f>
        <v/>
      </c>
      <c r="E49">
        <f>IF(F49="121",Left(F49,3)&amp;"0",Left(F49,4))</f>
        <v/>
      </c>
      <c r="F49" t="n">
        <v>28080000</v>
      </c>
      <c r="G49" t="s">
        <v>73</v>
      </c>
      <c r="H49" s="9" t="n">
        <v>-1435840.79</v>
      </c>
      <c r="I49" s="9" t="n">
        <v>0</v>
      </c>
      <c r="J49" s="9" t="n">
        <v>132482.51</v>
      </c>
      <c r="K49" s="9" t="n">
        <v>-1568323.3</v>
      </c>
      <c r="L49" s="9">
        <f>K49-H49</f>
        <v/>
      </c>
      <c r="M49" s="32">
        <f>IFERROR(L49/H49," ")</f>
        <v/>
      </c>
      <c r="N49">
        <f>IF(A49="BS",IFERROR(VLOOKUP(TRIM($E49),'BS Mapping std'!$A:$D,4,0),VLOOKUP(TRIM($D49),'BS Mapping std'!$A:$D,4,0)),IFERROR(VLOOKUP(TRIM($E49),'PL mapping Std'!$A:$D,4,0),VLOOKUP(TRIM($D49),'PL mapping Std'!$A:$D,4,0)))</f>
        <v/>
      </c>
      <c r="O49">
        <f>_xlfn.IFERROR(VLOOKUP(E49,'F30 mapping'!A:C,3,0),VLOOKUP(D49,'F30 mapping'!A:C,3,0))</f>
        <v/>
      </c>
      <c r="P49">
        <f>_xlfn.IFERROR(IFERROR(VLOOKUP(E49,'F40 mapping'!A:C,3,0),VLOOKUP(D49,'F40 mapping'!A:C,3,0)),0)</f>
        <v/>
      </c>
      <c r="Q49">
        <f>_xlfn.IFERROR(IFERROR(VLOOKUP(E49,'F40 mapping'!A:D,4,0),VLOOKUP(D49,'F40 mapping'!A:D,4,0)),0)</f>
        <v/>
      </c>
      <c r="R49">
        <f>_xlfn.IFERROR(IFERROR(VLOOKUP(E49,'F40 mapping'!A:E,5,0),VLOOKUP(D49,'F40 mapping'!A:E,5,0)),0)</f>
        <v/>
      </c>
      <c r="S49">
        <f>_xlfn.IF(B49&lt;6,IFERROR(VLOOKUP(E49,'BS Mapping std'!A:E,5,0),VLOOKUP(D49,'BS Mapping std'!A:E,5,0)),IFERROR(VLOOKUP(E49,'PL mapping Std'!A:F,6,0),VLOOKUP(D49,'PL mapping Std'!A:F,6,0)))</f>
        <v/>
      </c>
      <c r="T49">
        <f>_xlfn.IF(B49&lt;6,IFERROR(VLOOKUP(E49,'BS Mapping std'!A:F,6,0),VLOOKUP(D49,'BS Mapping std'!A:F,6,0)),IFERROR(VLOOKUP(E49,'PL mapping Std'!A:G,7,0),VLOOKUP(D49,'PL mapping Std'!A:G,7,0)))</f>
        <v/>
      </c>
      <c r="V49">
        <f>IF(IF(A49="BS",IFERROR(VLOOKUP(TRIM($E49),'BS Mapping std'!$A:$H,8,0),VLOOKUP(TRIM($D49),'BS Mapping std'!$A:$H,8,0)),IFERROR(VLOOKUP(TRIM($E49),'PL mapping Std'!$A:$E,5,0),VLOOKUP(TRIM($D49),'PL mapping Std'!$A:$E,5,0)))=0,"",IF(A49="BS",IFERROR(VLOOKUP(TRIM($E49),'BS Mapping std'!$A:$H,8,0),VLOOKUP(TRIM($D49),'BS Mapping std'!$A:$H,8,0)),IFERROR(VLOOKUP(TRIM($E49),'PL mapping Std'!$A:$E,5,0),VLOOKUP(TRIM($D49),'PL mapping Std'!$A:$E,5,0))))</f>
        <v/>
      </c>
      <c r="W49">
        <f>_xlfn.IFERROR(VLOOKUP(E49,'F30 mapping'!A:D,4,0),VLOOKUP(D49,'F30 mapping'!A:D,4,0))</f>
        <v/>
      </c>
      <c r="X49">
        <f>IF(B49&lt;6,IFERROR(VLOOKUP(E49,'BS Mapping std'!A:M,13,0),VLOOKUP(D49,'BS Mapping std'!A:M,13,0)),0)</f>
        <v/>
      </c>
      <c r="Y49">
        <f>IF(B49&lt;6,IFERROR(VLOOKUP(E49,'BS Mapping std'!A:N,14,0),VLOOKUP(D49,'BS Mapping std'!A:N,14,0)),0)</f>
        <v/>
      </c>
    </row>
    <row r="50" spans="1:25">
      <c r="A50">
        <f>IF(B50&lt;6,"BS",IF(B50=6,"Exp","Rev"))</f>
        <v/>
      </c>
      <c r="B50">
        <f>_xlfn.NUMBERVALUE(LEFT(F50,1))</f>
        <v/>
      </c>
      <c r="C50">
        <f>Left(F50,2)</f>
        <v/>
      </c>
      <c r="D50">
        <f>Left(F50,3)</f>
        <v/>
      </c>
      <c r="E50">
        <f>IF(F50="121",Left(F50,3)&amp;"0",Left(F50,4))</f>
        <v/>
      </c>
      <c r="F50" t="n">
        <v>28120000</v>
      </c>
      <c r="G50" t="s">
        <v>74</v>
      </c>
      <c r="H50" s="9" t="n">
        <v>0</v>
      </c>
      <c r="I50" s="9" t="n">
        <v>0</v>
      </c>
      <c r="J50" s="9" t="n">
        <v>1563397</v>
      </c>
      <c r="K50" s="9" t="n">
        <v>-1563397</v>
      </c>
      <c r="L50" s="9">
        <f>K50-H50</f>
        <v/>
      </c>
      <c r="M50" s="32">
        <f>IFERROR(L50/H50," ")</f>
        <v/>
      </c>
      <c r="N50">
        <f>IF(A50="BS",IFERROR(VLOOKUP(TRIM($E50),'BS Mapping std'!$A:$D,4,0),VLOOKUP(TRIM($D50),'BS Mapping std'!$A:$D,4,0)),IFERROR(VLOOKUP(TRIM($E50),'PL mapping Std'!$A:$D,4,0),VLOOKUP(TRIM($D50),'PL mapping Std'!$A:$D,4,0)))</f>
        <v/>
      </c>
      <c r="O50">
        <f>_xlfn.IFERROR(VLOOKUP(E50,'F30 mapping'!A:C,3,0),VLOOKUP(D50,'F30 mapping'!A:C,3,0))</f>
        <v/>
      </c>
      <c r="P50">
        <f>_xlfn.IFERROR(IFERROR(VLOOKUP(E50,'F40 mapping'!A:C,3,0),VLOOKUP(D50,'F40 mapping'!A:C,3,0)),0)</f>
        <v/>
      </c>
      <c r="Q50">
        <f>_xlfn.IFERROR(IFERROR(VLOOKUP(E50,'F40 mapping'!A:D,4,0),VLOOKUP(D50,'F40 mapping'!A:D,4,0)),0)</f>
        <v/>
      </c>
      <c r="R50">
        <f>_xlfn.IFERROR(IFERROR(VLOOKUP(E50,'F40 mapping'!A:E,5,0),VLOOKUP(D50,'F40 mapping'!A:E,5,0)),0)</f>
        <v/>
      </c>
      <c r="S50">
        <f>_xlfn.IF(B50&lt;6,IFERROR(VLOOKUP(E50,'BS Mapping std'!A:E,5,0),VLOOKUP(D50,'BS Mapping std'!A:E,5,0)),IFERROR(VLOOKUP(E50,'PL mapping Std'!A:F,6,0),VLOOKUP(D50,'PL mapping Std'!A:F,6,0)))</f>
        <v/>
      </c>
      <c r="T50">
        <f>_xlfn.IF(B50&lt;6,IFERROR(VLOOKUP(E50,'BS Mapping std'!A:F,6,0),VLOOKUP(D50,'BS Mapping std'!A:F,6,0)),IFERROR(VLOOKUP(E50,'PL mapping Std'!A:G,7,0),VLOOKUP(D50,'PL mapping Std'!A:G,7,0)))</f>
        <v/>
      </c>
      <c r="V50">
        <f>IF(IF(A50="BS",IFERROR(VLOOKUP(TRIM($E50),'BS Mapping std'!$A:$H,8,0),VLOOKUP(TRIM($D50),'BS Mapping std'!$A:$H,8,0)),IFERROR(VLOOKUP(TRIM($E50),'PL mapping Std'!$A:$E,5,0),VLOOKUP(TRIM($D50),'PL mapping Std'!$A:$E,5,0)))=0,"",IF(A50="BS",IFERROR(VLOOKUP(TRIM($E50),'BS Mapping std'!$A:$H,8,0),VLOOKUP(TRIM($D50),'BS Mapping std'!$A:$H,8,0)),IFERROR(VLOOKUP(TRIM($E50),'PL mapping Std'!$A:$E,5,0),VLOOKUP(TRIM($D50),'PL mapping Std'!$A:$E,5,0))))</f>
        <v/>
      </c>
      <c r="W50">
        <f>_xlfn.IFERROR(VLOOKUP(E50,'F30 mapping'!A:D,4,0),VLOOKUP(D50,'F30 mapping'!A:D,4,0))</f>
        <v/>
      </c>
      <c r="X50">
        <f>IF(B50&lt;6,IFERROR(VLOOKUP(E50,'BS Mapping std'!A:M,13,0),VLOOKUP(D50,'BS Mapping std'!A:M,13,0)),0)</f>
        <v/>
      </c>
      <c r="Y50">
        <f>IF(B50&lt;6,IFERROR(VLOOKUP(E50,'BS Mapping std'!A:N,14,0),VLOOKUP(D50,'BS Mapping std'!A:N,14,0)),0)</f>
        <v/>
      </c>
    </row>
    <row r="51" spans="1:25">
      <c r="A51">
        <f>IF(B51&lt;6,"BS",IF(B51=6,"Exp","Rev"))</f>
        <v/>
      </c>
      <c r="B51">
        <f>_xlfn.NUMBERVALUE(LEFT(F51,1))</f>
        <v/>
      </c>
      <c r="C51">
        <f>Left(F51,2)</f>
        <v/>
      </c>
      <c r="D51">
        <f>Left(F51,3)</f>
        <v/>
      </c>
      <c r="E51">
        <f>IF(F51="121",Left(F51,3)&amp;"0",Left(F51,4))</f>
        <v/>
      </c>
      <c r="F51" t="n">
        <v>28130000</v>
      </c>
      <c r="G51" t="s">
        <v>75</v>
      </c>
      <c r="H51" s="9" t="n">
        <v>-26849163.13</v>
      </c>
      <c r="I51" s="9" t="n">
        <v>72472.94</v>
      </c>
      <c r="J51" s="9" t="n">
        <v>7260512.34</v>
      </c>
      <c r="K51" s="9" t="n">
        <v>-34037202.53</v>
      </c>
      <c r="L51" s="9">
        <f>K51-H51</f>
        <v/>
      </c>
      <c r="M51" s="32">
        <f>IFERROR(L51/H51," ")</f>
        <v/>
      </c>
      <c r="N51">
        <f>IF(A51="BS",IFERROR(VLOOKUP(TRIM($E51),'BS Mapping std'!$A:$D,4,0),VLOOKUP(TRIM($D51),'BS Mapping std'!$A:$D,4,0)),IFERROR(VLOOKUP(TRIM($E51),'PL mapping Std'!$A:$D,4,0),VLOOKUP(TRIM($D51),'PL mapping Std'!$A:$D,4,0)))</f>
        <v/>
      </c>
      <c r="O51">
        <f>_xlfn.IFERROR(VLOOKUP(E51,'F30 mapping'!A:C,3,0),VLOOKUP(D51,'F30 mapping'!A:C,3,0))</f>
        <v/>
      </c>
      <c r="P51">
        <f>_xlfn.IFERROR(IFERROR(VLOOKUP(E51,'F40 mapping'!A:C,3,0),VLOOKUP(D51,'F40 mapping'!A:C,3,0)),0)</f>
        <v/>
      </c>
      <c r="Q51">
        <f>_xlfn.IFERROR(IFERROR(VLOOKUP(E51,'F40 mapping'!A:D,4,0),VLOOKUP(D51,'F40 mapping'!A:D,4,0)),0)</f>
        <v/>
      </c>
      <c r="R51">
        <f>_xlfn.IFERROR(IFERROR(VLOOKUP(E51,'F40 mapping'!A:E,5,0),VLOOKUP(D51,'F40 mapping'!A:E,5,0)),0)</f>
        <v/>
      </c>
      <c r="S51">
        <f>_xlfn.IF(B51&lt;6,IFERROR(VLOOKUP(E51,'BS Mapping std'!A:E,5,0),VLOOKUP(D51,'BS Mapping std'!A:E,5,0)),IFERROR(VLOOKUP(E51,'PL mapping Std'!A:F,6,0),VLOOKUP(D51,'PL mapping Std'!A:F,6,0)))</f>
        <v/>
      </c>
      <c r="T51">
        <f>_xlfn.IF(B51&lt;6,IFERROR(VLOOKUP(E51,'BS Mapping std'!A:F,6,0),VLOOKUP(D51,'BS Mapping std'!A:F,6,0)),IFERROR(VLOOKUP(E51,'PL mapping Std'!A:G,7,0),VLOOKUP(D51,'PL mapping Std'!A:G,7,0)))</f>
        <v/>
      </c>
      <c r="V51">
        <f>IF(IF(A51="BS",IFERROR(VLOOKUP(TRIM($E51),'BS Mapping std'!$A:$H,8,0),VLOOKUP(TRIM($D51),'BS Mapping std'!$A:$H,8,0)),IFERROR(VLOOKUP(TRIM($E51),'PL mapping Std'!$A:$E,5,0),VLOOKUP(TRIM($D51),'PL mapping Std'!$A:$E,5,0)))=0,"",IF(A51="BS",IFERROR(VLOOKUP(TRIM($E51),'BS Mapping std'!$A:$H,8,0),VLOOKUP(TRIM($D51),'BS Mapping std'!$A:$H,8,0)),IFERROR(VLOOKUP(TRIM($E51),'PL mapping Std'!$A:$E,5,0),VLOOKUP(TRIM($D51),'PL mapping Std'!$A:$E,5,0))))</f>
        <v/>
      </c>
      <c r="W51">
        <f>_xlfn.IFERROR(VLOOKUP(E51,'F30 mapping'!A:D,4,0),VLOOKUP(D51,'F30 mapping'!A:D,4,0))</f>
        <v/>
      </c>
      <c r="X51">
        <f>IF(B51&lt;6,IFERROR(VLOOKUP(E51,'BS Mapping std'!A:M,13,0),VLOOKUP(D51,'BS Mapping std'!A:M,13,0)),0)</f>
        <v/>
      </c>
      <c r="Y51">
        <f>IF(B51&lt;6,IFERROR(VLOOKUP(E51,'BS Mapping std'!A:N,14,0),VLOOKUP(D51,'BS Mapping std'!A:N,14,0)),0)</f>
        <v/>
      </c>
    </row>
    <row r="52" spans="1:25">
      <c r="A52">
        <f>IF(B52&lt;6,"BS",IF(B52=6,"Exp","Rev"))</f>
        <v/>
      </c>
      <c r="B52">
        <f>_xlfn.NUMBERVALUE(LEFT(F52,1))</f>
        <v/>
      </c>
      <c r="C52">
        <f>Left(F52,2)</f>
        <v/>
      </c>
      <c r="D52">
        <f>Left(F52,3)</f>
        <v/>
      </c>
      <c r="E52">
        <f>IF(F52="121",Left(F52,3)&amp;"0",Left(F52,4))</f>
        <v/>
      </c>
      <c r="F52" t="n">
        <v>28130020</v>
      </c>
      <c r="G52" t="s">
        <v>76</v>
      </c>
      <c r="H52" s="9" t="n">
        <v>-902396.47</v>
      </c>
      <c r="I52" s="9" t="n">
        <v>54860.44</v>
      </c>
      <c r="J52" s="9" t="n">
        <v>314354.87</v>
      </c>
      <c r="K52" s="9" t="n">
        <v>-1161890.9</v>
      </c>
      <c r="L52" s="9">
        <f>K52-H52</f>
        <v/>
      </c>
      <c r="M52" s="32">
        <f>IFERROR(L52/H52," ")</f>
        <v/>
      </c>
      <c r="N52">
        <f>IF(A52="BS",IFERROR(VLOOKUP(TRIM($E52),'BS Mapping std'!$A:$D,4,0),VLOOKUP(TRIM($D52),'BS Mapping std'!$A:$D,4,0)),IFERROR(VLOOKUP(TRIM($E52),'PL mapping Std'!$A:$D,4,0),VLOOKUP(TRIM($D52),'PL mapping Std'!$A:$D,4,0)))</f>
        <v/>
      </c>
      <c r="O52">
        <f>_xlfn.IFERROR(VLOOKUP(E52,'F30 mapping'!A:C,3,0),VLOOKUP(D52,'F30 mapping'!A:C,3,0))</f>
        <v/>
      </c>
      <c r="P52">
        <f>_xlfn.IFERROR(IFERROR(VLOOKUP(E52,'F40 mapping'!A:C,3,0),VLOOKUP(D52,'F40 mapping'!A:C,3,0)),0)</f>
        <v/>
      </c>
      <c r="Q52">
        <f>_xlfn.IFERROR(IFERROR(VLOOKUP(E52,'F40 mapping'!A:D,4,0),VLOOKUP(D52,'F40 mapping'!A:D,4,0)),0)</f>
        <v/>
      </c>
      <c r="R52">
        <f>_xlfn.IFERROR(IFERROR(VLOOKUP(E52,'F40 mapping'!A:E,5,0),VLOOKUP(D52,'F40 mapping'!A:E,5,0)),0)</f>
        <v/>
      </c>
      <c r="S52">
        <f>_xlfn.IF(B52&lt;6,IFERROR(VLOOKUP(E52,'BS Mapping std'!A:E,5,0),VLOOKUP(D52,'BS Mapping std'!A:E,5,0)),IFERROR(VLOOKUP(E52,'PL mapping Std'!A:F,6,0),VLOOKUP(D52,'PL mapping Std'!A:F,6,0)))</f>
        <v/>
      </c>
      <c r="T52">
        <f>_xlfn.IF(B52&lt;6,IFERROR(VLOOKUP(E52,'BS Mapping std'!A:F,6,0),VLOOKUP(D52,'BS Mapping std'!A:F,6,0)),IFERROR(VLOOKUP(E52,'PL mapping Std'!A:G,7,0),VLOOKUP(D52,'PL mapping Std'!A:G,7,0)))</f>
        <v/>
      </c>
      <c r="V52">
        <f>IF(IF(A52="BS",IFERROR(VLOOKUP(TRIM($E52),'BS Mapping std'!$A:$H,8,0),VLOOKUP(TRIM($D52),'BS Mapping std'!$A:$H,8,0)),IFERROR(VLOOKUP(TRIM($E52),'PL mapping Std'!$A:$E,5,0),VLOOKUP(TRIM($D52),'PL mapping Std'!$A:$E,5,0)))=0,"",IF(A52="BS",IFERROR(VLOOKUP(TRIM($E52),'BS Mapping std'!$A:$H,8,0),VLOOKUP(TRIM($D52),'BS Mapping std'!$A:$H,8,0)),IFERROR(VLOOKUP(TRIM($E52),'PL mapping Std'!$A:$E,5,0),VLOOKUP(TRIM($D52),'PL mapping Std'!$A:$E,5,0))))</f>
        <v/>
      </c>
      <c r="W52">
        <f>_xlfn.IFERROR(VLOOKUP(E52,'F30 mapping'!A:D,4,0),VLOOKUP(D52,'F30 mapping'!A:D,4,0))</f>
        <v/>
      </c>
      <c r="X52">
        <f>IF(B52&lt;6,IFERROR(VLOOKUP(E52,'BS Mapping std'!A:M,13,0),VLOOKUP(D52,'BS Mapping std'!A:M,13,0)),0)</f>
        <v/>
      </c>
      <c r="Y52">
        <f>IF(B52&lt;6,IFERROR(VLOOKUP(E52,'BS Mapping std'!A:N,14,0),VLOOKUP(D52,'BS Mapping std'!A:N,14,0)),0)</f>
        <v/>
      </c>
    </row>
    <row r="53" spans="1:25">
      <c r="A53">
        <f>IF(B53&lt;6,"BS",IF(B53=6,"Exp","Rev"))</f>
        <v/>
      </c>
      <c r="B53">
        <f>_xlfn.NUMBERVALUE(LEFT(F53,1))</f>
        <v/>
      </c>
      <c r="C53">
        <f>Left(F53,2)</f>
        <v/>
      </c>
      <c r="D53">
        <f>Left(F53,3)</f>
        <v/>
      </c>
      <c r="E53">
        <f>IF(F53="121",Left(F53,3)&amp;"0",Left(F53,4))</f>
        <v/>
      </c>
      <c r="F53" t="n">
        <v>28130030</v>
      </c>
      <c r="G53" t="s">
        <v>77</v>
      </c>
      <c r="H53" s="9" t="n">
        <v>-557982.0699999999</v>
      </c>
      <c r="I53" s="9" t="n">
        <v>0</v>
      </c>
      <c r="J53" s="9" t="n">
        <v>104078</v>
      </c>
      <c r="K53" s="9" t="n">
        <v>-662060.0699999999</v>
      </c>
      <c r="L53" s="9">
        <f>K53-H53</f>
        <v/>
      </c>
      <c r="M53" s="32">
        <f>IFERROR(L53/H53," ")</f>
        <v/>
      </c>
      <c r="N53">
        <f>IF(A53="BS",IFERROR(VLOOKUP(TRIM($E53),'BS Mapping std'!$A:$D,4,0),VLOOKUP(TRIM($D53),'BS Mapping std'!$A:$D,4,0)),IFERROR(VLOOKUP(TRIM($E53),'PL mapping Std'!$A:$D,4,0),VLOOKUP(TRIM($D53),'PL mapping Std'!$A:$D,4,0)))</f>
        <v/>
      </c>
      <c r="O53">
        <f>_xlfn.IFERROR(VLOOKUP(E53,'F30 mapping'!A:C,3,0),VLOOKUP(D53,'F30 mapping'!A:C,3,0))</f>
        <v/>
      </c>
      <c r="P53">
        <f>_xlfn.IFERROR(IFERROR(VLOOKUP(E53,'F40 mapping'!A:C,3,0),VLOOKUP(D53,'F40 mapping'!A:C,3,0)),0)</f>
        <v/>
      </c>
      <c r="Q53">
        <f>_xlfn.IFERROR(IFERROR(VLOOKUP(E53,'F40 mapping'!A:D,4,0),VLOOKUP(D53,'F40 mapping'!A:D,4,0)),0)</f>
        <v/>
      </c>
      <c r="R53">
        <f>_xlfn.IFERROR(IFERROR(VLOOKUP(E53,'F40 mapping'!A:E,5,0),VLOOKUP(D53,'F40 mapping'!A:E,5,0)),0)</f>
        <v/>
      </c>
      <c r="S53">
        <f>_xlfn.IF(B53&lt;6,IFERROR(VLOOKUP(E53,'BS Mapping std'!A:E,5,0),VLOOKUP(D53,'BS Mapping std'!A:E,5,0)),IFERROR(VLOOKUP(E53,'PL mapping Std'!A:F,6,0),VLOOKUP(D53,'PL mapping Std'!A:F,6,0)))</f>
        <v/>
      </c>
      <c r="T53">
        <f>_xlfn.IF(B53&lt;6,IFERROR(VLOOKUP(E53,'BS Mapping std'!A:F,6,0),VLOOKUP(D53,'BS Mapping std'!A:F,6,0)),IFERROR(VLOOKUP(E53,'PL mapping Std'!A:G,7,0),VLOOKUP(D53,'PL mapping Std'!A:G,7,0)))</f>
        <v/>
      </c>
      <c r="V53">
        <f>IF(IF(A53="BS",IFERROR(VLOOKUP(TRIM($E53),'BS Mapping std'!$A:$H,8,0),VLOOKUP(TRIM($D53),'BS Mapping std'!$A:$H,8,0)),IFERROR(VLOOKUP(TRIM($E53),'PL mapping Std'!$A:$E,5,0),VLOOKUP(TRIM($D53),'PL mapping Std'!$A:$E,5,0)))=0,"",IF(A53="BS",IFERROR(VLOOKUP(TRIM($E53),'BS Mapping std'!$A:$H,8,0),VLOOKUP(TRIM($D53),'BS Mapping std'!$A:$H,8,0)),IFERROR(VLOOKUP(TRIM($E53),'PL mapping Std'!$A:$E,5,0),VLOOKUP(TRIM($D53),'PL mapping Std'!$A:$E,5,0))))</f>
        <v/>
      </c>
      <c r="W53">
        <f>_xlfn.IFERROR(VLOOKUP(E53,'F30 mapping'!A:D,4,0),VLOOKUP(D53,'F30 mapping'!A:D,4,0))</f>
        <v/>
      </c>
      <c r="X53">
        <f>IF(B53&lt;6,IFERROR(VLOOKUP(E53,'BS Mapping std'!A:M,13,0),VLOOKUP(D53,'BS Mapping std'!A:M,13,0)),0)</f>
        <v/>
      </c>
      <c r="Y53">
        <f>IF(B53&lt;6,IFERROR(VLOOKUP(E53,'BS Mapping std'!A:N,14,0),VLOOKUP(D53,'BS Mapping std'!A:N,14,0)),0)</f>
        <v/>
      </c>
    </row>
    <row r="54" spans="1:25">
      <c r="A54">
        <f>IF(B54&lt;6,"BS",IF(B54=6,"Exp","Rev"))</f>
        <v/>
      </c>
      <c r="B54">
        <f>_xlfn.NUMBERVALUE(LEFT(F54,1))</f>
        <v/>
      </c>
      <c r="C54">
        <f>Left(F54,2)</f>
        <v/>
      </c>
      <c r="D54">
        <f>Left(F54,3)</f>
        <v/>
      </c>
      <c r="E54">
        <f>IF(F54="121",Left(F54,3)&amp;"0",Left(F54,4))</f>
        <v/>
      </c>
      <c r="F54" t="n">
        <v>28140000</v>
      </c>
      <c r="G54" t="s">
        <v>78</v>
      </c>
      <c r="H54" s="9" t="n">
        <v>-1264566.14</v>
      </c>
      <c r="I54" s="9" t="n">
        <v>24058.42</v>
      </c>
      <c r="J54" s="9" t="n">
        <v>211814.87</v>
      </c>
      <c r="K54" s="9" t="n">
        <v>-1452322.59</v>
      </c>
      <c r="L54" s="9">
        <f>K54-H54</f>
        <v/>
      </c>
      <c r="M54" s="32">
        <f>IFERROR(L54/H54," ")</f>
        <v/>
      </c>
      <c r="N54">
        <f>IF(A54="BS",IFERROR(VLOOKUP(TRIM($E54),'BS Mapping std'!$A:$D,4,0),VLOOKUP(TRIM($D54),'BS Mapping std'!$A:$D,4,0)),IFERROR(VLOOKUP(TRIM($E54),'PL mapping Std'!$A:$D,4,0),VLOOKUP(TRIM($D54),'PL mapping Std'!$A:$D,4,0)))</f>
        <v/>
      </c>
      <c r="O54">
        <f>_xlfn.IFERROR(VLOOKUP(E54,'F30 mapping'!A:C,3,0),VLOOKUP(D54,'F30 mapping'!A:C,3,0))</f>
        <v/>
      </c>
      <c r="P54">
        <f>_xlfn.IFERROR(IFERROR(VLOOKUP(E54,'F40 mapping'!A:C,3,0),VLOOKUP(D54,'F40 mapping'!A:C,3,0)),0)</f>
        <v/>
      </c>
      <c r="Q54">
        <f>_xlfn.IFERROR(IFERROR(VLOOKUP(E54,'F40 mapping'!A:D,4,0),VLOOKUP(D54,'F40 mapping'!A:D,4,0)),0)</f>
        <v/>
      </c>
      <c r="R54">
        <f>_xlfn.IFERROR(IFERROR(VLOOKUP(E54,'F40 mapping'!A:E,5,0),VLOOKUP(D54,'F40 mapping'!A:E,5,0)),0)</f>
        <v/>
      </c>
      <c r="S54">
        <f>_xlfn.IF(B54&lt;6,IFERROR(VLOOKUP(E54,'BS Mapping std'!A:E,5,0),VLOOKUP(D54,'BS Mapping std'!A:E,5,0)),IFERROR(VLOOKUP(E54,'PL mapping Std'!A:F,6,0),VLOOKUP(D54,'PL mapping Std'!A:F,6,0)))</f>
        <v/>
      </c>
      <c r="T54">
        <f>_xlfn.IF(B54&lt;6,IFERROR(VLOOKUP(E54,'BS Mapping std'!A:F,6,0),VLOOKUP(D54,'BS Mapping std'!A:F,6,0)),IFERROR(VLOOKUP(E54,'PL mapping Std'!A:G,7,0),VLOOKUP(D54,'PL mapping Std'!A:G,7,0)))</f>
        <v/>
      </c>
      <c r="V54">
        <f>IF(IF(A54="BS",IFERROR(VLOOKUP(TRIM($E54),'BS Mapping std'!$A:$H,8,0),VLOOKUP(TRIM($D54),'BS Mapping std'!$A:$H,8,0)),IFERROR(VLOOKUP(TRIM($E54),'PL mapping Std'!$A:$E,5,0),VLOOKUP(TRIM($D54),'PL mapping Std'!$A:$E,5,0)))=0,"",IF(A54="BS",IFERROR(VLOOKUP(TRIM($E54),'BS Mapping std'!$A:$H,8,0),VLOOKUP(TRIM($D54),'BS Mapping std'!$A:$H,8,0)),IFERROR(VLOOKUP(TRIM($E54),'PL mapping Std'!$A:$E,5,0),VLOOKUP(TRIM($D54),'PL mapping Std'!$A:$E,5,0))))</f>
        <v/>
      </c>
      <c r="W54">
        <f>_xlfn.IFERROR(VLOOKUP(E54,'F30 mapping'!A:D,4,0),VLOOKUP(D54,'F30 mapping'!A:D,4,0))</f>
        <v/>
      </c>
      <c r="X54">
        <f>IF(B54&lt;6,IFERROR(VLOOKUP(E54,'BS Mapping std'!A:M,13,0),VLOOKUP(D54,'BS Mapping std'!A:M,13,0)),0)</f>
        <v/>
      </c>
      <c r="Y54">
        <f>IF(B54&lt;6,IFERROR(VLOOKUP(E54,'BS Mapping std'!A:N,14,0),VLOOKUP(D54,'BS Mapping std'!A:N,14,0)),0)</f>
        <v/>
      </c>
    </row>
    <row r="55" spans="1:25">
      <c r="A55">
        <f>IF(B55&lt;6,"BS",IF(B55=6,"Exp","Rev"))</f>
        <v/>
      </c>
      <c r="B55">
        <f>_xlfn.NUMBERVALUE(LEFT(F55,1))</f>
        <v/>
      </c>
      <c r="C55">
        <f>Left(F55,2)</f>
        <v/>
      </c>
      <c r="D55">
        <f>Left(F55,3)</f>
        <v/>
      </c>
      <c r="E55">
        <f>IF(F55="121",Left(F55,3)&amp;"0",Left(F55,4))</f>
        <v/>
      </c>
      <c r="F55" t="n">
        <v>30100010</v>
      </c>
      <c r="G55" t="s">
        <v>79</v>
      </c>
      <c r="H55" s="9" t="n">
        <v>3630975.93</v>
      </c>
      <c r="I55" s="9" t="n">
        <v>23086770.7</v>
      </c>
      <c r="J55" s="9" t="n">
        <v>20710411.89</v>
      </c>
      <c r="K55" s="9" t="n">
        <v>6007334.74</v>
      </c>
      <c r="L55" s="9">
        <f>K55-H55</f>
        <v/>
      </c>
      <c r="M55" s="32">
        <f>IFERROR(L55/H55," ")</f>
        <v/>
      </c>
      <c r="N55">
        <f>IF(A55="BS",IFERROR(VLOOKUP(TRIM($E55),'BS Mapping std'!$A:$D,4,0),VLOOKUP(TRIM($D55),'BS Mapping std'!$A:$D,4,0)),IFERROR(VLOOKUP(TRIM($E55),'PL mapping Std'!$A:$D,4,0),VLOOKUP(TRIM($D55),'PL mapping Std'!$A:$D,4,0)))</f>
        <v/>
      </c>
      <c r="O55">
        <f>_xlfn.IFERROR(VLOOKUP(E55,'F30 mapping'!A:C,3,0),VLOOKUP(D55,'F30 mapping'!A:C,3,0))</f>
        <v/>
      </c>
      <c r="P55">
        <f>_xlfn.IFERROR(IFERROR(VLOOKUP(E55,'F40 mapping'!A:C,3,0),VLOOKUP(D55,'F40 mapping'!A:C,3,0)),0)</f>
        <v/>
      </c>
      <c r="Q55">
        <f>_xlfn.IFERROR(IFERROR(VLOOKUP(E55,'F40 mapping'!A:D,4,0),VLOOKUP(D55,'F40 mapping'!A:D,4,0)),0)</f>
        <v/>
      </c>
      <c r="R55">
        <f>_xlfn.IFERROR(IFERROR(VLOOKUP(E55,'F40 mapping'!A:E,5,0),VLOOKUP(D55,'F40 mapping'!A:E,5,0)),0)</f>
        <v/>
      </c>
      <c r="S55">
        <f>_xlfn.IF(B55&lt;6,IFERROR(VLOOKUP(E55,'BS Mapping std'!A:E,5,0),VLOOKUP(D55,'BS Mapping std'!A:E,5,0)),IFERROR(VLOOKUP(E55,'PL mapping Std'!A:F,6,0),VLOOKUP(D55,'PL mapping Std'!A:F,6,0)))</f>
        <v/>
      </c>
      <c r="T55">
        <f>_xlfn.IF(B55&lt;6,IFERROR(VLOOKUP(E55,'BS Mapping std'!A:F,6,0),VLOOKUP(D55,'BS Mapping std'!A:F,6,0)),IFERROR(VLOOKUP(E55,'PL mapping Std'!A:G,7,0),VLOOKUP(D55,'PL mapping Std'!A:G,7,0)))</f>
        <v/>
      </c>
      <c r="V55">
        <f>IF(IF(A55="BS",IFERROR(VLOOKUP(TRIM($E55),'BS Mapping std'!$A:$H,8,0),VLOOKUP(TRIM($D55),'BS Mapping std'!$A:$H,8,0)),IFERROR(VLOOKUP(TRIM($E55),'PL mapping Std'!$A:$E,5,0),VLOOKUP(TRIM($D55),'PL mapping Std'!$A:$E,5,0)))=0,"",IF(A55="BS",IFERROR(VLOOKUP(TRIM($E55),'BS Mapping std'!$A:$H,8,0),VLOOKUP(TRIM($D55),'BS Mapping std'!$A:$H,8,0)),IFERROR(VLOOKUP(TRIM($E55),'PL mapping Std'!$A:$E,5,0),VLOOKUP(TRIM($D55),'PL mapping Std'!$A:$E,5,0))))</f>
        <v/>
      </c>
      <c r="W55">
        <f>_xlfn.IFERROR(VLOOKUP(E55,'F30 mapping'!A:D,4,0),VLOOKUP(D55,'F30 mapping'!A:D,4,0))</f>
        <v/>
      </c>
      <c r="X55">
        <f>IF(B55&lt;6,IFERROR(VLOOKUP(E55,'BS Mapping std'!A:M,13,0),VLOOKUP(D55,'BS Mapping std'!A:M,13,0)),0)</f>
        <v/>
      </c>
      <c r="Y55">
        <f>IF(B55&lt;6,IFERROR(VLOOKUP(E55,'BS Mapping std'!A:N,14,0),VLOOKUP(D55,'BS Mapping std'!A:N,14,0)),0)</f>
        <v/>
      </c>
    </row>
    <row r="56" spans="1:25">
      <c r="A56">
        <f>IF(B56&lt;6,"BS",IF(B56=6,"Exp","Rev"))</f>
        <v/>
      </c>
      <c r="B56">
        <f>_xlfn.NUMBERVALUE(LEFT(F56,1))</f>
        <v/>
      </c>
      <c r="C56">
        <f>Left(F56,2)</f>
        <v/>
      </c>
      <c r="D56">
        <f>Left(F56,3)</f>
        <v/>
      </c>
      <c r="E56">
        <f>IF(F56="121",Left(F56,3)&amp;"0",Left(F56,4))</f>
        <v/>
      </c>
      <c r="F56" t="n">
        <v>30100020</v>
      </c>
      <c r="G56" t="s">
        <v>80</v>
      </c>
      <c r="H56" s="9" t="n">
        <v>5973363.86</v>
      </c>
      <c r="I56" s="9" t="n">
        <v>30879496.3</v>
      </c>
      <c r="J56" s="9" t="n">
        <v>29470405.49</v>
      </c>
      <c r="K56" s="9" t="n">
        <v>7382454.67</v>
      </c>
      <c r="L56" s="9">
        <f>K56-H56</f>
        <v/>
      </c>
      <c r="M56" s="32">
        <f>IFERROR(L56/H56," ")</f>
        <v/>
      </c>
      <c r="N56">
        <f>IF(A56="BS",IFERROR(VLOOKUP(TRIM($E56),'BS Mapping std'!$A:$D,4,0),VLOOKUP(TRIM($D56),'BS Mapping std'!$A:$D,4,0)),IFERROR(VLOOKUP(TRIM($E56),'PL mapping Std'!$A:$D,4,0),VLOOKUP(TRIM($D56),'PL mapping Std'!$A:$D,4,0)))</f>
        <v/>
      </c>
      <c r="O56">
        <f>_xlfn.IFERROR(VLOOKUP(E56,'F30 mapping'!A:C,3,0),VLOOKUP(D56,'F30 mapping'!A:C,3,0))</f>
        <v/>
      </c>
      <c r="P56">
        <f>_xlfn.IFERROR(IFERROR(VLOOKUP(E56,'F40 mapping'!A:C,3,0),VLOOKUP(D56,'F40 mapping'!A:C,3,0)),0)</f>
        <v/>
      </c>
      <c r="Q56">
        <f>_xlfn.IFERROR(IFERROR(VLOOKUP(E56,'F40 mapping'!A:D,4,0),VLOOKUP(D56,'F40 mapping'!A:D,4,0)),0)</f>
        <v/>
      </c>
      <c r="R56">
        <f>_xlfn.IFERROR(IFERROR(VLOOKUP(E56,'F40 mapping'!A:E,5,0),VLOOKUP(D56,'F40 mapping'!A:E,5,0)),0)</f>
        <v/>
      </c>
      <c r="S56">
        <f>_xlfn.IF(B56&lt;6,IFERROR(VLOOKUP(E56,'BS Mapping std'!A:E,5,0),VLOOKUP(D56,'BS Mapping std'!A:E,5,0)),IFERROR(VLOOKUP(E56,'PL mapping Std'!A:F,6,0),VLOOKUP(D56,'PL mapping Std'!A:F,6,0)))</f>
        <v/>
      </c>
      <c r="T56">
        <f>_xlfn.IF(B56&lt;6,IFERROR(VLOOKUP(E56,'BS Mapping std'!A:F,6,0),VLOOKUP(D56,'BS Mapping std'!A:F,6,0)),IFERROR(VLOOKUP(E56,'PL mapping Std'!A:G,7,0),VLOOKUP(D56,'PL mapping Std'!A:G,7,0)))</f>
        <v/>
      </c>
      <c r="V56">
        <f>IF(IF(A56="BS",IFERROR(VLOOKUP(TRIM($E56),'BS Mapping std'!$A:$H,8,0),VLOOKUP(TRIM($D56),'BS Mapping std'!$A:$H,8,0)),IFERROR(VLOOKUP(TRIM($E56),'PL mapping Std'!$A:$E,5,0),VLOOKUP(TRIM($D56),'PL mapping Std'!$A:$E,5,0)))=0,"",IF(A56="BS",IFERROR(VLOOKUP(TRIM($E56),'BS Mapping std'!$A:$H,8,0),VLOOKUP(TRIM($D56),'BS Mapping std'!$A:$H,8,0)),IFERROR(VLOOKUP(TRIM($E56),'PL mapping Std'!$A:$E,5,0),VLOOKUP(TRIM($D56),'PL mapping Std'!$A:$E,5,0))))</f>
        <v/>
      </c>
      <c r="W56">
        <f>_xlfn.IFERROR(VLOOKUP(E56,'F30 mapping'!A:D,4,0),VLOOKUP(D56,'F30 mapping'!A:D,4,0))</f>
        <v/>
      </c>
      <c r="X56">
        <f>IF(B56&lt;6,IFERROR(VLOOKUP(E56,'BS Mapping std'!A:M,13,0),VLOOKUP(D56,'BS Mapping std'!A:M,13,0)),0)</f>
        <v/>
      </c>
      <c r="Y56">
        <f>IF(B56&lt;6,IFERROR(VLOOKUP(E56,'BS Mapping std'!A:N,14,0),VLOOKUP(D56,'BS Mapping std'!A:N,14,0)),0)</f>
        <v/>
      </c>
    </row>
    <row r="57" spans="1:25">
      <c r="A57">
        <f>IF(B57&lt;6,"BS",IF(B57=6,"Exp","Rev"))</f>
        <v/>
      </c>
      <c r="B57">
        <f>_xlfn.NUMBERVALUE(LEFT(F57,1))</f>
        <v/>
      </c>
      <c r="C57">
        <f>Left(F57,2)</f>
        <v/>
      </c>
      <c r="D57">
        <f>Left(F57,3)</f>
        <v/>
      </c>
      <c r="E57">
        <f>IF(F57="121",Left(F57,3)&amp;"0",Left(F57,4))</f>
        <v/>
      </c>
      <c r="F57" t="n">
        <v>30100030</v>
      </c>
      <c r="G57" t="s">
        <v>81</v>
      </c>
      <c r="H57" s="9" t="n">
        <v>25124.98</v>
      </c>
      <c r="I57" s="9" t="n">
        <v>904738.74</v>
      </c>
      <c r="J57" s="9" t="n">
        <v>847271.53</v>
      </c>
      <c r="K57" s="9" t="n">
        <v>82592.19</v>
      </c>
      <c r="L57" s="9">
        <f>K57-H57</f>
        <v/>
      </c>
      <c r="M57" s="32">
        <f>IFERROR(L57/H57," ")</f>
        <v/>
      </c>
      <c r="N57">
        <f>IF(A57="BS",IFERROR(VLOOKUP(TRIM($E57),'BS Mapping std'!$A:$D,4,0),VLOOKUP(TRIM($D57),'BS Mapping std'!$A:$D,4,0)),IFERROR(VLOOKUP(TRIM($E57),'PL mapping Std'!$A:$D,4,0),VLOOKUP(TRIM($D57),'PL mapping Std'!$A:$D,4,0)))</f>
        <v/>
      </c>
      <c r="O57">
        <f>_xlfn.IFERROR(VLOOKUP(E57,'F30 mapping'!A:C,3,0),VLOOKUP(D57,'F30 mapping'!A:C,3,0))</f>
        <v/>
      </c>
      <c r="P57">
        <f>_xlfn.IFERROR(IFERROR(VLOOKUP(E57,'F40 mapping'!A:C,3,0),VLOOKUP(D57,'F40 mapping'!A:C,3,0)),0)</f>
        <v/>
      </c>
      <c r="Q57">
        <f>_xlfn.IFERROR(IFERROR(VLOOKUP(E57,'F40 mapping'!A:D,4,0),VLOOKUP(D57,'F40 mapping'!A:D,4,0)),0)</f>
        <v/>
      </c>
      <c r="R57">
        <f>_xlfn.IFERROR(IFERROR(VLOOKUP(E57,'F40 mapping'!A:E,5,0),VLOOKUP(D57,'F40 mapping'!A:E,5,0)),0)</f>
        <v/>
      </c>
      <c r="S57">
        <f>_xlfn.IF(B57&lt;6,IFERROR(VLOOKUP(E57,'BS Mapping std'!A:E,5,0),VLOOKUP(D57,'BS Mapping std'!A:E,5,0)),IFERROR(VLOOKUP(E57,'PL mapping Std'!A:F,6,0),VLOOKUP(D57,'PL mapping Std'!A:F,6,0)))</f>
        <v/>
      </c>
      <c r="T57">
        <f>_xlfn.IF(B57&lt;6,IFERROR(VLOOKUP(E57,'BS Mapping std'!A:F,6,0),VLOOKUP(D57,'BS Mapping std'!A:F,6,0)),IFERROR(VLOOKUP(E57,'PL mapping Std'!A:G,7,0),VLOOKUP(D57,'PL mapping Std'!A:G,7,0)))</f>
        <v/>
      </c>
      <c r="V57">
        <f>IF(IF(A57="BS",IFERROR(VLOOKUP(TRIM($E57),'BS Mapping std'!$A:$H,8,0),VLOOKUP(TRIM($D57),'BS Mapping std'!$A:$H,8,0)),IFERROR(VLOOKUP(TRIM($E57),'PL mapping Std'!$A:$E,5,0),VLOOKUP(TRIM($D57),'PL mapping Std'!$A:$E,5,0)))=0,"",IF(A57="BS",IFERROR(VLOOKUP(TRIM($E57),'BS Mapping std'!$A:$H,8,0),VLOOKUP(TRIM($D57),'BS Mapping std'!$A:$H,8,0)),IFERROR(VLOOKUP(TRIM($E57),'PL mapping Std'!$A:$E,5,0),VLOOKUP(TRIM($D57),'PL mapping Std'!$A:$E,5,0))))</f>
        <v/>
      </c>
      <c r="W57">
        <f>_xlfn.IFERROR(VLOOKUP(E57,'F30 mapping'!A:D,4,0),VLOOKUP(D57,'F30 mapping'!A:D,4,0))</f>
        <v/>
      </c>
      <c r="X57">
        <f>IF(B57&lt;6,IFERROR(VLOOKUP(E57,'BS Mapping std'!A:M,13,0),VLOOKUP(D57,'BS Mapping std'!A:M,13,0)),0)</f>
        <v/>
      </c>
      <c r="Y57">
        <f>IF(B57&lt;6,IFERROR(VLOOKUP(E57,'BS Mapping std'!A:N,14,0),VLOOKUP(D57,'BS Mapping std'!A:N,14,0)),0)</f>
        <v/>
      </c>
    </row>
    <row r="58" spans="1:25">
      <c r="A58">
        <f>IF(B58&lt;6,"BS",IF(B58=6,"Exp","Rev"))</f>
        <v/>
      </c>
      <c r="B58">
        <f>_xlfn.NUMBERVALUE(LEFT(F58,1))</f>
        <v/>
      </c>
      <c r="C58">
        <f>Left(F58,2)</f>
        <v/>
      </c>
      <c r="D58">
        <f>Left(F58,3)</f>
        <v/>
      </c>
      <c r="E58">
        <f>IF(F58="121",Left(F58,3)&amp;"0",Left(F58,4))</f>
        <v/>
      </c>
      <c r="F58" t="n">
        <v>30100040</v>
      </c>
      <c r="G58" t="s">
        <v>82</v>
      </c>
      <c r="H58" s="9" t="n">
        <v>-27894.46</v>
      </c>
      <c r="I58" s="9" t="n">
        <v>0</v>
      </c>
      <c r="J58" s="9" t="n">
        <v>54697.73</v>
      </c>
      <c r="K58" s="9" t="n">
        <v>-82592.19</v>
      </c>
      <c r="L58" s="9">
        <f>K58-H58</f>
        <v/>
      </c>
      <c r="M58" s="32">
        <f>IFERROR(L58/H58," ")</f>
        <v/>
      </c>
      <c r="N58">
        <f>IF(A58="BS",IFERROR(VLOOKUP(TRIM($E58),'BS Mapping std'!$A:$D,4,0),VLOOKUP(TRIM($D58),'BS Mapping std'!$A:$D,4,0)),IFERROR(VLOOKUP(TRIM($E58),'PL mapping Std'!$A:$D,4,0),VLOOKUP(TRIM($D58),'PL mapping Std'!$A:$D,4,0)))</f>
        <v/>
      </c>
      <c r="O58">
        <f>_xlfn.IFERROR(VLOOKUP(E58,'F30 mapping'!A:C,3,0),VLOOKUP(D58,'F30 mapping'!A:C,3,0))</f>
        <v/>
      </c>
      <c r="P58">
        <f>_xlfn.IFERROR(IFERROR(VLOOKUP(E58,'F40 mapping'!A:C,3,0),VLOOKUP(D58,'F40 mapping'!A:C,3,0)),0)</f>
        <v/>
      </c>
      <c r="Q58">
        <f>_xlfn.IFERROR(IFERROR(VLOOKUP(E58,'F40 mapping'!A:D,4,0),VLOOKUP(D58,'F40 mapping'!A:D,4,0)),0)</f>
        <v/>
      </c>
      <c r="R58">
        <f>_xlfn.IFERROR(IFERROR(VLOOKUP(E58,'F40 mapping'!A:E,5,0),VLOOKUP(D58,'F40 mapping'!A:E,5,0)),0)</f>
        <v/>
      </c>
      <c r="S58">
        <f>_xlfn.IF(B58&lt;6,IFERROR(VLOOKUP(E58,'BS Mapping std'!A:E,5,0),VLOOKUP(D58,'BS Mapping std'!A:E,5,0)),IFERROR(VLOOKUP(E58,'PL mapping Std'!A:F,6,0),VLOOKUP(D58,'PL mapping Std'!A:F,6,0)))</f>
        <v/>
      </c>
      <c r="T58">
        <f>_xlfn.IF(B58&lt;6,IFERROR(VLOOKUP(E58,'BS Mapping std'!A:F,6,0),VLOOKUP(D58,'BS Mapping std'!A:F,6,0)),IFERROR(VLOOKUP(E58,'PL mapping Std'!A:G,7,0),VLOOKUP(D58,'PL mapping Std'!A:G,7,0)))</f>
        <v/>
      </c>
      <c r="V58">
        <f>IF(IF(A58="BS",IFERROR(VLOOKUP(TRIM($E58),'BS Mapping std'!$A:$H,8,0),VLOOKUP(TRIM($D58),'BS Mapping std'!$A:$H,8,0)),IFERROR(VLOOKUP(TRIM($E58),'PL mapping Std'!$A:$E,5,0),VLOOKUP(TRIM($D58),'PL mapping Std'!$A:$E,5,0)))=0,"",IF(A58="BS",IFERROR(VLOOKUP(TRIM($E58),'BS Mapping std'!$A:$H,8,0),VLOOKUP(TRIM($D58),'BS Mapping std'!$A:$H,8,0)),IFERROR(VLOOKUP(TRIM($E58),'PL mapping Std'!$A:$E,5,0),VLOOKUP(TRIM($D58),'PL mapping Std'!$A:$E,5,0))))</f>
        <v/>
      </c>
      <c r="W58">
        <f>_xlfn.IFERROR(VLOOKUP(E58,'F30 mapping'!A:D,4,0),VLOOKUP(D58,'F30 mapping'!A:D,4,0))</f>
        <v/>
      </c>
      <c r="X58">
        <f>IF(B58&lt;6,IFERROR(VLOOKUP(E58,'BS Mapping std'!A:M,13,0),VLOOKUP(D58,'BS Mapping std'!A:M,13,0)),0)</f>
        <v/>
      </c>
      <c r="Y58">
        <f>IF(B58&lt;6,IFERROR(VLOOKUP(E58,'BS Mapping std'!A:N,14,0),VLOOKUP(D58,'BS Mapping std'!A:N,14,0)),0)</f>
        <v/>
      </c>
    </row>
    <row r="59" spans="1:25">
      <c r="A59">
        <f>IF(B59&lt;6,"BS",IF(B59=6,"Exp","Rev"))</f>
        <v/>
      </c>
      <c r="B59">
        <f>_xlfn.NUMBERVALUE(LEFT(F59,1))</f>
        <v/>
      </c>
      <c r="C59">
        <f>Left(F59,2)</f>
        <v/>
      </c>
      <c r="D59">
        <f>Left(F59,3)</f>
        <v/>
      </c>
      <c r="E59">
        <f>IF(F59="121",Left(F59,3)&amp;"0",Left(F59,4))</f>
        <v/>
      </c>
      <c r="F59" t="n">
        <v>30210010</v>
      </c>
      <c r="G59" t="s">
        <v>83</v>
      </c>
      <c r="H59" s="9" t="n">
        <v>3013023.02</v>
      </c>
      <c r="I59" s="9" t="n">
        <v>19133073.38</v>
      </c>
      <c r="J59" s="9" t="n">
        <v>18467016.74</v>
      </c>
      <c r="K59" s="9" t="n">
        <v>3679079.66</v>
      </c>
      <c r="L59" s="9">
        <f>K59-H59</f>
        <v/>
      </c>
      <c r="M59" s="32">
        <f>IFERROR(L59/H59," ")</f>
        <v/>
      </c>
      <c r="N59">
        <f>IF(A59="BS",IFERROR(VLOOKUP(TRIM($E59),'BS Mapping std'!$A:$D,4,0),VLOOKUP(TRIM($D59),'BS Mapping std'!$A:$D,4,0)),IFERROR(VLOOKUP(TRIM($E59),'PL mapping Std'!$A:$D,4,0),VLOOKUP(TRIM($D59),'PL mapping Std'!$A:$D,4,0)))</f>
        <v/>
      </c>
      <c r="O59">
        <f>_xlfn.IFERROR(VLOOKUP(E59,'F30 mapping'!A:C,3,0),VLOOKUP(D59,'F30 mapping'!A:C,3,0))</f>
        <v/>
      </c>
      <c r="P59">
        <f>_xlfn.IFERROR(IFERROR(VLOOKUP(E59,'F40 mapping'!A:C,3,0),VLOOKUP(D59,'F40 mapping'!A:C,3,0)),0)</f>
        <v/>
      </c>
      <c r="Q59">
        <f>_xlfn.IFERROR(IFERROR(VLOOKUP(E59,'F40 mapping'!A:D,4,0),VLOOKUP(D59,'F40 mapping'!A:D,4,0)),0)</f>
        <v/>
      </c>
      <c r="R59">
        <f>_xlfn.IFERROR(IFERROR(VLOOKUP(E59,'F40 mapping'!A:E,5,0),VLOOKUP(D59,'F40 mapping'!A:E,5,0)),0)</f>
        <v/>
      </c>
      <c r="S59">
        <f>_xlfn.IF(B59&lt;6,IFERROR(VLOOKUP(E59,'BS Mapping std'!A:E,5,0),VLOOKUP(D59,'BS Mapping std'!A:E,5,0)),IFERROR(VLOOKUP(E59,'PL mapping Std'!A:F,6,0),VLOOKUP(D59,'PL mapping Std'!A:F,6,0)))</f>
        <v/>
      </c>
      <c r="T59">
        <f>_xlfn.IF(B59&lt;6,IFERROR(VLOOKUP(E59,'BS Mapping std'!A:F,6,0),VLOOKUP(D59,'BS Mapping std'!A:F,6,0)),IFERROR(VLOOKUP(E59,'PL mapping Std'!A:G,7,0),VLOOKUP(D59,'PL mapping Std'!A:G,7,0)))</f>
        <v/>
      </c>
      <c r="V59">
        <f>IF(IF(A59="BS",IFERROR(VLOOKUP(TRIM($E59),'BS Mapping std'!$A:$H,8,0),VLOOKUP(TRIM($D59),'BS Mapping std'!$A:$H,8,0)),IFERROR(VLOOKUP(TRIM($E59),'PL mapping Std'!$A:$E,5,0),VLOOKUP(TRIM($D59),'PL mapping Std'!$A:$E,5,0)))=0,"",IF(A59="BS",IFERROR(VLOOKUP(TRIM($E59),'BS Mapping std'!$A:$H,8,0),VLOOKUP(TRIM($D59),'BS Mapping std'!$A:$H,8,0)),IFERROR(VLOOKUP(TRIM($E59),'PL mapping Std'!$A:$E,5,0),VLOOKUP(TRIM($D59),'PL mapping Std'!$A:$E,5,0))))</f>
        <v/>
      </c>
      <c r="W59">
        <f>_xlfn.IFERROR(VLOOKUP(E59,'F30 mapping'!A:D,4,0),VLOOKUP(D59,'F30 mapping'!A:D,4,0))</f>
        <v/>
      </c>
      <c r="X59">
        <f>IF(B59&lt;6,IFERROR(VLOOKUP(E59,'BS Mapping std'!A:M,13,0),VLOOKUP(D59,'BS Mapping std'!A:M,13,0)),0)</f>
        <v/>
      </c>
      <c r="Y59">
        <f>IF(B59&lt;6,IFERROR(VLOOKUP(E59,'BS Mapping std'!A:N,14,0),VLOOKUP(D59,'BS Mapping std'!A:N,14,0)),0)</f>
        <v/>
      </c>
    </row>
    <row r="60" spans="1:25">
      <c r="A60">
        <f>IF(B60&lt;6,"BS",IF(B60=6,"Exp","Rev"))</f>
        <v/>
      </c>
      <c r="B60">
        <f>_xlfn.NUMBERVALUE(LEFT(F60,1))</f>
        <v/>
      </c>
      <c r="C60">
        <f>Left(F60,2)</f>
        <v/>
      </c>
      <c r="D60">
        <f>Left(F60,3)</f>
        <v/>
      </c>
      <c r="E60">
        <f>IF(F60="121",Left(F60,3)&amp;"0",Left(F60,4))</f>
        <v/>
      </c>
      <c r="F60" t="n">
        <v>30230010</v>
      </c>
      <c r="G60" t="s">
        <v>84</v>
      </c>
      <c r="H60" s="9" t="n">
        <v>115978.71</v>
      </c>
      <c r="I60" s="9" t="n">
        <v>758908.23</v>
      </c>
      <c r="J60" s="9" t="n">
        <v>728284.12</v>
      </c>
      <c r="K60" s="9" t="n">
        <v>146602.82</v>
      </c>
      <c r="L60" s="9">
        <f>K60-H60</f>
        <v/>
      </c>
      <c r="M60" s="32">
        <f>IFERROR(L60/H60," ")</f>
        <v/>
      </c>
      <c r="N60">
        <f>IF(A60="BS",IFERROR(VLOOKUP(TRIM($E60),'BS Mapping std'!$A:$D,4,0),VLOOKUP(TRIM($D60),'BS Mapping std'!$A:$D,4,0)),IFERROR(VLOOKUP(TRIM($E60),'PL mapping Std'!$A:$D,4,0),VLOOKUP(TRIM($D60),'PL mapping Std'!$A:$D,4,0)))</f>
        <v/>
      </c>
      <c r="O60">
        <f>_xlfn.IFERROR(VLOOKUP(E60,'F30 mapping'!A:C,3,0),VLOOKUP(D60,'F30 mapping'!A:C,3,0))</f>
        <v/>
      </c>
      <c r="P60">
        <f>_xlfn.IFERROR(IFERROR(VLOOKUP(E60,'F40 mapping'!A:C,3,0),VLOOKUP(D60,'F40 mapping'!A:C,3,0)),0)</f>
        <v/>
      </c>
      <c r="Q60">
        <f>_xlfn.IFERROR(IFERROR(VLOOKUP(E60,'F40 mapping'!A:D,4,0),VLOOKUP(D60,'F40 mapping'!A:D,4,0)),0)</f>
        <v/>
      </c>
      <c r="R60">
        <f>_xlfn.IFERROR(IFERROR(VLOOKUP(E60,'F40 mapping'!A:E,5,0),VLOOKUP(D60,'F40 mapping'!A:E,5,0)),0)</f>
        <v/>
      </c>
      <c r="S60">
        <f>_xlfn.IF(B60&lt;6,IFERROR(VLOOKUP(E60,'BS Mapping std'!A:E,5,0),VLOOKUP(D60,'BS Mapping std'!A:E,5,0)),IFERROR(VLOOKUP(E60,'PL mapping Std'!A:F,6,0),VLOOKUP(D60,'PL mapping Std'!A:F,6,0)))</f>
        <v/>
      </c>
      <c r="T60">
        <f>_xlfn.IF(B60&lt;6,IFERROR(VLOOKUP(E60,'BS Mapping std'!A:F,6,0),VLOOKUP(D60,'BS Mapping std'!A:F,6,0)),IFERROR(VLOOKUP(E60,'PL mapping Std'!A:G,7,0),VLOOKUP(D60,'PL mapping Std'!A:G,7,0)))</f>
        <v/>
      </c>
      <c r="V60">
        <f>IF(IF(A60="BS",IFERROR(VLOOKUP(TRIM($E60),'BS Mapping std'!$A:$H,8,0),VLOOKUP(TRIM($D60),'BS Mapping std'!$A:$H,8,0)),IFERROR(VLOOKUP(TRIM($E60),'PL mapping Std'!$A:$E,5,0),VLOOKUP(TRIM($D60),'PL mapping Std'!$A:$E,5,0)))=0,"",IF(A60="BS",IFERROR(VLOOKUP(TRIM($E60),'BS Mapping std'!$A:$H,8,0),VLOOKUP(TRIM($D60),'BS Mapping std'!$A:$H,8,0)),IFERROR(VLOOKUP(TRIM($E60),'PL mapping Std'!$A:$E,5,0),VLOOKUP(TRIM($D60),'PL mapping Std'!$A:$E,5,0))))</f>
        <v/>
      </c>
      <c r="W60">
        <f>_xlfn.IFERROR(VLOOKUP(E60,'F30 mapping'!A:D,4,0),VLOOKUP(D60,'F30 mapping'!A:D,4,0))</f>
        <v/>
      </c>
      <c r="X60">
        <f>IF(B60&lt;6,IFERROR(VLOOKUP(E60,'BS Mapping std'!A:M,13,0),VLOOKUP(D60,'BS Mapping std'!A:M,13,0)),0)</f>
        <v/>
      </c>
      <c r="Y60">
        <f>IF(B60&lt;6,IFERROR(VLOOKUP(E60,'BS Mapping std'!A:N,14,0),VLOOKUP(D60,'BS Mapping std'!A:N,14,0)),0)</f>
        <v/>
      </c>
    </row>
    <row r="61" spans="1:25">
      <c r="A61">
        <f>IF(B61&lt;6,"BS",IF(B61=6,"Exp","Rev"))</f>
        <v/>
      </c>
      <c r="B61">
        <f>_xlfn.NUMBERVALUE(LEFT(F61,1))</f>
        <v/>
      </c>
      <c r="C61">
        <f>Left(F61,2)</f>
        <v/>
      </c>
      <c r="D61">
        <f>Left(F61,3)</f>
        <v/>
      </c>
      <c r="E61">
        <f>IF(F61="121",Left(F61,3)&amp;"0",Left(F61,4))</f>
        <v/>
      </c>
      <c r="F61" t="n">
        <v>30240010</v>
      </c>
      <c r="G61" t="s">
        <v>85</v>
      </c>
      <c r="H61" s="9" t="n">
        <v>3573631.99</v>
      </c>
      <c r="I61" s="9" t="n">
        <v>1749786.62</v>
      </c>
      <c r="J61" s="9" t="n">
        <v>1691916.19</v>
      </c>
      <c r="K61" s="9" t="n">
        <v>3631502.42</v>
      </c>
      <c r="L61" s="9">
        <f>K61-H61</f>
        <v/>
      </c>
      <c r="M61" s="32">
        <f>IFERROR(L61/H61," ")</f>
        <v/>
      </c>
      <c r="N61">
        <f>IF(A61="BS",IFERROR(VLOOKUP(TRIM($E61),'BS Mapping std'!$A:$D,4,0),VLOOKUP(TRIM($D61),'BS Mapping std'!$A:$D,4,0)),IFERROR(VLOOKUP(TRIM($E61),'PL mapping Std'!$A:$D,4,0),VLOOKUP(TRIM($D61),'PL mapping Std'!$A:$D,4,0)))</f>
        <v/>
      </c>
      <c r="O61">
        <f>_xlfn.IFERROR(VLOOKUP(E61,'F30 mapping'!A:C,3,0),VLOOKUP(D61,'F30 mapping'!A:C,3,0))</f>
        <v/>
      </c>
      <c r="P61">
        <f>_xlfn.IFERROR(IFERROR(VLOOKUP(E61,'F40 mapping'!A:C,3,0),VLOOKUP(D61,'F40 mapping'!A:C,3,0)),0)</f>
        <v/>
      </c>
      <c r="Q61">
        <f>_xlfn.IFERROR(IFERROR(VLOOKUP(E61,'F40 mapping'!A:D,4,0),VLOOKUP(D61,'F40 mapping'!A:D,4,0)),0)</f>
        <v/>
      </c>
      <c r="R61">
        <f>_xlfn.IFERROR(IFERROR(VLOOKUP(E61,'F40 mapping'!A:E,5,0),VLOOKUP(D61,'F40 mapping'!A:E,5,0)),0)</f>
        <v/>
      </c>
      <c r="S61">
        <f>_xlfn.IF(B61&lt;6,IFERROR(VLOOKUP(E61,'BS Mapping std'!A:E,5,0),VLOOKUP(D61,'BS Mapping std'!A:E,5,0)),IFERROR(VLOOKUP(E61,'PL mapping Std'!A:F,6,0),VLOOKUP(D61,'PL mapping Std'!A:F,6,0)))</f>
        <v/>
      </c>
      <c r="T61">
        <f>_xlfn.IF(B61&lt;6,IFERROR(VLOOKUP(E61,'BS Mapping std'!A:F,6,0),VLOOKUP(D61,'BS Mapping std'!A:F,6,0)),IFERROR(VLOOKUP(E61,'PL mapping Std'!A:G,7,0),VLOOKUP(D61,'PL mapping Std'!A:G,7,0)))</f>
        <v/>
      </c>
      <c r="V61">
        <f>IF(IF(A61="BS",IFERROR(VLOOKUP(TRIM($E61),'BS Mapping std'!$A:$H,8,0),VLOOKUP(TRIM($D61),'BS Mapping std'!$A:$H,8,0)),IFERROR(VLOOKUP(TRIM($E61),'PL mapping Std'!$A:$E,5,0),VLOOKUP(TRIM($D61),'PL mapping Std'!$A:$E,5,0)))=0,"",IF(A61="BS",IFERROR(VLOOKUP(TRIM($E61),'BS Mapping std'!$A:$H,8,0),VLOOKUP(TRIM($D61),'BS Mapping std'!$A:$H,8,0)),IFERROR(VLOOKUP(TRIM($E61),'PL mapping Std'!$A:$E,5,0),VLOOKUP(TRIM($D61),'PL mapping Std'!$A:$E,5,0))))</f>
        <v/>
      </c>
      <c r="W61">
        <f>_xlfn.IFERROR(VLOOKUP(E61,'F30 mapping'!A:D,4,0),VLOOKUP(D61,'F30 mapping'!A:D,4,0))</f>
        <v/>
      </c>
      <c r="X61">
        <f>IF(B61&lt;6,IFERROR(VLOOKUP(E61,'BS Mapping std'!A:M,13,0),VLOOKUP(D61,'BS Mapping std'!A:M,13,0)),0)</f>
        <v/>
      </c>
      <c r="Y61">
        <f>IF(B61&lt;6,IFERROR(VLOOKUP(E61,'BS Mapping std'!A:N,14,0),VLOOKUP(D61,'BS Mapping std'!A:N,14,0)),0)</f>
        <v/>
      </c>
    </row>
    <row r="62" spans="1:25">
      <c r="A62">
        <f>IF(B62&lt;6,"BS",IF(B62=6,"Exp","Rev"))</f>
        <v/>
      </c>
      <c r="B62">
        <f>_xlfn.NUMBERVALUE(LEFT(F62,1))</f>
        <v/>
      </c>
      <c r="C62">
        <f>Left(F62,2)</f>
        <v/>
      </c>
      <c r="D62">
        <f>Left(F62,3)</f>
        <v/>
      </c>
      <c r="E62">
        <f>IF(F62="121",Left(F62,3)&amp;"0",Left(F62,4))</f>
        <v/>
      </c>
      <c r="F62" t="n">
        <v>30300010</v>
      </c>
      <c r="G62" t="s">
        <v>86</v>
      </c>
      <c r="H62" s="9" t="n">
        <v>662767.83</v>
      </c>
      <c r="I62" s="9" t="n">
        <v>61056.58</v>
      </c>
      <c r="J62" s="9" t="n">
        <v>21903.2</v>
      </c>
      <c r="K62" s="9" t="n">
        <v>701921.21</v>
      </c>
      <c r="L62" s="9">
        <f>K62-H62</f>
        <v/>
      </c>
      <c r="M62" s="32">
        <f>IFERROR(L62/H62," ")</f>
        <v/>
      </c>
      <c r="N62">
        <f>IF(A62="BS",IFERROR(VLOOKUP(TRIM($E62),'BS Mapping std'!$A:$D,4,0),VLOOKUP(TRIM($D62),'BS Mapping std'!$A:$D,4,0)),IFERROR(VLOOKUP(TRIM($E62),'PL mapping Std'!$A:$D,4,0),VLOOKUP(TRIM($D62),'PL mapping Std'!$A:$D,4,0)))</f>
        <v/>
      </c>
      <c r="O62">
        <f>_xlfn.IFERROR(VLOOKUP(E62,'F30 mapping'!A:C,3,0),VLOOKUP(D62,'F30 mapping'!A:C,3,0))</f>
        <v/>
      </c>
      <c r="P62">
        <f>_xlfn.IFERROR(IFERROR(VLOOKUP(E62,'F40 mapping'!A:C,3,0),VLOOKUP(D62,'F40 mapping'!A:C,3,0)),0)</f>
        <v/>
      </c>
      <c r="Q62">
        <f>_xlfn.IFERROR(IFERROR(VLOOKUP(E62,'F40 mapping'!A:D,4,0),VLOOKUP(D62,'F40 mapping'!A:D,4,0)),0)</f>
        <v/>
      </c>
      <c r="R62">
        <f>_xlfn.IFERROR(IFERROR(VLOOKUP(E62,'F40 mapping'!A:E,5,0),VLOOKUP(D62,'F40 mapping'!A:E,5,0)),0)</f>
        <v/>
      </c>
      <c r="S62">
        <f>_xlfn.IF(B62&lt;6,IFERROR(VLOOKUP(E62,'BS Mapping std'!A:E,5,0),VLOOKUP(D62,'BS Mapping std'!A:E,5,0)),IFERROR(VLOOKUP(E62,'PL mapping Std'!A:F,6,0),VLOOKUP(D62,'PL mapping Std'!A:F,6,0)))</f>
        <v/>
      </c>
      <c r="T62">
        <f>_xlfn.IF(B62&lt;6,IFERROR(VLOOKUP(E62,'BS Mapping std'!A:F,6,0),VLOOKUP(D62,'BS Mapping std'!A:F,6,0)),IFERROR(VLOOKUP(E62,'PL mapping Std'!A:G,7,0),VLOOKUP(D62,'PL mapping Std'!A:G,7,0)))</f>
        <v/>
      </c>
      <c r="V62">
        <f>IF(IF(A62="BS",IFERROR(VLOOKUP(TRIM($E62),'BS Mapping std'!$A:$H,8,0),VLOOKUP(TRIM($D62),'BS Mapping std'!$A:$H,8,0)),IFERROR(VLOOKUP(TRIM($E62),'PL mapping Std'!$A:$E,5,0),VLOOKUP(TRIM($D62),'PL mapping Std'!$A:$E,5,0)))=0,"",IF(A62="BS",IFERROR(VLOOKUP(TRIM($E62),'BS Mapping std'!$A:$H,8,0),VLOOKUP(TRIM($D62),'BS Mapping std'!$A:$H,8,0)),IFERROR(VLOOKUP(TRIM($E62),'PL mapping Std'!$A:$E,5,0),VLOOKUP(TRIM($D62),'PL mapping Std'!$A:$E,5,0))))</f>
        <v/>
      </c>
      <c r="W62">
        <f>_xlfn.IFERROR(VLOOKUP(E62,'F30 mapping'!A:D,4,0),VLOOKUP(D62,'F30 mapping'!A:D,4,0))</f>
        <v/>
      </c>
      <c r="X62">
        <f>IF(B62&lt;6,IFERROR(VLOOKUP(E62,'BS Mapping std'!A:M,13,0),VLOOKUP(D62,'BS Mapping std'!A:M,13,0)),0)</f>
        <v/>
      </c>
      <c r="Y62">
        <f>IF(B62&lt;6,IFERROR(VLOOKUP(E62,'BS Mapping std'!A:N,14,0),VLOOKUP(D62,'BS Mapping std'!A:N,14,0)),0)</f>
        <v/>
      </c>
    </row>
    <row r="63" spans="1:25">
      <c r="A63">
        <f>IF(B63&lt;6,"BS",IF(B63=6,"Exp","Rev"))</f>
        <v/>
      </c>
      <c r="B63">
        <f>_xlfn.NUMBERVALUE(LEFT(F63,1))</f>
        <v/>
      </c>
      <c r="C63">
        <f>Left(F63,2)</f>
        <v/>
      </c>
      <c r="D63">
        <f>Left(F63,3)</f>
        <v/>
      </c>
      <c r="E63">
        <f>IF(F63="121",Left(F63,3)&amp;"0",Left(F63,4))</f>
        <v/>
      </c>
      <c r="F63" t="n">
        <v>30390000</v>
      </c>
      <c r="G63" t="s">
        <v>87</v>
      </c>
      <c r="H63" s="9" t="n">
        <v>-662767.83</v>
      </c>
      <c r="I63" s="9" t="n">
        <v>21903.2</v>
      </c>
      <c r="J63" s="9" t="n">
        <v>61056.58</v>
      </c>
      <c r="K63" s="9" t="n">
        <v>-701921.21</v>
      </c>
      <c r="L63" s="9">
        <f>K63-H63</f>
        <v/>
      </c>
      <c r="M63" s="32">
        <f>IFERROR(L63/H63," ")</f>
        <v/>
      </c>
      <c r="N63">
        <f>IF(A63="BS",IFERROR(VLOOKUP(TRIM($E63),'BS Mapping std'!$A:$D,4,0),VLOOKUP(TRIM($D63),'BS Mapping std'!$A:$D,4,0)),IFERROR(VLOOKUP(TRIM($E63),'PL mapping Std'!$A:$D,4,0),VLOOKUP(TRIM($D63),'PL mapping Std'!$A:$D,4,0)))</f>
        <v/>
      </c>
      <c r="O63">
        <f>_xlfn.IFERROR(VLOOKUP(E63,'F30 mapping'!A:C,3,0),VLOOKUP(D63,'F30 mapping'!A:C,3,0))</f>
        <v/>
      </c>
      <c r="P63">
        <f>_xlfn.IFERROR(IFERROR(VLOOKUP(E63,'F40 mapping'!A:C,3,0),VLOOKUP(D63,'F40 mapping'!A:C,3,0)),0)</f>
        <v/>
      </c>
      <c r="Q63">
        <f>_xlfn.IFERROR(IFERROR(VLOOKUP(E63,'F40 mapping'!A:D,4,0),VLOOKUP(D63,'F40 mapping'!A:D,4,0)),0)</f>
        <v/>
      </c>
      <c r="R63">
        <f>_xlfn.IFERROR(IFERROR(VLOOKUP(E63,'F40 mapping'!A:E,5,0),VLOOKUP(D63,'F40 mapping'!A:E,5,0)),0)</f>
        <v/>
      </c>
      <c r="S63">
        <f>_xlfn.IF(B63&lt;6,IFERROR(VLOOKUP(E63,'BS Mapping std'!A:E,5,0),VLOOKUP(D63,'BS Mapping std'!A:E,5,0)),IFERROR(VLOOKUP(E63,'PL mapping Std'!A:F,6,0),VLOOKUP(D63,'PL mapping Std'!A:F,6,0)))</f>
        <v/>
      </c>
      <c r="T63">
        <f>_xlfn.IF(B63&lt;6,IFERROR(VLOOKUP(E63,'BS Mapping std'!A:F,6,0),VLOOKUP(D63,'BS Mapping std'!A:F,6,0)),IFERROR(VLOOKUP(E63,'PL mapping Std'!A:G,7,0),VLOOKUP(D63,'PL mapping Std'!A:G,7,0)))</f>
        <v/>
      </c>
      <c r="V63">
        <f>IF(IF(A63="BS",IFERROR(VLOOKUP(TRIM($E63),'BS Mapping std'!$A:$H,8,0),VLOOKUP(TRIM($D63),'BS Mapping std'!$A:$H,8,0)),IFERROR(VLOOKUP(TRIM($E63),'PL mapping Std'!$A:$E,5,0),VLOOKUP(TRIM($D63),'PL mapping Std'!$A:$E,5,0)))=0,"",IF(A63="BS",IFERROR(VLOOKUP(TRIM($E63),'BS Mapping std'!$A:$H,8,0),VLOOKUP(TRIM($D63),'BS Mapping std'!$A:$H,8,0)),IFERROR(VLOOKUP(TRIM($E63),'PL mapping Std'!$A:$E,5,0),VLOOKUP(TRIM($D63),'PL mapping Std'!$A:$E,5,0))))</f>
        <v/>
      </c>
      <c r="W63">
        <f>_xlfn.IFERROR(VLOOKUP(E63,'F30 mapping'!A:D,4,0),VLOOKUP(D63,'F30 mapping'!A:D,4,0))</f>
        <v/>
      </c>
      <c r="X63">
        <f>IF(B63&lt;6,IFERROR(VLOOKUP(E63,'BS Mapping std'!A:M,13,0),VLOOKUP(D63,'BS Mapping std'!A:M,13,0)),0)</f>
        <v/>
      </c>
      <c r="Y63">
        <f>IF(B63&lt;6,IFERROR(VLOOKUP(E63,'BS Mapping std'!A:N,14,0),VLOOKUP(D63,'BS Mapping std'!A:N,14,0)),0)</f>
        <v/>
      </c>
    </row>
    <row r="64" spans="1:25">
      <c r="A64">
        <f>IF(B64&lt;6,"BS",IF(B64=6,"Exp","Rev"))</f>
        <v/>
      </c>
      <c r="B64">
        <f>_xlfn.NUMBERVALUE(LEFT(F64,1))</f>
        <v/>
      </c>
      <c r="C64">
        <f>Left(F64,2)</f>
        <v/>
      </c>
      <c r="D64">
        <f>Left(F64,3)</f>
        <v/>
      </c>
      <c r="E64">
        <f>IF(F64="121",Left(F64,3)&amp;"0",Left(F64,4))</f>
        <v/>
      </c>
      <c r="F64" t="n">
        <v>33100020</v>
      </c>
      <c r="G64" t="s">
        <v>88</v>
      </c>
      <c r="H64" s="9" t="n">
        <v>2571522.59</v>
      </c>
      <c r="I64" s="9" t="n">
        <v>39209741.91</v>
      </c>
      <c r="J64" s="9" t="n">
        <v>35735321.85</v>
      </c>
      <c r="K64" s="9" t="n">
        <v>6045942.65</v>
      </c>
      <c r="L64" s="9">
        <f>K64-H64</f>
        <v/>
      </c>
      <c r="M64" s="32">
        <f>IFERROR(L64/H64," ")</f>
        <v/>
      </c>
      <c r="N64">
        <f>IF(A64="BS",IFERROR(VLOOKUP(TRIM($E64),'BS Mapping std'!$A:$D,4,0),VLOOKUP(TRIM($D64),'BS Mapping std'!$A:$D,4,0)),IFERROR(VLOOKUP(TRIM($E64),'PL mapping Std'!$A:$D,4,0),VLOOKUP(TRIM($D64),'PL mapping Std'!$A:$D,4,0)))</f>
        <v/>
      </c>
      <c r="O64">
        <f>_xlfn.IFERROR(VLOOKUP(E64,'F30 mapping'!A:C,3,0),VLOOKUP(D64,'F30 mapping'!A:C,3,0))</f>
        <v/>
      </c>
      <c r="P64">
        <f>_xlfn.IFERROR(IFERROR(VLOOKUP(E64,'F40 mapping'!A:C,3,0),VLOOKUP(D64,'F40 mapping'!A:C,3,0)),0)</f>
        <v/>
      </c>
      <c r="Q64">
        <f>_xlfn.IFERROR(IFERROR(VLOOKUP(E64,'F40 mapping'!A:D,4,0),VLOOKUP(D64,'F40 mapping'!A:D,4,0)),0)</f>
        <v/>
      </c>
      <c r="R64">
        <f>_xlfn.IFERROR(IFERROR(VLOOKUP(E64,'F40 mapping'!A:E,5,0),VLOOKUP(D64,'F40 mapping'!A:E,5,0)),0)</f>
        <v/>
      </c>
      <c r="S64">
        <f>_xlfn.IF(B64&lt;6,IFERROR(VLOOKUP(E64,'BS Mapping std'!A:E,5,0),VLOOKUP(D64,'BS Mapping std'!A:E,5,0)),IFERROR(VLOOKUP(E64,'PL mapping Std'!A:F,6,0),VLOOKUP(D64,'PL mapping Std'!A:F,6,0)))</f>
        <v/>
      </c>
      <c r="T64">
        <f>_xlfn.IF(B64&lt;6,IFERROR(VLOOKUP(E64,'BS Mapping std'!A:F,6,0),VLOOKUP(D64,'BS Mapping std'!A:F,6,0)),IFERROR(VLOOKUP(E64,'PL mapping Std'!A:G,7,0),VLOOKUP(D64,'PL mapping Std'!A:G,7,0)))</f>
        <v/>
      </c>
      <c r="V64">
        <f>IF(IF(A64="BS",IFERROR(VLOOKUP(TRIM($E64),'BS Mapping std'!$A:$H,8,0),VLOOKUP(TRIM($D64),'BS Mapping std'!$A:$H,8,0)),IFERROR(VLOOKUP(TRIM($E64),'PL mapping Std'!$A:$E,5,0),VLOOKUP(TRIM($D64),'PL mapping Std'!$A:$E,5,0)))=0,"",IF(A64="BS",IFERROR(VLOOKUP(TRIM($E64),'BS Mapping std'!$A:$H,8,0),VLOOKUP(TRIM($D64),'BS Mapping std'!$A:$H,8,0)),IFERROR(VLOOKUP(TRIM($E64),'PL mapping Std'!$A:$E,5,0),VLOOKUP(TRIM($D64),'PL mapping Std'!$A:$E,5,0))))</f>
        <v/>
      </c>
      <c r="W64">
        <f>_xlfn.IFERROR(VLOOKUP(E64,'F30 mapping'!A:D,4,0),VLOOKUP(D64,'F30 mapping'!A:D,4,0))</f>
        <v/>
      </c>
      <c r="X64">
        <f>IF(B64&lt;6,IFERROR(VLOOKUP(E64,'BS Mapping std'!A:M,13,0),VLOOKUP(D64,'BS Mapping std'!A:M,13,0)),0)</f>
        <v/>
      </c>
      <c r="Y64">
        <f>IF(B64&lt;6,IFERROR(VLOOKUP(E64,'BS Mapping std'!A:N,14,0),VLOOKUP(D64,'BS Mapping std'!A:N,14,0)),0)</f>
        <v/>
      </c>
    </row>
    <row r="65" spans="1:25">
      <c r="A65">
        <f>IF(B65&lt;6,"BS",IF(B65=6,"Exp","Rev"))</f>
        <v/>
      </c>
      <c r="B65">
        <f>_xlfn.NUMBERVALUE(LEFT(F65,1))</f>
        <v/>
      </c>
      <c r="C65">
        <f>Left(F65,2)</f>
        <v/>
      </c>
      <c r="D65">
        <f>Left(F65,3)</f>
        <v/>
      </c>
      <c r="E65">
        <f>IF(F65="121",Left(F65,3)&amp;"0",Left(F65,4))</f>
        <v/>
      </c>
      <c r="F65" t="n">
        <v>33100030</v>
      </c>
      <c r="G65" t="s">
        <v>89</v>
      </c>
      <c r="H65" s="9" t="n">
        <v>4140468.09</v>
      </c>
      <c r="I65" s="9" t="n">
        <v>159370642.43</v>
      </c>
      <c r="J65" s="9" t="n">
        <v>157207622.63</v>
      </c>
      <c r="K65" s="9" t="n">
        <v>6303487.89</v>
      </c>
      <c r="L65" s="9">
        <f>K65-H65</f>
        <v/>
      </c>
      <c r="M65" s="32">
        <f>IFERROR(L65/H65," ")</f>
        <v/>
      </c>
      <c r="N65">
        <f>IF(A65="BS",IFERROR(VLOOKUP(TRIM($E65),'BS Mapping std'!$A:$D,4,0),VLOOKUP(TRIM($D65),'BS Mapping std'!$A:$D,4,0)),IFERROR(VLOOKUP(TRIM($E65),'PL mapping Std'!$A:$D,4,0),VLOOKUP(TRIM($D65),'PL mapping Std'!$A:$D,4,0)))</f>
        <v/>
      </c>
      <c r="O65">
        <f>_xlfn.IFERROR(VLOOKUP(E65,'F30 mapping'!A:C,3,0),VLOOKUP(D65,'F30 mapping'!A:C,3,0))</f>
        <v/>
      </c>
      <c r="P65">
        <f>_xlfn.IFERROR(IFERROR(VLOOKUP(E65,'F40 mapping'!A:C,3,0),VLOOKUP(D65,'F40 mapping'!A:C,3,0)),0)</f>
        <v/>
      </c>
      <c r="Q65">
        <f>_xlfn.IFERROR(IFERROR(VLOOKUP(E65,'F40 mapping'!A:D,4,0),VLOOKUP(D65,'F40 mapping'!A:D,4,0)),0)</f>
        <v/>
      </c>
      <c r="R65">
        <f>_xlfn.IFERROR(IFERROR(VLOOKUP(E65,'F40 mapping'!A:E,5,0),VLOOKUP(D65,'F40 mapping'!A:E,5,0)),0)</f>
        <v/>
      </c>
      <c r="S65">
        <f>_xlfn.IF(B65&lt;6,IFERROR(VLOOKUP(E65,'BS Mapping std'!A:E,5,0),VLOOKUP(D65,'BS Mapping std'!A:E,5,0)),IFERROR(VLOOKUP(E65,'PL mapping Std'!A:F,6,0),VLOOKUP(D65,'PL mapping Std'!A:F,6,0)))</f>
        <v/>
      </c>
      <c r="T65">
        <f>_xlfn.IF(B65&lt;6,IFERROR(VLOOKUP(E65,'BS Mapping std'!A:F,6,0),VLOOKUP(D65,'BS Mapping std'!A:F,6,0)),IFERROR(VLOOKUP(E65,'PL mapping Std'!A:G,7,0),VLOOKUP(D65,'PL mapping Std'!A:G,7,0)))</f>
        <v/>
      </c>
      <c r="V65">
        <f>IF(IF(A65="BS",IFERROR(VLOOKUP(TRIM($E65),'BS Mapping std'!$A:$H,8,0),VLOOKUP(TRIM($D65),'BS Mapping std'!$A:$H,8,0)),IFERROR(VLOOKUP(TRIM($E65),'PL mapping Std'!$A:$E,5,0),VLOOKUP(TRIM($D65),'PL mapping Std'!$A:$E,5,0)))=0,"",IF(A65="BS",IFERROR(VLOOKUP(TRIM($E65),'BS Mapping std'!$A:$H,8,0),VLOOKUP(TRIM($D65),'BS Mapping std'!$A:$H,8,0)),IFERROR(VLOOKUP(TRIM($E65),'PL mapping Std'!$A:$E,5,0),VLOOKUP(TRIM($D65),'PL mapping Std'!$A:$E,5,0))))</f>
        <v/>
      </c>
      <c r="W65">
        <f>_xlfn.IFERROR(VLOOKUP(E65,'F30 mapping'!A:D,4,0),VLOOKUP(D65,'F30 mapping'!A:D,4,0))</f>
        <v/>
      </c>
      <c r="X65">
        <f>IF(B65&lt;6,IFERROR(VLOOKUP(E65,'BS Mapping std'!A:M,13,0),VLOOKUP(D65,'BS Mapping std'!A:M,13,0)),0)</f>
        <v/>
      </c>
      <c r="Y65">
        <f>IF(B65&lt;6,IFERROR(VLOOKUP(E65,'BS Mapping std'!A:N,14,0),VLOOKUP(D65,'BS Mapping std'!A:N,14,0)),0)</f>
        <v/>
      </c>
    </row>
    <row r="66" spans="1:25">
      <c r="A66">
        <f>IF(B66&lt;6,"BS",IF(B66=6,"Exp","Rev"))</f>
        <v/>
      </c>
      <c r="B66">
        <f>_xlfn.NUMBERVALUE(LEFT(F66,1))</f>
        <v/>
      </c>
      <c r="C66">
        <f>Left(F66,2)</f>
        <v/>
      </c>
      <c r="D66">
        <f>Left(F66,3)</f>
        <v/>
      </c>
      <c r="E66">
        <f>IF(F66="121",Left(F66,3)&amp;"0",Left(F66,4))</f>
        <v/>
      </c>
      <c r="F66" t="n">
        <v>33100040</v>
      </c>
      <c r="G66" t="s">
        <v>90</v>
      </c>
      <c r="H66" s="9" t="n">
        <v>861964.27</v>
      </c>
      <c r="I66" s="9" t="n">
        <v>16493725.74</v>
      </c>
      <c r="J66" s="9" t="n">
        <v>16698361.94</v>
      </c>
      <c r="K66" s="9" t="n">
        <v>657328.0699999999</v>
      </c>
      <c r="L66" s="9">
        <f>K66-H66</f>
        <v/>
      </c>
      <c r="M66" s="32">
        <f>IFERROR(L66/H66," ")</f>
        <v/>
      </c>
      <c r="N66">
        <f>IF(A66="BS",IFERROR(VLOOKUP(TRIM($E66),'BS Mapping std'!$A:$D,4,0),VLOOKUP(TRIM($D66),'BS Mapping std'!$A:$D,4,0)),IFERROR(VLOOKUP(TRIM($E66),'PL mapping Std'!$A:$D,4,0),VLOOKUP(TRIM($D66),'PL mapping Std'!$A:$D,4,0)))</f>
        <v/>
      </c>
      <c r="O66">
        <f>_xlfn.IFERROR(VLOOKUP(E66,'F30 mapping'!A:C,3,0),VLOOKUP(D66,'F30 mapping'!A:C,3,0))</f>
        <v/>
      </c>
      <c r="P66">
        <f>_xlfn.IFERROR(IFERROR(VLOOKUP(E66,'F40 mapping'!A:C,3,0),VLOOKUP(D66,'F40 mapping'!A:C,3,0)),0)</f>
        <v/>
      </c>
      <c r="Q66">
        <f>_xlfn.IFERROR(IFERROR(VLOOKUP(E66,'F40 mapping'!A:D,4,0),VLOOKUP(D66,'F40 mapping'!A:D,4,0)),0)</f>
        <v/>
      </c>
      <c r="R66">
        <f>_xlfn.IFERROR(IFERROR(VLOOKUP(E66,'F40 mapping'!A:E,5,0),VLOOKUP(D66,'F40 mapping'!A:E,5,0)),0)</f>
        <v/>
      </c>
      <c r="S66">
        <f>_xlfn.IF(B66&lt;6,IFERROR(VLOOKUP(E66,'BS Mapping std'!A:E,5,0),VLOOKUP(D66,'BS Mapping std'!A:E,5,0)),IFERROR(VLOOKUP(E66,'PL mapping Std'!A:F,6,0),VLOOKUP(D66,'PL mapping Std'!A:F,6,0)))</f>
        <v/>
      </c>
      <c r="T66">
        <f>_xlfn.IF(B66&lt;6,IFERROR(VLOOKUP(E66,'BS Mapping std'!A:F,6,0),VLOOKUP(D66,'BS Mapping std'!A:F,6,0)),IFERROR(VLOOKUP(E66,'PL mapping Std'!A:G,7,0),VLOOKUP(D66,'PL mapping Std'!A:G,7,0)))</f>
        <v/>
      </c>
      <c r="V66">
        <f>IF(IF(A66="BS",IFERROR(VLOOKUP(TRIM($E66),'BS Mapping std'!$A:$H,8,0),VLOOKUP(TRIM($D66),'BS Mapping std'!$A:$H,8,0)),IFERROR(VLOOKUP(TRIM($E66),'PL mapping Std'!$A:$E,5,0),VLOOKUP(TRIM($D66),'PL mapping Std'!$A:$E,5,0)))=0,"",IF(A66="BS",IFERROR(VLOOKUP(TRIM($E66),'BS Mapping std'!$A:$H,8,0),VLOOKUP(TRIM($D66),'BS Mapping std'!$A:$H,8,0)),IFERROR(VLOOKUP(TRIM($E66),'PL mapping Std'!$A:$E,5,0),VLOOKUP(TRIM($D66),'PL mapping Std'!$A:$E,5,0))))</f>
        <v/>
      </c>
      <c r="W66">
        <f>_xlfn.IFERROR(VLOOKUP(E66,'F30 mapping'!A:D,4,0),VLOOKUP(D66,'F30 mapping'!A:D,4,0))</f>
        <v/>
      </c>
      <c r="X66">
        <f>IF(B66&lt;6,IFERROR(VLOOKUP(E66,'BS Mapping std'!A:M,13,0),VLOOKUP(D66,'BS Mapping std'!A:M,13,0)),0)</f>
        <v/>
      </c>
      <c r="Y66">
        <f>IF(B66&lt;6,IFERROR(VLOOKUP(E66,'BS Mapping std'!A:N,14,0),VLOOKUP(D66,'BS Mapping std'!A:N,14,0)),0)</f>
        <v/>
      </c>
    </row>
    <row r="67" spans="1:25">
      <c r="A67">
        <f>IF(B67&lt;6,"BS",IF(B67=6,"Exp","Rev"))</f>
        <v/>
      </c>
      <c r="B67">
        <f>_xlfn.NUMBERVALUE(LEFT(F67,1))</f>
        <v/>
      </c>
      <c r="C67">
        <f>Left(F67,2)</f>
        <v/>
      </c>
      <c r="D67">
        <f>Left(F67,3)</f>
        <v/>
      </c>
      <c r="E67">
        <f>IF(F67="121",Left(F67,3)&amp;"0",Left(F67,4))</f>
        <v/>
      </c>
      <c r="F67" t="n">
        <v>33100050</v>
      </c>
      <c r="G67" t="s">
        <v>91</v>
      </c>
      <c r="H67" s="9" t="n">
        <v>1357419.54</v>
      </c>
      <c r="I67" s="9" t="n">
        <v>1911822.59</v>
      </c>
      <c r="J67" s="9" t="n">
        <v>0</v>
      </c>
      <c r="K67" s="9" t="n">
        <v>3269242.13</v>
      </c>
      <c r="L67" s="9">
        <f>K67-H67</f>
        <v/>
      </c>
      <c r="M67" s="32">
        <f>IFERROR(L67/H67," ")</f>
        <v/>
      </c>
      <c r="N67">
        <f>IF(A67="BS",IFERROR(VLOOKUP(TRIM($E67),'BS Mapping std'!$A:$D,4,0),VLOOKUP(TRIM($D67),'BS Mapping std'!$A:$D,4,0)),IFERROR(VLOOKUP(TRIM($E67),'PL mapping Std'!$A:$D,4,0),VLOOKUP(TRIM($D67),'PL mapping Std'!$A:$D,4,0)))</f>
        <v/>
      </c>
      <c r="O67">
        <f>_xlfn.IFERROR(VLOOKUP(E67,'F30 mapping'!A:C,3,0),VLOOKUP(D67,'F30 mapping'!A:C,3,0))</f>
        <v/>
      </c>
      <c r="P67">
        <f>_xlfn.IFERROR(IFERROR(VLOOKUP(E67,'F40 mapping'!A:C,3,0),VLOOKUP(D67,'F40 mapping'!A:C,3,0)),0)</f>
        <v/>
      </c>
      <c r="Q67">
        <f>_xlfn.IFERROR(IFERROR(VLOOKUP(E67,'F40 mapping'!A:D,4,0),VLOOKUP(D67,'F40 mapping'!A:D,4,0)),0)</f>
        <v/>
      </c>
      <c r="R67">
        <f>_xlfn.IFERROR(IFERROR(VLOOKUP(E67,'F40 mapping'!A:E,5,0),VLOOKUP(D67,'F40 mapping'!A:E,5,0)),0)</f>
        <v/>
      </c>
      <c r="S67">
        <f>_xlfn.IF(B67&lt;6,IFERROR(VLOOKUP(E67,'BS Mapping std'!A:E,5,0),VLOOKUP(D67,'BS Mapping std'!A:E,5,0)),IFERROR(VLOOKUP(E67,'PL mapping Std'!A:F,6,0),VLOOKUP(D67,'PL mapping Std'!A:F,6,0)))</f>
        <v/>
      </c>
      <c r="T67">
        <f>_xlfn.IF(B67&lt;6,IFERROR(VLOOKUP(E67,'BS Mapping std'!A:F,6,0),VLOOKUP(D67,'BS Mapping std'!A:F,6,0)),IFERROR(VLOOKUP(E67,'PL mapping Std'!A:G,7,0),VLOOKUP(D67,'PL mapping Std'!A:G,7,0)))</f>
        <v/>
      </c>
      <c r="V67">
        <f>IF(IF(A67="BS",IFERROR(VLOOKUP(TRIM($E67),'BS Mapping std'!$A:$H,8,0),VLOOKUP(TRIM($D67),'BS Mapping std'!$A:$H,8,0)),IFERROR(VLOOKUP(TRIM($E67),'PL mapping Std'!$A:$E,5,0),VLOOKUP(TRIM($D67),'PL mapping Std'!$A:$E,5,0)))=0,"",IF(A67="BS",IFERROR(VLOOKUP(TRIM($E67),'BS Mapping std'!$A:$H,8,0),VLOOKUP(TRIM($D67),'BS Mapping std'!$A:$H,8,0)),IFERROR(VLOOKUP(TRIM($E67),'PL mapping Std'!$A:$E,5,0),VLOOKUP(TRIM($D67),'PL mapping Std'!$A:$E,5,0))))</f>
        <v/>
      </c>
      <c r="W67">
        <f>_xlfn.IFERROR(VLOOKUP(E67,'F30 mapping'!A:D,4,0),VLOOKUP(D67,'F30 mapping'!A:D,4,0))</f>
        <v/>
      </c>
      <c r="X67">
        <f>IF(B67&lt;6,IFERROR(VLOOKUP(E67,'BS Mapping std'!A:M,13,0),VLOOKUP(D67,'BS Mapping std'!A:M,13,0)),0)</f>
        <v/>
      </c>
      <c r="Y67">
        <f>IF(B67&lt;6,IFERROR(VLOOKUP(E67,'BS Mapping std'!A:N,14,0),VLOOKUP(D67,'BS Mapping std'!A:N,14,0)),0)</f>
        <v/>
      </c>
    </row>
    <row r="68" spans="1:25">
      <c r="A68">
        <f>IF(B68&lt;6,"BS",IF(B68=6,"Exp","Rev"))</f>
        <v/>
      </c>
      <c r="B68">
        <f>_xlfn.NUMBERVALUE(LEFT(F68,1))</f>
        <v/>
      </c>
      <c r="C68">
        <f>Left(F68,2)</f>
        <v/>
      </c>
      <c r="D68">
        <f>Left(F68,3)</f>
        <v/>
      </c>
      <c r="E68">
        <f>IF(F68="121",Left(F68,3)&amp;"0",Left(F68,4))</f>
        <v/>
      </c>
      <c r="F68" t="n">
        <v>33100060</v>
      </c>
      <c r="G68" t="s">
        <v>92</v>
      </c>
      <c r="H68" s="9" t="n">
        <v>-269865.41</v>
      </c>
      <c r="I68" s="9" t="n">
        <v>0</v>
      </c>
      <c r="J68" s="9" t="n">
        <v>839441.58</v>
      </c>
      <c r="K68" s="9" t="n">
        <v>-1109306.99</v>
      </c>
      <c r="L68" s="9">
        <f>K68-H68</f>
        <v/>
      </c>
      <c r="M68" s="32">
        <f>IFERROR(L68/H68," ")</f>
        <v/>
      </c>
      <c r="N68">
        <f>IF(A68="BS",IFERROR(VLOOKUP(TRIM($E68),'BS Mapping std'!$A:$D,4,0),VLOOKUP(TRIM($D68),'BS Mapping std'!$A:$D,4,0)),IFERROR(VLOOKUP(TRIM($E68),'PL mapping Std'!$A:$D,4,0),VLOOKUP(TRIM($D68),'PL mapping Std'!$A:$D,4,0)))</f>
        <v/>
      </c>
      <c r="O68">
        <f>_xlfn.IFERROR(VLOOKUP(E68,'F30 mapping'!A:C,3,0),VLOOKUP(D68,'F30 mapping'!A:C,3,0))</f>
        <v/>
      </c>
      <c r="P68">
        <f>_xlfn.IFERROR(IFERROR(VLOOKUP(E68,'F40 mapping'!A:C,3,0),VLOOKUP(D68,'F40 mapping'!A:C,3,0)),0)</f>
        <v/>
      </c>
      <c r="Q68">
        <f>_xlfn.IFERROR(IFERROR(VLOOKUP(E68,'F40 mapping'!A:D,4,0),VLOOKUP(D68,'F40 mapping'!A:D,4,0)),0)</f>
        <v/>
      </c>
      <c r="R68">
        <f>_xlfn.IFERROR(IFERROR(VLOOKUP(E68,'F40 mapping'!A:E,5,0),VLOOKUP(D68,'F40 mapping'!A:E,5,0)),0)</f>
        <v/>
      </c>
      <c r="S68">
        <f>_xlfn.IF(B68&lt;6,IFERROR(VLOOKUP(E68,'BS Mapping std'!A:E,5,0),VLOOKUP(D68,'BS Mapping std'!A:E,5,0)),IFERROR(VLOOKUP(E68,'PL mapping Std'!A:F,6,0),VLOOKUP(D68,'PL mapping Std'!A:F,6,0)))</f>
        <v/>
      </c>
      <c r="T68">
        <f>_xlfn.IF(B68&lt;6,IFERROR(VLOOKUP(E68,'BS Mapping std'!A:F,6,0),VLOOKUP(D68,'BS Mapping std'!A:F,6,0)),IFERROR(VLOOKUP(E68,'PL mapping Std'!A:G,7,0),VLOOKUP(D68,'PL mapping Std'!A:G,7,0)))</f>
        <v/>
      </c>
      <c r="V68">
        <f>IF(IF(A68="BS",IFERROR(VLOOKUP(TRIM($E68),'BS Mapping std'!$A:$H,8,0),VLOOKUP(TRIM($D68),'BS Mapping std'!$A:$H,8,0)),IFERROR(VLOOKUP(TRIM($E68),'PL mapping Std'!$A:$E,5,0),VLOOKUP(TRIM($D68),'PL mapping Std'!$A:$E,5,0)))=0,"",IF(A68="BS",IFERROR(VLOOKUP(TRIM($E68),'BS Mapping std'!$A:$H,8,0),VLOOKUP(TRIM($D68),'BS Mapping std'!$A:$H,8,0)),IFERROR(VLOOKUP(TRIM($E68),'PL mapping Std'!$A:$E,5,0),VLOOKUP(TRIM($D68),'PL mapping Std'!$A:$E,5,0))))</f>
        <v/>
      </c>
      <c r="W68">
        <f>_xlfn.IFERROR(VLOOKUP(E68,'F30 mapping'!A:D,4,0),VLOOKUP(D68,'F30 mapping'!A:D,4,0))</f>
        <v/>
      </c>
      <c r="X68">
        <f>IF(B68&lt;6,IFERROR(VLOOKUP(E68,'BS Mapping std'!A:M,13,0),VLOOKUP(D68,'BS Mapping std'!A:M,13,0)),0)</f>
        <v/>
      </c>
      <c r="Y68">
        <f>IF(B68&lt;6,IFERROR(VLOOKUP(E68,'BS Mapping std'!A:N,14,0),VLOOKUP(D68,'BS Mapping std'!A:N,14,0)),0)</f>
        <v/>
      </c>
    </row>
    <row r="69" spans="1:25">
      <c r="A69">
        <f>IF(B69&lt;6,"BS",IF(B69=6,"Exp","Rev"))</f>
        <v/>
      </c>
      <c r="B69">
        <f>_xlfn.NUMBERVALUE(LEFT(F69,1))</f>
        <v/>
      </c>
      <c r="C69">
        <f>Left(F69,2)</f>
        <v/>
      </c>
      <c r="D69">
        <f>Left(F69,3)</f>
        <v/>
      </c>
      <c r="E69">
        <f>IF(F69="121",Left(F69,3)&amp;"0",Left(F69,4))</f>
        <v/>
      </c>
      <c r="F69" t="n">
        <v>34500010</v>
      </c>
      <c r="G69" t="s">
        <v>93</v>
      </c>
      <c r="H69" s="9" t="n">
        <v>2170.76</v>
      </c>
      <c r="I69" s="9" t="n">
        <v>110337871.28</v>
      </c>
      <c r="J69" s="9" t="n">
        <v>110331031.09</v>
      </c>
      <c r="K69" s="9" t="n">
        <v>9010.950000000001</v>
      </c>
      <c r="L69" s="9">
        <f>K69-H69</f>
        <v/>
      </c>
      <c r="M69" s="32">
        <f>IFERROR(L69/H69," ")</f>
        <v/>
      </c>
      <c r="N69">
        <f>IF(A69="BS",IFERROR(VLOOKUP(TRIM($E69),'BS Mapping std'!$A:$D,4,0),VLOOKUP(TRIM($D69),'BS Mapping std'!$A:$D,4,0)),IFERROR(VLOOKUP(TRIM($E69),'PL mapping Std'!$A:$D,4,0),VLOOKUP(TRIM($D69),'PL mapping Std'!$A:$D,4,0)))</f>
        <v/>
      </c>
      <c r="O69">
        <f>_xlfn.IFERROR(VLOOKUP(E69,'F30 mapping'!A:C,3,0),VLOOKUP(D69,'F30 mapping'!A:C,3,0))</f>
        <v/>
      </c>
      <c r="P69">
        <f>_xlfn.IFERROR(IFERROR(VLOOKUP(E69,'F40 mapping'!A:C,3,0),VLOOKUP(D69,'F40 mapping'!A:C,3,0)),0)</f>
        <v/>
      </c>
      <c r="Q69">
        <f>_xlfn.IFERROR(IFERROR(VLOOKUP(E69,'F40 mapping'!A:D,4,0),VLOOKUP(D69,'F40 mapping'!A:D,4,0)),0)</f>
        <v/>
      </c>
      <c r="R69">
        <f>_xlfn.IFERROR(IFERROR(VLOOKUP(E69,'F40 mapping'!A:E,5,0),VLOOKUP(D69,'F40 mapping'!A:E,5,0)),0)</f>
        <v/>
      </c>
      <c r="S69">
        <f>_xlfn.IF(B69&lt;6,IFERROR(VLOOKUP(E69,'BS Mapping std'!A:E,5,0),VLOOKUP(D69,'BS Mapping std'!A:E,5,0)),IFERROR(VLOOKUP(E69,'PL mapping Std'!A:F,6,0),VLOOKUP(D69,'PL mapping Std'!A:F,6,0)))</f>
        <v/>
      </c>
      <c r="T69">
        <f>_xlfn.IF(B69&lt;6,IFERROR(VLOOKUP(E69,'BS Mapping std'!A:F,6,0),VLOOKUP(D69,'BS Mapping std'!A:F,6,0)),IFERROR(VLOOKUP(E69,'PL mapping Std'!A:G,7,0),VLOOKUP(D69,'PL mapping Std'!A:G,7,0)))</f>
        <v/>
      </c>
      <c r="V69">
        <f>IF(IF(A69="BS",IFERROR(VLOOKUP(TRIM($E69),'BS Mapping std'!$A:$H,8,0),VLOOKUP(TRIM($D69),'BS Mapping std'!$A:$H,8,0)),IFERROR(VLOOKUP(TRIM($E69),'PL mapping Std'!$A:$E,5,0),VLOOKUP(TRIM($D69),'PL mapping Std'!$A:$E,5,0)))=0,"",IF(A69="BS",IFERROR(VLOOKUP(TRIM($E69),'BS Mapping std'!$A:$H,8,0),VLOOKUP(TRIM($D69),'BS Mapping std'!$A:$H,8,0)),IFERROR(VLOOKUP(TRIM($E69),'PL mapping Std'!$A:$E,5,0),VLOOKUP(TRIM($D69),'PL mapping Std'!$A:$E,5,0))))</f>
        <v/>
      </c>
      <c r="W69">
        <f>_xlfn.IFERROR(VLOOKUP(E69,'F30 mapping'!A:D,4,0),VLOOKUP(D69,'F30 mapping'!A:D,4,0))</f>
        <v/>
      </c>
      <c r="X69">
        <f>IF(B69&lt;6,IFERROR(VLOOKUP(E69,'BS Mapping std'!A:M,13,0),VLOOKUP(D69,'BS Mapping std'!A:M,13,0)),0)</f>
        <v/>
      </c>
      <c r="Y69">
        <f>IF(B69&lt;6,IFERROR(VLOOKUP(E69,'BS Mapping std'!A:N,14,0),VLOOKUP(D69,'BS Mapping std'!A:N,14,0)),0)</f>
        <v/>
      </c>
    </row>
    <row r="70" spans="1:25">
      <c r="A70">
        <f>IF(B70&lt;6,"BS",IF(B70=6,"Exp","Rev"))</f>
        <v/>
      </c>
      <c r="B70">
        <f>_xlfn.NUMBERVALUE(LEFT(F70,1))</f>
        <v/>
      </c>
      <c r="C70">
        <f>Left(F70,2)</f>
        <v/>
      </c>
      <c r="D70">
        <f>Left(F70,3)</f>
        <v/>
      </c>
      <c r="E70">
        <f>IF(F70="121",Left(F70,3)&amp;"0",Left(F70,4))</f>
        <v/>
      </c>
      <c r="F70" t="n">
        <v>34500020</v>
      </c>
      <c r="G70" t="s">
        <v>94</v>
      </c>
      <c r="H70" s="9" t="n">
        <v>1329525.08</v>
      </c>
      <c r="I70" s="9" t="n">
        <v>14203538.27</v>
      </c>
      <c r="J70" s="9" t="n">
        <v>12346413.41</v>
      </c>
      <c r="K70" s="9" t="n">
        <v>3186649.94</v>
      </c>
      <c r="L70" s="9">
        <f>K70-H70</f>
        <v/>
      </c>
      <c r="M70" s="32">
        <f>IFERROR(L70/H70," ")</f>
        <v/>
      </c>
      <c r="N70">
        <f>IF(A70="BS",IFERROR(VLOOKUP(TRIM($E70),'BS Mapping std'!$A:$D,4,0),VLOOKUP(TRIM($D70),'BS Mapping std'!$A:$D,4,0)),IFERROR(VLOOKUP(TRIM($E70),'PL mapping Std'!$A:$D,4,0),VLOOKUP(TRIM($D70),'PL mapping Std'!$A:$D,4,0)))</f>
        <v/>
      </c>
      <c r="O70">
        <f>_xlfn.IFERROR(VLOOKUP(E70,'F30 mapping'!A:C,3,0),VLOOKUP(D70,'F30 mapping'!A:C,3,0))</f>
        <v/>
      </c>
      <c r="P70">
        <f>_xlfn.IFERROR(IFERROR(VLOOKUP(E70,'F40 mapping'!A:C,3,0),VLOOKUP(D70,'F40 mapping'!A:C,3,0)),0)</f>
        <v/>
      </c>
      <c r="Q70">
        <f>_xlfn.IFERROR(IFERROR(VLOOKUP(E70,'F40 mapping'!A:D,4,0),VLOOKUP(D70,'F40 mapping'!A:D,4,0)),0)</f>
        <v/>
      </c>
      <c r="R70">
        <f>_xlfn.IFERROR(IFERROR(VLOOKUP(E70,'F40 mapping'!A:E,5,0),VLOOKUP(D70,'F40 mapping'!A:E,5,0)),0)</f>
        <v/>
      </c>
      <c r="S70">
        <f>_xlfn.IF(B70&lt;6,IFERROR(VLOOKUP(E70,'BS Mapping std'!A:E,5,0),VLOOKUP(D70,'BS Mapping std'!A:E,5,0)),IFERROR(VLOOKUP(E70,'PL mapping Std'!A:F,6,0),VLOOKUP(D70,'PL mapping Std'!A:F,6,0)))</f>
        <v/>
      </c>
      <c r="T70">
        <f>_xlfn.IF(B70&lt;6,IFERROR(VLOOKUP(E70,'BS Mapping std'!A:F,6,0),VLOOKUP(D70,'BS Mapping std'!A:F,6,0)),IFERROR(VLOOKUP(E70,'PL mapping Std'!A:G,7,0),VLOOKUP(D70,'PL mapping Std'!A:G,7,0)))</f>
        <v/>
      </c>
      <c r="V70">
        <f>IF(IF(A70="BS",IFERROR(VLOOKUP(TRIM($E70),'BS Mapping std'!$A:$H,8,0),VLOOKUP(TRIM($D70),'BS Mapping std'!$A:$H,8,0)),IFERROR(VLOOKUP(TRIM($E70),'PL mapping Std'!$A:$E,5,0),VLOOKUP(TRIM($D70),'PL mapping Std'!$A:$E,5,0)))=0,"",IF(A70="BS",IFERROR(VLOOKUP(TRIM($E70),'BS Mapping std'!$A:$H,8,0),VLOOKUP(TRIM($D70),'BS Mapping std'!$A:$H,8,0)),IFERROR(VLOOKUP(TRIM($E70),'PL mapping Std'!$A:$E,5,0),VLOOKUP(TRIM($D70),'PL mapping Std'!$A:$E,5,0))))</f>
        <v/>
      </c>
      <c r="W70">
        <f>_xlfn.IFERROR(VLOOKUP(E70,'F30 mapping'!A:D,4,0),VLOOKUP(D70,'F30 mapping'!A:D,4,0))</f>
        <v/>
      </c>
      <c r="X70">
        <f>IF(B70&lt;6,IFERROR(VLOOKUP(E70,'BS Mapping std'!A:M,13,0),VLOOKUP(D70,'BS Mapping std'!A:M,13,0)),0)</f>
        <v/>
      </c>
      <c r="Y70">
        <f>IF(B70&lt;6,IFERROR(VLOOKUP(E70,'BS Mapping std'!A:N,14,0),VLOOKUP(D70,'BS Mapping std'!A:N,14,0)),0)</f>
        <v/>
      </c>
    </row>
    <row r="71" spans="1:25">
      <c r="A71">
        <f>IF(B71&lt;6,"BS",IF(B71=6,"Exp","Rev"))</f>
        <v/>
      </c>
      <c r="B71">
        <f>_xlfn.NUMBERVALUE(LEFT(F71,1))</f>
        <v/>
      </c>
      <c r="C71">
        <f>Left(F71,2)</f>
        <v/>
      </c>
      <c r="D71">
        <f>Left(F71,3)</f>
        <v/>
      </c>
      <c r="E71">
        <f>IF(F71="121",Left(F71,3)&amp;"0",Left(F71,4))</f>
        <v/>
      </c>
      <c r="F71" t="n">
        <v>34500030</v>
      </c>
      <c r="G71" t="s">
        <v>93</v>
      </c>
      <c r="H71" s="9" t="n">
        <v>-1329525.08</v>
      </c>
      <c r="I71" s="9" t="n">
        <v>0</v>
      </c>
      <c r="J71" s="9" t="n">
        <v>1857124.86</v>
      </c>
      <c r="K71" s="9" t="n">
        <v>-3186649.94</v>
      </c>
      <c r="L71" s="9">
        <f>K71-H71</f>
        <v/>
      </c>
      <c r="M71" s="32">
        <f>IFERROR(L71/H71," ")</f>
        <v/>
      </c>
      <c r="N71">
        <f>IF(A71="BS",IFERROR(VLOOKUP(TRIM($E71),'BS Mapping std'!$A:$D,4,0),VLOOKUP(TRIM($D71),'BS Mapping std'!$A:$D,4,0)),IFERROR(VLOOKUP(TRIM($E71),'PL mapping Std'!$A:$D,4,0),VLOOKUP(TRIM($D71),'PL mapping Std'!$A:$D,4,0)))</f>
        <v/>
      </c>
      <c r="O71">
        <f>_xlfn.IFERROR(VLOOKUP(E71,'F30 mapping'!A:C,3,0),VLOOKUP(D71,'F30 mapping'!A:C,3,0))</f>
        <v/>
      </c>
      <c r="P71">
        <f>_xlfn.IFERROR(IFERROR(VLOOKUP(E71,'F40 mapping'!A:C,3,0),VLOOKUP(D71,'F40 mapping'!A:C,3,0)),0)</f>
        <v/>
      </c>
      <c r="Q71">
        <f>_xlfn.IFERROR(IFERROR(VLOOKUP(E71,'F40 mapping'!A:D,4,0),VLOOKUP(D71,'F40 mapping'!A:D,4,0)),0)</f>
        <v/>
      </c>
      <c r="R71">
        <f>_xlfn.IFERROR(IFERROR(VLOOKUP(E71,'F40 mapping'!A:E,5,0),VLOOKUP(D71,'F40 mapping'!A:E,5,0)),0)</f>
        <v/>
      </c>
      <c r="S71">
        <f>_xlfn.IF(B71&lt;6,IFERROR(VLOOKUP(E71,'BS Mapping std'!A:E,5,0),VLOOKUP(D71,'BS Mapping std'!A:E,5,0)),IFERROR(VLOOKUP(E71,'PL mapping Std'!A:F,6,0),VLOOKUP(D71,'PL mapping Std'!A:F,6,0)))</f>
        <v/>
      </c>
      <c r="T71">
        <f>_xlfn.IF(B71&lt;6,IFERROR(VLOOKUP(E71,'BS Mapping std'!A:F,6,0),VLOOKUP(D71,'BS Mapping std'!A:F,6,0)),IFERROR(VLOOKUP(E71,'PL mapping Std'!A:G,7,0),VLOOKUP(D71,'PL mapping Std'!A:G,7,0)))</f>
        <v/>
      </c>
      <c r="V71">
        <f>IF(IF(A71="BS",IFERROR(VLOOKUP(TRIM($E71),'BS Mapping std'!$A:$H,8,0),VLOOKUP(TRIM($D71),'BS Mapping std'!$A:$H,8,0)),IFERROR(VLOOKUP(TRIM($E71),'PL mapping Std'!$A:$E,5,0),VLOOKUP(TRIM($D71),'PL mapping Std'!$A:$E,5,0)))=0,"",IF(A71="BS",IFERROR(VLOOKUP(TRIM($E71),'BS Mapping std'!$A:$H,8,0),VLOOKUP(TRIM($D71),'BS Mapping std'!$A:$H,8,0)),IFERROR(VLOOKUP(TRIM($E71),'PL mapping Std'!$A:$E,5,0),VLOOKUP(TRIM($D71),'PL mapping Std'!$A:$E,5,0))))</f>
        <v/>
      </c>
      <c r="W71">
        <f>_xlfn.IFERROR(VLOOKUP(E71,'F30 mapping'!A:D,4,0),VLOOKUP(D71,'F30 mapping'!A:D,4,0))</f>
        <v/>
      </c>
      <c r="X71">
        <f>IF(B71&lt;6,IFERROR(VLOOKUP(E71,'BS Mapping std'!A:M,13,0),VLOOKUP(D71,'BS Mapping std'!A:M,13,0)),0)</f>
        <v/>
      </c>
      <c r="Y71">
        <f>IF(B71&lt;6,IFERROR(VLOOKUP(E71,'BS Mapping std'!A:N,14,0),VLOOKUP(D71,'BS Mapping std'!A:N,14,0)),0)</f>
        <v/>
      </c>
    </row>
    <row r="72" spans="1:25">
      <c r="A72">
        <f>IF(B72&lt;6,"BS",IF(B72=6,"Exp","Rev"))</f>
        <v/>
      </c>
      <c r="B72">
        <f>_xlfn.NUMBERVALUE(LEFT(F72,1))</f>
        <v/>
      </c>
      <c r="C72">
        <f>Left(F72,2)</f>
        <v/>
      </c>
      <c r="D72">
        <f>Left(F72,3)</f>
        <v/>
      </c>
      <c r="E72">
        <f>IF(F72="121",Left(F72,3)&amp;"0",Left(F72,4))</f>
        <v/>
      </c>
      <c r="F72" t="n">
        <v>34600000</v>
      </c>
      <c r="G72" t="s">
        <v>95</v>
      </c>
      <c r="H72" s="9" t="n">
        <v>1622.3</v>
      </c>
      <c r="I72" s="9" t="n">
        <v>35415.31</v>
      </c>
      <c r="J72" s="9" t="n">
        <v>35258.53</v>
      </c>
      <c r="K72" s="9" t="n">
        <v>1779.08</v>
      </c>
      <c r="L72" s="9">
        <f>K72-H72</f>
        <v/>
      </c>
      <c r="M72" s="32">
        <f>IFERROR(L72/H72," ")</f>
        <v/>
      </c>
      <c r="N72">
        <f>IF(A72="BS",IFERROR(VLOOKUP(TRIM($E72),'BS Mapping std'!$A:$D,4,0),VLOOKUP(TRIM($D72),'BS Mapping std'!$A:$D,4,0)),IFERROR(VLOOKUP(TRIM($E72),'PL mapping Std'!$A:$D,4,0),VLOOKUP(TRIM($D72),'PL mapping Std'!$A:$D,4,0)))</f>
        <v/>
      </c>
      <c r="O72">
        <f>_xlfn.IFERROR(VLOOKUP(E72,'F30 mapping'!A:C,3,0),VLOOKUP(D72,'F30 mapping'!A:C,3,0))</f>
        <v/>
      </c>
      <c r="P72">
        <f>_xlfn.IFERROR(IFERROR(VLOOKUP(E72,'F40 mapping'!A:C,3,0),VLOOKUP(D72,'F40 mapping'!A:C,3,0)),0)</f>
        <v/>
      </c>
      <c r="Q72">
        <f>_xlfn.IFERROR(IFERROR(VLOOKUP(E72,'F40 mapping'!A:D,4,0),VLOOKUP(D72,'F40 mapping'!A:D,4,0)),0)</f>
        <v/>
      </c>
      <c r="R72">
        <f>_xlfn.IFERROR(IFERROR(VLOOKUP(E72,'F40 mapping'!A:E,5,0),VLOOKUP(D72,'F40 mapping'!A:E,5,0)),0)</f>
        <v/>
      </c>
      <c r="S72">
        <f>_xlfn.IF(B72&lt;6,IFERROR(VLOOKUP(E72,'BS Mapping std'!A:E,5,0),VLOOKUP(D72,'BS Mapping std'!A:E,5,0)),IFERROR(VLOOKUP(E72,'PL mapping Std'!A:F,6,0),VLOOKUP(D72,'PL mapping Std'!A:F,6,0)))</f>
        <v/>
      </c>
      <c r="T72">
        <f>_xlfn.IF(B72&lt;6,IFERROR(VLOOKUP(E72,'BS Mapping std'!A:F,6,0),VLOOKUP(D72,'BS Mapping std'!A:F,6,0)),IFERROR(VLOOKUP(E72,'PL mapping Std'!A:G,7,0),VLOOKUP(D72,'PL mapping Std'!A:G,7,0)))</f>
        <v/>
      </c>
      <c r="V72">
        <f>IF(IF(A72="BS",IFERROR(VLOOKUP(TRIM($E72),'BS Mapping std'!$A:$H,8,0),VLOOKUP(TRIM($D72),'BS Mapping std'!$A:$H,8,0)),IFERROR(VLOOKUP(TRIM($E72),'PL mapping Std'!$A:$E,5,0),VLOOKUP(TRIM($D72),'PL mapping Std'!$A:$E,5,0)))=0,"",IF(A72="BS",IFERROR(VLOOKUP(TRIM($E72),'BS Mapping std'!$A:$H,8,0),VLOOKUP(TRIM($D72),'BS Mapping std'!$A:$H,8,0)),IFERROR(VLOOKUP(TRIM($E72),'PL mapping Std'!$A:$E,5,0),VLOOKUP(TRIM($D72),'PL mapping Std'!$A:$E,5,0))))</f>
        <v/>
      </c>
      <c r="W72">
        <f>_xlfn.IFERROR(VLOOKUP(E72,'F30 mapping'!A:D,4,0),VLOOKUP(D72,'F30 mapping'!A:D,4,0))</f>
        <v/>
      </c>
      <c r="X72">
        <f>IF(B72&lt;6,IFERROR(VLOOKUP(E72,'BS Mapping std'!A:M,13,0),VLOOKUP(D72,'BS Mapping std'!A:M,13,0)),0)</f>
        <v/>
      </c>
      <c r="Y72">
        <f>IF(B72&lt;6,IFERROR(VLOOKUP(E72,'BS Mapping std'!A:N,14,0),VLOOKUP(D72,'BS Mapping std'!A:N,14,0)),0)</f>
        <v/>
      </c>
    </row>
    <row r="73" spans="1:25">
      <c r="A73">
        <f>IF(B73&lt;6,"BS",IF(B73=6,"Exp","Rev"))</f>
        <v/>
      </c>
      <c r="B73">
        <f>_xlfn.NUMBERVALUE(LEFT(F73,1))</f>
        <v/>
      </c>
      <c r="C73">
        <f>Left(F73,2)</f>
        <v/>
      </c>
      <c r="D73">
        <f>Left(F73,3)</f>
        <v/>
      </c>
      <c r="E73">
        <f>IF(F73="121",Left(F73,3)&amp;"0",Left(F73,4))</f>
        <v/>
      </c>
      <c r="F73" t="n">
        <v>34600010</v>
      </c>
      <c r="G73" t="s">
        <v>96</v>
      </c>
      <c r="H73" s="9" t="n">
        <v>1206.34</v>
      </c>
      <c r="I73" s="9" t="n">
        <v>38685</v>
      </c>
      <c r="J73" s="9" t="n">
        <v>39891.34</v>
      </c>
      <c r="K73" s="9" t="n">
        <v>0</v>
      </c>
      <c r="L73" s="9">
        <f>K73-H73</f>
        <v/>
      </c>
      <c r="M73" s="32">
        <f>IFERROR(L73/H73," ")</f>
        <v/>
      </c>
      <c r="N73">
        <f>IF(A73="BS",IFERROR(VLOOKUP(TRIM($E73),'BS Mapping std'!$A:$D,4,0),VLOOKUP(TRIM($D73),'BS Mapping std'!$A:$D,4,0)),IFERROR(VLOOKUP(TRIM($E73),'PL mapping Std'!$A:$D,4,0),VLOOKUP(TRIM($D73),'PL mapping Std'!$A:$D,4,0)))</f>
        <v/>
      </c>
      <c r="O73">
        <f>_xlfn.IFERROR(VLOOKUP(E73,'F30 mapping'!A:C,3,0),VLOOKUP(D73,'F30 mapping'!A:C,3,0))</f>
        <v/>
      </c>
      <c r="P73">
        <f>_xlfn.IFERROR(IFERROR(VLOOKUP(E73,'F40 mapping'!A:C,3,0),VLOOKUP(D73,'F40 mapping'!A:C,3,0)),0)</f>
        <v/>
      </c>
      <c r="Q73">
        <f>_xlfn.IFERROR(IFERROR(VLOOKUP(E73,'F40 mapping'!A:D,4,0),VLOOKUP(D73,'F40 mapping'!A:D,4,0)),0)</f>
        <v/>
      </c>
      <c r="R73">
        <f>_xlfn.IFERROR(IFERROR(VLOOKUP(E73,'F40 mapping'!A:E,5,0),VLOOKUP(D73,'F40 mapping'!A:E,5,0)),0)</f>
        <v/>
      </c>
      <c r="S73">
        <f>_xlfn.IF(B73&lt;6,IFERROR(VLOOKUP(E73,'BS Mapping std'!A:E,5,0),VLOOKUP(D73,'BS Mapping std'!A:E,5,0)),IFERROR(VLOOKUP(E73,'PL mapping Std'!A:F,6,0),VLOOKUP(D73,'PL mapping Std'!A:F,6,0)))</f>
        <v/>
      </c>
      <c r="T73">
        <f>_xlfn.IF(B73&lt;6,IFERROR(VLOOKUP(E73,'BS Mapping std'!A:F,6,0),VLOOKUP(D73,'BS Mapping std'!A:F,6,0)),IFERROR(VLOOKUP(E73,'PL mapping Std'!A:G,7,0),VLOOKUP(D73,'PL mapping Std'!A:G,7,0)))</f>
        <v/>
      </c>
      <c r="V73">
        <f>IF(IF(A73="BS",IFERROR(VLOOKUP(TRIM($E73),'BS Mapping std'!$A:$H,8,0),VLOOKUP(TRIM($D73),'BS Mapping std'!$A:$H,8,0)),IFERROR(VLOOKUP(TRIM($E73),'PL mapping Std'!$A:$E,5,0),VLOOKUP(TRIM($D73),'PL mapping Std'!$A:$E,5,0)))=0,"",IF(A73="BS",IFERROR(VLOOKUP(TRIM($E73),'BS Mapping std'!$A:$H,8,0),VLOOKUP(TRIM($D73),'BS Mapping std'!$A:$H,8,0)),IFERROR(VLOOKUP(TRIM($E73),'PL mapping Std'!$A:$E,5,0),VLOOKUP(TRIM($D73),'PL mapping Std'!$A:$E,5,0))))</f>
        <v/>
      </c>
      <c r="W73">
        <f>_xlfn.IFERROR(VLOOKUP(E73,'F30 mapping'!A:D,4,0),VLOOKUP(D73,'F30 mapping'!A:D,4,0))</f>
        <v/>
      </c>
      <c r="X73">
        <f>IF(B73&lt;6,IFERROR(VLOOKUP(E73,'BS Mapping std'!A:M,13,0),VLOOKUP(D73,'BS Mapping std'!A:M,13,0)),0)</f>
        <v/>
      </c>
      <c r="Y73">
        <f>IF(B73&lt;6,IFERROR(VLOOKUP(E73,'BS Mapping std'!A:N,14,0),VLOOKUP(D73,'BS Mapping std'!A:N,14,0)),0)</f>
        <v/>
      </c>
    </row>
    <row r="74" spans="1:25">
      <c r="A74">
        <f>IF(B74&lt;6,"BS",IF(B74=6,"Exp","Rev"))</f>
        <v/>
      </c>
      <c r="B74">
        <f>_xlfn.NUMBERVALUE(LEFT(F74,1))</f>
        <v/>
      </c>
      <c r="C74">
        <f>Left(F74,2)</f>
        <v/>
      </c>
      <c r="D74">
        <f>Left(F74,3)</f>
        <v/>
      </c>
      <c r="E74">
        <f>IF(F74="121",Left(F74,3)&amp;"0",Left(F74,4))</f>
        <v/>
      </c>
      <c r="F74" t="n">
        <v>34600020</v>
      </c>
      <c r="G74" t="s">
        <v>97</v>
      </c>
      <c r="H74" s="9" t="n">
        <v>1027.4</v>
      </c>
      <c r="I74" s="9" t="n">
        <v>26067.8</v>
      </c>
      <c r="J74" s="9" t="n">
        <v>27095.2</v>
      </c>
      <c r="K74" s="9" t="n">
        <v>0</v>
      </c>
      <c r="L74" s="9">
        <f>K74-H74</f>
        <v/>
      </c>
      <c r="M74" s="32">
        <f>IFERROR(L74/H74," ")</f>
        <v/>
      </c>
      <c r="N74">
        <f>IF(A74="BS",IFERROR(VLOOKUP(TRIM($E74),'BS Mapping std'!$A:$D,4,0),VLOOKUP(TRIM($D74),'BS Mapping std'!$A:$D,4,0)),IFERROR(VLOOKUP(TRIM($E74),'PL mapping Std'!$A:$D,4,0),VLOOKUP(TRIM($D74),'PL mapping Std'!$A:$D,4,0)))</f>
        <v/>
      </c>
      <c r="O74">
        <f>_xlfn.IFERROR(VLOOKUP(E74,'F30 mapping'!A:C,3,0),VLOOKUP(D74,'F30 mapping'!A:C,3,0))</f>
        <v/>
      </c>
      <c r="P74">
        <f>_xlfn.IFERROR(IFERROR(VLOOKUP(E74,'F40 mapping'!A:C,3,0),VLOOKUP(D74,'F40 mapping'!A:C,3,0)),0)</f>
        <v/>
      </c>
      <c r="Q74">
        <f>_xlfn.IFERROR(IFERROR(VLOOKUP(E74,'F40 mapping'!A:D,4,0),VLOOKUP(D74,'F40 mapping'!A:D,4,0)),0)</f>
        <v/>
      </c>
      <c r="R74">
        <f>_xlfn.IFERROR(IFERROR(VLOOKUP(E74,'F40 mapping'!A:E,5,0),VLOOKUP(D74,'F40 mapping'!A:E,5,0)),0)</f>
        <v/>
      </c>
      <c r="S74">
        <f>_xlfn.IF(B74&lt;6,IFERROR(VLOOKUP(E74,'BS Mapping std'!A:E,5,0),VLOOKUP(D74,'BS Mapping std'!A:E,5,0)),IFERROR(VLOOKUP(E74,'PL mapping Std'!A:F,6,0),VLOOKUP(D74,'PL mapping Std'!A:F,6,0)))</f>
        <v/>
      </c>
      <c r="T74">
        <f>_xlfn.IF(B74&lt;6,IFERROR(VLOOKUP(E74,'BS Mapping std'!A:F,6,0),VLOOKUP(D74,'BS Mapping std'!A:F,6,0)),IFERROR(VLOOKUP(E74,'PL mapping Std'!A:G,7,0),VLOOKUP(D74,'PL mapping Std'!A:G,7,0)))</f>
        <v/>
      </c>
      <c r="V74">
        <f>IF(IF(A74="BS",IFERROR(VLOOKUP(TRIM($E74),'BS Mapping std'!$A:$H,8,0),VLOOKUP(TRIM($D74),'BS Mapping std'!$A:$H,8,0)),IFERROR(VLOOKUP(TRIM($E74),'PL mapping Std'!$A:$E,5,0),VLOOKUP(TRIM($D74),'PL mapping Std'!$A:$E,5,0)))=0,"",IF(A74="BS",IFERROR(VLOOKUP(TRIM($E74),'BS Mapping std'!$A:$H,8,0),VLOOKUP(TRIM($D74),'BS Mapping std'!$A:$H,8,0)),IFERROR(VLOOKUP(TRIM($E74),'PL mapping Std'!$A:$E,5,0),VLOOKUP(TRIM($D74),'PL mapping Std'!$A:$E,5,0))))</f>
        <v/>
      </c>
      <c r="W74">
        <f>_xlfn.IFERROR(VLOOKUP(E74,'F30 mapping'!A:D,4,0),VLOOKUP(D74,'F30 mapping'!A:D,4,0))</f>
        <v/>
      </c>
      <c r="X74">
        <f>IF(B74&lt;6,IFERROR(VLOOKUP(E74,'BS Mapping std'!A:M,13,0),VLOOKUP(D74,'BS Mapping std'!A:M,13,0)),0)</f>
        <v/>
      </c>
      <c r="Y74">
        <f>IF(B74&lt;6,IFERROR(VLOOKUP(E74,'BS Mapping std'!A:N,14,0),VLOOKUP(D74,'BS Mapping std'!A:N,14,0)),0)</f>
        <v/>
      </c>
    </row>
    <row r="75" spans="1:25">
      <c r="A75">
        <f>IF(B75&lt;6,"BS",IF(B75=6,"Exp","Rev"))</f>
        <v/>
      </c>
      <c r="B75">
        <f>_xlfn.NUMBERVALUE(LEFT(F75,1))</f>
        <v/>
      </c>
      <c r="C75">
        <f>Left(F75,2)</f>
        <v/>
      </c>
      <c r="D75">
        <f>Left(F75,3)</f>
        <v/>
      </c>
      <c r="E75">
        <f>IF(F75="121",Left(F75,3)&amp;"0",Left(F75,4))</f>
        <v/>
      </c>
      <c r="F75" t="n">
        <v>34600030</v>
      </c>
      <c r="G75" t="s">
        <v>98</v>
      </c>
      <c r="H75" s="9" t="n">
        <v>683.85</v>
      </c>
      <c r="I75" s="9" t="n">
        <v>6334.5</v>
      </c>
      <c r="J75" s="9" t="n">
        <v>7018.35</v>
      </c>
      <c r="K75" s="9" t="n">
        <v>0</v>
      </c>
      <c r="L75" s="9">
        <f>K75-H75</f>
        <v/>
      </c>
      <c r="M75" s="32">
        <f>IFERROR(L75/H75," ")</f>
        <v/>
      </c>
      <c r="N75">
        <f>IF(A75="BS",IFERROR(VLOOKUP(TRIM($E75),'BS Mapping std'!$A:$D,4,0),VLOOKUP(TRIM($D75),'BS Mapping std'!$A:$D,4,0)),IFERROR(VLOOKUP(TRIM($E75),'PL mapping Std'!$A:$D,4,0),VLOOKUP(TRIM($D75),'PL mapping Std'!$A:$D,4,0)))</f>
        <v/>
      </c>
      <c r="O75">
        <f>_xlfn.IFERROR(VLOOKUP(E75,'F30 mapping'!A:C,3,0),VLOOKUP(D75,'F30 mapping'!A:C,3,0))</f>
        <v/>
      </c>
      <c r="P75">
        <f>_xlfn.IFERROR(IFERROR(VLOOKUP(E75,'F40 mapping'!A:C,3,0),VLOOKUP(D75,'F40 mapping'!A:C,3,0)),0)</f>
        <v/>
      </c>
      <c r="Q75">
        <f>_xlfn.IFERROR(IFERROR(VLOOKUP(E75,'F40 mapping'!A:D,4,0),VLOOKUP(D75,'F40 mapping'!A:D,4,0)),0)</f>
        <v/>
      </c>
      <c r="R75">
        <f>_xlfn.IFERROR(IFERROR(VLOOKUP(E75,'F40 mapping'!A:E,5,0),VLOOKUP(D75,'F40 mapping'!A:E,5,0)),0)</f>
        <v/>
      </c>
      <c r="S75">
        <f>_xlfn.IF(B75&lt;6,IFERROR(VLOOKUP(E75,'BS Mapping std'!A:E,5,0),VLOOKUP(D75,'BS Mapping std'!A:E,5,0)),IFERROR(VLOOKUP(E75,'PL mapping Std'!A:F,6,0),VLOOKUP(D75,'PL mapping Std'!A:F,6,0)))</f>
        <v/>
      </c>
      <c r="T75">
        <f>_xlfn.IF(B75&lt;6,IFERROR(VLOOKUP(E75,'BS Mapping std'!A:F,6,0),VLOOKUP(D75,'BS Mapping std'!A:F,6,0)),IFERROR(VLOOKUP(E75,'PL mapping Std'!A:G,7,0),VLOOKUP(D75,'PL mapping Std'!A:G,7,0)))</f>
        <v/>
      </c>
      <c r="V75">
        <f>IF(IF(A75="BS",IFERROR(VLOOKUP(TRIM($E75),'BS Mapping std'!$A:$H,8,0),VLOOKUP(TRIM($D75),'BS Mapping std'!$A:$H,8,0)),IFERROR(VLOOKUP(TRIM($E75),'PL mapping Std'!$A:$E,5,0),VLOOKUP(TRIM($D75),'PL mapping Std'!$A:$E,5,0)))=0,"",IF(A75="BS",IFERROR(VLOOKUP(TRIM($E75),'BS Mapping std'!$A:$H,8,0),VLOOKUP(TRIM($D75),'BS Mapping std'!$A:$H,8,0)),IFERROR(VLOOKUP(TRIM($E75),'PL mapping Std'!$A:$E,5,0),VLOOKUP(TRIM($D75),'PL mapping Std'!$A:$E,5,0))))</f>
        <v/>
      </c>
      <c r="W75">
        <f>_xlfn.IFERROR(VLOOKUP(E75,'F30 mapping'!A:D,4,0),VLOOKUP(D75,'F30 mapping'!A:D,4,0))</f>
        <v/>
      </c>
      <c r="X75">
        <f>IF(B75&lt;6,IFERROR(VLOOKUP(E75,'BS Mapping std'!A:M,13,0),VLOOKUP(D75,'BS Mapping std'!A:M,13,0)),0)</f>
        <v/>
      </c>
      <c r="Y75">
        <f>IF(B75&lt;6,IFERROR(VLOOKUP(E75,'BS Mapping std'!A:N,14,0),VLOOKUP(D75,'BS Mapping std'!A:N,14,0)),0)</f>
        <v/>
      </c>
    </row>
    <row r="76" spans="1:25">
      <c r="A76">
        <f>IF(B76&lt;6,"BS",IF(B76=6,"Exp","Rev"))</f>
        <v/>
      </c>
      <c r="B76">
        <f>_xlfn.NUMBERVALUE(LEFT(F76,1))</f>
        <v/>
      </c>
      <c r="C76">
        <f>Left(F76,2)</f>
        <v/>
      </c>
      <c r="D76">
        <f>Left(F76,3)</f>
        <v/>
      </c>
      <c r="E76">
        <f>IF(F76="121",Left(F76,3)&amp;"0",Left(F76,4))</f>
        <v/>
      </c>
      <c r="F76" t="n">
        <v>34600040</v>
      </c>
      <c r="G76" t="s">
        <v>99</v>
      </c>
      <c r="H76" s="9" t="n">
        <v>0</v>
      </c>
      <c r="I76" s="9" t="n">
        <v>120</v>
      </c>
      <c r="J76" s="9" t="n">
        <v>120</v>
      </c>
      <c r="K76" s="9" t="n">
        <v>0</v>
      </c>
      <c r="L76" s="9">
        <f>K76-H76</f>
        <v/>
      </c>
      <c r="M76" s="32">
        <f>IFERROR(L76/H76," ")</f>
        <v/>
      </c>
      <c r="N76">
        <f>IF(A76="BS",IFERROR(VLOOKUP(TRIM($E76),'BS Mapping std'!$A:$D,4,0),VLOOKUP(TRIM($D76),'BS Mapping std'!$A:$D,4,0)),IFERROR(VLOOKUP(TRIM($E76),'PL mapping Std'!$A:$D,4,0),VLOOKUP(TRIM($D76),'PL mapping Std'!$A:$D,4,0)))</f>
        <v/>
      </c>
      <c r="O76">
        <f>_xlfn.IFERROR(VLOOKUP(E76,'F30 mapping'!A:C,3,0),VLOOKUP(D76,'F30 mapping'!A:C,3,0))</f>
        <v/>
      </c>
      <c r="P76">
        <f>_xlfn.IFERROR(IFERROR(VLOOKUP(E76,'F40 mapping'!A:C,3,0),VLOOKUP(D76,'F40 mapping'!A:C,3,0)),0)</f>
        <v/>
      </c>
      <c r="Q76">
        <f>_xlfn.IFERROR(IFERROR(VLOOKUP(E76,'F40 mapping'!A:D,4,0),VLOOKUP(D76,'F40 mapping'!A:D,4,0)),0)</f>
        <v/>
      </c>
      <c r="R76">
        <f>_xlfn.IFERROR(IFERROR(VLOOKUP(E76,'F40 mapping'!A:E,5,0),VLOOKUP(D76,'F40 mapping'!A:E,5,0)),0)</f>
        <v/>
      </c>
      <c r="S76">
        <f>_xlfn.IF(B76&lt;6,IFERROR(VLOOKUP(E76,'BS Mapping std'!A:E,5,0),VLOOKUP(D76,'BS Mapping std'!A:E,5,0)),IFERROR(VLOOKUP(E76,'PL mapping Std'!A:F,6,0),VLOOKUP(D76,'PL mapping Std'!A:F,6,0)))</f>
        <v/>
      </c>
      <c r="T76">
        <f>_xlfn.IF(B76&lt;6,IFERROR(VLOOKUP(E76,'BS Mapping std'!A:F,6,0),VLOOKUP(D76,'BS Mapping std'!A:F,6,0)),IFERROR(VLOOKUP(E76,'PL mapping Std'!A:G,7,0),VLOOKUP(D76,'PL mapping Std'!A:G,7,0)))</f>
        <v/>
      </c>
      <c r="V76">
        <f>IF(IF(A76="BS",IFERROR(VLOOKUP(TRIM($E76),'BS Mapping std'!$A:$H,8,0),VLOOKUP(TRIM($D76),'BS Mapping std'!$A:$H,8,0)),IFERROR(VLOOKUP(TRIM($E76),'PL mapping Std'!$A:$E,5,0),VLOOKUP(TRIM($D76),'PL mapping Std'!$A:$E,5,0)))=0,"",IF(A76="BS",IFERROR(VLOOKUP(TRIM($E76),'BS Mapping std'!$A:$H,8,0),VLOOKUP(TRIM($D76),'BS Mapping std'!$A:$H,8,0)),IFERROR(VLOOKUP(TRIM($E76),'PL mapping Std'!$A:$E,5,0),VLOOKUP(TRIM($D76),'PL mapping Std'!$A:$E,5,0))))</f>
        <v/>
      </c>
      <c r="W76">
        <f>_xlfn.IFERROR(VLOOKUP(E76,'F30 mapping'!A:D,4,0),VLOOKUP(D76,'F30 mapping'!A:D,4,0))</f>
        <v/>
      </c>
      <c r="X76">
        <f>IF(B76&lt;6,IFERROR(VLOOKUP(E76,'BS Mapping std'!A:M,13,0),VLOOKUP(D76,'BS Mapping std'!A:M,13,0)),0)</f>
        <v/>
      </c>
      <c r="Y76">
        <f>IF(B76&lt;6,IFERROR(VLOOKUP(E76,'BS Mapping std'!A:N,14,0),VLOOKUP(D76,'BS Mapping std'!A:N,14,0)),0)</f>
        <v/>
      </c>
    </row>
    <row r="77" spans="1:25">
      <c r="A77">
        <f>IF(B77&lt;6,"BS",IF(B77=6,"Exp","Rev"))</f>
        <v/>
      </c>
      <c r="B77">
        <f>_xlfn.NUMBERVALUE(LEFT(F77,1))</f>
        <v/>
      </c>
      <c r="C77">
        <f>Left(F77,2)</f>
        <v/>
      </c>
      <c r="D77">
        <f>Left(F77,3)</f>
        <v/>
      </c>
      <c r="E77">
        <f>IF(F77="121",Left(F77,3)&amp;"0",Left(F77,4))</f>
        <v/>
      </c>
      <c r="F77" t="n">
        <v>34800010</v>
      </c>
      <c r="G77" t="s">
        <v>100</v>
      </c>
      <c r="H77" s="9" t="n">
        <v>-604.04</v>
      </c>
      <c r="I77" s="9" t="n">
        <v>0</v>
      </c>
      <c r="J77" s="9" t="n">
        <v>-133.7</v>
      </c>
      <c r="K77" s="9" t="n">
        <v>-470.34</v>
      </c>
      <c r="L77" s="9">
        <f>K77-H77</f>
        <v/>
      </c>
      <c r="M77" s="32">
        <f>IFERROR(L77/H77," ")</f>
        <v/>
      </c>
      <c r="N77">
        <f>IF(A77="BS",IFERROR(VLOOKUP(TRIM($E77),'BS Mapping std'!$A:$D,4,0),VLOOKUP(TRIM($D77),'BS Mapping std'!$A:$D,4,0)),IFERROR(VLOOKUP(TRIM($E77),'PL mapping Std'!$A:$D,4,0),VLOOKUP(TRIM($D77),'PL mapping Std'!$A:$D,4,0)))</f>
        <v/>
      </c>
      <c r="O77">
        <f>_xlfn.IFERROR(VLOOKUP(E77,'F30 mapping'!A:C,3,0),VLOOKUP(D77,'F30 mapping'!A:C,3,0))</f>
        <v/>
      </c>
      <c r="P77">
        <f>_xlfn.IFERROR(IFERROR(VLOOKUP(E77,'F40 mapping'!A:C,3,0),VLOOKUP(D77,'F40 mapping'!A:C,3,0)),0)</f>
        <v/>
      </c>
      <c r="Q77">
        <f>_xlfn.IFERROR(IFERROR(VLOOKUP(E77,'F40 mapping'!A:D,4,0),VLOOKUP(D77,'F40 mapping'!A:D,4,0)),0)</f>
        <v/>
      </c>
      <c r="R77">
        <f>_xlfn.IFERROR(IFERROR(VLOOKUP(E77,'F40 mapping'!A:E,5,0),VLOOKUP(D77,'F40 mapping'!A:E,5,0)),0)</f>
        <v/>
      </c>
      <c r="S77">
        <f>_xlfn.IF(B77&lt;6,IFERROR(VLOOKUP(E77,'BS Mapping std'!A:E,5,0),VLOOKUP(D77,'BS Mapping std'!A:E,5,0)),IFERROR(VLOOKUP(E77,'PL mapping Std'!A:F,6,0),VLOOKUP(D77,'PL mapping Std'!A:F,6,0)))</f>
        <v/>
      </c>
      <c r="T77">
        <f>_xlfn.IF(B77&lt;6,IFERROR(VLOOKUP(E77,'BS Mapping std'!A:F,6,0),VLOOKUP(D77,'BS Mapping std'!A:F,6,0)),IFERROR(VLOOKUP(E77,'PL mapping Std'!A:G,7,0),VLOOKUP(D77,'PL mapping Std'!A:G,7,0)))</f>
        <v/>
      </c>
      <c r="V77">
        <f>IF(IF(A77="BS",IFERROR(VLOOKUP(TRIM($E77),'BS Mapping std'!$A:$H,8,0),VLOOKUP(TRIM($D77),'BS Mapping std'!$A:$H,8,0)),IFERROR(VLOOKUP(TRIM($E77),'PL mapping Std'!$A:$E,5,0),VLOOKUP(TRIM($D77),'PL mapping Std'!$A:$E,5,0)))=0,"",IF(A77="BS",IFERROR(VLOOKUP(TRIM($E77),'BS Mapping std'!$A:$H,8,0),VLOOKUP(TRIM($D77),'BS Mapping std'!$A:$H,8,0)),IFERROR(VLOOKUP(TRIM($E77),'PL mapping Std'!$A:$E,5,0),VLOOKUP(TRIM($D77),'PL mapping Std'!$A:$E,5,0))))</f>
        <v/>
      </c>
      <c r="W77">
        <f>_xlfn.IFERROR(VLOOKUP(E77,'F30 mapping'!A:D,4,0),VLOOKUP(D77,'F30 mapping'!A:D,4,0))</f>
        <v/>
      </c>
      <c r="X77">
        <f>IF(B77&lt;6,IFERROR(VLOOKUP(E77,'BS Mapping std'!A:M,13,0),VLOOKUP(D77,'BS Mapping std'!A:M,13,0)),0)</f>
        <v/>
      </c>
      <c r="Y77">
        <f>IF(B77&lt;6,IFERROR(VLOOKUP(E77,'BS Mapping std'!A:N,14,0),VLOOKUP(D77,'BS Mapping std'!A:N,14,0)),0)</f>
        <v/>
      </c>
    </row>
    <row r="78" spans="1:25">
      <c r="A78">
        <f>IF(B78&lt;6,"BS",IF(B78=6,"Exp","Rev"))</f>
        <v/>
      </c>
      <c r="B78">
        <f>_xlfn.NUMBERVALUE(LEFT(F78,1))</f>
        <v/>
      </c>
      <c r="C78">
        <f>Left(F78,2)</f>
        <v/>
      </c>
      <c r="D78">
        <f>Left(F78,3)</f>
        <v/>
      </c>
      <c r="E78">
        <f>IF(F78="121",Left(F78,3)&amp;"0",Left(F78,4))</f>
        <v/>
      </c>
      <c r="F78" t="n">
        <v>35100010</v>
      </c>
      <c r="G78" t="s">
        <v>101</v>
      </c>
      <c r="H78" s="9" t="n">
        <v>3888795.96</v>
      </c>
      <c r="I78" s="9" t="n">
        <v>-612349.36</v>
      </c>
      <c r="J78" s="9" t="n">
        <v>709018.75</v>
      </c>
      <c r="K78" s="9" t="n">
        <v>2567427.85</v>
      </c>
      <c r="L78" s="9">
        <f>K78-H78</f>
        <v/>
      </c>
      <c r="M78" s="32">
        <f>IFERROR(L78/H78," ")</f>
        <v/>
      </c>
      <c r="N78">
        <f>IF(A78="BS",IFERROR(VLOOKUP(TRIM($E78),'BS Mapping std'!$A:$D,4,0),VLOOKUP(TRIM($D78),'BS Mapping std'!$A:$D,4,0)),IFERROR(VLOOKUP(TRIM($E78),'PL mapping Std'!$A:$D,4,0),VLOOKUP(TRIM($D78),'PL mapping Std'!$A:$D,4,0)))</f>
        <v/>
      </c>
      <c r="O78">
        <f>_xlfn.IFERROR(VLOOKUP(E78,'F30 mapping'!A:C,3,0),VLOOKUP(D78,'F30 mapping'!A:C,3,0))</f>
        <v/>
      </c>
      <c r="P78">
        <f>_xlfn.IFERROR(IFERROR(VLOOKUP(E78,'F40 mapping'!A:C,3,0),VLOOKUP(D78,'F40 mapping'!A:C,3,0)),0)</f>
        <v/>
      </c>
      <c r="Q78">
        <f>_xlfn.IFERROR(IFERROR(VLOOKUP(E78,'F40 mapping'!A:D,4,0),VLOOKUP(D78,'F40 mapping'!A:D,4,0)),0)</f>
        <v/>
      </c>
      <c r="R78">
        <f>_xlfn.IFERROR(IFERROR(VLOOKUP(E78,'F40 mapping'!A:E,5,0),VLOOKUP(D78,'F40 mapping'!A:E,5,0)),0)</f>
        <v/>
      </c>
      <c r="S78">
        <f>_xlfn.IF(B78&lt;6,IFERROR(VLOOKUP(E78,'BS Mapping std'!A:E,5,0),VLOOKUP(D78,'BS Mapping std'!A:E,5,0)),IFERROR(VLOOKUP(E78,'PL mapping Std'!A:F,6,0),VLOOKUP(D78,'PL mapping Std'!A:F,6,0)))</f>
        <v/>
      </c>
      <c r="T78">
        <f>_xlfn.IF(B78&lt;6,IFERROR(VLOOKUP(E78,'BS Mapping std'!A:F,6,0),VLOOKUP(D78,'BS Mapping std'!A:F,6,0)),IFERROR(VLOOKUP(E78,'PL mapping Std'!A:G,7,0),VLOOKUP(D78,'PL mapping Std'!A:G,7,0)))</f>
        <v/>
      </c>
      <c r="V78">
        <f>IF(IF(A78="BS",IFERROR(VLOOKUP(TRIM($E78),'BS Mapping std'!$A:$H,8,0),VLOOKUP(TRIM($D78),'BS Mapping std'!$A:$H,8,0)),IFERROR(VLOOKUP(TRIM($E78),'PL mapping Std'!$A:$E,5,0),VLOOKUP(TRIM($D78),'PL mapping Std'!$A:$E,5,0)))=0,"",IF(A78="BS",IFERROR(VLOOKUP(TRIM($E78),'BS Mapping std'!$A:$H,8,0),VLOOKUP(TRIM($D78),'BS Mapping std'!$A:$H,8,0)),IFERROR(VLOOKUP(TRIM($E78),'PL mapping Std'!$A:$E,5,0),VLOOKUP(TRIM($D78),'PL mapping Std'!$A:$E,5,0))))</f>
        <v/>
      </c>
      <c r="W78">
        <f>_xlfn.IFERROR(VLOOKUP(E78,'F30 mapping'!A:D,4,0),VLOOKUP(D78,'F30 mapping'!A:D,4,0))</f>
        <v/>
      </c>
      <c r="X78">
        <f>IF(B78&lt;6,IFERROR(VLOOKUP(E78,'BS Mapping std'!A:M,13,0),VLOOKUP(D78,'BS Mapping std'!A:M,13,0)),0)</f>
        <v/>
      </c>
      <c r="Y78">
        <f>IF(B78&lt;6,IFERROR(VLOOKUP(E78,'BS Mapping std'!A:N,14,0),VLOOKUP(D78,'BS Mapping std'!A:N,14,0)),0)</f>
        <v/>
      </c>
    </row>
    <row r="79" spans="1:25">
      <c r="A79">
        <f>IF(B79&lt;6,"BS",IF(B79=6,"Exp","Rev"))</f>
        <v/>
      </c>
      <c r="B79">
        <f>_xlfn.NUMBERVALUE(LEFT(F79,1))</f>
        <v/>
      </c>
      <c r="C79">
        <f>Left(F79,2)</f>
        <v/>
      </c>
      <c r="D79">
        <f>Left(F79,3)</f>
        <v/>
      </c>
      <c r="E79">
        <f>IF(F79="121",Left(F79,3)&amp;"0",Left(F79,4))</f>
        <v/>
      </c>
      <c r="F79" t="n">
        <v>35100020</v>
      </c>
      <c r="G79" t="s">
        <v>102</v>
      </c>
      <c r="H79" s="9" t="n">
        <v>1512199.11</v>
      </c>
      <c r="I79" s="9" t="n">
        <v>-1508510.13</v>
      </c>
      <c r="J79" s="9" t="n">
        <v>0</v>
      </c>
      <c r="K79" s="9" t="n">
        <v>3688.98</v>
      </c>
      <c r="L79" s="9">
        <f>K79-H79</f>
        <v/>
      </c>
      <c r="M79" s="32">
        <f>IFERROR(L79/H79," ")</f>
        <v/>
      </c>
      <c r="N79">
        <f>IF(A79="BS",IFERROR(VLOOKUP(TRIM($E79),'BS Mapping std'!$A:$D,4,0),VLOOKUP(TRIM($D79),'BS Mapping std'!$A:$D,4,0)),IFERROR(VLOOKUP(TRIM($E79),'PL mapping Std'!$A:$D,4,0),VLOOKUP(TRIM($D79),'PL mapping Std'!$A:$D,4,0)))</f>
        <v/>
      </c>
      <c r="O79">
        <f>_xlfn.IFERROR(VLOOKUP(E79,'F30 mapping'!A:C,3,0),VLOOKUP(D79,'F30 mapping'!A:C,3,0))</f>
        <v/>
      </c>
      <c r="P79">
        <f>_xlfn.IFERROR(IFERROR(VLOOKUP(E79,'F40 mapping'!A:C,3,0),VLOOKUP(D79,'F40 mapping'!A:C,3,0)),0)</f>
        <v/>
      </c>
      <c r="Q79">
        <f>_xlfn.IFERROR(IFERROR(VLOOKUP(E79,'F40 mapping'!A:D,4,0),VLOOKUP(D79,'F40 mapping'!A:D,4,0)),0)</f>
        <v/>
      </c>
      <c r="R79">
        <f>_xlfn.IFERROR(IFERROR(VLOOKUP(E79,'F40 mapping'!A:E,5,0),VLOOKUP(D79,'F40 mapping'!A:E,5,0)),0)</f>
        <v/>
      </c>
      <c r="S79">
        <f>_xlfn.IF(B79&lt;6,IFERROR(VLOOKUP(E79,'BS Mapping std'!A:E,5,0),VLOOKUP(D79,'BS Mapping std'!A:E,5,0)),IFERROR(VLOOKUP(E79,'PL mapping Std'!A:F,6,0),VLOOKUP(D79,'PL mapping Std'!A:F,6,0)))</f>
        <v/>
      </c>
      <c r="T79">
        <f>_xlfn.IF(B79&lt;6,IFERROR(VLOOKUP(E79,'BS Mapping std'!A:F,6,0),VLOOKUP(D79,'BS Mapping std'!A:F,6,0)),IFERROR(VLOOKUP(E79,'PL mapping Std'!A:G,7,0),VLOOKUP(D79,'PL mapping Std'!A:G,7,0)))</f>
        <v/>
      </c>
      <c r="V79">
        <f>IF(IF(A79="BS",IFERROR(VLOOKUP(TRIM($E79),'BS Mapping std'!$A:$H,8,0),VLOOKUP(TRIM($D79),'BS Mapping std'!$A:$H,8,0)),IFERROR(VLOOKUP(TRIM($E79),'PL mapping Std'!$A:$E,5,0),VLOOKUP(TRIM($D79),'PL mapping Std'!$A:$E,5,0)))=0,"",IF(A79="BS",IFERROR(VLOOKUP(TRIM($E79),'BS Mapping std'!$A:$H,8,0),VLOOKUP(TRIM($D79),'BS Mapping std'!$A:$H,8,0)),IFERROR(VLOOKUP(TRIM($E79),'PL mapping Std'!$A:$E,5,0),VLOOKUP(TRIM($D79),'PL mapping Std'!$A:$E,5,0))))</f>
        <v/>
      </c>
      <c r="W79">
        <f>_xlfn.IFERROR(VLOOKUP(E79,'F30 mapping'!A:D,4,0),VLOOKUP(D79,'F30 mapping'!A:D,4,0))</f>
        <v/>
      </c>
      <c r="X79">
        <f>IF(B79&lt;6,IFERROR(VLOOKUP(E79,'BS Mapping std'!A:M,13,0),VLOOKUP(D79,'BS Mapping std'!A:M,13,0)),0)</f>
        <v/>
      </c>
      <c r="Y79">
        <f>IF(B79&lt;6,IFERROR(VLOOKUP(E79,'BS Mapping std'!A:N,14,0),VLOOKUP(D79,'BS Mapping std'!A:N,14,0)),0)</f>
        <v/>
      </c>
    </row>
    <row r="80" spans="1:25">
      <c r="A80">
        <f>IF(B80&lt;6,"BS",IF(B80=6,"Exp","Rev"))</f>
        <v/>
      </c>
      <c r="B80">
        <f>_xlfn.NUMBERVALUE(LEFT(F80,1))</f>
        <v/>
      </c>
      <c r="C80">
        <f>Left(F80,2)</f>
        <v/>
      </c>
      <c r="D80">
        <f>Left(F80,3)</f>
        <v/>
      </c>
      <c r="E80">
        <f>IF(F80="121",Left(F80,3)&amp;"0",Left(F80,4))</f>
        <v/>
      </c>
      <c r="F80" t="n">
        <v>35100030</v>
      </c>
      <c r="G80" t="s">
        <v>103</v>
      </c>
      <c r="H80" s="9" t="n">
        <v>330.12</v>
      </c>
      <c r="I80" s="9" t="n">
        <v>320.8</v>
      </c>
      <c r="J80" s="9" t="n">
        <v>330.12</v>
      </c>
      <c r="K80" s="9" t="n">
        <v>320.8</v>
      </c>
      <c r="L80" s="9">
        <f>K80-H80</f>
        <v/>
      </c>
      <c r="M80" s="32">
        <f>IFERROR(L80/H80," ")</f>
        <v/>
      </c>
      <c r="N80">
        <f>IF(A80="BS",IFERROR(VLOOKUP(TRIM($E80),'BS Mapping std'!$A:$D,4,0),VLOOKUP(TRIM($D80),'BS Mapping std'!$A:$D,4,0)),IFERROR(VLOOKUP(TRIM($E80),'PL mapping Std'!$A:$D,4,0),VLOOKUP(TRIM($D80),'PL mapping Std'!$A:$D,4,0)))</f>
        <v/>
      </c>
      <c r="O80">
        <f>_xlfn.IFERROR(VLOOKUP(E80,'F30 mapping'!A:C,3,0),VLOOKUP(D80,'F30 mapping'!A:C,3,0))</f>
        <v/>
      </c>
      <c r="P80">
        <f>_xlfn.IFERROR(IFERROR(VLOOKUP(E80,'F40 mapping'!A:C,3,0),VLOOKUP(D80,'F40 mapping'!A:C,3,0)),0)</f>
        <v/>
      </c>
      <c r="Q80">
        <f>_xlfn.IFERROR(IFERROR(VLOOKUP(E80,'F40 mapping'!A:D,4,0),VLOOKUP(D80,'F40 mapping'!A:D,4,0)),0)</f>
        <v/>
      </c>
      <c r="R80">
        <f>_xlfn.IFERROR(IFERROR(VLOOKUP(E80,'F40 mapping'!A:E,5,0),VLOOKUP(D80,'F40 mapping'!A:E,5,0)),0)</f>
        <v/>
      </c>
      <c r="S80">
        <f>_xlfn.IF(B80&lt;6,IFERROR(VLOOKUP(E80,'BS Mapping std'!A:E,5,0),VLOOKUP(D80,'BS Mapping std'!A:E,5,0)),IFERROR(VLOOKUP(E80,'PL mapping Std'!A:F,6,0),VLOOKUP(D80,'PL mapping Std'!A:F,6,0)))</f>
        <v/>
      </c>
      <c r="T80">
        <f>_xlfn.IF(B80&lt;6,IFERROR(VLOOKUP(E80,'BS Mapping std'!A:F,6,0),VLOOKUP(D80,'BS Mapping std'!A:F,6,0)),IFERROR(VLOOKUP(E80,'PL mapping Std'!A:G,7,0),VLOOKUP(D80,'PL mapping Std'!A:G,7,0)))</f>
        <v/>
      </c>
      <c r="V80">
        <f>IF(IF(A80="BS",IFERROR(VLOOKUP(TRIM($E80),'BS Mapping std'!$A:$H,8,0),VLOOKUP(TRIM($D80),'BS Mapping std'!$A:$H,8,0)),IFERROR(VLOOKUP(TRIM($E80),'PL mapping Std'!$A:$E,5,0),VLOOKUP(TRIM($D80),'PL mapping Std'!$A:$E,5,0)))=0,"",IF(A80="BS",IFERROR(VLOOKUP(TRIM($E80),'BS Mapping std'!$A:$H,8,0),VLOOKUP(TRIM($D80),'BS Mapping std'!$A:$H,8,0)),IFERROR(VLOOKUP(TRIM($E80),'PL mapping Std'!$A:$E,5,0),VLOOKUP(TRIM($D80),'PL mapping Std'!$A:$E,5,0))))</f>
        <v/>
      </c>
      <c r="W80">
        <f>_xlfn.IFERROR(VLOOKUP(E80,'F30 mapping'!A:D,4,0),VLOOKUP(D80,'F30 mapping'!A:D,4,0))</f>
        <v/>
      </c>
      <c r="X80">
        <f>IF(B80&lt;6,IFERROR(VLOOKUP(E80,'BS Mapping std'!A:M,13,0),VLOOKUP(D80,'BS Mapping std'!A:M,13,0)),0)</f>
        <v/>
      </c>
      <c r="Y80">
        <f>IF(B80&lt;6,IFERROR(VLOOKUP(E80,'BS Mapping std'!A:N,14,0),VLOOKUP(D80,'BS Mapping std'!A:N,14,0)),0)</f>
        <v/>
      </c>
    </row>
    <row r="81" spans="1:25">
      <c r="A81">
        <f>IF(B81&lt;6,"BS",IF(B81=6,"Exp","Rev"))</f>
        <v/>
      </c>
      <c r="B81">
        <f>_xlfn.NUMBERVALUE(LEFT(F81,1))</f>
        <v/>
      </c>
      <c r="C81">
        <f>Left(F81,2)</f>
        <v/>
      </c>
      <c r="D81">
        <f>Left(F81,3)</f>
        <v/>
      </c>
      <c r="E81">
        <f>IF(F81="121",Left(F81,3)&amp;"0",Left(F81,4))</f>
        <v/>
      </c>
      <c r="F81" t="n">
        <v>35700010</v>
      </c>
      <c r="G81" t="s">
        <v>104</v>
      </c>
      <c r="H81" s="9" t="n">
        <v>0</v>
      </c>
      <c r="I81" s="9" t="n">
        <v>598608.1800000001</v>
      </c>
      <c r="J81" s="9" t="n">
        <v>0</v>
      </c>
      <c r="K81" s="9" t="n">
        <v>598608.1800000001</v>
      </c>
      <c r="L81" s="9">
        <f>K81-H81</f>
        <v/>
      </c>
      <c r="M81" s="32">
        <f>IFERROR(L81/H81," ")</f>
        <v/>
      </c>
      <c r="N81">
        <f>IF(A81="BS",IFERROR(VLOOKUP(TRIM($E81),'BS Mapping std'!$A:$D,4,0),VLOOKUP(TRIM($D81),'BS Mapping std'!$A:$D,4,0)),IFERROR(VLOOKUP(TRIM($E81),'PL mapping Std'!$A:$D,4,0),VLOOKUP(TRIM($D81),'PL mapping Std'!$A:$D,4,0)))</f>
        <v/>
      </c>
      <c r="O81">
        <f>_xlfn.IFERROR(VLOOKUP(E81,'F30 mapping'!A:C,3,0),VLOOKUP(D81,'F30 mapping'!A:C,3,0))</f>
        <v/>
      </c>
      <c r="P81">
        <f>_xlfn.IFERROR(IFERROR(VLOOKUP(E81,'F40 mapping'!A:C,3,0),VLOOKUP(D81,'F40 mapping'!A:C,3,0)),0)</f>
        <v/>
      </c>
      <c r="Q81">
        <f>_xlfn.IFERROR(IFERROR(VLOOKUP(E81,'F40 mapping'!A:D,4,0),VLOOKUP(D81,'F40 mapping'!A:D,4,0)),0)</f>
        <v/>
      </c>
      <c r="R81">
        <f>_xlfn.IFERROR(IFERROR(VLOOKUP(E81,'F40 mapping'!A:E,5,0),VLOOKUP(D81,'F40 mapping'!A:E,5,0)),0)</f>
        <v/>
      </c>
      <c r="S81">
        <f>_xlfn.IF(B81&lt;6,IFERROR(VLOOKUP(E81,'BS Mapping std'!A:E,5,0),VLOOKUP(D81,'BS Mapping std'!A:E,5,0)),IFERROR(VLOOKUP(E81,'PL mapping Std'!A:F,6,0),VLOOKUP(D81,'PL mapping Std'!A:F,6,0)))</f>
        <v/>
      </c>
      <c r="T81">
        <f>_xlfn.IF(B81&lt;6,IFERROR(VLOOKUP(E81,'BS Mapping std'!A:F,6,0),VLOOKUP(D81,'BS Mapping std'!A:F,6,0)),IFERROR(VLOOKUP(E81,'PL mapping Std'!A:G,7,0),VLOOKUP(D81,'PL mapping Std'!A:G,7,0)))</f>
        <v/>
      </c>
      <c r="V81">
        <f>IF(IF(A81="BS",IFERROR(VLOOKUP(TRIM($E81),'BS Mapping std'!$A:$H,8,0),VLOOKUP(TRIM($D81),'BS Mapping std'!$A:$H,8,0)),IFERROR(VLOOKUP(TRIM($E81),'PL mapping Std'!$A:$E,5,0),VLOOKUP(TRIM($D81),'PL mapping Std'!$A:$E,5,0)))=0,"",IF(A81="BS",IFERROR(VLOOKUP(TRIM($E81),'BS Mapping std'!$A:$H,8,0),VLOOKUP(TRIM($D81),'BS Mapping std'!$A:$H,8,0)),IFERROR(VLOOKUP(TRIM($E81),'PL mapping Std'!$A:$E,5,0),VLOOKUP(TRIM($D81),'PL mapping Std'!$A:$E,5,0))))</f>
        <v/>
      </c>
      <c r="W81">
        <f>_xlfn.IFERROR(VLOOKUP(E81,'F30 mapping'!A:D,4,0),VLOOKUP(D81,'F30 mapping'!A:D,4,0))</f>
        <v/>
      </c>
      <c r="X81">
        <f>IF(B81&lt;6,IFERROR(VLOOKUP(E81,'BS Mapping std'!A:M,13,0),VLOOKUP(D81,'BS Mapping std'!A:M,13,0)),0)</f>
        <v/>
      </c>
      <c r="Y81">
        <f>IF(B81&lt;6,IFERROR(VLOOKUP(E81,'BS Mapping std'!A:N,14,0),VLOOKUP(D81,'BS Mapping std'!A:N,14,0)),0)</f>
        <v/>
      </c>
    </row>
    <row r="82" spans="1:25">
      <c r="A82">
        <f>IF(B82&lt;6,"BS",IF(B82=6,"Exp","Rev"))</f>
        <v/>
      </c>
      <c r="B82">
        <f>_xlfn.NUMBERVALUE(LEFT(F82,1))</f>
        <v/>
      </c>
      <c r="C82">
        <f>Left(F82,2)</f>
        <v/>
      </c>
      <c r="D82">
        <f>Left(F82,3)</f>
        <v/>
      </c>
      <c r="E82">
        <f>IF(F82="121",Left(F82,3)&amp;"0",Left(F82,4))</f>
        <v/>
      </c>
      <c r="F82" t="n">
        <v>35700020</v>
      </c>
      <c r="G82" t="s">
        <v>105</v>
      </c>
      <c r="H82" s="9" t="n">
        <v>0</v>
      </c>
      <c r="I82" s="9" t="n">
        <v>158.6</v>
      </c>
      <c r="J82" s="9" t="n">
        <v>158.6</v>
      </c>
      <c r="K82" s="9" t="n">
        <v>0</v>
      </c>
      <c r="L82" s="9">
        <f>K82-H82</f>
        <v/>
      </c>
      <c r="M82" s="32">
        <f>IFERROR(L82/H82," ")</f>
        <v/>
      </c>
      <c r="N82">
        <f>IF(A82="BS",IFERROR(VLOOKUP(TRIM($E82),'BS Mapping std'!$A:$D,4,0),VLOOKUP(TRIM($D82),'BS Mapping std'!$A:$D,4,0)),IFERROR(VLOOKUP(TRIM($E82),'PL mapping Std'!$A:$D,4,0),VLOOKUP(TRIM($D82),'PL mapping Std'!$A:$D,4,0)))</f>
        <v/>
      </c>
      <c r="O82">
        <f>_xlfn.IFERROR(VLOOKUP(E82,'F30 mapping'!A:C,3,0),VLOOKUP(D82,'F30 mapping'!A:C,3,0))</f>
        <v/>
      </c>
      <c r="P82">
        <f>_xlfn.IFERROR(IFERROR(VLOOKUP(E82,'F40 mapping'!A:C,3,0),VLOOKUP(D82,'F40 mapping'!A:C,3,0)),0)</f>
        <v/>
      </c>
      <c r="Q82">
        <f>_xlfn.IFERROR(IFERROR(VLOOKUP(E82,'F40 mapping'!A:D,4,0),VLOOKUP(D82,'F40 mapping'!A:D,4,0)),0)</f>
        <v/>
      </c>
      <c r="R82">
        <f>_xlfn.IFERROR(IFERROR(VLOOKUP(E82,'F40 mapping'!A:E,5,0),VLOOKUP(D82,'F40 mapping'!A:E,5,0)),0)</f>
        <v/>
      </c>
      <c r="S82">
        <f>_xlfn.IF(B82&lt;6,IFERROR(VLOOKUP(E82,'BS Mapping std'!A:E,5,0),VLOOKUP(D82,'BS Mapping std'!A:E,5,0)),IFERROR(VLOOKUP(E82,'PL mapping Std'!A:F,6,0),VLOOKUP(D82,'PL mapping Std'!A:F,6,0)))</f>
        <v/>
      </c>
      <c r="T82">
        <f>_xlfn.IF(B82&lt;6,IFERROR(VLOOKUP(E82,'BS Mapping std'!A:F,6,0),VLOOKUP(D82,'BS Mapping std'!A:F,6,0)),IFERROR(VLOOKUP(E82,'PL mapping Std'!A:G,7,0),VLOOKUP(D82,'PL mapping Std'!A:G,7,0)))</f>
        <v/>
      </c>
      <c r="V82">
        <f>IF(IF(A82="BS",IFERROR(VLOOKUP(TRIM($E82),'BS Mapping std'!$A:$H,8,0),VLOOKUP(TRIM($D82),'BS Mapping std'!$A:$H,8,0)),IFERROR(VLOOKUP(TRIM($E82),'PL mapping Std'!$A:$E,5,0),VLOOKUP(TRIM($D82),'PL mapping Std'!$A:$E,5,0)))=0,"",IF(A82="BS",IFERROR(VLOOKUP(TRIM($E82),'BS Mapping std'!$A:$H,8,0),VLOOKUP(TRIM($D82),'BS Mapping std'!$A:$H,8,0)),IFERROR(VLOOKUP(TRIM($E82),'PL mapping Std'!$A:$E,5,0),VLOOKUP(TRIM($D82),'PL mapping Std'!$A:$E,5,0))))</f>
        <v/>
      </c>
      <c r="W82">
        <f>_xlfn.IFERROR(VLOOKUP(E82,'F30 mapping'!A:D,4,0),VLOOKUP(D82,'F30 mapping'!A:D,4,0))</f>
        <v/>
      </c>
      <c r="X82">
        <f>IF(B82&lt;6,IFERROR(VLOOKUP(E82,'BS Mapping std'!A:M,13,0),VLOOKUP(D82,'BS Mapping std'!A:M,13,0)),0)</f>
        <v/>
      </c>
      <c r="Y82">
        <f>IF(B82&lt;6,IFERROR(VLOOKUP(E82,'BS Mapping std'!A:N,14,0),VLOOKUP(D82,'BS Mapping std'!A:N,14,0)),0)</f>
        <v/>
      </c>
    </row>
    <row r="83" spans="1:25">
      <c r="A83">
        <f>IF(B83&lt;6,"BS",IF(B83=6,"Exp","Rev"))</f>
        <v/>
      </c>
      <c r="B83">
        <f>_xlfn.NUMBERVALUE(LEFT(F83,1))</f>
        <v/>
      </c>
      <c r="C83">
        <f>Left(F83,2)</f>
        <v/>
      </c>
      <c r="D83">
        <f>Left(F83,3)</f>
        <v/>
      </c>
      <c r="E83">
        <f>IF(F83="121",Left(F83,3)&amp;"0",Left(F83,4))</f>
        <v/>
      </c>
      <c r="F83" t="n">
        <v>37100000</v>
      </c>
      <c r="G83" t="s">
        <v>106</v>
      </c>
      <c r="H83" s="9" t="n">
        <v>2332295.11</v>
      </c>
      <c r="I83" s="9" t="n">
        <v>18992743.2</v>
      </c>
      <c r="J83" s="9" t="n">
        <v>18715024.53</v>
      </c>
      <c r="K83" s="9" t="n">
        <v>2610013.78</v>
      </c>
      <c r="L83" s="9">
        <f>K83-H83</f>
        <v/>
      </c>
      <c r="M83" s="32">
        <f>IFERROR(L83/H83," ")</f>
        <v/>
      </c>
      <c r="N83">
        <f>IF(A83="BS",IFERROR(VLOOKUP(TRIM($E83),'BS Mapping std'!$A:$D,4,0),VLOOKUP(TRIM($D83),'BS Mapping std'!$A:$D,4,0)),IFERROR(VLOOKUP(TRIM($E83),'PL mapping Std'!$A:$D,4,0),VLOOKUP(TRIM($D83),'PL mapping Std'!$A:$D,4,0)))</f>
        <v/>
      </c>
      <c r="O83">
        <f>_xlfn.IFERROR(VLOOKUP(E83,'F30 mapping'!A:C,3,0),VLOOKUP(D83,'F30 mapping'!A:C,3,0))</f>
        <v/>
      </c>
      <c r="P83">
        <f>_xlfn.IFERROR(IFERROR(VLOOKUP(E83,'F40 mapping'!A:C,3,0),VLOOKUP(D83,'F40 mapping'!A:C,3,0)),0)</f>
        <v/>
      </c>
      <c r="Q83">
        <f>_xlfn.IFERROR(IFERROR(VLOOKUP(E83,'F40 mapping'!A:D,4,0),VLOOKUP(D83,'F40 mapping'!A:D,4,0)),0)</f>
        <v/>
      </c>
      <c r="R83">
        <f>_xlfn.IFERROR(IFERROR(VLOOKUP(E83,'F40 mapping'!A:E,5,0),VLOOKUP(D83,'F40 mapping'!A:E,5,0)),0)</f>
        <v/>
      </c>
      <c r="S83">
        <f>_xlfn.IF(B83&lt;6,IFERROR(VLOOKUP(E83,'BS Mapping std'!A:E,5,0),VLOOKUP(D83,'BS Mapping std'!A:E,5,0)),IFERROR(VLOOKUP(E83,'PL mapping Std'!A:F,6,0),VLOOKUP(D83,'PL mapping Std'!A:F,6,0)))</f>
        <v/>
      </c>
      <c r="T83">
        <f>_xlfn.IF(B83&lt;6,IFERROR(VLOOKUP(E83,'BS Mapping std'!A:F,6,0),VLOOKUP(D83,'BS Mapping std'!A:F,6,0)),IFERROR(VLOOKUP(E83,'PL mapping Std'!A:G,7,0),VLOOKUP(D83,'PL mapping Std'!A:G,7,0)))</f>
        <v/>
      </c>
      <c r="V83">
        <f>IF(IF(A83="BS",IFERROR(VLOOKUP(TRIM($E83),'BS Mapping std'!$A:$H,8,0),VLOOKUP(TRIM($D83),'BS Mapping std'!$A:$H,8,0)),IFERROR(VLOOKUP(TRIM($E83),'PL mapping Std'!$A:$E,5,0),VLOOKUP(TRIM($D83),'PL mapping Std'!$A:$E,5,0)))=0,"",IF(A83="BS",IFERROR(VLOOKUP(TRIM($E83),'BS Mapping std'!$A:$H,8,0),VLOOKUP(TRIM($D83),'BS Mapping std'!$A:$H,8,0)),IFERROR(VLOOKUP(TRIM($E83),'PL mapping Std'!$A:$E,5,0),VLOOKUP(TRIM($D83),'PL mapping Std'!$A:$E,5,0))))</f>
        <v/>
      </c>
      <c r="W83">
        <f>_xlfn.IFERROR(VLOOKUP(E83,'F30 mapping'!A:D,4,0),VLOOKUP(D83,'F30 mapping'!A:D,4,0))</f>
        <v/>
      </c>
      <c r="X83">
        <f>IF(B83&lt;6,IFERROR(VLOOKUP(E83,'BS Mapping std'!A:M,13,0),VLOOKUP(D83,'BS Mapping std'!A:M,13,0)),0)</f>
        <v/>
      </c>
      <c r="Y83">
        <f>IF(B83&lt;6,IFERROR(VLOOKUP(E83,'BS Mapping std'!A:N,14,0),VLOOKUP(D83,'BS Mapping std'!A:N,14,0)),0)</f>
        <v/>
      </c>
    </row>
    <row r="84" spans="1:25">
      <c r="A84">
        <f>IF(B84&lt;6,"BS",IF(B84=6,"Exp","Rev"))</f>
        <v/>
      </c>
      <c r="B84">
        <f>_xlfn.NUMBERVALUE(LEFT(F84,1))</f>
        <v/>
      </c>
      <c r="C84">
        <f>Left(F84,2)</f>
        <v/>
      </c>
      <c r="D84">
        <f>Left(F84,3)</f>
        <v/>
      </c>
      <c r="E84">
        <f>IF(F84="121",Left(F84,3)&amp;"0",Left(F84,4))</f>
        <v/>
      </c>
      <c r="F84" t="n">
        <v>39100000</v>
      </c>
      <c r="G84" t="s">
        <v>107</v>
      </c>
      <c r="H84" s="9" t="n">
        <v>-50361.27</v>
      </c>
      <c r="I84" s="9" t="n">
        <v>51734.27</v>
      </c>
      <c r="J84" s="9" t="n">
        <v>147244.22</v>
      </c>
      <c r="K84" s="9" t="n">
        <v>-145871.22</v>
      </c>
      <c r="L84" s="9">
        <f>K84-H84</f>
        <v/>
      </c>
      <c r="M84" s="32">
        <f>IFERROR(L84/H84," ")</f>
        <v/>
      </c>
      <c r="N84">
        <f>IF(A84="BS",IFERROR(VLOOKUP(TRIM($E84),'BS Mapping std'!$A:$D,4,0),VLOOKUP(TRIM($D84),'BS Mapping std'!$A:$D,4,0)),IFERROR(VLOOKUP(TRIM($E84),'PL mapping Std'!$A:$D,4,0),VLOOKUP(TRIM($D84),'PL mapping Std'!$A:$D,4,0)))</f>
        <v/>
      </c>
      <c r="O84">
        <f>_xlfn.IFERROR(VLOOKUP(E84,'F30 mapping'!A:C,3,0),VLOOKUP(D84,'F30 mapping'!A:C,3,0))</f>
        <v/>
      </c>
      <c r="P84">
        <f>_xlfn.IFERROR(IFERROR(VLOOKUP(E84,'F40 mapping'!A:C,3,0),VLOOKUP(D84,'F40 mapping'!A:C,3,0)),0)</f>
        <v/>
      </c>
      <c r="Q84">
        <f>_xlfn.IFERROR(IFERROR(VLOOKUP(E84,'F40 mapping'!A:D,4,0),VLOOKUP(D84,'F40 mapping'!A:D,4,0)),0)</f>
        <v/>
      </c>
      <c r="R84">
        <f>_xlfn.IFERROR(IFERROR(VLOOKUP(E84,'F40 mapping'!A:E,5,0),VLOOKUP(D84,'F40 mapping'!A:E,5,0)),0)</f>
        <v/>
      </c>
      <c r="S84">
        <f>_xlfn.IF(B84&lt;6,IFERROR(VLOOKUP(E84,'BS Mapping std'!A:E,5,0),VLOOKUP(D84,'BS Mapping std'!A:E,5,0)),IFERROR(VLOOKUP(E84,'PL mapping Std'!A:F,6,0),VLOOKUP(D84,'PL mapping Std'!A:F,6,0)))</f>
        <v/>
      </c>
      <c r="T84">
        <f>_xlfn.IF(B84&lt;6,IFERROR(VLOOKUP(E84,'BS Mapping std'!A:F,6,0),VLOOKUP(D84,'BS Mapping std'!A:F,6,0)),IFERROR(VLOOKUP(E84,'PL mapping Std'!A:G,7,0),VLOOKUP(D84,'PL mapping Std'!A:G,7,0)))</f>
        <v/>
      </c>
      <c r="V84">
        <f>IF(IF(A84="BS",IFERROR(VLOOKUP(TRIM($E84),'BS Mapping std'!$A:$H,8,0),VLOOKUP(TRIM($D84),'BS Mapping std'!$A:$H,8,0)),IFERROR(VLOOKUP(TRIM($E84),'PL mapping Std'!$A:$E,5,0),VLOOKUP(TRIM($D84),'PL mapping Std'!$A:$E,5,0)))=0,"",IF(A84="BS",IFERROR(VLOOKUP(TRIM($E84),'BS Mapping std'!$A:$H,8,0),VLOOKUP(TRIM($D84),'BS Mapping std'!$A:$H,8,0)),IFERROR(VLOOKUP(TRIM($E84),'PL mapping Std'!$A:$E,5,0),VLOOKUP(TRIM($D84),'PL mapping Std'!$A:$E,5,0))))</f>
        <v/>
      </c>
      <c r="W84">
        <f>_xlfn.IFERROR(VLOOKUP(E84,'F30 mapping'!A:D,4,0),VLOOKUP(D84,'F30 mapping'!A:D,4,0))</f>
        <v/>
      </c>
      <c r="X84">
        <f>IF(B84&lt;6,IFERROR(VLOOKUP(E84,'BS Mapping std'!A:M,13,0),VLOOKUP(D84,'BS Mapping std'!A:M,13,0)),0)</f>
        <v/>
      </c>
      <c r="Y84">
        <f>IF(B84&lt;6,IFERROR(VLOOKUP(E84,'BS Mapping std'!A:N,14,0),VLOOKUP(D84,'BS Mapping std'!A:N,14,0)),0)</f>
        <v/>
      </c>
    </row>
    <row r="85" spans="1:25">
      <c r="A85">
        <f>IF(B85&lt;6,"BS",IF(B85=6,"Exp","Rev"))</f>
        <v/>
      </c>
      <c r="B85">
        <f>_xlfn.NUMBERVALUE(LEFT(F85,1))</f>
        <v/>
      </c>
      <c r="C85">
        <f>Left(F85,2)</f>
        <v/>
      </c>
      <c r="D85">
        <f>Left(F85,3)</f>
        <v/>
      </c>
      <c r="E85">
        <f>IF(F85="121",Left(F85,3)&amp;"0",Left(F85,4))</f>
        <v/>
      </c>
      <c r="F85" t="n">
        <v>39300000</v>
      </c>
      <c r="G85" t="s">
        <v>108</v>
      </c>
      <c r="H85" s="9" t="n">
        <v>-24088.27</v>
      </c>
      <c r="I85" s="9" t="n">
        <v>82439.14</v>
      </c>
      <c r="J85" s="9" t="n">
        <v>255363.77</v>
      </c>
      <c r="K85" s="9" t="n">
        <v>-197012.9</v>
      </c>
      <c r="L85" s="9">
        <f>K85-H85</f>
        <v/>
      </c>
      <c r="M85" s="32">
        <f>IFERROR(L85/H85," ")</f>
        <v/>
      </c>
      <c r="N85">
        <f>IF(A85="BS",IFERROR(VLOOKUP(TRIM($E85),'BS Mapping std'!$A:$D,4,0),VLOOKUP(TRIM($D85),'BS Mapping std'!$A:$D,4,0)),IFERROR(VLOOKUP(TRIM($E85),'PL mapping Std'!$A:$D,4,0),VLOOKUP(TRIM($D85),'PL mapping Std'!$A:$D,4,0)))</f>
        <v/>
      </c>
      <c r="O85">
        <f>_xlfn.IFERROR(VLOOKUP(E85,'F30 mapping'!A:C,3,0),VLOOKUP(D85,'F30 mapping'!A:C,3,0))</f>
        <v/>
      </c>
      <c r="P85">
        <f>_xlfn.IFERROR(IFERROR(VLOOKUP(E85,'F40 mapping'!A:C,3,0),VLOOKUP(D85,'F40 mapping'!A:C,3,0)),0)</f>
        <v/>
      </c>
      <c r="Q85">
        <f>_xlfn.IFERROR(IFERROR(VLOOKUP(E85,'F40 mapping'!A:D,4,0),VLOOKUP(D85,'F40 mapping'!A:D,4,0)),0)</f>
        <v/>
      </c>
      <c r="R85">
        <f>_xlfn.IFERROR(IFERROR(VLOOKUP(E85,'F40 mapping'!A:E,5,0),VLOOKUP(D85,'F40 mapping'!A:E,5,0)),0)</f>
        <v/>
      </c>
      <c r="S85">
        <f>_xlfn.IF(B85&lt;6,IFERROR(VLOOKUP(E85,'BS Mapping std'!A:E,5,0),VLOOKUP(D85,'BS Mapping std'!A:E,5,0)),IFERROR(VLOOKUP(E85,'PL mapping Std'!A:F,6,0),VLOOKUP(D85,'PL mapping Std'!A:F,6,0)))</f>
        <v/>
      </c>
      <c r="T85">
        <f>_xlfn.IF(B85&lt;6,IFERROR(VLOOKUP(E85,'BS Mapping std'!A:F,6,0),VLOOKUP(D85,'BS Mapping std'!A:F,6,0)),IFERROR(VLOOKUP(E85,'PL mapping Std'!A:G,7,0),VLOOKUP(D85,'PL mapping Std'!A:G,7,0)))</f>
        <v/>
      </c>
      <c r="V85">
        <f>IF(IF(A85="BS",IFERROR(VLOOKUP(TRIM($E85),'BS Mapping std'!$A:$H,8,0),VLOOKUP(TRIM($D85),'BS Mapping std'!$A:$H,8,0)),IFERROR(VLOOKUP(TRIM($E85),'PL mapping Std'!$A:$E,5,0),VLOOKUP(TRIM($D85),'PL mapping Std'!$A:$E,5,0)))=0,"",IF(A85="BS",IFERROR(VLOOKUP(TRIM($E85),'BS Mapping std'!$A:$H,8,0),VLOOKUP(TRIM($D85),'BS Mapping std'!$A:$H,8,0)),IFERROR(VLOOKUP(TRIM($E85),'PL mapping Std'!$A:$E,5,0),VLOOKUP(TRIM($D85),'PL mapping Std'!$A:$E,5,0))))</f>
        <v/>
      </c>
      <c r="W85">
        <f>_xlfn.IFERROR(VLOOKUP(E85,'F30 mapping'!A:D,4,0),VLOOKUP(D85,'F30 mapping'!A:D,4,0))</f>
        <v/>
      </c>
      <c r="X85">
        <f>IF(B85&lt;6,IFERROR(VLOOKUP(E85,'BS Mapping std'!A:M,13,0),VLOOKUP(D85,'BS Mapping std'!A:M,13,0)),0)</f>
        <v/>
      </c>
      <c r="Y85">
        <f>IF(B85&lt;6,IFERROR(VLOOKUP(E85,'BS Mapping std'!A:N,14,0),VLOOKUP(D85,'BS Mapping std'!A:N,14,0)),0)</f>
        <v/>
      </c>
    </row>
    <row r="86" spans="1:25">
      <c r="A86">
        <f>IF(B86&lt;6,"BS",IF(B86=6,"Exp","Rev"))</f>
        <v/>
      </c>
      <c r="B86">
        <f>_xlfn.NUMBERVALUE(LEFT(F86,1))</f>
        <v/>
      </c>
      <c r="C86">
        <f>Left(F86,2)</f>
        <v/>
      </c>
      <c r="D86">
        <f>Left(F86,3)</f>
        <v/>
      </c>
      <c r="E86">
        <f>IF(F86="121",Left(F86,3)&amp;"0",Left(F86,4))</f>
        <v/>
      </c>
      <c r="F86" t="n">
        <v>39450000</v>
      </c>
      <c r="G86" t="s">
        <v>109</v>
      </c>
      <c r="H86" s="9" t="n">
        <v>-2918.16</v>
      </c>
      <c r="I86" s="9" t="n">
        <v>291239.74</v>
      </c>
      <c r="J86" s="9" t="n">
        <v>290041.48</v>
      </c>
      <c r="K86" s="9" t="n">
        <v>-1719.9</v>
      </c>
      <c r="L86" s="9">
        <f>K86-H86</f>
        <v/>
      </c>
      <c r="M86" s="32">
        <f>IFERROR(L86/H86," ")</f>
        <v/>
      </c>
      <c r="N86">
        <f>IF(A86="BS",IFERROR(VLOOKUP(TRIM($E86),'BS Mapping std'!$A:$D,4,0),VLOOKUP(TRIM($D86),'BS Mapping std'!$A:$D,4,0)),IFERROR(VLOOKUP(TRIM($E86),'PL mapping Std'!$A:$D,4,0),VLOOKUP(TRIM($D86),'PL mapping Std'!$A:$D,4,0)))</f>
        <v/>
      </c>
      <c r="O86">
        <f>_xlfn.IFERROR(VLOOKUP(E86,'F30 mapping'!A:C,3,0),VLOOKUP(D86,'F30 mapping'!A:C,3,0))</f>
        <v/>
      </c>
      <c r="P86">
        <f>_xlfn.IFERROR(IFERROR(VLOOKUP(E86,'F40 mapping'!A:C,3,0),VLOOKUP(D86,'F40 mapping'!A:C,3,0)),0)</f>
        <v/>
      </c>
      <c r="Q86">
        <f>_xlfn.IFERROR(IFERROR(VLOOKUP(E86,'F40 mapping'!A:D,4,0),VLOOKUP(D86,'F40 mapping'!A:D,4,0)),0)</f>
        <v/>
      </c>
      <c r="R86">
        <f>_xlfn.IFERROR(IFERROR(VLOOKUP(E86,'F40 mapping'!A:E,5,0),VLOOKUP(D86,'F40 mapping'!A:E,5,0)),0)</f>
        <v/>
      </c>
      <c r="S86">
        <f>_xlfn.IF(B86&lt;6,IFERROR(VLOOKUP(E86,'BS Mapping std'!A:E,5,0),VLOOKUP(D86,'BS Mapping std'!A:E,5,0)),IFERROR(VLOOKUP(E86,'PL mapping Std'!A:F,6,0),VLOOKUP(D86,'PL mapping Std'!A:F,6,0)))</f>
        <v/>
      </c>
      <c r="T86">
        <f>_xlfn.IF(B86&lt;6,IFERROR(VLOOKUP(E86,'BS Mapping std'!A:F,6,0),VLOOKUP(D86,'BS Mapping std'!A:F,6,0)),IFERROR(VLOOKUP(E86,'PL mapping Std'!A:G,7,0),VLOOKUP(D86,'PL mapping Std'!A:G,7,0)))</f>
        <v/>
      </c>
      <c r="V86">
        <f>IF(IF(A86="BS",IFERROR(VLOOKUP(TRIM($E86),'BS Mapping std'!$A:$H,8,0),VLOOKUP(TRIM($D86),'BS Mapping std'!$A:$H,8,0)),IFERROR(VLOOKUP(TRIM($E86),'PL mapping Std'!$A:$E,5,0),VLOOKUP(TRIM($D86),'PL mapping Std'!$A:$E,5,0)))=0,"",IF(A86="BS",IFERROR(VLOOKUP(TRIM($E86),'BS Mapping std'!$A:$H,8,0),VLOOKUP(TRIM($D86),'BS Mapping std'!$A:$H,8,0)),IFERROR(VLOOKUP(TRIM($E86),'PL mapping Std'!$A:$E,5,0),VLOOKUP(TRIM($D86),'PL mapping Std'!$A:$E,5,0))))</f>
        <v/>
      </c>
      <c r="W86">
        <f>_xlfn.IFERROR(VLOOKUP(E86,'F30 mapping'!A:D,4,0),VLOOKUP(D86,'F30 mapping'!A:D,4,0))</f>
        <v/>
      </c>
      <c r="X86">
        <f>IF(B86&lt;6,IFERROR(VLOOKUP(E86,'BS Mapping std'!A:M,13,0),VLOOKUP(D86,'BS Mapping std'!A:M,13,0)),0)</f>
        <v/>
      </c>
      <c r="Y86">
        <f>IF(B86&lt;6,IFERROR(VLOOKUP(E86,'BS Mapping std'!A:N,14,0),VLOOKUP(D86,'BS Mapping std'!A:N,14,0)),0)</f>
        <v/>
      </c>
    </row>
    <row r="87" spans="1:25">
      <c r="A87">
        <f>IF(B87&lt;6,"BS",IF(B87=6,"Exp","Rev"))</f>
        <v/>
      </c>
      <c r="B87">
        <f>_xlfn.NUMBERVALUE(LEFT(F87,1))</f>
        <v/>
      </c>
      <c r="C87">
        <f>Left(F87,2)</f>
        <v/>
      </c>
      <c r="D87">
        <f>Left(F87,3)</f>
        <v/>
      </c>
      <c r="E87">
        <f>IF(F87="121",Left(F87,3)&amp;"0",Left(F87,4))</f>
        <v/>
      </c>
      <c r="F87" t="n">
        <v>39700010</v>
      </c>
      <c r="G87" t="s">
        <v>110</v>
      </c>
      <c r="H87" s="9" t="n">
        <v>-228463.94</v>
      </c>
      <c r="I87" s="9" t="n">
        <v>139075.8</v>
      </c>
      <c r="J87" s="9" t="n">
        <v>130619.02</v>
      </c>
      <c r="K87" s="9" t="n">
        <v>-220007.16</v>
      </c>
      <c r="L87" s="9">
        <f>K87-H87</f>
        <v/>
      </c>
      <c r="M87" s="32">
        <f>IFERROR(L87/H87," ")</f>
        <v/>
      </c>
      <c r="N87">
        <f>IF(A87="BS",IFERROR(VLOOKUP(TRIM($E87),'BS Mapping std'!$A:$D,4,0),VLOOKUP(TRIM($D87),'BS Mapping std'!$A:$D,4,0)),IFERROR(VLOOKUP(TRIM($E87),'PL mapping Std'!$A:$D,4,0),VLOOKUP(TRIM($D87),'PL mapping Std'!$A:$D,4,0)))</f>
        <v/>
      </c>
      <c r="O87">
        <f>_xlfn.IFERROR(VLOOKUP(E87,'F30 mapping'!A:C,3,0),VLOOKUP(D87,'F30 mapping'!A:C,3,0))</f>
        <v/>
      </c>
      <c r="P87">
        <f>_xlfn.IFERROR(IFERROR(VLOOKUP(E87,'F40 mapping'!A:C,3,0),VLOOKUP(D87,'F40 mapping'!A:C,3,0)),0)</f>
        <v/>
      </c>
      <c r="Q87">
        <f>_xlfn.IFERROR(IFERROR(VLOOKUP(E87,'F40 mapping'!A:D,4,0),VLOOKUP(D87,'F40 mapping'!A:D,4,0)),0)</f>
        <v/>
      </c>
      <c r="R87">
        <f>_xlfn.IFERROR(IFERROR(VLOOKUP(E87,'F40 mapping'!A:E,5,0),VLOOKUP(D87,'F40 mapping'!A:E,5,0)),0)</f>
        <v/>
      </c>
      <c r="S87">
        <f>_xlfn.IF(B87&lt;6,IFERROR(VLOOKUP(E87,'BS Mapping std'!A:E,5,0),VLOOKUP(D87,'BS Mapping std'!A:E,5,0)),IFERROR(VLOOKUP(E87,'PL mapping Std'!A:F,6,0),VLOOKUP(D87,'PL mapping Std'!A:F,6,0)))</f>
        <v/>
      </c>
      <c r="T87">
        <f>_xlfn.IF(B87&lt;6,IFERROR(VLOOKUP(E87,'BS Mapping std'!A:F,6,0),VLOOKUP(D87,'BS Mapping std'!A:F,6,0)),IFERROR(VLOOKUP(E87,'PL mapping Std'!A:G,7,0),VLOOKUP(D87,'PL mapping Std'!A:G,7,0)))</f>
        <v/>
      </c>
      <c r="V87">
        <f>IF(IF(A87="BS",IFERROR(VLOOKUP(TRIM($E87),'BS Mapping std'!$A:$H,8,0),VLOOKUP(TRIM($D87),'BS Mapping std'!$A:$H,8,0)),IFERROR(VLOOKUP(TRIM($E87),'PL mapping Std'!$A:$E,5,0),VLOOKUP(TRIM($D87),'PL mapping Std'!$A:$E,5,0)))=0,"",IF(A87="BS",IFERROR(VLOOKUP(TRIM($E87),'BS Mapping std'!$A:$H,8,0),VLOOKUP(TRIM($D87),'BS Mapping std'!$A:$H,8,0)),IFERROR(VLOOKUP(TRIM($E87),'PL mapping Std'!$A:$E,5,0),VLOOKUP(TRIM($D87),'PL mapping Std'!$A:$E,5,0))))</f>
        <v/>
      </c>
      <c r="W87">
        <f>_xlfn.IFERROR(VLOOKUP(E87,'F30 mapping'!A:D,4,0),VLOOKUP(D87,'F30 mapping'!A:D,4,0))</f>
        <v/>
      </c>
      <c r="X87">
        <f>IF(B87&lt;6,IFERROR(VLOOKUP(E87,'BS Mapping std'!A:M,13,0),VLOOKUP(D87,'BS Mapping std'!A:M,13,0)),0)</f>
        <v/>
      </c>
      <c r="Y87">
        <f>IF(B87&lt;6,IFERROR(VLOOKUP(E87,'BS Mapping std'!A:N,14,0),VLOOKUP(D87,'BS Mapping std'!A:N,14,0)),0)</f>
        <v/>
      </c>
    </row>
    <row r="88" spans="1:25">
      <c r="A88">
        <f>IF(B88&lt;6,"BS",IF(B88=6,"Exp","Rev"))</f>
        <v/>
      </c>
      <c r="B88">
        <f>_xlfn.NUMBERVALUE(LEFT(F88,1))</f>
        <v/>
      </c>
      <c r="C88">
        <f>Left(F88,2)</f>
        <v/>
      </c>
      <c r="D88">
        <f>Left(F88,3)</f>
        <v/>
      </c>
      <c r="E88">
        <f>IF(F88="121",Left(F88,3)&amp;"0",Left(F88,4))</f>
        <v/>
      </c>
      <c r="F88" t="n">
        <v>40100010</v>
      </c>
      <c r="G88" t="s">
        <v>111</v>
      </c>
      <c r="H88" s="9" t="n">
        <v>-1861788.04</v>
      </c>
      <c r="I88" s="9" t="n">
        <v>49496474.06</v>
      </c>
      <c r="J88" s="9" t="n">
        <v>50372177.41</v>
      </c>
      <c r="K88" s="9" t="n">
        <v>-2737491.39</v>
      </c>
      <c r="L88" s="9">
        <f>K88-H88</f>
        <v/>
      </c>
      <c r="M88" s="32">
        <f>IFERROR(L88/H88," ")</f>
        <v/>
      </c>
      <c r="N88">
        <f>IF(A88="BS",IFERROR(VLOOKUP(TRIM($E88),'BS Mapping std'!$A:$D,4,0),VLOOKUP(TRIM($D88),'BS Mapping std'!$A:$D,4,0)),IFERROR(VLOOKUP(TRIM($E88),'PL mapping Std'!$A:$D,4,0),VLOOKUP(TRIM($D88),'PL mapping Std'!$A:$D,4,0)))</f>
        <v/>
      </c>
      <c r="O88">
        <f>_xlfn.IFERROR(VLOOKUP(E88,'F30 mapping'!A:C,3,0),VLOOKUP(D88,'F30 mapping'!A:C,3,0))</f>
        <v/>
      </c>
      <c r="P88">
        <f>_xlfn.IFERROR(IFERROR(VLOOKUP(E88,'F40 mapping'!A:C,3,0),VLOOKUP(D88,'F40 mapping'!A:C,3,0)),0)</f>
        <v/>
      </c>
      <c r="Q88">
        <f>_xlfn.IFERROR(IFERROR(VLOOKUP(E88,'F40 mapping'!A:D,4,0),VLOOKUP(D88,'F40 mapping'!A:D,4,0)),0)</f>
        <v/>
      </c>
      <c r="R88">
        <f>_xlfn.IFERROR(IFERROR(VLOOKUP(E88,'F40 mapping'!A:E,5,0),VLOOKUP(D88,'F40 mapping'!A:E,5,0)),0)</f>
        <v/>
      </c>
      <c r="S88">
        <f>_xlfn.IF(B88&lt;6,IFERROR(VLOOKUP(E88,'BS Mapping std'!A:E,5,0),VLOOKUP(D88,'BS Mapping std'!A:E,5,0)),IFERROR(VLOOKUP(E88,'PL mapping Std'!A:F,6,0),VLOOKUP(D88,'PL mapping Std'!A:F,6,0)))</f>
        <v/>
      </c>
      <c r="T88">
        <f>_xlfn.IF(B88&lt;6,IFERROR(VLOOKUP(E88,'BS Mapping std'!A:F,6,0),VLOOKUP(D88,'BS Mapping std'!A:F,6,0)),IFERROR(VLOOKUP(E88,'PL mapping Std'!A:G,7,0),VLOOKUP(D88,'PL mapping Std'!A:G,7,0)))</f>
        <v/>
      </c>
      <c r="V88">
        <f>IF(IF(A88="BS",IFERROR(VLOOKUP(TRIM($E88),'BS Mapping std'!$A:$H,8,0),VLOOKUP(TRIM($D88),'BS Mapping std'!$A:$H,8,0)),IFERROR(VLOOKUP(TRIM($E88),'PL mapping Std'!$A:$E,5,0),VLOOKUP(TRIM($D88),'PL mapping Std'!$A:$E,5,0)))=0,"",IF(A88="BS",IFERROR(VLOOKUP(TRIM($E88),'BS Mapping std'!$A:$H,8,0),VLOOKUP(TRIM($D88),'BS Mapping std'!$A:$H,8,0)),IFERROR(VLOOKUP(TRIM($E88),'PL mapping Std'!$A:$E,5,0),VLOOKUP(TRIM($D88),'PL mapping Std'!$A:$E,5,0))))</f>
        <v/>
      </c>
      <c r="W88">
        <f>_xlfn.IFERROR(VLOOKUP(E88,'F30 mapping'!A:D,4,0),VLOOKUP(D88,'F30 mapping'!A:D,4,0))</f>
        <v/>
      </c>
      <c r="X88">
        <f>IF(B88&lt;6,IFERROR(VLOOKUP(E88,'BS Mapping std'!A:M,13,0),VLOOKUP(D88,'BS Mapping std'!A:M,13,0)),0)</f>
        <v/>
      </c>
      <c r="Y88">
        <f>IF(B88&lt;6,IFERROR(VLOOKUP(E88,'BS Mapping std'!A:N,14,0),VLOOKUP(D88,'BS Mapping std'!A:N,14,0)),0)</f>
        <v/>
      </c>
    </row>
    <row r="89" spans="1:25">
      <c r="A89">
        <f>IF(B89&lt;6,"BS",IF(B89=6,"Exp","Rev"))</f>
        <v/>
      </c>
      <c r="B89">
        <f>_xlfn.NUMBERVALUE(LEFT(F89,1))</f>
        <v/>
      </c>
      <c r="C89">
        <f>Left(F89,2)</f>
        <v/>
      </c>
      <c r="D89">
        <f>Left(F89,3)</f>
        <v/>
      </c>
      <c r="E89">
        <f>IF(F89="121",Left(F89,3)&amp;"0",Left(F89,4))</f>
        <v/>
      </c>
      <c r="F89" t="n">
        <v>40100100</v>
      </c>
      <c r="G89" t="s">
        <v>112</v>
      </c>
      <c r="H89" s="9" t="n">
        <v>-4318555.97</v>
      </c>
      <c r="I89" s="9" t="n">
        <v>61078439.66</v>
      </c>
      <c r="J89" s="9" t="n">
        <v>62083997.48</v>
      </c>
      <c r="K89" s="9" t="n">
        <v>-5324113.79</v>
      </c>
      <c r="L89" s="9">
        <f>K89-H89</f>
        <v/>
      </c>
      <c r="M89" s="32">
        <f>IFERROR(L89/H89," ")</f>
        <v/>
      </c>
      <c r="N89">
        <f>IF(A89="BS",IFERROR(VLOOKUP(TRIM($E89),'BS Mapping std'!$A:$D,4,0),VLOOKUP(TRIM($D89),'BS Mapping std'!$A:$D,4,0)),IFERROR(VLOOKUP(TRIM($E89),'PL mapping Std'!$A:$D,4,0),VLOOKUP(TRIM($D89),'PL mapping Std'!$A:$D,4,0)))</f>
        <v/>
      </c>
      <c r="O89">
        <f>_xlfn.IFERROR(VLOOKUP(E89,'F30 mapping'!A:C,3,0),VLOOKUP(D89,'F30 mapping'!A:C,3,0))</f>
        <v/>
      </c>
      <c r="P89">
        <f>_xlfn.IFERROR(IFERROR(VLOOKUP(E89,'F40 mapping'!A:C,3,0),VLOOKUP(D89,'F40 mapping'!A:C,3,0)),0)</f>
        <v/>
      </c>
      <c r="Q89">
        <f>_xlfn.IFERROR(IFERROR(VLOOKUP(E89,'F40 mapping'!A:D,4,0),VLOOKUP(D89,'F40 mapping'!A:D,4,0)),0)</f>
        <v/>
      </c>
      <c r="R89">
        <f>_xlfn.IFERROR(IFERROR(VLOOKUP(E89,'F40 mapping'!A:E,5,0),VLOOKUP(D89,'F40 mapping'!A:E,5,0)),0)</f>
        <v/>
      </c>
      <c r="S89">
        <f>_xlfn.IF(B89&lt;6,IFERROR(VLOOKUP(E89,'BS Mapping std'!A:E,5,0),VLOOKUP(D89,'BS Mapping std'!A:E,5,0)),IFERROR(VLOOKUP(E89,'PL mapping Std'!A:F,6,0),VLOOKUP(D89,'PL mapping Std'!A:F,6,0)))</f>
        <v/>
      </c>
      <c r="T89">
        <f>_xlfn.IF(B89&lt;6,IFERROR(VLOOKUP(E89,'BS Mapping std'!A:F,6,0),VLOOKUP(D89,'BS Mapping std'!A:F,6,0)),IFERROR(VLOOKUP(E89,'PL mapping Std'!A:G,7,0),VLOOKUP(D89,'PL mapping Std'!A:G,7,0)))</f>
        <v/>
      </c>
      <c r="V89">
        <f>IF(IF(A89="BS",IFERROR(VLOOKUP(TRIM($E89),'BS Mapping std'!$A:$H,8,0),VLOOKUP(TRIM($D89),'BS Mapping std'!$A:$H,8,0)),IFERROR(VLOOKUP(TRIM($E89),'PL mapping Std'!$A:$E,5,0),VLOOKUP(TRIM($D89),'PL mapping Std'!$A:$E,5,0)))=0,"",IF(A89="BS",IFERROR(VLOOKUP(TRIM($E89),'BS Mapping std'!$A:$H,8,0),VLOOKUP(TRIM($D89),'BS Mapping std'!$A:$H,8,0)),IFERROR(VLOOKUP(TRIM($E89),'PL mapping Std'!$A:$E,5,0),VLOOKUP(TRIM($D89),'PL mapping Std'!$A:$E,5,0))))</f>
        <v/>
      </c>
      <c r="W89">
        <f>_xlfn.IFERROR(VLOOKUP(E89,'F30 mapping'!A:D,4,0),VLOOKUP(D89,'F30 mapping'!A:D,4,0))</f>
        <v/>
      </c>
      <c r="X89">
        <f>IF(B89&lt;6,IFERROR(VLOOKUP(E89,'BS Mapping std'!A:M,13,0),VLOOKUP(D89,'BS Mapping std'!A:M,13,0)),0)</f>
        <v/>
      </c>
      <c r="Y89">
        <f>IF(B89&lt;6,IFERROR(VLOOKUP(E89,'BS Mapping std'!A:N,14,0),VLOOKUP(D89,'BS Mapping std'!A:N,14,0)),0)</f>
        <v/>
      </c>
    </row>
    <row r="90" spans="1:25">
      <c r="A90">
        <f>IF(B90&lt;6,"BS",IF(B90=6,"Exp","Rev"))</f>
        <v/>
      </c>
      <c r="B90">
        <f>_xlfn.NUMBERVALUE(LEFT(F90,1))</f>
        <v/>
      </c>
      <c r="C90">
        <f>Left(F90,2)</f>
        <v/>
      </c>
      <c r="D90">
        <f>Left(F90,3)</f>
        <v/>
      </c>
      <c r="E90">
        <f>IF(F90="121",Left(F90,3)&amp;"0",Left(F90,4))</f>
        <v/>
      </c>
      <c r="F90" t="n">
        <v>40100250</v>
      </c>
      <c r="G90" t="s">
        <v>113</v>
      </c>
      <c r="H90" s="9" t="n">
        <v>0</v>
      </c>
      <c r="I90" s="9" t="n">
        <v>174019.37</v>
      </c>
      <c r="J90" s="9" t="n">
        <v>174019.37</v>
      </c>
      <c r="K90" s="9" t="n">
        <v>0</v>
      </c>
      <c r="L90" s="9">
        <f>K90-H90</f>
        <v/>
      </c>
      <c r="M90" s="32">
        <f>IFERROR(L90/H90," ")</f>
        <v/>
      </c>
      <c r="N90">
        <f>IF(A90="BS",IFERROR(VLOOKUP(TRIM($E90),'BS Mapping std'!$A:$D,4,0),VLOOKUP(TRIM($D90),'BS Mapping std'!$A:$D,4,0)),IFERROR(VLOOKUP(TRIM($E90),'PL mapping Std'!$A:$D,4,0),VLOOKUP(TRIM($D90),'PL mapping Std'!$A:$D,4,0)))</f>
        <v/>
      </c>
      <c r="O90">
        <f>_xlfn.IFERROR(VLOOKUP(E90,'F30 mapping'!A:C,3,0),VLOOKUP(D90,'F30 mapping'!A:C,3,0))</f>
        <v/>
      </c>
      <c r="P90">
        <f>_xlfn.IFERROR(IFERROR(VLOOKUP(E90,'F40 mapping'!A:C,3,0),VLOOKUP(D90,'F40 mapping'!A:C,3,0)),0)</f>
        <v/>
      </c>
      <c r="Q90">
        <f>_xlfn.IFERROR(IFERROR(VLOOKUP(E90,'F40 mapping'!A:D,4,0),VLOOKUP(D90,'F40 mapping'!A:D,4,0)),0)</f>
        <v/>
      </c>
      <c r="R90">
        <f>_xlfn.IFERROR(IFERROR(VLOOKUP(E90,'F40 mapping'!A:E,5,0),VLOOKUP(D90,'F40 mapping'!A:E,5,0)),0)</f>
        <v/>
      </c>
      <c r="S90">
        <f>_xlfn.IF(B90&lt;6,IFERROR(VLOOKUP(E90,'BS Mapping std'!A:E,5,0),VLOOKUP(D90,'BS Mapping std'!A:E,5,0)),IFERROR(VLOOKUP(E90,'PL mapping Std'!A:F,6,0),VLOOKUP(D90,'PL mapping Std'!A:F,6,0)))</f>
        <v/>
      </c>
      <c r="T90">
        <f>_xlfn.IF(B90&lt;6,IFERROR(VLOOKUP(E90,'BS Mapping std'!A:F,6,0),VLOOKUP(D90,'BS Mapping std'!A:F,6,0)),IFERROR(VLOOKUP(E90,'PL mapping Std'!A:G,7,0),VLOOKUP(D90,'PL mapping Std'!A:G,7,0)))</f>
        <v/>
      </c>
      <c r="V90">
        <f>IF(IF(A90="BS",IFERROR(VLOOKUP(TRIM($E90),'BS Mapping std'!$A:$H,8,0),VLOOKUP(TRIM($D90),'BS Mapping std'!$A:$H,8,0)),IFERROR(VLOOKUP(TRIM($E90),'PL mapping Std'!$A:$E,5,0),VLOOKUP(TRIM($D90),'PL mapping Std'!$A:$E,5,0)))=0,"",IF(A90="BS",IFERROR(VLOOKUP(TRIM($E90),'BS Mapping std'!$A:$H,8,0),VLOOKUP(TRIM($D90),'BS Mapping std'!$A:$H,8,0)),IFERROR(VLOOKUP(TRIM($E90),'PL mapping Std'!$A:$E,5,0),VLOOKUP(TRIM($D90),'PL mapping Std'!$A:$E,5,0))))</f>
        <v/>
      </c>
      <c r="W90">
        <f>_xlfn.IFERROR(VLOOKUP(E90,'F30 mapping'!A:D,4,0),VLOOKUP(D90,'F30 mapping'!A:D,4,0))</f>
        <v/>
      </c>
      <c r="X90">
        <f>IF(B90&lt;6,IFERROR(VLOOKUP(E90,'BS Mapping std'!A:M,13,0),VLOOKUP(D90,'BS Mapping std'!A:M,13,0)),0)</f>
        <v/>
      </c>
      <c r="Y90">
        <f>IF(B90&lt;6,IFERROR(VLOOKUP(E90,'BS Mapping std'!A:N,14,0),VLOOKUP(D90,'BS Mapping std'!A:N,14,0)),0)</f>
        <v/>
      </c>
    </row>
    <row r="91" spans="1:25">
      <c r="A91">
        <f>IF(B91&lt;6,"BS",IF(B91=6,"Exp","Rev"))</f>
        <v/>
      </c>
      <c r="B91">
        <f>_xlfn.NUMBERVALUE(LEFT(F91,1))</f>
        <v/>
      </c>
      <c r="C91">
        <f>Left(F91,2)</f>
        <v/>
      </c>
      <c r="D91">
        <f>Left(F91,3)</f>
        <v/>
      </c>
      <c r="E91">
        <f>IF(F91="121",Left(F91,3)&amp;"0",Left(F91,4))</f>
        <v/>
      </c>
      <c r="F91" t="n">
        <v>40100260</v>
      </c>
      <c r="G91" t="s">
        <v>114</v>
      </c>
      <c r="H91" s="9" t="n">
        <v>0</v>
      </c>
      <c r="I91" s="9" t="n">
        <v>2492113.11</v>
      </c>
      <c r="J91" s="9" t="n">
        <v>2492113.11</v>
      </c>
      <c r="K91" s="9" t="n">
        <v>0</v>
      </c>
      <c r="L91" s="9">
        <f>K91-H91</f>
        <v/>
      </c>
      <c r="M91" s="32">
        <f>IFERROR(L91/H91," ")</f>
        <v/>
      </c>
      <c r="N91">
        <f>IF(A91="BS",IFERROR(VLOOKUP(TRIM($E91),'BS Mapping std'!$A:$D,4,0),VLOOKUP(TRIM($D91),'BS Mapping std'!$A:$D,4,0)),IFERROR(VLOOKUP(TRIM($E91),'PL mapping Std'!$A:$D,4,0),VLOOKUP(TRIM($D91),'PL mapping Std'!$A:$D,4,0)))</f>
        <v/>
      </c>
      <c r="O91">
        <f>_xlfn.IFERROR(VLOOKUP(E91,'F30 mapping'!A:C,3,0),VLOOKUP(D91,'F30 mapping'!A:C,3,0))</f>
        <v/>
      </c>
      <c r="P91">
        <f>_xlfn.IFERROR(IFERROR(VLOOKUP(E91,'F40 mapping'!A:C,3,0),VLOOKUP(D91,'F40 mapping'!A:C,3,0)),0)</f>
        <v/>
      </c>
      <c r="Q91">
        <f>_xlfn.IFERROR(IFERROR(VLOOKUP(E91,'F40 mapping'!A:D,4,0),VLOOKUP(D91,'F40 mapping'!A:D,4,0)),0)</f>
        <v/>
      </c>
      <c r="R91">
        <f>_xlfn.IFERROR(IFERROR(VLOOKUP(E91,'F40 mapping'!A:E,5,0),VLOOKUP(D91,'F40 mapping'!A:E,5,0)),0)</f>
        <v/>
      </c>
      <c r="S91">
        <f>_xlfn.IF(B91&lt;6,IFERROR(VLOOKUP(E91,'BS Mapping std'!A:E,5,0),VLOOKUP(D91,'BS Mapping std'!A:E,5,0)),IFERROR(VLOOKUP(E91,'PL mapping Std'!A:F,6,0),VLOOKUP(D91,'PL mapping Std'!A:F,6,0)))</f>
        <v/>
      </c>
      <c r="T91">
        <f>_xlfn.IF(B91&lt;6,IFERROR(VLOOKUP(E91,'BS Mapping std'!A:F,6,0),VLOOKUP(D91,'BS Mapping std'!A:F,6,0)),IFERROR(VLOOKUP(E91,'PL mapping Std'!A:G,7,0),VLOOKUP(D91,'PL mapping Std'!A:G,7,0)))</f>
        <v/>
      </c>
      <c r="V91">
        <f>IF(IF(A91="BS",IFERROR(VLOOKUP(TRIM($E91),'BS Mapping std'!$A:$H,8,0),VLOOKUP(TRIM($D91),'BS Mapping std'!$A:$H,8,0)),IFERROR(VLOOKUP(TRIM($E91),'PL mapping Std'!$A:$E,5,0),VLOOKUP(TRIM($D91),'PL mapping Std'!$A:$E,5,0)))=0,"",IF(A91="BS",IFERROR(VLOOKUP(TRIM($E91),'BS Mapping std'!$A:$H,8,0),VLOOKUP(TRIM($D91),'BS Mapping std'!$A:$H,8,0)),IFERROR(VLOOKUP(TRIM($E91),'PL mapping Std'!$A:$E,5,0),VLOOKUP(TRIM($D91),'PL mapping Std'!$A:$E,5,0))))</f>
        <v/>
      </c>
      <c r="W91">
        <f>_xlfn.IFERROR(VLOOKUP(E91,'F30 mapping'!A:D,4,0),VLOOKUP(D91,'F30 mapping'!A:D,4,0))</f>
        <v/>
      </c>
      <c r="X91">
        <f>IF(B91&lt;6,IFERROR(VLOOKUP(E91,'BS Mapping std'!A:M,13,0),VLOOKUP(D91,'BS Mapping std'!A:M,13,0)),0)</f>
        <v/>
      </c>
      <c r="Y91">
        <f>IF(B91&lt;6,IFERROR(VLOOKUP(E91,'BS Mapping std'!A:N,14,0),VLOOKUP(D91,'BS Mapping std'!A:N,14,0)),0)</f>
        <v/>
      </c>
    </row>
    <row r="92" spans="1:25">
      <c r="A92">
        <f>IF(B92&lt;6,"BS",IF(B92=6,"Exp","Rev"))</f>
        <v/>
      </c>
      <c r="B92">
        <f>_xlfn.NUMBERVALUE(LEFT(F92,1))</f>
        <v/>
      </c>
      <c r="C92">
        <f>Left(F92,2)</f>
        <v/>
      </c>
      <c r="D92">
        <f>Left(F92,3)</f>
        <v/>
      </c>
      <c r="E92">
        <f>IF(F92="121",Left(F92,3)&amp;"0",Left(F92,4))</f>
        <v/>
      </c>
      <c r="F92" t="n">
        <v>40100300</v>
      </c>
      <c r="G92" t="s">
        <v>115</v>
      </c>
      <c r="H92" s="9" t="n">
        <v>-9006516.07</v>
      </c>
      <c r="I92" s="9" t="n">
        <v>13911511.98</v>
      </c>
      <c r="J92" s="9" t="n">
        <v>26402894.25</v>
      </c>
      <c r="K92" s="9" t="n">
        <v>-21497898.34</v>
      </c>
      <c r="L92" s="9">
        <f>K92-H92</f>
        <v/>
      </c>
      <c r="M92" s="32">
        <f>IFERROR(L92/H92," ")</f>
        <v/>
      </c>
      <c r="N92">
        <f>IF(A92="BS",IFERROR(VLOOKUP(TRIM($E92),'BS Mapping std'!$A:$D,4,0),VLOOKUP(TRIM($D92),'BS Mapping std'!$A:$D,4,0)),IFERROR(VLOOKUP(TRIM($E92),'PL mapping Std'!$A:$D,4,0),VLOOKUP(TRIM($D92),'PL mapping Std'!$A:$D,4,0)))</f>
        <v/>
      </c>
      <c r="O92">
        <f>_xlfn.IFERROR(VLOOKUP(E92,'F30 mapping'!A:C,3,0),VLOOKUP(D92,'F30 mapping'!A:C,3,0))</f>
        <v/>
      </c>
      <c r="P92">
        <f>_xlfn.IFERROR(IFERROR(VLOOKUP(E92,'F40 mapping'!A:C,3,0),VLOOKUP(D92,'F40 mapping'!A:C,3,0)),0)</f>
        <v/>
      </c>
      <c r="Q92">
        <f>_xlfn.IFERROR(IFERROR(VLOOKUP(E92,'F40 mapping'!A:D,4,0),VLOOKUP(D92,'F40 mapping'!A:D,4,0)),0)</f>
        <v/>
      </c>
      <c r="R92">
        <f>_xlfn.IFERROR(IFERROR(VLOOKUP(E92,'F40 mapping'!A:E,5,0),VLOOKUP(D92,'F40 mapping'!A:E,5,0)),0)</f>
        <v/>
      </c>
      <c r="S92">
        <f>_xlfn.IF(B92&lt;6,IFERROR(VLOOKUP(E92,'BS Mapping std'!A:E,5,0),VLOOKUP(D92,'BS Mapping std'!A:E,5,0)),IFERROR(VLOOKUP(E92,'PL mapping Std'!A:F,6,0),VLOOKUP(D92,'PL mapping Std'!A:F,6,0)))</f>
        <v/>
      </c>
      <c r="T92">
        <f>_xlfn.IF(B92&lt;6,IFERROR(VLOOKUP(E92,'BS Mapping std'!A:F,6,0),VLOOKUP(D92,'BS Mapping std'!A:F,6,0)),IFERROR(VLOOKUP(E92,'PL mapping Std'!A:G,7,0),VLOOKUP(D92,'PL mapping Std'!A:G,7,0)))</f>
        <v/>
      </c>
      <c r="V92">
        <f>IF(IF(A92="BS",IFERROR(VLOOKUP(TRIM($E92),'BS Mapping std'!$A:$H,8,0),VLOOKUP(TRIM($D92),'BS Mapping std'!$A:$H,8,0)),IFERROR(VLOOKUP(TRIM($E92),'PL mapping Std'!$A:$E,5,0),VLOOKUP(TRIM($D92),'PL mapping Std'!$A:$E,5,0)))=0,"",IF(A92="BS",IFERROR(VLOOKUP(TRIM($E92),'BS Mapping std'!$A:$H,8,0),VLOOKUP(TRIM($D92),'BS Mapping std'!$A:$H,8,0)),IFERROR(VLOOKUP(TRIM($E92),'PL mapping Std'!$A:$E,5,0),VLOOKUP(TRIM($D92),'PL mapping Std'!$A:$E,5,0))))</f>
        <v/>
      </c>
      <c r="W92">
        <f>_xlfn.IFERROR(VLOOKUP(E92,'F30 mapping'!A:D,4,0),VLOOKUP(D92,'F30 mapping'!A:D,4,0))</f>
        <v/>
      </c>
      <c r="X92">
        <f>IF(B92&lt;6,IFERROR(VLOOKUP(E92,'BS Mapping std'!A:M,13,0),VLOOKUP(D92,'BS Mapping std'!A:M,13,0)),0)</f>
        <v/>
      </c>
      <c r="Y92">
        <f>IF(B92&lt;6,IFERROR(VLOOKUP(E92,'BS Mapping std'!A:N,14,0),VLOOKUP(D92,'BS Mapping std'!A:N,14,0)),0)</f>
        <v/>
      </c>
    </row>
    <row r="93" spans="1:25">
      <c r="A93">
        <f>IF(B93&lt;6,"BS",IF(B93=6,"Exp","Rev"))</f>
        <v/>
      </c>
      <c r="B93">
        <f>_xlfn.NUMBERVALUE(LEFT(F93,1))</f>
        <v/>
      </c>
      <c r="C93">
        <f>Left(F93,2)</f>
        <v/>
      </c>
      <c r="D93">
        <f>Left(F93,3)</f>
        <v/>
      </c>
      <c r="E93">
        <f>IF(F93="121",Left(F93,3)&amp;"0",Left(F93,4))</f>
        <v/>
      </c>
      <c r="F93" t="n">
        <v>40100310</v>
      </c>
      <c r="G93" t="s">
        <v>116</v>
      </c>
      <c r="H93" s="9" t="n">
        <v>0</v>
      </c>
      <c r="I93" s="9" t="n">
        <v>99363.17</v>
      </c>
      <c r="J93" s="9" t="n">
        <v>99363.17</v>
      </c>
      <c r="K93" s="9" t="n">
        <v>0</v>
      </c>
      <c r="L93" s="9">
        <f>K93-H93</f>
        <v/>
      </c>
      <c r="M93" s="32">
        <f>IFERROR(L93/H93," ")</f>
        <v/>
      </c>
      <c r="N93">
        <f>IF(A93="BS",IFERROR(VLOOKUP(TRIM($E93),'BS Mapping std'!$A:$D,4,0),VLOOKUP(TRIM($D93),'BS Mapping std'!$A:$D,4,0)),IFERROR(VLOOKUP(TRIM($E93),'PL mapping Std'!$A:$D,4,0),VLOOKUP(TRIM($D93),'PL mapping Std'!$A:$D,4,0)))</f>
        <v/>
      </c>
      <c r="O93">
        <f>_xlfn.IFERROR(VLOOKUP(E93,'F30 mapping'!A:C,3,0),VLOOKUP(D93,'F30 mapping'!A:C,3,0))</f>
        <v/>
      </c>
      <c r="P93">
        <f>_xlfn.IFERROR(IFERROR(VLOOKUP(E93,'F40 mapping'!A:C,3,0),VLOOKUP(D93,'F40 mapping'!A:C,3,0)),0)</f>
        <v/>
      </c>
      <c r="Q93">
        <f>_xlfn.IFERROR(IFERROR(VLOOKUP(E93,'F40 mapping'!A:D,4,0),VLOOKUP(D93,'F40 mapping'!A:D,4,0)),0)</f>
        <v/>
      </c>
      <c r="R93">
        <f>_xlfn.IFERROR(IFERROR(VLOOKUP(E93,'F40 mapping'!A:E,5,0),VLOOKUP(D93,'F40 mapping'!A:E,5,0)),0)</f>
        <v/>
      </c>
      <c r="S93">
        <f>_xlfn.IF(B93&lt;6,IFERROR(VLOOKUP(E93,'BS Mapping std'!A:E,5,0),VLOOKUP(D93,'BS Mapping std'!A:E,5,0)),IFERROR(VLOOKUP(E93,'PL mapping Std'!A:F,6,0),VLOOKUP(D93,'PL mapping Std'!A:F,6,0)))</f>
        <v/>
      </c>
      <c r="T93">
        <f>_xlfn.IF(B93&lt;6,IFERROR(VLOOKUP(E93,'BS Mapping std'!A:F,6,0),VLOOKUP(D93,'BS Mapping std'!A:F,6,0)),IFERROR(VLOOKUP(E93,'PL mapping Std'!A:G,7,0),VLOOKUP(D93,'PL mapping Std'!A:G,7,0)))</f>
        <v/>
      </c>
      <c r="V93">
        <f>IF(IF(A93="BS",IFERROR(VLOOKUP(TRIM($E93),'BS Mapping std'!$A:$H,8,0),VLOOKUP(TRIM($D93),'BS Mapping std'!$A:$H,8,0)),IFERROR(VLOOKUP(TRIM($E93),'PL mapping Std'!$A:$E,5,0),VLOOKUP(TRIM($D93),'PL mapping Std'!$A:$E,5,0)))=0,"",IF(A93="BS",IFERROR(VLOOKUP(TRIM($E93),'BS Mapping std'!$A:$H,8,0),VLOOKUP(TRIM($D93),'BS Mapping std'!$A:$H,8,0)),IFERROR(VLOOKUP(TRIM($E93),'PL mapping Std'!$A:$E,5,0),VLOOKUP(TRIM($D93),'PL mapping Std'!$A:$E,5,0))))</f>
        <v/>
      </c>
      <c r="W93">
        <f>_xlfn.IFERROR(VLOOKUP(E93,'F30 mapping'!A:D,4,0),VLOOKUP(D93,'F30 mapping'!A:D,4,0))</f>
        <v/>
      </c>
      <c r="X93">
        <f>IF(B93&lt;6,IFERROR(VLOOKUP(E93,'BS Mapping std'!A:M,13,0),VLOOKUP(D93,'BS Mapping std'!A:M,13,0)),0)</f>
        <v/>
      </c>
      <c r="Y93">
        <f>IF(B93&lt;6,IFERROR(VLOOKUP(E93,'BS Mapping std'!A:N,14,0),VLOOKUP(D93,'BS Mapping std'!A:N,14,0)),0)</f>
        <v/>
      </c>
    </row>
    <row r="94" spans="1:25">
      <c r="A94">
        <f>IF(B94&lt;6,"BS",IF(B94=6,"Exp","Rev"))</f>
        <v/>
      </c>
      <c r="B94">
        <f>_xlfn.NUMBERVALUE(LEFT(F94,1))</f>
        <v/>
      </c>
      <c r="C94">
        <f>Left(F94,2)</f>
        <v/>
      </c>
      <c r="D94">
        <f>Left(F94,3)</f>
        <v/>
      </c>
      <c r="E94">
        <f>IF(F94="121",Left(F94,3)&amp;"0",Left(F94,4))</f>
        <v/>
      </c>
      <c r="F94" t="n">
        <v>40100330</v>
      </c>
      <c r="G94" t="s">
        <v>117</v>
      </c>
      <c r="H94" s="9" t="n">
        <v>-34182.04</v>
      </c>
      <c r="I94" s="9" t="n">
        <v>61248</v>
      </c>
      <c r="J94" s="9" t="n">
        <v>27065.96</v>
      </c>
      <c r="K94" s="9" t="n">
        <v>0</v>
      </c>
      <c r="L94" s="9">
        <f>K94-H94</f>
        <v/>
      </c>
      <c r="M94" s="32">
        <f>IFERROR(L94/H94," ")</f>
        <v/>
      </c>
      <c r="N94">
        <f>IF(A94="BS",IFERROR(VLOOKUP(TRIM($E94),'BS Mapping std'!$A:$D,4,0),VLOOKUP(TRIM($D94),'BS Mapping std'!$A:$D,4,0)),IFERROR(VLOOKUP(TRIM($E94),'PL mapping Std'!$A:$D,4,0),VLOOKUP(TRIM($D94),'PL mapping Std'!$A:$D,4,0)))</f>
        <v/>
      </c>
      <c r="O94">
        <f>_xlfn.IFERROR(VLOOKUP(E94,'F30 mapping'!A:C,3,0),VLOOKUP(D94,'F30 mapping'!A:C,3,0))</f>
        <v/>
      </c>
      <c r="P94">
        <f>_xlfn.IFERROR(IFERROR(VLOOKUP(E94,'F40 mapping'!A:C,3,0),VLOOKUP(D94,'F40 mapping'!A:C,3,0)),0)</f>
        <v/>
      </c>
      <c r="Q94">
        <f>_xlfn.IFERROR(IFERROR(VLOOKUP(E94,'F40 mapping'!A:D,4,0),VLOOKUP(D94,'F40 mapping'!A:D,4,0)),0)</f>
        <v/>
      </c>
      <c r="R94">
        <f>_xlfn.IFERROR(IFERROR(VLOOKUP(E94,'F40 mapping'!A:E,5,0),VLOOKUP(D94,'F40 mapping'!A:E,5,0)),0)</f>
        <v/>
      </c>
      <c r="S94">
        <f>_xlfn.IF(B94&lt;6,IFERROR(VLOOKUP(E94,'BS Mapping std'!A:E,5,0),VLOOKUP(D94,'BS Mapping std'!A:E,5,0)),IFERROR(VLOOKUP(E94,'PL mapping Std'!A:F,6,0),VLOOKUP(D94,'PL mapping Std'!A:F,6,0)))</f>
        <v/>
      </c>
      <c r="T94">
        <f>_xlfn.IF(B94&lt;6,IFERROR(VLOOKUP(E94,'BS Mapping std'!A:F,6,0),VLOOKUP(D94,'BS Mapping std'!A:F,6,0)),IFERROR(VLOOKUP(E94,'PL mapping Std'!A:G,7,0),VLOOKUP(D94,'PL mapping Std'!A:G,7,0)))</f>
        <v/>
      </c>
      <c r="V94">
        <f>IF(IF(A94="BS",IFERROR(VLOOKUP(TRIM($E94),'BS Mapping std'!$A:$H,8,0),VLOOKUP(TRIM($D94),'BS Mapping std'!$A:$H,8,0)),IFERROR(VLOOKUP(TRIM($E94),'PL mapping Std'!$A:$E,5,0),VLOOKUP(TRIM($D94),'PL mapping Std'!$A:$E,5,0)))=0,"",IF(A94="BS",IFERROR(VLOOKUP(TRIM($E94),'BS Mapping std'!$A:$H,8,0),VLOOKUP(TRIM($D94),'BS Mapping std'!$A:$H,8,0)),IFERROR(VLOOKUP(TRIM($E94),'PL mapping Std'!$A:$E,5,0),VLOOKUP(TRIM($D94),'PL mapping Std'!$A:$E,5,0))))</f>
        <v/>
      </c>
      <c r="W94">
        <f>_xlfn.IFERROR(VLOOKUP(E94,'F30 mapping'!A:D,4,0),VLOOKUP(D94,'F30 mapping'!A:D,4,0))</f>
        <v/>
      </c>
      <c r="X94">
        <f>IF(B94&lt;6,IFERROR(VLOOKUP(E94,'BS Mapping std'!A:M,13,0),VLOOKUP(D94,'BS Mapping std'!A:M,13,0)),0)</f>
        <v/>
      </c>
      <c r="Y94">
        <f>IF(B94&lt;6,IFERROR(VLOOKUP(E94,'BS Mapping std'!A:N,14,0),VLOOKUP(D94,'BS Mapping std'!A:N,14,0)),0)</f>
        <v/>
      </c>
    </row>
    <row r="95" spans="1:25">
      <c r="A95">
        <f>IF(B95&lt;6,"BS",IF(B95=6,"Exp","Rev"))</f>
        <v/>
      </c>
      <c r="B95">
        <f>_xlfn.NUMBERVALUE(LEFT(F95,1))</f>
        <v/>
      </c>
      <c r="C95">
        <f>Left(F95,2)</f>
        <v/>
      </c>
      <c r="D95">
        <f>Left(F95,3)</f>
        <v/>
      </c>
      <c r="E95">
        <f>IF(F95="121",Left(F95,3)&amp;"0",Left(F95,4))</f>
        <v/>
      </c>
      <c r="F95" t="n">
        <v>40100390</v>
      </c>
      <c r="G95" t="s">
        <v>118</v>
      </c>
      <c r="H95" s="9" t="n">
        <v>-4348.57</v>
      </c>
      <c r="I95" s="9" t="n">
        <v>40445.66</v>
      </c>
      <c r="J95" s="9" t="n">
        <v>38035.42</v>
      </c>
      <c r="K95" s="9" t="n">
        <v>-1938.33</v>
      </c>
      <c r="L95" s="9">
        <f>K95-H95</f>
        <v/>
      </c>
      <c r="M95" s="32">
        <f>IFERROR(L95/H95," ")</f>
        <v/>
      </c>
      <c r="N95">
        <f>IF(A95="BS",IFERROR(VLOOKUP(TRIM($E95),'BS Mapping std'!$A:$D,4,0),VLOOKUP(TRIM($D95),'BS Mapping std'!$A:$D,4,0)),IFERROR(VLOOKUP(TRIM($E95),'PL mapping Std'!$A:$D,4,0),VLOOKUP(TRIM($D95),'PL mapping Std'!$A:$D,4,0)))</f>
        <v/>
      </c>
      <c r="O95">
        <f>_xlfn.IFERROR(VLOOKUP(E95,'F30 mapping'!A:C,3,0),VLOOKUP(D95,'F30 mapping'!A:C,3,0))</f>
        <v/>
      </c>
      <c r="P95">
        <f>_xlfn.IFERROR(IFERROR(VLOOKUP(E95,'F40 mapping'!A:C,3,0),VLOOKUP(D95,'F40 mapping'!A:C,3,0)),0)</f>
        <v/>
      </c>
      <c r="Q95">
        <f>_xlfn.IFERROR(IFERROR(VLOOKUP(E95,'F40 mapping'!A:D,4,0),VLOOKUP(D95,'F40 mapping'!A:D,4,0)),0)</f>
        <v/>
      </c>
      <c r="R95">
        <f>_xlfn.IFERROR(IFERROR(VLOOKUP(E95,'F40 mapping'!A:E,5,0),VLOOKUP(D95,'F40 mapping'!A:E,5,0)),0)</f>
        <v/>
      </c>
      <c r="S95">
        <f>_xlfn.IF(B95&lt;6,IFERROR(VLOOKUP(E95,'BS Mapping std'!A:E,5,0),VLOOKUP(D95,'BS Mapping std'!A:E,5,0)),IFERROR(VLOOKUP(E95,'PL mapping Std'!A:F,6,0),VLOOKUP(D95,'PL mapping Std'!A:F,6,0)))</f>
        <v/>
      </c>
      <c r="T95">
        <f>_xlfn.IF(B95&lt;6,IFERROR(VLOOKUP(E95,'BS Mapping std'!A:F,6,0),VLOOKUP(D95,'BS Mapping std'!A:F,6,0)),IFERROR(VLOOKUP(E95,'PL mapping Std'!A:G,7,0),VLOOKUP(D95,'PL mapping Std'!A:G,7,0)))</f>
        <v/>
      </c>
      <c r="V95">
        <f>IF(IF(A95="BS",IFERROR(VLOOKUP(TRIM($E95),'BS Mapping std'!$A:$H,8,0),VLOOKUP(TRIM($D95),'BS Mapping std'!$A:$H,8,0)),IFERROR(VLOOKUP(TRIM($E95),'PL mapping Std'!$A:$E,5,0),VLOOKUP(TRIM($D95),'PL mapping Std'!$A:$E,5,0)))=0,"",IF(A95="BS",IFERROR(VLOOKUP(TRIM($E95),'BS Mapping std'!$A:$H,8,0),VLOOKUP(TRIM($D95),'BS Mapping std'!$A:$H,8,0)),IFERROR(VLOOKUP(TRIM($E95),'PL mapping Std'!$A:$E,5,0),VLOOKUP(TRIM($D95),'PL mapping Std'!$A:$E,5,0))))</f>
        <v/>
      </c>
      <c r="W95">
        <f>_xlfn.IFERROR(VLOOKUP(E95,'F30 mapping'!A:D,4,0),VLOOKUP(D95,'F30 mapping'!A:D,4,0))</f>
        <v/>
      </c>
      <c r="X95">
        <f>IF(B95&lt;6,IFERROR(VLOOKUP(E95,'BS Mapping std'!A:M,13,0),VLOOKUP(D95,'BS Mapping std'!A:M,13,0)),0)</f>
        <v/>
      </c>
      <c r="Y95">
        <f>IF(B95&lt;6,IFERROR(VLOOKUP(E95,'BS Mapping std'!A:N,14,0),VLOOKUP(D95,'BS Mapping std'!A:N,14,0)),0)</f>
        <v/>
      </c>
    </row>
    <row r="96" spans="1:25">
      <c r="A96">
        <f>IF(B96&lt;6,"BS",IF(B96=6,"Exp","Rev"))</f>
        <v/>
      </c>
      <c r="B96">
        <f>_xlfn.NUMBERVALUE(LEFT(F96,1))</f>
        <v/>
      </c>
      <c r="C96">
        <f>Left(F96,2)</f>
        <v/>
      </c>
      <c r="D96">
        <f>Left(F96,3)</f>
        <v/>
      </c>
      <c r="E96">
        <f>IF(F96="121",Left(F96,3)&amp;"0",Left(F96,4))</f>
        <v/>
      </c>
      <c r="F96" t="n">
        <v>40100400</v>
      </c>
      <c r="G96" t="s">
        <v>119</v>
      </c>
      <c r="H96" s="9" t="n">
        <v>-759077.95</v>
      </c>
      <c r="I96" s="9" t="n">
        <v>8629354.24</v>
      </c>
      <c r="J96" s="9" t="n">
        <v>8211204.63</v>
      </c>
      <c r="K96" s="9" t="n">
        <v>-340928.34</v>
      </c>
      <c r="L96" s="9">
        <f>K96-H96</f>
        <v/>
      </c>
      <c r="M96" s="32">
        <f>IFERROR(L96/H96," ")</f>
        <v/>
      </c>
      <c r="N96">
        <f>IF(A96="BS",IFERROR(VLOOKUP(TRIM($E96),'BS Mapping std'!$A:$D,4,0),VLOOKUP(TRIM($D96),'BS Mapping std'!$A:$D,4,0)),IFERROR(VLOOKUP(TRIM($E96),'PL mapping Std'!$A:$D,4,0),VLOOKUP(TRIM($D96),'PL mapping Std'!$A:$D,4,0)))</f>
        <v/>
      </c>
      <c r="O96">
        <f>_xlfn.IFERROR(VLOOKUP(E96,'F30 mapping'!A:C,3,0),VLOOKUP(D96,'F30 mapping'!A:C,3,0))</f>
        <v/>
      </c>
      <c r="P96">
        <f>_xlfn.IFERROR(IFERROR(VLOOKUP(E96,'F40 mapping'!A:C,3,0),VLOOKUP(D96,'F40 mapping'!A:C,3,0)),0)</f>
        <v/>
      </c>
      <c r="Q96">
        <f>_xlfn.IFERROR(IFERROR(VLOOKUP(E96,'F40 mapping'!A:D,4,0),VLOOKUP(D96,'F40 mapping'!A:D,4,0)),0)</f>
        <v/>
      </c>
      <c r="R96">
        <f>_xlfn.IFERROR(IFERROR(VLOOKUP(E96,'F40 mapping'!A:E,5,0),VLOOKUP(D96,'F40 mapping'!A:E,5,0)),0)</f>
        <v/>
      </c>
      <c r="S96">
        <f>_xlfn.IF(B96&lt;6,IFERROR(VLOOKUP(E96,'BS Mapping std'!A:E,5,0),VLOOKUP(D96,'BS Mapping std'!A:E,5,0)),IFERROR(VLOOKUP(E96,'PL mapping Std'!A:F,6,0),VLOOKUP(D96,'PL mapping Std'!A:F,6,0)))</f>
        <v/>
      </c>
      <c r="T96">
        <f>_xlfn.IF(B96&lt;6,IFERROR(VLOOKUP(E96,'BS Mapping std'!A:F,6,0),VLOOKUP(D96,'BS Mapping std'!A:F,6,0)),IFERROR(VLOOKUP(E96,'PL mapping Std'!A:G,7,0),VLOOKUP(D96,'PL mapping Std'!A:G,7,0)))</f>
        <v/>
      </c>
      <c r="V96">
        <f>IF(IF(A96="BS",IFERROR(VLOOKUP(TRIM($E96),'BS Mapping std'!$A:$H,8,0),VLOOKUP(TRIM($D96),'BS Mapping std'!$A:$H,8,0)),IFERROR(VLOOKUP(TRIM($E96),'PL mapping Std'!$A:$E,5,0),VLOOKUP(TRIM($D96),'PL mapping Std'!$A:$E,5,0)))=0,"",IF(A96="BS",IFERROR(VLOOKUP(TRIM($E96),'BS Mapping std'!$A:$H,8,0),VLOOKUP(TRIM($D96),'BS Mapping std'!$A:$H,8,0)),IFERROR(VLOOKUP(TRIM($E96),'PL mapping Std'!$A:$E,5,0),VLOOKUP(TRIM($D96),'PL mapping Std'!$A:$E,5,0))))</f>
        <v/>
      </c>
      <c r="W96">
        <f>_xlfn.IFERROR(VLOOKUP(E96,'F30 mapping'!A:D,4,0),VLOOKUP(D96,'F30 mapping'!A:D,4,0))</f>
        <v/>
      </c>
      <c r="X96">
        <f>IF(B96&lt;6,IFERROR(VLOOKUP(E96,'BS Mapping std'!A:M,13,0),VLOOKUP(D96,'BS Mapping std'!A:M,13,0)),0)</f>
        <v/>
      </c>
      <c r="Y96">
        <f>IF(B96&lt;6,IFERROR(VLOOKUP(E96,'BS Mapping std'!A:N,14,0),VLOOKUP(D96,'BS Mapping std'!A:N,14,0)),0)</f>
        <v/>
      </c>
    </row>
    <row r="97" spans="1:25">
      <c r="A97">
        <f>IF(B97&lt;6,"BS",IF(B97=6,"Exp","Rev"))</f>
        <v/>
      </c>
      <c r="B97">
        <f>_xlfn.NUMBERVALUE(LEFT(F97,1))</f>
        <v/>
      </c>
      <c r="C97">
        <f>Left(F97,2)</f>
        <v/>
      </c>
      <c r="D97">
        <f>Left(F97,3)</f>
        <v/>
      </c>
      <c r="E97">
        <f>IF(F97="121",Left(F97,3)&amp;"0",Left(F97,4))</f>
        <v/>
      </c>
      <c r="F97" t="n">
        <v>40100410</v>
      </c>
      <c r="G97" t="s">
        <v>120</v>
      </c>
      <c r="H97" s="9" t="n">
        <v>0</v>
      </c>
      <c r="I97" s="9" t="n">
        <v>6270.1</v>
      </c>
      <c r="J97" s="9" t="n">
        <v>6270.1</v>
      </c>
      <c r="K97" s="9" t="n">
        <v>0</v>
      </c>
      <c r="L97" s="9">
        <f>K97-H97</f>
        <v/>
      </c>
      <c r="M97" s="32">
        <f>IFERROR(L97/H97," ")</f>
        <v/>
      </c>
      <c r="N97">
        <f>IF(A97="BS",IFERROR(VLOOKUP(TRIM($E97),'BS Mapping std'!$A:$D,4,0),VLOOKUP(TRIM($D97),'BS Mapping std'!$A:$D,4,0)),IFERROR(VLOOKUP(TRIM($E97),'PL mapping Std'!$A:$D,4,0),VLOOKUP(TRIM($D97),'PL mapping Std'!$A:$D,4,0)))</f>
        <v/>
      </c>
      <c r="O97">
        <f>_xlfn.IFERROR(VLOOKUP(E97,'F30 mapping'!A:C,3,0),VLOOKUP(D97,'F30 mapping'!A:C,3,0))</f>
        <v/>
      </c>
      <c r="P97">
        <f>_xlfn.IFERROR(IFERROR(VLOOKUP(E97,'F40 mapping'!A:C,3,0),VLOOKUP(D97,'F40 mapping'!A:C,3,0)),0)</f>
        <v/>
      </c>
      <c r="Q97">
        <f>_xlfn.IFERROR(IFERROR(VLOOKUP(E97,'F40 mapping'!A:D,4,0),VLOOKUP(D97,'F40 mapping'!A:D,4,0)),0)</f>
        <v/>
      </c>
      <c r="R97">
        <f>_xlfn.IFERROR(IFERROR(VLOOKUP(E97,'F40 mapping'!A:E,5,0),VLOOKUP(D97,'F40 mapping'!A:E,5,0)),0)</f>
        <v/>
      </c>
      <c r="S97">
        <f>_xlfn.IF(B97&lt;6,IFERROR(VLOOKUP(E97,'BS Mapping std'!A:E,5,0),VLOOKUP(D97,'BS Mapping std'!A:E,5,0)),IFERROR(VLOOKUP(E97,'PL mapping Std'!A:F,6,0),VLOOKUP(D97,'PL mapping Std'!A:F,6,0)))</f>
        <v/>
      </c>
      <c r="T97">
        <f>_xlfn.IF(B97&lt;6,IFERROR(VLOOKUP(E97,'BS Mapping std'!A:F,6,0),VLOOKUP(D97,'BS Mapping std'!A:F,6,0)),IFERROR(VLOOKUP(E97,'PL mapping Std'!A:G,7,0),VLOOKUP(D97,'PL mapping Std'!A:G,7,0)))</f>
        <v/>
      </c>
      <c r="V97">
        <f>IF(IF(A97="BS",IFERROR(VLOOKUP(TRIM($E97),'BS Mapping std'!$A:$H,8,0),VLOOKUP(TRIM($D97),'BS Mapping std'!$A:$H,8,0)),IFERROR(VLOOKUP(TRIM($E97),'PL mapping Std'!$A:$E,5,0),VLOOKUP(TRIM($D97),'PL mapping Std'!$A:$E,5,0)))=0,"",IF(A97="BS",IFERROR(VLOOKUP(TRIM($E97),'BS Mapping std'!$A:$H,8,0),VLOOKUP(TRIM($D97),'BS Mapping std'!$A:$H,8,0)),IFERROR(VLOOKUP(TRIM($E97),'PL mapping Std'!$A:$E,5,0),VLOOKUP(TRIM($D97),'PL mapping Std'!$A:$E,5,0))))</f>
        <v/>
      </c>
      <c r="W97">
        <f>_xlfn.IFERROR(VLOOKUP(E97,'F30 mapping'!A:D,4,0),VLOOKUP(D97,'F30 mapping'!A:D,4,0))</f>
        <v/>
      </c>
      <c r="X97">
        <f>IF(B97&lt;6,IFERROR(VLOOKUP(E97,'BS Mapping std'!A:M,13,0),VLOOKUP(D97,'BS Mapping std'!A:M,13,0)),0)</f>
        <v/>
      </c>
      <c r="Y97">
        <f>IF(B97&lt;6,IFERROR(VLOOKUP(E97,'BS Mapping std'!A:N,14,0),VLOOKUP(D97,'BS Mapping std'!A:N,14,0)),0)</f>
        <v/>
      </c>
    </row>
    <row r="98" spans="1:25">
      <c r="A98">
        <f>IF(B98&lt;6,"BS",IF(B98=6,"Exp","Rev"))</f>
        <v/>
      </c>
      <c r="B98">
        <f>_xlfn.NUMBERVALUE(LEFT(F98,1))</f>
        <v/>
      </c>
      <c r="C98">
        <f>Left(F98,2)</f>
        <v/>
      </c>
      <c r="D98">
        <f>Left(F98,3)</f>
        <v/>
      </c>
      <c r="E98">
        <f>IF(F98="121",Left(F98,3)&amp;"0",Left(F98,4))</f>
        <v/>
      </c>
      <c r="F98" t="n">
        <v>40100430</v>
      </c>
      <c r="G98" t="s">
        <v>121</v>
      </c>
      <c r="H98" s="9" t="n">
        <v>0</v>
      </c>
      <c r="I98" s="9" t="n">
        <v>798.89</v>
      </c>
      <c r="J98" s="9" t="n">
        <v>798.89</v>
      </c>
      <c r="K98" s="9" t="n">
        <v>0</v>
      </c>
      <c r="L98" s="9">
        <f>K98-H98</f>
        <v/>
      </c>
      <c r="M98" s="32">
        <f>IFERROR(L98/H98," ")</f>
        <v/>
      </c>
      <c r="N98">
        <f>IF(A98="BS",IFERROR(VLOOKUP(TRIM($E98),'BS Mapping std'!$A:$D,4,0),VLOOKUP(TRIM($D98),'BS Mapping std'!$A:$D,4,0)),IFERROR(VLOOKUP(TRIM($E98),'PL mapping Std'!$A:$D,4,0),VLOOKUP(TRIM($D98),'PL mapping Std'!$A:$D,4,0)))</f>
        <v/>
      </c>
      <c r="O98">
        <f>_xlfn.IFERROR(VLOOKUP(E98,'F30 mapping'!A:C,3,0),VLOOKUP(D98,'F30 mapping'!A:C,3,0))</f>
        <v/>
      </c>
      <c r="P98">
        <f>_xlfn.IFERROR(IFERROR(VLOOKUP(E98,'F40 mapping'!A:C,3,0),VLOOKUP(D98,'F40 mapping'!A:C,3,0)),0)</f>
        <v/>
      </c>
      <c r="Q98">
        <f>_xlfn.IFERROR(IFERROR(VLOOKUP(E98,'F40 mapping'!A:D,4,0),VLOOKUP(D98,'F40 mapping'!A:D,4,0)),0)</f>
        <v/>
      </c>
      <c r="R98">
        <f>_xlfn.IFERROR(IFERROR(VLOOKUP(E98,'F40 mapping'!A:E,5,0),VLOOKUP(D98,'F40 mapping'!A:E,5,0)),0)</f>
        <v/>
      </c>
      <c r="S98">
        <f>_xlfn.IF(B98&lt;6,IFERROR(VLOOKUP(E98,'BS Mapping std'!A:E,5,0),VLOOKUP(D98,'BS Mapping std'!A:E,5,0)),IFERROR(VLOOKUP(E98,'PL mapping Std'!A:F,6,0),VLOOKUP(D98,'PL mapping Std'!A:F,6,0)))</f>
        <v/>
      </c>
      <c r="T98">
        <f>_xlfn.IF(B98&lt;6,IFERROR(VLOOKUP(E98,'BS Mapping std'!A:F,6,0),VLOOKUP(D98,'BS Mapping std'!A:F,6,0)),IFERROR(VLOOKUP(E98,'PL mapping Std'!A:G,7,0),VLOOKUP(D98,'PL mapping Std'!A:G,7,0)))</f>
        <v/>
      </c>
      <c r="V98">
        <f>IF(IF(A98="BS",IFERROR(VLOOKUP(TRIM($E98),'BS Mapping std'!$A:$H,8,0),VLOOKUP(TRIM($D98),'BS Mapping std'!$A:$H,8,0)),IFERROR(VLOOKUP(TRIM($E98),'PL mapping Std'!$A:$E,5,0),VLOOKUP(TRIM($D98),'PL mapping Std'!$A:$E,5,0)))=0,"",IF(A98="BS",IFERROR(VLOOKUP(TRIM($E98),'BS Mapping std'!$A:$H,8,0),VLOOKUP(TRIM($D98),'BS Mapping std'!$A:$H,8,0)),IFERROR(VLOOKUP(TRIM($E98),'PL mapping Std'!$A:$E,5,0),VLOOKUP(TRIM($D98),'PL mapping Std'!$A:$E,5,0))))</f>
        <v/>
      </c>
      <c r="W98">
        <f>_xlfn.IFERROR(VLOOKUP(E98,'F30 mapping'!A:D,4,0),VLOOKUP(D98,'F30 mapping'!A:D,4,0))</f>
        <v/>
      </c>
      <c r="X98">
        <f>IF(B98&lt;6,IFERROR(VLOOKUP(E98,'BS Mapping std'!A:M,13,0),VLOOKUP(D98,'BS Mapping std'!A:M,13,0)),0)</f>
        <v/>
      </c>
      <c r="Y98">
        <f>IF(B98&lt;6,IFERROR(VLOOKUP(E98,'BS Mapping std'!A:N,14,0),VLOOKUP(D98,'BS Mapping std'!A:N,14,0)),0)</f>
        <v/>
      </c>
    </row>
    <row r="99" spans="1:25">
      <c r="A99">
        <f>IF(B99&lt;6,"BS",IF(B99=6,"Exp","Rev"))</f>
        <v/>
      </c>
      <c r="B99">
        <f>_xlfn.NUMBERVALUE(LEFT(F99,1))</f>
        <v/>
      </c>
      <c r="C99">
        <f>Left(F99,2)</f>
        <v/>
      </c>
      <c r="D99">
        <f>Left(F99,3)</f>
        <v/>
      </c>
      <c r="E99">
        <f>IF(F99="121",Left(F99,3)&amp;"0",Left(F99,4))</f>
        <v/>
      </c>
      <c r="F99" t="n">
        <v>40109997</v>
      </c>
      <c r="G99" t="s">
        <v>122</v>
      </c>
      <c r="H99" s="9" t="n">
        <v>-12813.59</v>
      </c>
      <c r="I99" s="9" t="n">
        <v>543278.05</v>
      </c>
      <c r="J99" s="9" t="n">
        <v>471233.26</v>
      </c>
      <c r="K99" s="9" t="n">
        <v>59231.2</v>
      </c>
      <c r="L99" s="9">
        <f>K99-H99</f>
        <v/>
      </c>
      <c r="M99" s="32">
        <f>IFERROR(L99/H99," ")</f>
        <v/>
      </c>
      <c r="N99">
        <f>IF(A99="BS",IFERROR(VLOOKUP(TRIM($E99),'BS Mapping std'!$A:$D,4,0),VLOOKUP(TRIM($D99),'BS Mapping std'!$A:$D,4,0)),IFERROR(VLOOKUP(TRIM($E99),'PL mapping Std'!$A:$D,4,0),VLOOKUP(TRIM($D99),'PL mapping Std'!$A:$D,4,0)))</f>
        <v/>
      </c>
      <c r="O99">
        <f>_xlfn.IFERROR(VLOOKUP(E99,'F30 mapping'!A:C,3,0),VLOOKUP(D99,'F30 mapping'!A:C,3,0))</f>
        <v/>
      </c>
      <c r="P99">
        <f>_xlfn.IFERROR(IFERROR(VLOOKUP(E99,'F40 mapping'!A:C,3,0),VLOOKUP(D99,'F40 mapping'!A:C,3,0)),0)</f>
        <v/>
      </c>
      <c r="Q99">
        <f>_xlfn.IFERROR(IFERROR(VLOOKUP(E99,'F40 mapping'!A:D,4,0),VLOOKUP(D99,'F40 mapping'!A:D,4,0)),0)</f>
        <v/>
      </c>
      <c r="R99">
        <f>_xlfn.IFERROR(IFERROR(VLOOKUP(E99,'F40 mapping'!A:E,5,0),VLOOKUP(D99,'F40 mapping'!A:E,5,0)),0)</f>
        <v/>
      </c>
      <c r="S99">
        <f>_xlfn.IF(B99&lt;6,IFERROR(VLOOKUP(E99,'BS Mapping std'!A:E,5,0),VLOOKUP(D99,'BS Mapping std'!A:E,5,0)),IFERROR(VLOOKUP(E99,'PL mapping Std'!A:F,6,0),VLOOKUP(D99,'PL mapping Std'!A:F,6,0)))</f>
        <v/>
      </c>
      <c r="T99">
        <f>_xlfn.IF(B99&lt;6,IFERROR(VLOOKUP(E99,'BS Mapping std'!A:F,6,0),VLOOKUP(D99,'BS Mapping std'!A:F,6,0)),IFERROR(VLOOKUP(E99,'PL mapping Std'!A:G,7,0),VLOOKUP(D99,'PL mapping Std'!A:G,7,0)))</f>
        <v/>
      </c>
      <c r="V99">
        <f>IF(IF(A99="BS",IFERROR(VLOOKUP(TRIM($E99),'BS Mapping std'!$A:$H,8,0),VLOOKUP(TRIM($D99),'BS Mapping std'!$A:$H,8,0)),IFERROR(VLOOKUP(TRIM($E99),'PL mapping Std'!$A:$E,5,0),VLOOKUP(TRIM($D99),'PL mapping Std'!$A:$E,5,0)))=0,"",IF(A99="BS",IFERROR(VLOOKUP(TRIM($E99),'BS Mapping std'!$A:$H,8,0),VLOOKUP(TRIM($D99),'BS Mapping std'!$A:$H,8,0)),IFERROR(VLOOKUP(TRIM($E99),'PL mapping Std'!$A:$E,5,0),VLOOKUP(TRIM($D99),'PL mapping Std'!$A:$E,5,0))))</f>
        <v/>
      </c>
      <c r="W99">
        <f>_xlfn.IFERROR(VLOOKUP(E99,'F30 mapping'!A:D,4,0),VLOOKUP(D99,'F30 mapping'!A:D,4,0))</f>
        <v/>
      </c>
      <c r="X99">
        <f>IF(B99&lt;6,IFERROR(VLOOKUP(E99,'BS Mapping std'!A:M,13,0),VLOOKUP(D99,'BS Mapping std'!A:M,13,0)),0)</f>
        <v/>
      </c>
      <c r="Y99">
        <f>IF(B99&lt;6,IFERROR(VLOOKUP(E99,'BS Mapping std'!A:N,14,0),VLOOKUP(D99,'BS Mapping std'!A:N,14,0)),0)</f>
        <v/>
      </c>
    </row>
    <row r="100" spans="1:25">
      <c r="A100">
        <f>IF(B100&lt;6,"BS",IF(B100=6,"Exp","Rev"))</f>
        <v/>
      </c>
      <c r="B100">
        <f>_xlfn.NUMBERVALUE(LEFT(F100,1))</f>
        <v/>
      </c>
      <c r="C100">
        <f>Left(F100,2)</f>
        <v/>
      </c>
      <c r="D100">
        <f>Left(F100,3)</f>
        <v/>
      </c>
      <c r="E100">
        <f>IF(F100="121",Left(F100,3)&amp;"0",Left(F100,4))</f>
        <v/>
      </c>
      <c r="F100" t="n">
        <v>40109998</v>
      </c>
      <c r="G100" t="s">
        <v>123</v>
      </c>
      <c r="H100" s="9" t="n">
        <v>-657.11</v>
      </c>
      <c r="I100" s="9" t="n">
        <v>189513.61</v>
      </c>
      <c r="J100" s="9" t="n">
        <v>205836.27</v>
      </c>
      <c r="K100" s="9" t="n">
        <v>-16979.77</v>
      </c>
      <c r="L100" s="9">
        <f>K100-H100</f>
        <v/>
      </c>
      <c r="M100" s="32">
        <f>IFERROR(L100/H100," ")</f>
        <v/>
      </c>
      <c r="N100">
        <f>IF(A100="BS",IFERROR(VLOOKUP(TRIM($E100),'BS Mapping std'!$A:$D,4,0),VLOOKUP(TRIM($D100),'BS Mapping std'!$A:$D,4,0)),IFERROR(VLOOKUP(TRIM($E100),'PL mapping Std'!$A:$D,4,0),VLOOKUP(TRIM($D100),'PL mapping Std'!$A:$D,4,0)))</f>
        <v/>
      </c>
      <c r="O100">
        <f>_xlfn.IFERROR(VLOOKUP(E100,'F30 mapping'!A:C,3,0),VLOOKUP(D100,'F30 mapping'!A:C,3,0))</f>
        <v/>
      </c>
      <c r="P100">
        <f>_xlfn.IFERROR(IFERROR(VLOOKUP(E100,'F40 mapping'!A:C,3,0),VLOOKUP(D100,'F40 mapping'!A:C,3,0)),0)</f>
        <v/>
      </c>
      <c r="Q100">
        <f>_xlfn.IFERROR(IFERROR(VLOOKUP(E100,'F40 mapping'!A:D,4,0),VLOOKUP(D100,'F40 mapping'!A:D,4,0)),0)</f>
        <v/>
      </c>
      <c r="R100">
        <f>_xlfn.IFERROR(IFERROR(VLOOKUP(E100,'F40 mapping'!A:E,5,0),VLOOKUP(D100,'F40 mapping'!A:E,5,0)),0)</f>
        <v/>
      </c>
      <c r="S100">
        <f>_xlfn.IF(B100&lt;6,IFERROR(VLOOKUP(E100,'BS Mapping std'!A:E,5,0),VLOOKUP(D100,'BS Mapping std'!A:E,5,0)),IFERROR(VLOOKUP(E100,'PL mapping Std'!A:F,6,0),VLOOKUP(D100,'PL mapping Std'!A:F,6,0)))</f>
        <v/>
      </c>
      <c r="T100">
        <f>_xlfn.IF(B100&lt;6,IFERROR(VLOOKUP(E100,'BS Mapping std'!A:F,6,0),VLOOKUP(D100,'BS Mapping std'!A:F,6,0)),IFERROR(VLOOKUP(E100,'PL mapping Std'!A:G,7,0),VLOOKUP(D100,'PL mapping Std'!A:G,7,0)))</f>
        <v/>
      </c>
      <c r="V100">
        <f>IF(IF(A100="BS",IFERROR(VLOOKUP(TRIM($E100),'BS Mapping std'!$A:$H,8,0),VLOOKUP(TRIM($D100),'BS Mapping std'!$A:$H,8,0)),IFERROR(VLOOKUP(TRIM($E100),'PL mapping Std'!$A:$E,5,0),VLOOKUP(TRIM($D100),'PL mapping Std'!$A:$E,5,0)))=0,"",IF(A100="BS",IFERROR(VLOOKUP(TRIM($E100),'BS Mapping std'!$A:$H,8,0),VLOOKUP(TRIM($D100),'BS Mapping std'!$A:$H,8,0)),IFERROR(VLOOKUP(TRIM($E100),'PL mapping Std'!$A:$E,5,0),VLOOKUP(TRIM($D100),'PL mapping Std'!$A:$E,5,0))))</f>
        <v/>
      </c>
      <c r="W100">
        <f>_xlfn.IFERROR(VLOOKUP(E100,'F30 mapping'!A:D,4,0),VLOOKUP(D100,'F30 mapping'!A:D,4,0))</f>
        <v/>
      </c>
      <c r="X100">
        <f>IF(B100&lt;6,IFERROR(VLOOKUP(E100,'BS Mapping std'!A:M,13,0),VLOOKUP(D100,'BS Mapping std'!A:M,13,0)),0)</f>
        <v/>
      </c>
      <c r="Y100">
        <f>IF(B100&lt;6,IFERROR(VLOOKUP(E100,'BS Mapping std'!A:N,14,0),VLOOKUP(D100,'BS Mapping std'!A:N,14,0)),0)</f>
        <v/>
      </c>
    </row>
    <row r="101" spans="1:25">
      <c r="A101">
        <f>IF(B101&lt;6,"BS",IF(B101=6,"Exp","Rev"))</f>
        <v/>
      </c>
      <c r="B101">
        <f>_xlfn.NUMBERVALUE(LEFT(F101,1))</f>
        <v/>
      </c>
      <c r="C101">
        <f>Left(F101,2)</f>
        <v/>
      </c>
      <c r="D101">
        <f>Left(F101,3)</f>
        <v/>
      </c>
      <c r="E101">
        <f>IF(F101="121",Left(F101,3)&amp;"0",Left(F101,4))</f>
        <v/>
      </c>
      <c r="F101" t="n">
        <v>40800010</v>
      </c>
      <c r="G101" t="s">
        <v>124</v>
      </c>
      <c r="H101" s="9" t="n">
        <v>0</v>
      </c>
      <c r="I101" s="9" t="n">
        <v>93994864.61</v>
      </c>
      <c r="J101" s="9" t="n">
        <v>93994864.61</v>
      </c>
      <c r="K101" s="9" t="n">
        <v>0</v>
      </c>
      <c r="L101" s="9">
        <f>K101-H101</f>
        <v/>
      </c>
      <c r="M101" s="32">
        <f>IFERROR(L101/H101," ")</f>
        <v/>
      </c>
      <c r="N101">
        <f>IF(A101="BS",IFERROR(VLOOKUP(TRIM($E101),'BS Mapping std'!$A:$D,4,0),VLOOKUP(TRIM($D101),'BS Mapping std'!$A:$D,4,0)),IFERROR(VLOOKUP(TRIM($E101),'PL mapping Std'!$A:$D,4,0),VLOOKUP(TRIM($D101),'PL mapping Std'!$A:$D,4,0)))</f>
        <v/>
      </c>
      <c r="O101">
        <f>_xlfn.IFERROR(VLOOKUP(E101,'F30 mapping'!A:C,3,0),VLOOKUP(D101,'F30 mapping'!A:C,3,0))</f>
        <v/>
      </c>
      <c r="P101">
        <f>_xlfn.IFERROR(IFERROR(VLOOKUP(E101,'F40 mapping'!A:C,3,0),VLOOKUP(D101,'F40 mapping'!A:C,3,0)),0)</f>
        <v/>
      </c>
      <c r="Q101">
        <f>_xlfn.IFERROR(IFERROR(VLOOKUP(E101,'F40 mapping'!A:D,4,0),VLOOKUP(D101,'F40 mapping'!A:D,4,0)),0)</f>
        <v/>
      </c>
      <c r="R101">
        <f>_xlfn.IFERROR(IFERROR(VLOOKUP(E101,'F40 mapping'!A:E,5,0),VLOOKUP(D101,'F40 mapping'!A:E,5,0)),0)</f>
        <v/>
      </c>
      <c r="S101">
        <f>_xlfn.IF(B101&lt;6,IFERROR(VLOOKUP(E101,'BS Mapping std'!A:E,5,0),VLOOKUP(D101,'BS Mapping std'!A:E,5,0)),IFERROR(VLOOKUP(E101,'PL mapping Std'!A:F,6,0),VLOOKUP(D101,'PL mapping Std'!A:F,6,0)))</f>
        <v/>
      </c>
      <c r="T101">
        <f>_xlfn.IF(B101&lt;6,IFERROR(VLOOKUP(E101,'BS Mapping std'!A:F,6,0),VLOOKUP(D101,'BS Mapping std'!A:F,6,0)),IFERROR(VLOOKUP(E101,'PL mapping Std'!A:G,7,0),VLOOKUP(D101,'PL mapping Std'!A:G,7,0)))</f>
        <v/>
      </c>
      <c r="V101">
        <f>IF(IF(A101="BS",IFERROR(VLOOKUP(TRIM($E101),'BS Mapping std'!$A:$H,8,0),VLOOKUP(TRIM($D101),'BS Mapping std'!$A:$H,8,0)),IFERROR(VLOOKUP(TRIM($E101),'PL mapping Std'!$A:$E,5,0),VLOOKUP(TRIM($D101),'PL mapping Std'!$A:$E,5,0)))=0,"",IF(A101="BS",IFERROR(VLOOKUP(TRIM($E101),'BS Mapping std'!$A:$H,8,0),VLOOKUP(TRIM($D101),'BS Mapping std'!$A:$H,8,0)),IFERROR(VLOOKUP(TRIM($E101),'PL mapping Std'!$A:$E,5,0),VLOOKUP(TRIM($D101),'PL mapping Std'!$A:$E,5,0))))</f>
        <v/>
      </c>
      <c r="W101">
        <f>_xlfn.IFERROR(VLOOKUP(E101,'F30 mapping'!A:D,4,0),VLOOKUP(D101,'F30 mapping'!A:D,4,0))</f>
        <v/>
      </c>
      <c r="X101">
        <f>IF(B101&lt;6,IFERROR(VLOOKUP(E101,'BS Mapping std'!A:M,13,0),VLOOKUP(D101,'BS Mapping std'!A:M,13,0)),0)</f>
        <v/>
      </c>
      <c r="Y101">
        <f>IF(B101&lt;6,IFERROR(VLOOKUP(E101,'BS Mapping std'!A:N,14,0),VLOOKUP(D101,'BS Mapping std'!A:N,14,0)),0)</f>
        <v/>
      </c>
    </row>
    <row r="102" spans="1:25">
      <c r="A102">
        <f>IF(B102&lt;6,"BS",IF(B102=6,"Exp","Rev"))</f>
        <v/>
      </c>
      <c r="B102">
        <f>_xlfn.NUMBERVALUE(LEFT(F102,1))</f>
        <v/>
      </c>
      <c r="C102">
        <f>Left(F102,2)</f>
        <v/>
      </c>
      <c r="D102">
        <f>Left(F102,3)</f>
        <v/>
      </c>
      <c r="E102">
        <f>IF(F102="121",Left(F102,3)&amp;"0",Left(F102,4))</f>
        <v/>
      </c>
      <c r="F102" t="n">
        <v>40800020</v>
      </c>
      <c r="G102" t="s">
        <v>124</v>
      </c>
      <c r="H102" s="9" t="n">
        <v>0</v>
      </c>
      <c r="I102" s="9" t="n">
        <v>585151</v>
      </c>
      <c r="J102" s="9" t="n">
        <v>585151</v>
      </c>
      <c r="K102" s="9" t="n">
        <v>0</v>
      </c>
      <c r="L102" s="9">
        <f>K102-H102</f>
        <v/>
      </c>
      <c r="M102" s="32">
        <f>IFERROR(L102/H102," ")</f>
        <v/>
      </c>
      <c r="N102">
        <f>IF(A102="BS",IFERROR(VLOOKUP(TRIM($E102),'BS Mapping std'!$A:$D,4,0),VLOOKUP(TRIM($D102),'BS Mapping std'!$A:$D,4,0)),IFERROR(VLOOKUP(TRIM($E102),'PL mapping Std'!$A:$D,4,0),VLOOKUP(TRIM($D102),'PL mapping Std'!$A:$D,4,0)))</f>
        <v/>
      </c>
      <c r="O102">
        <f>_xlfn.IFERROR(VLOOKUP(E102,'F30 mapping'!A:C,3,0),VLOOKUP(D102,'F30 mapping'!A:C,3,0))</f>
        <v/>
      </c>
      <c r="P102">
        <f>_xlfn.IFERROR(IFERROR(VLOOKUP(E102,'F40 mapping'!A:C,3,0),VLOOKUP(D102,'F40 mapping'!A:C,3,0)),0)</f>
        <v/>
      </c>
      <c r="Q102">
        <f>_xlfn.IFERROR(IFERROR(VLOOKUP(E102,'F40 mapping'!A:D,4,0),VLOOKUP(D102,'F40 mapping'!A:D,4,0)),0)</f>
        <v/>
      </c>
      <c r="R102">
        <f>_xlfn.IFERROR(IFERROR(VLOOKUP(E102,'F40 mapping'!A:E,5,0),VLOOKUP(D102,'F40 mapping'!A:E,5,0)),0)</f>
        <v/>
      </c>
      <c r="S102">
        <f>_xlfn.IF(B102&lt;6,IFERROR(VLOOKUP(E102,'BS Mapping std'!A:E,5,0),VLOOKUP(D102,'BS Mapping std'!A:E,5,0)),IFERROR(VLOOKUP(E102,'PL mapping Std'!A:F,6,0),VLOOKUP(D102,'PL mapping Std'!A:F,6,0)))</f>
        <v/>
      </c>
      <c r="T102">
        <f>_xlfn.IF(B102&lt;6,IFERROR(VLOOKUP(E102,'BS Mapping std'!A:F,6,0),VLOOKUP(D102,'BS Mapping std'!A:F,6,0)),IFERROR(VLOOKUP(E102,'PL mapping Std'!A:G,7,0),VLOOKUP(D102,'PL mapping Std'!A:G,7,0)))</f>
        <v/>
      </c>
      <c r="V102">
        <f>IF(IF(A102="BS",IFERROR(VLOOKUP(TRIM($E102),'BS Mapping std'!$A:$H,8,0),VLOOKUP(TRIM($D102),'BS Mapping std'!$A:$H,8,0)),IFERROR(VLOOKUP(TRIM($E102),'PL mapping Std'!$A:$E,5,0),VLOOKUP(TRIM($D102),'PL mapping Std'!$A:$E,5,0)))=0,"",IF(A102="BS",IFERROR(VLOOKUP(TRIM($E102),'BS Mapping std'!$A:$H,8,0),VLOOKUP(TRIM($D102),'BS Mapping std'!$A:$H,8,0)),IFERROR(VLOOKUP(TRIM($E102),'PL mapping Std'!$A:$E,5,0),VLOOKUP(TRIM($D102),'PL mapping Std'!$A:$E,5,0))))</f>
        <v/>
      </c>
      <c r="W102">
        <f>_xlfn.IFERROR(VLOOKUP(E102,'F30 mapping'!A:D,4,0),VLOOKUP(D102,'F30 mapping'!A:D,4,0))</f>
        <v/>
      </c>
      <c r="X102">
        <f>IF(B102&lt;6,IFERROR(VLOOKUP(E102,'BS Mapping std'!A:M,13,0),VLOOKUP(D102,'BS Mapping std'!A:M,13,0)),0)</f>
        <v/>
      </c>
      <c r="Y102">
        <f>IF(B102&lt;6,IFERROR(VLOOKUP(E102,'BS Mapping std'!A:N,14,0),VLOOKUP(D102,'BS Mapping std'!A:N,14,0)),0)</f>
        <v/>
      </c>
    </row>
    <row r="103" spans="1:25">
      <c r="A103">
        <f>IF(B103&lt;6,"BS",IF(B103=6,"Exp","Rev"))</f>
        <v/>
      </c>
      <c r="B103">
        <f>_xlfn.NUMBERVALUE(LEFT(F103,1))</f>
        <v/>
      </c>
      <c r="C103">
        <f>Left(F103,2)</f>
        <v/>
      </c>
      <c r="D103">
        <f>Left(F103,3)</f>
        <v/>
      </c>
      <c r="E103">
        <f>IF(F103="121",Left(F103,3)&amp;"0",Left(F103,4))</f>
        <v/>
      </c>
      <c r="F103" t="n">
        <v>40800040</v>
      </c>
      <c r="G103" t="s">
        <v>124</v>
      </c>
      <c r="H103" s="9" t="n">
        <v>0</v>
      </c>
      <c r="I103" s="9" t="n">
        <v>585151</v>
      </c>
      <c r="J103" s="9" t="n">
        <v>585151</v>
      </c>
      <c r="K103" s="9" t="n">
        <v>0</v>
      </c>
      <c r="L103" s="9">
        <f>K103-H103</f>
        <v/>
      </c>
      <c r="M103" s="32">
        <f>IFERROR(L103/H103," ")</f>
        <v/>
      </c>
      <c r="N103">
        <f>IF(A103="BS",IFERROR(VLOOKUP(TRIM($E103),'BS Mapping std'!$A:$D,4,0),VLOOKUP(TRIM($D103),'BS Mapping std'!$A:$D,4,0)),IFERROR(VLOOKUP(TRIM($E103),'PL mapping Std'!$A:$D,4,0),VLOOKUP(TRIM($D103),'PL mapping Std'!$A:$D,4,0)))</f>
        <v/>
      </c>
      <c r="O103">
        <f>_xlfn.IFERROR(VLOOKUP(E103,'F30 mapping'!A:C,3,0),VLOOKUP(D103,'F30 mapping'!A:C,3,0))</f>
        <v/>
      </c>
      <c r="P103">
        <f>_xlfn.IFERROR(IFERROR(VLOOKUP(E103,'F40 mapping'!A:C,3,0),VLOOKUP(D103,'F40 mapping'!A:C,3,0)),0)</f>
        <v/>
      </c>
      <c r="Q103">
        <f>_xlfn.IFERROR(IFERROR(VLOOKUP(E103,'F40 mapping'!A:D,4,0),VLOOKUP(D103,'F40 mapping'!A:D,4,0)),0)</f>
        <v/>
      </c>
      <c r="R103">
        <f>_xlfn.IFERROR(IFERROR(VLOOKUP(E103,'F40 mapping'!A:E,5,0),VLOOKUP(D103,'F40 mapping'!A:E,5,0)),0)</f>
        <v/>
      </c>
      <c r="S103">
        <f>_xlfn.IF(B103&lt;6,IFERROR(VLOOKUP(E103,'BS Mapping std'!A:E,5,0),VLOOKUP(D103,'BS Mapping std'!A:E,5,0)),IFERROR(VLOOKUP(E103,'PL mapping Std'!A:F,6,0),VLOOKUP(D103,'PL mapping Std'!A:F,6,0)))</f>
        <v/>
      </c>
      <c r="T103">
        <f>_xlfn.IF(B103&lt;6,IFERROR(VLOOKUP(E103,'BS Mapping std'!A:F,6,0),VLOOKUP(D103,'BS Mapping std'!A:F,6,0)),IFERROR(VLOOKUP(E103,'PL mapping Std'!A:G,7,0),VLOOKUP(D103,'PL mapping Std'!A:G,7,0)))</f>
        <v/>
      </c>
      <c r="V103">
        <f>IF(IF(A103="BS",IFERROR(VLOOKUP(TRIM($E103),'BS Mapping std'!$A:$H,8,0),VLOOKUP(TRIM($D103),'BS Mapping std'!$A:$H,8,0)),IFERROR(VLOOKUP(TRIM($E103),'PL mapping Std'!$A:$E,5,0),VLOOKUP(TRIM($D103),'PL mapping Std'!$A:$E,5,0)))=0,"",IF(A103="BS",IFERROR(VLOOKUP(TRIM($E103),'BS Mapping std'!$A:$H,8,0),VLOOKUP(TRIM($D103),'BS Mapping std'!$A:$H,8,0)),IFERROR(VLOOKUP(TRIM($E103),'PL mapping Std'!$A:$E,5,0),VLOOKUP(TRIM($D103),'PL mapping Std'!$A:$E,5,0))))</f>
        <v/>
      </c>
      <c r="W103">
        <f>_xlfn.IFERROR(VLOOKUP(E103,'F30 mapping'!A:D,4,0),VLOOKUP(D103,'F30 mapping'!A:D,4,0))</f>
        <v/>
      </c>
      <c r="X103">
        <f>IF(B103&lt;6,IFERROR(VLOOKUP(E103,'BS Mapping std'!A:M,13,0),VLOOKUP(D103,'BS Mapping std'!A:M,13,0)),0)</f>
        <v/>
      </c>
      <c r="Y103">
        <f>IF(B103&lt;6,IFERROR(VLOOKUP(E103,'BS Mapping std'!A:N,14,0),VLOOKUP(D103,'BS Mapping std'!A:N,14,0)),0)</f>
        <v/>
      </c>
    </row>
    <row r="104" spans="1:25">
      <c r="A104">
        <f>IF(B104&lt;6,"BS",IF(B104=6,"Exp","Rev"))</f>
        <v/>
      </c>
      <c r="B104">
        <f>_xlfn.NUMBERVALUE(LEFT(F104,1))</f>
        <v/>
      </c>
      <c r="C104">
        <f>Left(F104,2)</f>
        <v/>
      </c>
      <c r="D104">
        <f>Left(F104,3)</f>
        <v/>
      </c>
      <c r="E104">
        <f>IF(F104="121",Left(F104,3)&amp;"0",Left(F104,4))</f>
        <v/>
      </c>
      <c r="F104" t="n">
        <v>40800050</v>
      </c>
      <c r="G104" t="s">
        <v>125</v>
      </c>
      <c r="H104" s="9" t="n">
        <v>-610110.09</v>
      </c>
      <c r="I104" s="9" t="n">
        <v>103552.24</v>
      </c>
      <c r="J104" s="9" t="n">
        <v>629704.1</v>
      </c>
      <c r="K104" s="9" t="n">
        <v>-1136261.95</v>
      </c>
      <c r="L104" s="9">
        <f>K104-H104</f>
        <v/>
      </c>
      <c r="M104" s="32">
        <f>IFERROR(L104/H104," ")</f>
        <v/>
      </c>
      <c r="N104">
        <f>IF(A104="BS",IFERROR(VLOOKUP(TRIM($E104),'BS Mapping std'!$A:$D,4,0),VLOOKUP(TRIM($D104),'BS Mapping std'!$A:$D,4,0)),IFERROR(VLOOKUP(TRIM($E104),'PL mapping Std'!$A:$D,4,0),VLOOKUP(TRIM($D104),'PL mapping Std'!$A:$D,4,0)))</f>
        <v/>
      </c>
      <c r="O104">
        <f>_xlfn.IFERROR(VLOOKUP(E104,'F30 mapping'!A:C,3,0),VLOOKUP(D104,'F30 mapping'!A:C,3,0))</f>
        <v/>
      </c>
      <c r="P104">
        <f>_xlfn.IFERROR(IFERROR(VLOOKUP(E104,'F40 mapping'!A:C,3,0),VLOOKUP(D104,'F40 mapping'!A:C,3,0)),0)</f>
        <v/>
      </c>
      <c r="Q104">
        <f>_xlfn.IFERROR(IFERROR(VLOOKUP(E104,'F40 mapping'!A:D,4,0),VLOOKUP(D104,'F40 mapping'!A:D,4,0)),0)</f>
        <v/>
      </c>
      <c r="R104">
        <f>_xlfn.IFERROR(IFERROR(VLOOKUP(E104,'F40 mapping'!A:E,5,0),VLOOKUP(D104,'F40 mapping'!A:E,5,0)),0)</f>
        <v/>
      </c>
      <c r="S104">
        <f>_xlfn.IF(B104&lt;6,IFERROR(VLOOKUP(E104,'BS Mapping std'!A:E,5,0),VLOOKUP(D104,'BS Mapping std'!A:E,5,0)),IFERROR(VLOOKUP(E104,'PL mapping Std'!A:F,6,0),VLOOKUP(D104,'PL mapping Std'!A:F,6,0)))</f>
        <v/>
      </c>
      <c r="T104">
        <f>_xlfn.IF(B104&lt;6,IFERROR(VLOOKUP(E104,'BS Mapping std'!A:F,6,0),VLOOKUP(D104,'BS Mapping std'!A:F,6,0)),IFERROR(VLOOKUP(E104,'PL mapping Std'!A:G,7,0),VLOOKUP(D104,'PL mapping Std'!A:G,7,0)))</f>
        <v/>
      </c>
      <c r="V104">
        <f>IF(IF(A104="BS",IFERROR(VLOOKUP(TRIM($E104),'BS Mapping std'!$A:$H,8,0),VLOOKUP(TRIM($D104),'BS Mapping std'!$A:$H,8,0)),IFERROR(VLOOKUP(TRIM($E104),'PL mapping Std'!$A:$E,5,0),VLOOKUP(TRIM($D104),'PL mapping Std'!$A:$E,5,0)))=0,"",IF(A104="BS",IFERROR(VLOOKUP(TRIM($E104),'BS Mapping std'!$A:$H,8,0),VLOOKUP(TRIM($D104),'BS Mapping std'!$A:$H,8,0)),IFERROR(VLOOKUP(TRIM($E104),'PL mapping Std'!$A:$E,5,0),VLOOKUP(TRIM($D104),'PL mapping Std'!$A:$E,5,0))))</f>
        <v/>
      </c>
      <c r="W104">
        <f>_xlfn.IFERROR(VLOOKUP(E104,'F30 mapping'!A:D,4,0),VLOOKUP(D104,'F30 mapping'!A:D,4,0))</f>
        <v/>
      </c>
      <c r="X104">
        <f>IF(B104&lt;6,IFERROR(VLOOKUP(E104,'BS Mapping std'!A:M,13,0),VLOOKUP(D104,'BS Mapping std'!A:M,13,0)),0)</f>
        <v/>
      </c>
      <c r="Y104">
        <f>IF(B104&lt;6,IFERROR(VLOOKUP(E104,'BS Mapping std'!A:N,14,0),VLOOKUP(D104,'BS Mapping std'!A:N,14,0)),0)</f>
        <v/>
      </c>
    </row>
    <row r="105" spans="1:25">
      <c r="A105">
        <f>IF(B105&lt;6,"BS",IF(B105=6,"Exp","Rev"))</f>
        <v/>
      </c>
      <c r="B105">
        <f>_xlfn.NUMBERVALUE(LEFT(F105,1))</f>
        <v/>
      </c>
      <c r="C105">
        <f>Left(F105,2)</f>
        <v/>
      </c>
      <c r="D105">
        <f>Left(F105,3)</f>
        <v/>
      </c>
      <c r="E105">
        <f>IF(F105="121",Left(F105,3)&amp;"0",Left(F105,4))</f>
        <v/>
      </c>
      <c r="F105" t="n">
        <v>40800060</v>
      </c>
      <c r="G105" t="s">
        <v>126</v>
      </c>
      <c r="H105" s="9" t="n">
        <v>-28474.74</v>
      </c>
      <c r="I105" s="9" t="n">
        <v>0</v>
      </c>
      <c r="J105" s="9" t="n">
        <v>-28474.74</v>
      </c>
      <c r="K105" s="9" t="n">
        <v>0</v>
      </c>
      <c r="L105" s="9">
        <f>K105-H105</f>
        <v/>
      </c>
      <c r="M105" s="32">
        <f>IFERROR(L105/H105," ")</f>
        <v/>
      </c>
      <c r="N105">
        <f>IF(A105="BS",IFERROR(VLOOKUP(TRIM($E105),'BS Mapping std'!$A:$D,4,0),VLOOKUP(TRIM($D105),'BS Mapping std'!$A:$D,4,0)),IFERROR(VLOOKUP(TRIM($E105),'PL mapping Std'!$A:$D,4,0),VLOOKUP(TRIM($D105),'PL mapping Std'!$A:$D,4,0)))</f>
        <v/>
      </c>
      <c r="O105">
        <f>_xlfn.IFERROR(VLOOKUP(E105,'F30 mapping'!A:C,3,0),VLOOKUP(D105,'F30 mapping'!A:C,3,0))</f>
        <v/>
      </c>
      <c r="P105">
        <f>_xlfn.IFERROR(IFERROR(VLOOKUP(E105,'F40 mapping'!A:C,3,0),VLOOKUP(D105,'F40 mapping'!A:C,3,0)),0)</f>
        <v/>
      </c>
      <c r="Q105">
        <f>_xlfn.IFERROR(IFERROR(VLOOKUP(E105,'F40 mapping'!A:D,4,0),VLOOKUP(D105,'F40 mapping'!A:D,4,0)),0)</f>
        <v/>
      </c>
      <c r="R105">
        <f>_xlfn.IFERROR(IFERROR(VLOOKUP(E105,'F40 mapping'!A:E,5,0),VLOOKUP(D105,'F40 mapping'!A:E,5,0)),0)</f>
        <v/>
      </c>
      <c r="S105">
        <f>_xlfn.IF(B105&lt;6,IFERROR(VLOOKUP(E105,'BS Mapping std'!A:E,5,0),VLOOKUP(D105,'BS Mapping std'!A:E,5,0)),IFERROR(VLOOKUP(E105,'PL mapping Std'!A:F,6,0),VLOOKUP(D105,'PL mapping Std'!A:F,6,0)))</f>
        <v/>
      </c>
      <c r="T105">
        <f>_xlfn.IF(B105&lt;6,IFERROR(VLOOKUP(E105,'BS Mapping std'!A:F,6,0),VLOOKUP(D105,'BS Mapping std'!A:F,6,0)),IFERROR(VLOOKUP(E105,'PL mapping Std'!A:G,7,0),VLOOKUP(D105,'PL mapping Std'!A:G,7,0)))</f>
        <v/>
      </c>
      <c r="V105">
        <f>IF(IF(A105="BS",IFERROR(VLOOKUP(TRIM($E105),'BS Mapping std'!$A:$H,8,0),VLOOKUP(TRIM($D105),'BS Mapping std'!$A:$H,8,0)),IFERROR(VLOOKUP(TRIM($E105),'PL mapping Std'!$A:$E,5,0),VLOOKUP(TRIM($D105),'PL mapping Std'!$A:$E,5,0)))=0,"",IF(A105="BS",IFERROR(VLOOKUP(TRIM($E105),'BS Mapping std'!$A:$H,8,0),VLOOKUP(TRIM($D105),'BS Mapping std'!$A:$H,8,0)),IFERROR(VLOOKUP(TRIM($E105),'PL mapping Std'!$A:$E,5,0),VLOOKUP(TRIM($D105),'PL mapping Std'!$A:$E,5,0))))</f>
        <v/>
      </c>
      <c r="W105">
        <f>_xlfn.IFERROR(VLOOKUP(E105,'F30 mapping'!A:D,4,0),VLOOKUP(D105,'F30 mapping'!A:D,4,0))</f>
        <v/>
      </c>
      <c r="X105">
        <f>IF(B105&lt;6,IFERROR(VLOOKUP(E105,'BS Mapping std'!A:M,13,0),VLOOKUP(D105,'BS Mapping std'!A:M,13,0)),0)</f>
        <v/>
      </c>
      <c r="Y105">
        <f>IF(B105&lt;6,IFERROR(VLOOKUP(E105,'BS Mapping std'!A:N,14,0),VLOOKUP(D105,'BS Mapping std'!A:N,14,0)),0)</f>
        <v/>
      </c>
    </row>
    <row r="106" spans="1:25">
      <c r="A106">
        <f>IF(B106&lt;6,"BS",IF(B106=6,"Exp","Rev"))</f>
        <v/>
      </c>
      <c r="B106">
        <f>_xlfn.NUMBERVALUE(LEFT(F106,1))</f>
        <v/>
      </c>
      <c r="C106">
        <f>Left(F106,2)</f>
        <v/>
      </c>
      <c r="D106">
        <f>Left(F106,3)</f>
        <v/>
      </c>
      <c r="E106">
        <f>IF(F106="121",Left(F106,3)&amp;"0",Left(F106,4))</f>
        <v/>
      </c>
      <c r="F106" t="n">
        <v>40800070</v>
      </c>
      <c r="G106" t="s">
        <v>127</v>
      </c>
      <c r="H106" s="9" t="n">
        <v>-3117.62</v>
      </c>
      <c r="I106" s="9" t="n">
        <v>0</v>
      </c>
      <c r="J106" s="9" t="n">
        <v>4226.89</v>
      </c>
      <c r="K106" s="9" t="n">
        <v>-7344.51</v>
      </c>
      <c r="L106" s="9">
        <f>K106-H106</f>
        <v/>
      </c>
      <c r="M106" s="32">
        <f>IFERROR(L106/H106," ")</f>
        <v/>
      </c>
      <c r="N106">
        <f>IF(A106="BS",IFERROR(VLOOKUP(TRIM($E106),'BS Mapping std'!$A:$D,4,0),VLOOKUP(TRIM($D106),'BS Mapping std'!$A:$D,4,0)),IFERROR(VLOOKUP(TRIM($E106),'PL mapping Std'!$A:$D,4,0),VLOOKUP(TRIM($D106),'PL mapping Std'!$A:$D,4,0)))</f>
        <v/>
      </c>
      <c r="O106">
        <f>_xlfn.IFERROR(VLOOKUP(E106,'F30 mapping'!A:C,3,0),VLOOKUP(D106,'F30 mapping'!A:C,3,0))</f>
        <v/>
      </c>
      <c r="P106">
        <f>_xlfn.IFERROR(IFERROR(VLOOKUP(E106,'F40 mapping'!A:C,3,0),VLOOKUP(D106,'F40 mapping'!A:C,3,0)),0)</f>
        <v/>
      </c>
      <c r="Q106">
        <f>_xlfn.IFERROR(IFERROR(VLOOKUP(E106,'F40 mapping'!A:D,4,0),VLOOKUP(D106,'F40 mapping'!A:D,4,0)),0)</f>
        <v/>
      </c>
      <c r="R106">
        <f>_xlfn.IFERROR(IFERROR(VLOOKUP(E106,'F40 mapping'!A:E,5,0),VLOOKUP(D106,'F40 mapping'!A:E,5,0)),0)</f>
        <v/>
      </c>
      <c r="S106">
        <f>_xlfn.IF(B106&lt;6,IFERROR(VLOOKUP(E106,'BS Mapping std'!A:E,5,0),VLOOKUP(D106,'BS Mapping std'!A:E,5,0)),IFERROR(VLOOKUP(E106,'PL mapping Std'!A:F,6,0),VLOOKUP(D106,'PL mapping Std'!A:F,6,0)))</f>
        <v/>
      </c>
      <c r="T106">
        <f>_xlfn.IF(B106&lt;6,IFERROR(VLOOKUP(E106,'BS Mapping std'!A:F,6,0),VLOOKUP(D106,'BS Mapping std'!A:F,6,0)),IFERROR(VLOOKUP(E106,'PL mapping Std'!A:G,7,0),VLOOKUP(D106,'PL mapping Std'!A:G,7,0)))</f>
        <v/>
      </c>
      <c r="V106">
        <f>IF(IF(A106="BS",IFERROR(VLOOKUP(TRIM($E106),'BS Mapping std'!$A:$H,8,0),VLOOKUP(TRIM($D106),'BS Mapping std'!$A:$H,8,0)),IFERROR(VLOOKUP(TRIM($E106),'PL mapping Std'!$A:$E,5,0),VLOOKUP(TRIM($D106),'PL mapping Std'!$A:$E,5,0)))=0,"",IF(A106="BS",IFERROR(VLOOKUP(TRIM($E106),'BS Mapping std'!$A:$H,8,0),VLOOKUP(TRIM($D106),'BS Mapping std'!$A:$H,8,0)),IFERROR(VLOOKUP(TRIM($E106),'PL mapping Std'!$A:$E,5,0),VLOOKUP(TRIM($D106),'PL mapping Std'!$A:$E,5,0))))</f>
        <v/>
      </c>
      <c r="W106">
        <f>_xlfn.IFERROR(VLOOKUP(E106,'F30 mapping'!A:D,4,0),VLOOKUP(D106,'F30 mapping'!A:D,4,0))</f>
        <v/>
      </c>
      <c r="X106">
        <f>IF(B106&lt;6,IFERROR(VLOOKUP(E106,'BS Mapping std'!A:M,13,0),VLOOKUP(D106,'BS Mapping std'!A:M,13,0)),0)</f>
        <v/>
      </c>
      <c r="Y106">
        <f>IF(B106&lt;6,IFERROR(VLOOKUP(E106,'BS Mapping std'!A:N,14,0),VLOOKUP(D106,'BS Mapping std'!A:N,14,0)),0)</f>
        <v/>
      </c>
    </row>
    <row r="107" spans="1:25">
      <c r="A107">
        <f>IF(B107&lt;6,"BS",IF(B107=6,"Exp","Rev"))</f>
        <v/>
      </c>
      <c r="B107">
        <f>_xlfn.NUMBERVALUE(LEFT(F107,1))</f>
        <v/>
      </c>
      <c r="C107">
        <f>Left(F107,2)</f>
        <v/>
      </c>
      <c r="D107">
        <f>Left(F107,3)</f>
        <v/>
      </c>
      <c r="E107">
        <f>IF(F107="121",Left(F107,3)&amp;"0",Left(F107,4))</f>
        <v/>
      </c>
      <c r="F107" t="n">
        <v>40910000</v>
      </c>
      <c r="G107" t="s">
        <v>128</v>
      </c>
      <c r="H107" s="9" t="n">
        <v>552025.83</v>
      </c>
      <c r="I107" s="9" t="n">
        <v>621631.76</v>
      </c>
      <c r="J107" s="9" t="n">
        <v>113913.48</v>
      </c>
      <c r="K107" s="9" t="n">
        <v>1059744.11</v>
      </c>
      <c r="L107" s="9">
        <f>K107-H107</f>
        <v/>
      </c>
      <c r="M107" s="32">
        <f>IFERROR(L107/H107," ")</f>
        <v/>
      </c>
      <c r="N107">
        <f>IF(A107="BS",IFERROR(VLOOKUP(TRIM($E107),'BS Mapping std'!$A:$D,4,0),VLOOKUP(TRIM($D107),'BS Mapping std'!$A:$D,4,0)),IFERROR(VLOOKUP(TRIM($E107),'PL mapping Std'!$A:$D,4,0),VLOOKUP(TRIM($D107),'PL mapping Std'!$A:$D,4,0)))</f>
        <v/>
      </c>
      <c r="O107">
        <f>_xlfn.IFERROR(VLOOKUP(E107,'F30 mapping'!A:C,3,0),VLOOKUP(D107,'F30 mapping'!A:C,3,0))</f>
        <v/>
      </c>
      <c r="P107">
        <f>_xlfn.IFERROR(IFERROR(VLOOKUP(E107,'F40 mapping'!A:C,3,0),VLOOKUP(D107,'F40 mapping'!A:C,3,0)),0)</f>
        <v/>
      </c>
      <c r="Q107">
        <f>_xlfn.IFERROR(IFERROR(VLOOKUP(E107,'F40 mapping'!A:D,4,0),VLOOKUP(D107,'F40 mapping'!A:D,4,0)),0)</f>
        <v/>
      </c>
      <c r="R107">
        <f>_xlfn.IFERROR(IFERROR(VLOOKUP(E107,'F40 mapping'!A:E,5,0),VLOOKUP(D107,'F40 mapping'!A:E,5,0)),0)</f>
        <v/>
      </c>
      <c r="S107">
        <f>_xlfn.IF(B107&lt;6,IFERROR(VLOOKUP(E107,'BS Mapping std'!A:E,5,0),VLOOKUP(D107,'BS Mapping std'!A:E,5,0)),IFERROR(VLOOKUP(E107,'PL mapping Std'!A:F,6,0),VLOOKUP(D107,'PL mapping Std'!A:F,6,0)))</f>
        <v/>
      </c>
      <c r="T107">
        <f>_xlfn.IF(B107&lt;6,IFERROR(VLOOKUP(E107,'BS Mapping std'!A:F,6,0),VLOOKUP(D107,'BS Mapping std'!A:F,6,0)),IFERROR(VLOOKUP(E107,'PL mapping Std'!A:G,7,0),VLOOKUP(D107,'PL mapping Std'!A:G,7,0)))</f>
        <v/>
      </c>
      <c r="V107">
        <f>IF(IF(A107="BS",IFERROR(VLOOKUP(TRIM($E107),'BS Mapping std'!$A:$H,8,0),VLOOKUP(TRIM($D107),'BS Mapping std'!$A:$H,8,0)),IFERROR(VLOOKUP(TRIM($E107),'PL mapping Std'!$A:$E,5,0),VLOOKUP(TRIM($D107),'PL mapping Std'!$A:$E,5,0)))=0,"",IF(A107="BS",IFERROR(VLOOKUP(TRIM($E107),'BS Mapping std'!$A:$H,8,0),VLOOKUP(TRIM($D107),'BS Mapping std'!$A:$H,8,0)),IFERROR(VLOOKUP(TRIM($E107),'PL mapping Std'!$A:$E,5,0),VLOOKUP(TRIM($D107),'PL mapping Std'!$A:$E,5,0))))</f>
        <v/>
      </c>
      <c r="W107">
        <f>_xlfn.IFERROR(VLOOKUP(E107,'F30 mapping'!A:D,4,0),VLOOKUP(D107,'F30 mapping'!A:D,4,0))</f>
        <v/>
      </c>
      <c r="X107">
        <f>IF(B107&lt;6,IFERROR(VLOOKUP(E107,'BS Mapping std'!A:M,13,0),VLOOKUP(D107,'BS Mapping std'!A:M,13,0)),0)</f>
        <v/>
      </c>
      <c r="Y107">
        <f>IF(B107&lt;6,IFERROR(VLOOKUP(E107,'BS Mapping std'!A:N,14,0),VLOOKUP(D107,'BS Mapping std'!A:N,14,0)),0)</f>
        <v/>
      </c>
    </row>
    <row r="108" spans="1:25">
      <c r="A108">
        <f>IF(B108&lt;6,"BS",IF(B108=6,"Exp","Rev"))</f>
        <v/>
      </c>
      <c r="B108">
        <f>_xlfn.NUMBERVALUE(LEFT(F108,1))</f>
        <v/>
      </c>
      <c r="C108">
        <f>Left(F108,2)</f>
        <v/>
      </c>
      <c r="D108">
        <f>Left(F108,3)</f>
        <v/>
      </c>
      <c r="E108">
        <f>IF(F108="121",Left(F108,3)&amp;"0",Left(F108,4))</f>
        <v/>
      </c>
      <c r="F108" t="n">
        <v>40920010</v>
      </c>
      <c r="G108" t="s">
        <v>129</v>
      </c>
      <c r="H108" s="9" t="n">
        <v>0</v>
      </c>
      <c r="I108" s="9" t="n">
        <v>6681.15</v>
      </c>
      <c r="J108" s="9" t="n">
        <v>0</v>
      </c>
      <c r="K108" s="9" t="n">
        <v>6681.15</v>
      </c>
      <c r="L108" s="9">
        <f>K108-H108</f>
        <v/>
      </c>
      <c r="M108" s="32">
        <f>IFERROR(L108/H108," ")</f>
        <v/>
      </c>
      <c r="N108">
        <f>IF(A108="BS",IFERROR(VLOOKUP(TRIM($E108),'BS Mapping std'!$A:$D,4,0),VLOOKUP(TRIM($D108),'BS Mapping std'!$A:$D,4,0)),IFERROR(VLOOKUP(TRIM($E108),'PL mapping Std'!$A:$D,4,0),VLOOKUP(TRIM($D108),'PL mapping Std'!$A:$D,4,0)))</f>
        <v/>
      </c>
      <c r="O108">
        <f>_xlfn.IFERROR(VLOOKUP(E108,'F30 mapping'!A:C,3,0),VLOOKUP(D108,'F30 mapping'!A:C,3,0))</f>
        <v/>
      </c>
      <c r="P108">
        <f>_xlfn.IFERROR(IFERROR(VLOOKUP(E108,'F40 mapping'!A:C,3,0),VLOOKUP(D108,'F40 mapping'!A:C,3,0)),0)</f>
        <v/>
      </c>
      <c r="Q108">
        <f>_xlfn.IFERROR(IFERROR(VLOOKUP(E108,'F40 mapping'!A:D,4,0),VLOOKUP(D108,'F40 mapping'!A:D,4,0)),0)</f>
        <v/>
      </c>
      <c r="R108">
        <f>_xlfn.IFERROR(IFERROR(VLOOKUP(E108,'F40 mapping'!A:E,5,0),VLOOKUP(D108,'F40 mapping'!A:E,5,0)),0)</f>
        <v/>
      </c>
      <c r="S108">
        <f>_xlfn.IF(B108&lt;6,IFERROR(VLOOKUP(E108,'BS Mapping std'!A:E,5,0),VLOOKUP(D108,'BS Mapping std'!A:E,5,0)),IFERROR(VLOOKUP(E108,'PL mapping Std'!A:F,6,0),VLOOKUP(D108,'PL mapping Std'!A:F,6,0)))</f>
        <v/>
      </c>
      <c r="T108">
        <f>_xlfn.IF(B108&lt;6,IFERROR(VLOOKUP(E108,'BS Mapping std'!A:F,6,0),VLOOKUP(D108,'BS Mapping std'!A:F,6,0)),IFERROR(VLOOKUP(E108,'PL mapping Std'!A:G,7,0),VLOOKUP(D108,'PL mapping Std'!A:G,7,0)))</f>
        <v/>
      </c>
      <c r="V108">
        <f>IF(IF(A108="BS",IFERROR(VLOOKUP(TRIM($E108),'BS Mapping std'!$A:$H,8,0),VLOOKUP(TRIM($D108),'BS Mapping std'!$A:$H,8,0)),IFERROR(VLOOKUP(TRIM($E108),'PL mapping Std'!$A:$E,5,0),VLOOKUP(TRIM($D108),'PL mapping Std'!$A:$E,5,0)))=0,"",IF(A108="BS",IFERROR(VLOOKUP(TRIM($E108),'BS Mapping std'!$A:$H,8,0),VLOOKUP(TRIM($D108),'BS Mapping std'!$A:$H,8,0)),IFERROR(VLOOKUP(TRIM($E108),'PL mapping Std'!$A:$E,5,0),VLOOKUP(TRIM($D108),'PL mapping Std'!$A:$E,5,0))))</f>
        <v/>
      </c>
      <c r="W108">
        <f>_xlfn.IFERROR(VLOOKUP(E108,'F30 mapping'!A:D,4,0),VLOOKUP(D108,'F30 mapping'!A:D,4,0))</f>
        <v/>
      </c>
      <c r="X108">
        <f>IF(B108&lt;6,IFERROR(VLOOKUP(E108,'BS Mapping std'!A:M,13,0),VLOOKUP(D108,'BS Mapping std'!A:M,13,0)),0)</f>
        <v/>
      </c>
      <c r="Y108">
        <f>IF(B108&lt;6,IFERROR(VLOOKUP(E108,'BS Mapping std'!A:N,14,0),VLOOKUP(D108,'BS Mapping std'!A:N,14,0)),0)</f>
        <v/>
      </c>
    </row>
    <row r="109" spans="1:25">
      <c r="A109">
        <f>IF(B109&lt;6,"BS",IF(B109=6,"Exp","Rev"))</f>
        <v/>
      </c>
      <c r="B109">
        <f>_xlfn.NUMBERVALUE(LEFT(F109,1))</f>
        <v/>
      </c>
      <c r="C109">
        <f>Left(F109,2)</f>
        <v/>
      </c>
      <c r="D109">
        <f>Left(F109,3)</f>
        <v/>
      </c>
      <c r="E109">
        <f>IF(F109="121",Left(F109,3)&amp;"0",Left(F109,4))</f>
        <v/>
      </c>
      <c r="F109" t="n">
        <v>41110010</v>
      </c>
      <c r="G109" t="s">
        <v>130</v>
      </c>
      <c r="H109" s="9" t="n">
        <v>3037184.29</v>
      </c>
      <c r="I109" s="9" t="n">
        <v>27484875.28</v>
      </c>
      <c r="J109" s="9" t="n">
        <v>27686943.15</v>
      </c>
      <c r="K109" s="9" t="n">
        <v>2835116.42</v>
      </c>
      <c r="L109" s="9">
        <f>K109-H109</f>
        <v/>
      </c>
      <c r="M109" s="32">
        <f>IFERROR(L109/H109," ")</f>
        <v/>
      </c>
      <c r="N109">
        <f>IF(A109="BS",IFERROR(VLOOKUP(TRIM($E109),'BS Mapping std'!$A:$D,4,0),VLOOKUP(TRIM($D109),'BS Mapping std'!$A:$D,4,0)),IFERROR(VLOOKUP(TRIM($E109),'PL mapping Std'!$A:$D,4,0),VLOOKUP(TRIM($D109),'PL mapping Std'!$A:$D,4,0)))</f>
        <v/>
      </c>
      <c r="O109">
        <f>_xlfn.IFERROR(VLOOKUP(E109,'F30 mapping'!A:C,3,0),VLOOKUP(D109,'F30 mapping'!A:C,3,0))</f>
        <v/>
      </c>
      <c r="P109">
        <f>_xlfn.IFERROR(IFERROR(VLOOKUP(E109,'F40 mapping'!A:C,3,0),VLOOKUP(D109,'F40 mapping'!A:C,3,0)),0)</f>
        <v/>
      </c>
      <c r="Q109">
        <f>_xlfn.IFERROR(IFERROR(VLOOKUP(E109,'F40 mapping'!A:D,4,0),VLOOKUP(D109,'F40 mapping'!A:D,4,0)),0)</f>
        <v/>
      </c>
      <c r="R109">
        <f>_xlfn.IFERROR(IFERROR(VLOOKUP(E109,'F40 mapping'!A:E,5,0),VLOOKUP(D109,'F40 mapping'!A:E,5,0)),0)</f>
        <v/>
      </c>
      <c r="S109">
        <f>_xlfn.IF(B109&lt;6,IFERROR(VLOOKUP(E109,'BS Mapping std'!A:E,5,0),VLOOKUP(D109,'BS Mapping std'!A:E,5,0)),IFERROR(VLOOKUP(E109,'PL mapping Std'!A:F,6,0),VLOOKUP(D109,'PL mapping Std'!A:F,6,0)))</f>
        <v/>
      </c>
      <c r="T109">
        <f>_xlfn.IF(B109&lt;6,IFERROR(VLOOKUP(E109,'BS Mapping std'!A:F,6,0),VLOOKUP(D109,'BS Mapping std'!A:F,6,0)),IFERROR(VLOOKUP(E109,'PL mapping Std'!A:G,7,0),VLOOKUP(D109,'PL mapping Std'!A:G,7,0)))</f>
        <v/>
      </c>
      <c r="V109">
        <f>IF(IF(A109="BS",IFERROR(VLOOKUP(TRIM($E109),'BS Mapping std'!$A:$H,8,0),VLOOKUP(TRIM($D109),'BS Mapping std'!$A:$H,8,0)),IFERROR(VLOOKUP(TRIM($E109),'PL mapping Std'!$A:$E,5,0),VLOOKUP(TRIM($D109),'PL mapping Std'!$A:$E,5,0)))=0,"",IF(A109="BS",IFERROR(VLOOKUP(TRIM($E109),'BS Mapping std'!$A:$H,8,0),VLOOKUP(TRIM($D109),'BS Mapping std'!$A:$H,8,0)),IFERROR(VLOOKUP(TRIM($E109),'PL mapping Std'!$A:$E,5,0),VLOOKUP(TRIM($D109),'PL mapping Std'!$A:$E,5,0))))</f>
        <v/>
      </c>
      <c r="W109">
        <f>_xlfn.IFERROR(VLOOKUP(E109,'F30 mapping'!A:D,4,0),VLOOKUP(D109,'F30 mapping'!A:D,4,0))</f>
        <v/>
      </c>
      <c r="X109">
        <f>IF(B109&lt;6,IFERROR(VLOOKUP(E109,'BS Mapping std'!A:M,13,0),VLOOKUP(D109,'BS Mapping std'!A:M,13,0)),0)</f>
        <v/>
      </c>
      <c r="Y109">
        <f>IF(B109&lt;6,IFERROR(VLOOKUP(E109,'BS Mapping std'!A:N,14,0),VLOOKUP(D109,'BS Mapping std'!A:N,14,0)),0)</f>
        <v/>
      </c>
    </row>
    <row r="110" spans="1:25">
      <c r="A110">
        <f>IF(B110&lt;6,"BS",IF(B110=6,"Exp","Rev"))</f>
        <v/>
      </c>
      <c r="B110">
        <f>_xlfn.NUMBERVALUE(LEFT(F110,1))</f>
        <v/>
      </c>
      <c r="C110">
        <f>Left(F110,2)</f>
        <v/>
      </c>
      <c r="D110">
        <f>Left(F110,3)</f>
        <v/>
      </c>
      <c r="E110">
        <f>IF(F110="121",Left(F110,3)&amp;"0",Left(F110,4))</f>
        <v/>
      </c>
      <c r="F110" t="n">
        <v>41110020</v>
      </c>
      <c r="G110" t="s">
        <v>131</v>
      </c>
      <c r="H110" s="9" t="n">
        <v>142259.1</v>
      </c>
      <c r="I110" s="9" t="n">
        <v>1733963.39</v>
      </c>
      <c r="J110" s="9" t="n">
        <v>1780899.9</v>
      </c>
      <c r="K110" s="9" t="n">
        <v>95322.59</v>
      </c>
      <c r="L110" s="9">
        <f>K110-H110</f>
        <v/>
      </c>
      <c r="M110" s="32">
        <f>IFERROR(L110/H110," ")</f>
        <v/>
      </c>
      <c r="N110">
        <f>IF(A110="BS",IFERROR(VLOOKUP(TRIM($E110),'BS Mapping std'!$A:$D,4,0),VLOOKUP(TRIM($D110),'BS Mapping std'!$A:$D,4,0)),IFERROR(VLOOKUP(TRIM($E110),'PL mapping Std'!$A:$D,4,0),VLOOKUP(TRIM($D110),'PL mapping Std'!$A:$D,4,0)))</f>
        <v/>
      </c>
      <c r="O110">
        <f>_xlfn.IFERROR(VLOOKUP(E110,'F30 mapping'!A:C,3,0),VLOOKUP(D110,'F30 mapping'!A:C,3,0))</f>
        <v/>
      </c>
      <c r="P110">
        <f>_xlfn.IFERROR(IFERROR(VLOOKUP(E110,'F40 mapping'!A:C,3,0),VLOOKUP(D110,'F40 mapping'!A:C,3,0)),0)</f>
        <v/>
      </c>
      <c r="Q110">
        <f>_xlfn.IFERROR(IFERROR(VLOOKUP(E110,'F40 mapping'!A:D,4,0),VLOOKUP(D110,'F40 mapping'!A:D,4,0)),0)</f>
        <v/>
      </c>
      <c r="R110">
        <f>_xlfn.IFERROR(IFERROR(VLOOKUP(E110,'F40 mapping'!A:E,5,0),VLOOKUP(D110,'F40 mapping'!A:E,5,0)),0)</f>
        <v/>
      </c>
      <c r="S110">
        <f>_xlfn.IF(B110&lt;6,IFERROR(VLOOKUP(E110,'BS Mapping std'!A:E,5,0),VLOOKUP(D110,'BS Mapping std'!A:E,5,0)),IFERROR(VLOOKUP(E110,'PL mapping Std'!A:F,6,0),VLOOKUP(D110,'PL mapping Std'!A:F,6,0)))</f>
        <v/>
      </c>
      <c r="T110">
        <f>_xlfn.IF(B110&lt;6,IFERROR(VLOOKUP(E110,'BS Mapping std'!A:F,6,0),VLOOKUP(D110,'BS Mapping std'!A:F,6,0)),IFERROR(VLOOKUP(E110,'PL mapping Std'!A:G,7,0),VLOOKUP(D110,'PL mapping Std'!A:G,7,0)))</f>
        <v/>
      </c>
      <c r="V110">
        <f>IF(IF(A110="BS",IFERROR(VLOOKUP(TRIM($E110),'BS Mapping std'!$A:$H,8,0),VLOOKUP(TRIM($D110),'BS Mapping std'!$A:$H,8,0)),IFERROR(VLOOKUP(TRIM($E110),'PL mapping Std'!$A:$E,5,0),VLOOKUP(TRIM($D110),'PL mapping Std'!$A:$E,5,0)))=0,"",IF(A110="BS",IFERROR(VLOOKUP(TRIM($E110),'BS Mapping std'!$A:$H,8,0),VLOOKUP(TRIM($D110),'BS Mapping std'!$A:$H,8,0)),IFERROR(VLOOKUP(TRIM($E110),'PL mapping Std'!$A:$E,5,0),VLOOKUP(TRIM($D110),'PL mapping Std'!$A:$E,5,0))))</f>
        <v/>
      </c>
      <c r="W110">
        <f>_xlfn.IFERROR(VLOOKUP(E110,'F30 mapping'!A:D,4,0),VLOOKUP(D110,'F30 mapping'!A:D,4,0))</f>
        <v/>
      </c>
      <c r="X110">
        <f>IF(B110&lt;6,IFERROR(VLOOKUP(E110,'BS Mapping std'!A:M,13,0),VLOOKUP(D110,'BS Mapping std'!A:M,13,0)),0)</f>
        <v/>
      </c>
      <c r="Y110">
        <f>IF(B110&lt;6,IFERROR(VLOOKUP(E110,'BS Mapping std'!A:N,14,0),VLOOKUP(D110,'BS Mapping std'!A:N,14,0)),0)</f>
        <v/>
      </c>
    </row>
    <row r="111" spans="1:25">
      <c r="A111">
        <f>IF(B111&lt;6,"BS",IF(B111=6,"Exp","Rev"))</f>
        <v/>
      </c>
      <c r="B111">
        <f>_xlfn.NUMBERVALUE(LEFT(F111,1))</f>
        <v/>
      </c>
      <c r="C111">
        <f>Left(F111,2)</f>
        <v/>
      </c>
      <c r="D111">
        <f>Left(F111,3)</f>
        <v/>
      </c>
      <c r="E111">
        <f>IF(F111="121",Left(F111,3)&amp;"0",Left(F111,4))</f>
        <v/>
      </c>
      <c r="F111" t="n">
        <v>41110300</v>
      </c>
      <c r="G111" t="s">
        <v>132</v>
      </c>
      <c r="H111" s="9" t="n">
        <v>3156975.68</v>
      </c>
      <c r="I111" s="9" t="n">
        <v>175228423.35</v>
      </c>
      <c r="J111" s="9" t="n">
        <v>172992554.66</v>
      </c>
      <c r="K111" s="9" t="n">
        <v>5392844.37</v>
      </c>
      <c r="L111" s="9">
        <f>K111-H111</f>
        <v/>
      </c>
      <c r="M111" s="32">
        <f>IFERROR(L111/H111," ")</f>
        <v/>
      </c>
      <c r="N111">
        <f>IF(A111="BS",IFERROR(VLOOKUP(TRIM($E111),'BS Mapping std'!$A:$D,4,0),VLOOKUP(TRIM($D111),'BS Mapping std'!$A:$D,4,0)),IFERROR(VLOOKUP(TRIM($E111),'PL mapping Std'!$A:$D,4,0),VLOOKUP(TRIM($D111),'PL mapping Std'!$A:$D,4,0)))</f>
        <v/>
      </c>
      <c r="O111">
        <f>_xlfn.IFERROR(VLOOKUP(E111,'F30 mapping'!A:C,3,0),VLOOKUP(D111,'F30 mapping'!A:C,3,0))</f>
        <v/>
      </c>
      <c r="P111">
        <f>_xlfn.IFERROR(IFERROR(VLOOKUP(E111,'F40 mapping'!A:C,3,0),VLOOKUP(D111,'F40 mapping'!A:C,3,0)),0)</f>
        <v/>
      </c>
      <c r="Q111">
        <f>_xlfn.IFERROR(IFERROR(VLOOKUP(E111,'F40 mapping'!A:D,4,0),VLOOKUP(D111,'F40 mapping'!A:D,4,0)),0)</f>
        <v/>
      </c>
      <c r="R111">
        <f>_xlfn.IFERROR(IFERROR(VLOOKUP(E111,'F40 mapping'!A:E,5,0),VLOOKUP(D111,'F40 mapping'!A:E,5,0)),0)</f>
        <v/>
      </c>
      <c r="S111">
        <f>_xlfn.IF(B111&lt;6,IFERROR(VLOOKUP(E111,'BS Mapping std'!A:E,5,0),VLOOKUP(D111,'BS Mapping std'!A:E,5,0)),IFERROR(VLOOKUP(E111,'PL mapping Std'!A:F,6,0),VLOOKUP(D111,'PL mapping Std'!A:F,6,0)))</f>
        <v/>
      </c>
      <c r="T111">
        <f>_xlfn.IF(B111&lt;6,IFERROR(VLOOKUP(E111,'BS Mapping std'!A:F,6,0),VLOOKUP(D111,'BS Mapping std'!A:F,6,0)),IFERROR(VLOOKUP(E111,'PL mapping Std'!A:G,7,0),VLOOKUP(D111,'PL mapping Std'!A:G,7,0)))</f>
        <v/>
      </c>
      <c r="V111">
        <f>IF(IF(A111="BS",IFERROR(VLOOKUP(TRIM($E111),'BS Mapping std'!$A:$H,8,0),VLOOKUP(TRIM($D111),'BS Mapping std'!$A:$H,8,0)),IFERROR(VLOOKUP(TRIM($E111),'PL mapping Std'!$A:$E,5,0),VLOOKUP(TRIM($D111),'PL mapping Std'!$A:$E,5,0)))=0,"",IF(A111="BS",IFERROR(VLOOKUP(TRIM($E111),'BS Mapping std'!$A:$H,8,0),VLOOKUP(TRIM($D111),'BS Mapping std'!$A:$H,8,0)),IFERROR(VLOOKUP(TRIM($E111),'PL mapping Std'!$A:$E,5,0),VLOOKUP(TRIM($D111),'PL mapping Std'!$A:$E,5,0))))</f>
        <v/>
      </c>
      <c r="W111">
        <f>_xlfn.IFERROR(VLOOKUP(E111,'F30 mapping'!A:D,4,0),VLOOKUP(D111,'F30 mapping'!A:D,4,0))</f>
        <v/>
      </c>
      <c r="X111">
        <f>IF(B111&lt;6,IFERROR(VLOOKUP(E111,'BS Mapping std'!A:M,13,0),VLOOKUP(D111,'BS Mapping std'!A:M,13,0)),0)</f>
        <v/>
      </c>
      <c r="Y111">
        <f>IF(B111&lt;6,IFERROR(VLOOKUP(E111,'BS Mapping std'!A:N,14,0),VLOOKUP(D111,'BS Mapping std'!A:N,14,0)),0)</f>
        <v/>
      </c>
    </row>
    <row r="112" spans="1:25">
      <c r="A112">
        <f>IF(B112&lt;6,"BS",IF(B112=6,"Exp","Rev"))</f>
        <v/>
      </c>
      <c r="B112">
        <f>_xlfn.NUMBERVALUE(LEFT(F112,1))</f>
        <v/>
      </c>
      <c r="C112">
        <f>Left(F112,2)</f>
        <v/>
      </c>
      <c r="D112">
        <f>Left(F112,3)</f>
        <v/>
      </c>
      <c r="E112">
        <f>IF(F112="121",Left(F112,3)&amp;"0",Left(F112,4))</f>
        <v/>
      </c>
      <c r="F112" t="n">
        <v>41110310</v>
      </c>
      <c r="G112" t="s">
        <v>133</v>
      </c>
      <c r="H112" s="9" t="n">
        <v>10123.36</v>
      </c>
      <c r="I112" s="9" t="n">
        <v>1258188.72</v>
      </c>
      <c r="J112" s="9" t="n">
        <v>1219328.48</v>
      </c>
      <c r="K112" s="9" t="n">
        <v>48983.6</v>
      </c>
      <c r="L112" s="9">
        <f>K112-H112</f>
        <v/>
      </c>
      <c r="M112" s="32">
        <f>IFERROR(L112/H112," ")</f>
        <v/>
      </c>
      <c r="N112">
        <f>IF(A112="BS",IFERROR(VLOOKUP(TRIM($E112),'BS Mapping std'!$A:$D,4,0),VLOOKUP(TRIM($D112),'BS Mapping std'!$A:$D,4,0)),IFERROR(VLOOKUP(TRIM($E112),'PL mapping Std'!$A:$D,4,0),VLOOKUP(TRIM($D112),'PL mapping Std'!$A:$D,4,0)))</f>
        <v/>
      </c>
      <c r="O112">
        <f>_xlfn.IFERROR(VLOOKUP(E112,'F30 mapping'!A:C,3,0),VLOOKUP(D112,'F30 mapping'!A:C,3,0))</f>
        <v/>
      </c>
      <c r="P112">
        <f>_xlfn.IFERROR(IFERROR(VLOOKUP(E112,'F40 mapping'!A:C,3,0),VLOOKUP(D112,'F40 mapping'!A:C,3,0)),0)</f>
        <v/>
      </c>
      <c r="Q112">
        <f>_xlfn.IFERROR(IFERROR(VLOOKUP(E112,'F40 mapping'!A:D,4,0),VLOOKUP(D112,'F40 mapping'!A:D,4,0)),0)</f>
        <v/>
      </c>
      <c r="R112">
        <f>_xlfn.IFERROR(IFERROR(VLOOKUP(E112,'F40 mapping'!A:E,5,0),VLOOKUP(D112,'F40 mapping'!A:E,5,0)),0)</f>
        <v/>
      </c>
      <c r="S112">
        <f>_xlfn.IF(B112&lt;6,IFERROR(VLOOKUP(E112,'BS Mapping std'!A:E,5,0),VLOOKUP(D112,'BS Mapping std'!A:E,5,0)),IFERROR(VLOOKUP(E112,'PL mapping Std'!A:F,6,0),VLOOKUP(D112,'PL mapping Std'!A:F,6,0)))</f>
        <v/>
      </c>
      <c r="T112">
        <f>_xlfn.IF(B112&lt;6,IFERROR(VLOOKUP(E112,'BS Mapping std'!A:F,6,0),VLOOKUP(D112,'BS Mapping std'!A:F,6,0)),IFERROR(VLOOKUP(E112,'PL mapping Std'!A:G,7,0),VLOOKUP(D112,'PL mapping Std'!A:G,7,0)))</f>
        <v/>
      </c>
      <c r="V112">
        <f>IF(IF(A112="BS",IFERROR(VLOOKUP(TRIM($E112),'BS Mapping std'!$A:$H,8,0),VLOOKUP(TRIM($D112),'BS Mapping std'!$A:$H,8,0)),IFERROR(VLOOKUP(TRIM($E112),'PL mapping Std'!$A:$E,5,0),VLOOKUP(TRIM($D112),'PL mapping Std'!$A:$E,5,0)))=0,"",IF(A112="BS",IFERROR(VLOOKUP(TRIM($E112),'BS Mapping std'!$A:$H,8,0),VLOOKUP(TRIM($D112),'BS Mapping std'!$A:$H,8,0)),IFERROR(VLOOKUP(TRIM($E112),'PL mapping Std'!$A:$E,5,0),VLOOKUP(TRIM($D112),'PL mapping Std'!$A:$E,5,0))))</f>
        <v/>
      </c>
      <c r="W112">
        <f>_xlfn.IFERROR(VLOOKUP(E112,'F30 mapping'!A:D,4,0),VLOOKUP(D112,'F30 mapping'!A:D,4,0))</f>
        <v/>
      </c>
      <c r="X112">
        <f>IF(B112&lt;6,IFERROR(VLOOKUP(E112,'BS Mapping std'!A:M,13,0),VLOOKUP(D112,'BS Mapping std'!A:M,13,0)),0)</f>
        <v/>
      </c>
      <c r="Y112">
        <f>IF(B112&lt;6,IFERROR(VLOOKUP(E112,'BS Mapping std'!A:N,14,0),VLOOKUP(D112,'BS Mapping std'!A:N,14,0)),0)</f>
        <v/>
      </c>
    </row>
    <row r="113" spans="1:25">
      <c r="A113">
        <f>IF(B113&lt;6,"BS",IF(B113=6,"Exp","Rev"))</f>
        <v/>
      </c>
      <c r="B113">
        <f>_xlfn.NUMBERVALUE(LEFT(F113,1))</f>
        <v/>
      </c>
      <c r="C113">
        <f>Left(F113,2)</f>
        <v/>
      </c>
      <c r="D113">
        <f>Left(F113,3)</f>
        <v/>
      </c>
      <c r="E113">
        <f>IF(F113="121",Left(F113,3)&amp;"0",Left(F113,4))</f>
        <v/>
      </c>
      <c r="F113" t="n">
        <v>41110350</v>
      </c>
      <c r="G113" t="s">
        <v>134</v>
      </c>
      <c r="H113" s="9" t="n">
        <v>4305.4</v>
      </c>
      <c r="I113" s="9" t="n">
        <v>83833.48</v>
      </c>
      <c r="J113" s="9" t="n">
        <v>85565.08</v>
      </c>
      <c r="K113" s="9" t="n">
        <v>2573.8</v>
      </c>
      <c r="L113" s="9">
        <f>K113-H113</f>
        <v/>
      </c>
      <c r="M113" s="32">
        <f>IFERROR(L113/H113," ")</f>
        <v/>
      </c>
      <c r="N113">
        <f>IF(A113="BS",IFERROR(VLOOKUP(TRIM($E113),'BS Mapping std'!$A:$D,4,0),VLOOKUP(TRIM($D113),'BS Mapping std'!$A:$D,4,0)),IFERROR(VLOOKUP(TRIM($E113),'PL mapping Std'!$A:$D,4,0),VLOOKUP(TRIM($D113),'PL mapping Std'!$A:$D,4,0)))</f>
        <v/>
      </c>
      <c r="O113">
        <f>_xlfn.IFERROR(VLOOKUP(E113,'F30 mapping'!A:C,3,0),VLOOKUP(D113,'F30 mapping'!A:C,3,0))</f>
        <v/>
      </c>
      <c r="P113">
        <f>_xlfn.IFERROR(IFERROR(VLOOKUP(E113,'F40 mapping'!A:C,3,0),VLOOKUP(D113,'F40 mapping'!A:C,3,0)),0)</f>
        <v/>
      </c>
      <c r="Q113">
        <f>_xlfn.IFERROR(IFERROR(VLOOKUP(E113,'F40 mapping'!A:D,4,0),VLOOKUP(D113,'F40 mapping'!A:D,4,0)),0)</f>
        <v/>
      </c>
      <c r="R113">
        <f>_xlfn.IFERROR(IFERROR(VLOOKUP(E113,'F40 mapping'!A:E,5,0),VLOOKUP(D113,'F40 mapping'!A:E,5,0)),0)</f>
        <v/>
      </c>
      <c r="S113">
        <f>_xlfn.IF(B113&lt;6,IFERROR(VLOOKUP(E113,'BS Mapping std'!A:E,5,0),VLOOKUP(D113,'BS Mapping std'!A:E,5,0)),IFERROR(VLOOKUP(E113,'PL mapping Std'!A:F,6,0),VLOOKUP(D113,'PL mapping Std'!A:F,6,0)))</f>
        <v/>
      </c>
      <c r="T113">
        <f>_xlfn.IF(B113&lt;6,IFERROR(VLOOKUP(E113,'BS Mapping std'!A:F,6,0),VLOOKUP(D113,'BS Mapping std'!A:F,6,0)),IFERROR(VLOOKUP(E113,'PL mapping Std'!A:G,7,0),VLOOKUP(D113,'PL mapping Std'!A:G,7,0)))</f>
        <v/>
      </c>
      <c r="V113">
        <f>IF(IF(A113="BS",IFERROR(VLOOKUP(TRIM($E113),'BS Mapping std'!$A:$H,8,0),VLOOKUP(TRIM($D113),'BS Mapping std'!$A:$H,8,0)),IFERROR(VLOOKUP(TRIM($E113),'PL mapping Std'!$A:$E,5,0),VLOOKUP(TRIM($D113),'PL mapping Std'!$A:$E,5,0)))=0,"",IF(A113="BS",IFERROR(VLOOKUP(TRIM($E113),'BS Mapping std'!$A:$H,8,0),VLOOKUP(TRIM($D113),'BS Mapping std'!$A:$H,8,0)),IFERROR(VLOOKUP(TRIM($E113),'PL mapping Std'!$A:$E,5,0),VLOOKUP(TRIM($D113),'PL mapping Std'!$A:$E,5,0))))</f>
        <v/>
      </c>
      <c r="W113">
        <f>_xlfn.IFERROR(VLOOKUP(E113,'F30 mapping'!A:D,4,0),VLOOKUP(D113,'F30 mapping'!A:D,4,0))</f>
        <v/>
      </c>
      <c r="X113">
        <f>IF(B113&lt;6,IFERROR(VLOOKUP(E113,'BS Mapping std'!A:M,13,0),VLOOKUP(D113,'BS Mapping std'!A:M,13,0)),0)</f>
        <v/>
      </c>
      <c r="Y113">
        <f>IF(B113&lt;6,IFERROR(VLOOKUP(E113,'BS Mapping std'!A:N,14,0),VLOOKUP(D113,'BS Mapping std'!A:N,14,0)),0)</f>
        <v/>
      </c>
    </row>
    <row r="114" spans="1:25">
      <c r="A114">
        <f>IF(B114&lt;6,"BS",IF(B114=6,"Exp","Rev"))</f>
        <v/>
      </c>
      <c r="B114">
        <f>_xlfn.NUMBERVALUE(LEFT(F114,1))</f>
        <v/>
      </c>
      <c r="C114">
        <f>Left(F114,2)</f>
        <v/>
      </c>
      <c r="D114">
        <f>Left(F114,3)</f>
        <v/>
      </c>
      <c r="E114">
        <f>IF(F114="121",Left(F114,3)&amp;"0",Left(F114,4))</f>
        <v/>
      </c>
      <c r="F114" t="n">
        <v>41110370</v>
      </c>
      <c r="G114" t="s">
        <v>135</v>
      </c>
      <c r="H114" s="9" t="n">
        <v>27882.75</v>
      </c>
      <c r="I114" s="9" t="n">
        <v>1475038.92</v>
      </c>
      <c r="J114" s="9" t="n">
        <v>1502921.67</v>
      </c>
      <c r="K114" s="9" t="n">
        <v>0</v>
      </c>
      <c r="L114" s="9">
        <f>K114-H114</f>
        <v/>
      </c>
      <c r="M114" s="32">
        <f>IFERROR(L114/H114," ")</f>
        <v/>
      </c>
      <c r="N114">
        <f>IF(A114="BS",IFERROR(VLOOKUP(TRIM($E114),'BS Mapping std'!$A:$D,4,0),VLOOKUP(TRIM($D114),'BS Mapping std'!$A:$D,4,0)),IFERROR(VLOOKUP(TRIM($E114),'PL mapping Std'!$A:$D,4,0),VLOOKUP(TRIM($D114),'PL mapping Std'!$A:$D,4,0)))</f>
        <v/>
      </c>
      <c r="O114">
        <f>_xlfn.IFERROR(VLOOKUP(E114,'F30 mapping'!A:C,3,0),VLOOKUP(D114,'F30 mapping'!A:C,3,0))</f>
        <v/>
      </c>
      <c r="P114">
        <f>_xlfn.IFERROR(IFERROR(VLOOKUP(E114,'F40 mapping'!A:C,3,0),VLOOKUP(D114,'F40 mapping'!A:C,3,0)),0)</f>
        <v/>
      </c>
      <c r="Q114">
        <f>_xlfn.IFERROR(IFERROR(VLOOKUP(E114,'F40 mapping'!A:D,4,0),VLOOKUP(D114,'F40 mapping'!A:D,4,0)),0)</f>
        <v/>
      </c>
      <c r="R114">
        <f>_xlfn.IFERROR(IFERROR(VLOOKUP(E114,'F40 mapping'!A:E,5,0),VLOOKUP(D114,'F40 mapping'!A:E,5,0)),0)</f>
        <v/>
      </c>
      <c r="S114">
        <f>_xlfn.IF(B114&lt;6,IFERROR(VLOOKUP(E114,'BS Mapping std'!A:E,5,0),VLOOKUP(D114,'BS Mapping std'!A:E,5,0)),IFERROR(VLOOKUP(E114,'PL mapping Std'!A:F,6,0),VLOOKUP(D114,'PL mapping Std'!A:F,6,0)))</f>
        <v/>
      </c>
      <c r="T114">
        <f>_xlfn.IF(B114&lt;6,IFERROR(VLOOKUP(E114,'BS Mapping std'!A:F,6,0),VLOOKUP(D114,'BS Mapping std'!A:F,6,0)),IFERROR(VLOOKUP(E114,'PL mapping Std'!A:G,7,0),VLOOKUP(D114,'PL mapping Std'!A:G,7,0)))</f>
        <v/>
      </c>
      <c r="V114">
        <f>IF(IF(A114="BS",IFERROR(VLOOKUP(TRIM($E114),'BS Mapping std'!$A:$H,8,0),VLOOKUP(TRIM($D114),'BS Mapping std'!$A:$H,8,0)),IFERROR(VLOOKUP(TRIM($E114),'PL mapping Std'!$A:$E,5,0),VLOOKUP(TRIM($D114),'PL mapping Std'!$A:$E,5,0)))=0,"",IF(A114="BS",IFERROR(VLOOKUP(TRIM($E114),'BS Mapping std'!$A:$H,8,0),VLOOKUP(TRIM($D114),'BS Mapping std'!$A:$H,8,0)),IFERROR(VLOOKUP(TRIM($E114),'PL mapping Std'!$A:$E,5,0),VLOOKUP(TRIM($D114),'PL mapping Std'!$A:$E,5,0))))</f>
        <v/>
      </c>
      <c r="W114">
        <f>_xlfn.IFERROR(VLOOKUP(E114,'F30 mapping'!A:D,4,0),VLOOKUP(D114,'F30 mapping'!A:D,4,0))</f>
        <v/>
      </c>
      <c r="X114">
        <f>IF(B114&lt;6,IFERROR(VLOOKUP(E114,'BS Mapping std'!A:M,13,0),VLOOKUP(D114,'BS Mapping std'!A:M,13,0)),0)</f>
        <v/>
      </c>
      <c r="Y114">
        <f>IF(B114&lt;6,IFERROR(VLOOKUP(E114,'BS Mapping std'!A:N,14,0),VLOOKUP(D114,'BS Mapping std'!A:N,14,0)),0)</f>
        <v/>
      </c>
    </row>
    <row r="115" spans="1:25">
      <c r="A115">
        <f>IF(B115&lt;6,"BS",IF(B115=6,"Exp","Rev"))</f>
        <v/>
      </c>
      <c r="B115">
        <f>_xlfn.NUMBERVALUE(LEFT(F115,1))</f>
        <v/>
      </c>
      <c r="C115">
        <f>Left(F115,2)</f>
        <v/>
      </c>
      <c r="D115">
        <f>Left(F115,3)</f>
        <v/>
      </c>
      <c r="E115">
        <f>IF(F115="121",Left(F115,3)&amp;"0",Left(F115,4))</f>
        <v/>
      </c>
      <c r="F115" t="n">
        <v>41110380</v>
      </c>
      <c r="G115" t="s">
        <v>136</v>
      </c>
      <c r="H115" s="9" t="n">
        <v>0</v>
      </c>
      <c r="I115" s="9" t="n">
        <v>30756.53</v>
      </c>
      <c r="J115" s="9" t="n">
        <v>30756.53</v>
      </c>
      <c r="K115" s="9" t="n">
        <v>0</v>
      </c>
      <c r="L115" s="9">
        <f>K115-H115</f>
        <v/>
      </c>
      <c r="M115" s="32">
        <f>IFERROR(L115/H115," ")</f>
        <v/>
      </c>
      <c r="N115">
        <f>IF(A115="BS",IFERROR(VLOOKUP(TRIM($E115),'BS Mapping std'!$A:$D,4,0),VLOOKUP(TRIM($D115),'BS Mapping std'!$A:$D,4,0)),IFERROR(VLOOKUP(TRIM($E115),'PL mapping Std'!$A:$D,4,0),VLOOKUP(TRIM($D115),'PL mapping Std'!$A:$D,4,0)))</f>
        <v/>
      </c>
      <c r="O115">
        <f>_xlfn.IFERROR(VLOOKUP(E115,'F30 mapping'!A:C,3,0),VLOOKUP(D115,'F30 mapping'!A:C,3,0))</f>
        <v/>
      </c>
      <c r="P115">
        <f>_xlfn.IFERROR(IFERROR(VLOOKUP(E115,'F40 mapping'!A:C,3,0),VLOOKUP(D115,'F40 mapping'!A:C,3,0)),0)</f>
        <v/>
      </c>
      <c r="Q115">
        <f>_xlfn.IFERROR(IFERROR(VLOOKUP(E115,'F40 mapping'!A:D,4,0),VLOOKUP(D115,'F40 mapping'!A:D,4,0)),0)</f>
        <v/>
      </c>
      <c r="R115">
        <f>_xlfn.IFERROR(IFERROR(VLOOKUP(E115,'F40 mapping'!A:E,5,0),VLOOKUP(D115,'F40 mapping'!A:E,5,0)),0)</f>
        <v/>
      </c>
      <c r="S115">
        <f>_xlfn.IF(B115&lt;6,IFERROR(VLOOKUP(E115,'BS Mapping std'!A:E,5,0),VLOOKUP(D115,'BS Mapping std'!A:E,5,0)),IFERROR(VLOOKUP(E115,'PL mapping Std'!A:F,6,0),VLOOKUP(D115,'PL mapping Std'!A:F,6,0)))</f>
        <v/>
      </c>
      <c r="T115">
        <f>_xlfn.IF(B115&lt;6,IFERROR(VLOOKUP(E115,'BS Mapping std'!A:F,6,0),VLOOKUP(D115,'BS Mapping std'!A:F,6,0)),IFERROR(VLOOKUP(E115,'PL mapping Std'!A:G,7,0),VLOOKUP(D115,'PL mapping Std'!A:G,7,0)))</f>
        <v/>
      </c>
      <c r="V115">
        <f>IF(IF(A115="BS",IFERROR(VLOOKUP(TRIM($E115),'BS Mapping std'!$A:$H,8,0),VLOOKUP(TRIM($D115),'BS Mapping std'!$A:$H,8,0)),IFERROR(VLOOKUP(TRIM($E115),'PL mapping Std'!$A:$E,5,0),VLOOKUP(TRIM($D115),'PL mapping Std'!$A:$E,5,0)))=0,"",IF(A115="BS",IFERROR(VLOOKUP(TRIM($E115),'BS Mapping std'!$A:$H,8,0),VLOOKUP(TRIM($D115),'BS Mapping std'!$A:$H,8,0)),IFERROR(VLOOKUP(TRIM($E115),'PL mapping Std'!$A:$E,5,0),VLOOKUP(TRIM($D115),'PL mapping Std'!$A:$E,5,0))))</f>
        <v/>
      </c>
      <c r="W115">
        <f>_xlfn.IFERROR(VLOOKUP(E115,'F30 mapping'!A:D,4,0),VLOOKUP(D115,'F30 mapping'!A:D,4,0))</f>
        <v/>
      </c>
      <c r="X115">
        <f>IF(B115&lt;6,IFERROR(VLOOKUP(E115,'BS Mapping std'!A:M,13,0),VLOOKUP(D115,'BS Mapping std'!A:M,13,0)),0)</f>
        <v/>
      </c>
      <c r="Y115">
        <f>IF(B115&lt;6,IFERROR(VLOOKUP(E115,'BS Mapping std'!A:N,14,0),VLOOKUP(D115,'BS Mapping std'!A:N,14,0)),0)</f>
        <v/>
      </c>
    </row>
    <row r="116" spans="1:25">
      <c r="A116">
        <f>IF(B116&lt;6,"BS",IF(B116=6,"Exp","Rev"))</f>
        <v/>
      </c>
      <c r="B116">
        <f>_xlfn.NUMBERVALUE(LEFT(F116,1))</f>
        <v/>
      </c>
      <c r="C116">
        <f>Left(F116,2)</f>
        <v/>
      </c>
      <c r="D116">
        <f>Left(F116,3)</f>
        <v/>
      </c>
      <c r="E116">
        <f>IF(F116="121",Left(F116,3)&amp;"0",Left(F116,4))</f>
        <v/>
      </c>
      <c r="F116" t="n">
        <v>41110390</v>
      </c>
      <c r="G116" t="s">
        <v>137</v>
      </c>
      <c r="H116" s="9" t="n">
        <v>0</v>
      </c>
      <c r="I116" s="9" t="n">
        <v>596.26</v>
      </c>
      <c r="J116" s="9" t="n">
        <v>596.26</v>
      </c>
      <c r="K116" s="9" t="n">
        <v>0</v>
      </c>
      <c r="L116" s="9">
        <f>K116-H116</f>
        <v/>
      </c>
      <c r="M116" s="32">
        <f>IFERROR(L116/H116," ")</f>
        <v/>
      </c>
      <c r="N116">
        <f>IF(A116="BS",IFERROR(VLOOKUP(TRIM($E116),'BS Mapping std'!$A:$D,4,0),VLOOKUP(TRIM($D116),'BS Mapping std'!$A:$D,4,0)),IFERROR(VLOOKUP(TRIM($E116),'PL mapping Std'!$A:$D,4,0),VLOOKUP(TRIM($D116),'PL mapping Std'!$A:$D,4,0)))</f>
        <v/>
      </c>
      <c r="O116">
        <f>_xlfn.IFERROR(VLOOKUP(E116,'F30 mapping'!A:C,3,0),VLOOKUP(D116,'F30 mapping'!A:C,3,0))</f>
        <v/>
      </c>
      <c r="P116">
        <f>_xlfn.IFERROR(IFERROR(VLOOKUP(E116,'F40 mapping'!A:C,3,0),VLOOKUP(D116,'F40 mapping'!A:C,3,0)),0)</f>
        <v/>
      </c>
      <c r="Q116">
        <f>_xlfn.IFERROR(IFERROR(VLOOKUP(E116,'F40 mapping'!A:D,4,0),VLOOKUP(D116,'F40 mapping'!A:D,4,0)),0)</f>
        <v/>
      </c>
      <c r="R116">
        <f>_xlfn.IFERROR(IFERROR(VLOOKUP(E116,'F40 mapping'!A:E,5,0),VLOOKUP(D116,'F40 mapping'!A:E,5,0)),0)</f>
        <v/>
      </c>
      <c r="S116">
        <f>_xlfn.IF(B116&lt;6,IFERROR(VLOOKUP(E116,'BS Mapping std'!A:E,5,0),VLOOKUP(D116,'BS Mapping std'!A:E,5,0)),IFERROR(VLOOKUP(E116,'PL mapping Std'!A:F,6,0),VLOOKUP(D116,'PL mapping Std'!A:F,6,0)))</f>
        <v/>
      </c>
      <c r="T116">
        <f>_xlfn.IF(B116&lt;6,IFERROR(VLOOKUP(E116,'BS Mapping std'!A:F,6,0),VLOOKUP(D116,'BS Mapping std'!A:F,6,0)),IFERROR(VLOOKUP(E116,'PL mapping Std'!A:G,7,0),VLOOKUP(D116,'PL mapping Std'!A:G,7,0)))</f>
        <v/>
      </c>
      <c r="V116">
        <f>IF(IF(A116="BS",IFERROR(VLOOKUP(TRIM($E116),'BS Mapping std'!$A:$H,8,0),VLOOKUP(TRIM($D116),'BS Mapping std'!$A:$H,8,0)),IFERROR(VLOOKUP(TRIM($E116),'PL mapping Std'!$A:$E,5,0),VLOOKUP(TRIM($D116),'PL mapping Std'!$A:$E,5,0)))=0,"",IF(A116="BS",IFERROR(VLOOKUP(TRIM($E116),'BS Mapping std'!$A:$H,8,0),VLOOKUP(TRIM($D116),'BS Mapping std'!$A:$H,8,0)),IFERROR(VLOOKUP(TRIM($E116),'PL mapping Std'!$A:$E,5,0),VLOOKUP(TRIM($D116),'PL mapping Std'!$A:$E,5,0))))</f>
        <v/>
      </c>
      <c r="W116">
        <f>_xlfn.IFERROR(VLOOKUP(E116,'F30 mapping'!A:D,4,0),VLOOKUP(D116,'F30 mapping'!A:D,4,0))</f>
        <v/>
      </c>
      <c r="X116">
        <f>IF(B116&lt;6,IFERROR(VLOOKUP(E116,'BS Mapping std'!A:M,13,0),VLOOKUP(D116,'BS Mapping std'!A:M,13,0)),0)</f>
        <v/>
      </c>
      <c r="Y116">
        <f>IF(B116&lt;6,IFERROR(VLOOKUP(E116,'BS Mapping std'!A:N,14,0),VLOOKUP(D116,'BS Mapping std'!A:N,14,0)),0)</f>
        <v/>
      </c>
    </row>
    <row r="117" spans="1:25">
      <c r="A117">
        <f>IF(B117&lt;6,"BS",IF(B117=6,"Exp","Rev"))</f>
        <v/>
      </c>
      <c r="B117">
        <f>_xlfn.NUMBERVALUE(LEFT(F117,1))</f>
        <v/>
      </c>
      <c r="C117">
        <f>Left(F117,2)</f>
        <v/>
      </c>
      <c r="D117">
        <f>Left(F117,3)</f>
        <v/>
      </c>
      <c r="E117">
        <f>IF(F117="121",Left(F117,3)&amp;"0",Left(F117,4))</f>
        <v/>
      </c>
      <c r="F117" t="n">
        <v>41110400</v>
      </c>
      <c r="G117" t="s">
        <v>138</v>
      </c>
      <c r="H117" s="9" t="n">
        <v>566.09</v>
      </c>
      <c r="I117" s="9" t="n">
        <v>0</v>
      </c>
      <c r="J117" s="9" t="n">
        <v>566.09</v>
      </c>
      <c r="K117" s="9" t="n">
        <v>0</v>
      </c>
      <c r="L117" s="9">
        <f>K117-H117</f>
        <v/>
      </c>
      <c r="M117" s="32">
        <f>IFERROR(L117/H117," ")</f>
        <v/>
      </c>
      <c r="N117">
        <f>IF(A117="BS",IFERROR(VLOOKUP(TRIM($E117),'BS Mapping std'!$A:$D,4,0),VLOOKUP(TRIM($D117),'BS Mapping std'!$A:$D,4,0)),IFERROR(VLOOKUP(TRIM($E117),'PL mapping Std'!$A:$D,4,0),VLOOKUP(TRIM($D117),'PL mapping Std'!$A:$D,4,0)))</f>
        <v/>
      </c>
      <c r="O117">
        <f>_xlfn.IFERROR(VLOOKUP(E117,'F30 mapping'!A:C,3,0),VLOOKUP(D117,'F30 mapping'!A:C,3,0))</f>
        <v/>
      </c>
      <c r="P117">
        <f>_xlfn.IFERROR(IFERROR(VLOOKUP(E117,'F40 mapping'!A:C,3,0),VLOOKUP(D117,'F40 mapping'!A:C,3,0)),0)</f>
        <v/>
      </c>
      <c r="Q117">
        <f>_xlfn.IFERROR(IFERROR(VLOOKUP(E117,'F40 mapping'!A:D,4,0),VLOOKUP(D117,'F40 mapping'!A:D,4,0)),0)</f>
        <v/>
      </c>
      <c r="R117">
        <f>_xlfn.IFERROR(IFERROR(VLOOKUP(E117,'F40 mapping'!A:E,5,0),VLOOKUP(D117,'F40 mapping'!A:E,5,0)),0)</f>
        <v/>
      </c>
      <c r="S117">
        <f>_xlfn.IF(B117&lt;6,IFERROR(VLOOKUP(E117,'BS Mapping std'!A:E,5,0),VLOOKUP(D117,'BS Mapping std'!A:E,5,0)),IFERROR(VLOOKUP(E117,'PL mapping Std'!A:F,6,0),VLOOKUP(D117,'PL mapping Std'!A:F,6,0)))</f>
        <v/>
      </c>
      <c r="T117">
        <f>_xlfn.IF(B117&lt;6,IFERROR(VLOOKUP(E117,'BS Mapping std'!A:F,6,0),VLOOKUP(D117,'BS Mapping std'!A:F,6,0)),IFERROR(VLOOKUP(E117,'PL mapping Std'!A:G,7,0),VLOOKUP(D117,'PL mapping Std'!A:G,7,0)))</f>
        <v/>
      </c>
      <c r="V117">
        <f>IF(IF(A117="BS",IFERROR(VLOOKUP(TRIM($E117),'BS Mapping std'!$A:$H,8,0),VLOOKUP(TRIM($D117),'BS Mapping std'!$A:$H,8,0)),IFERROR(VLOOKUP(TRIM($E117),'PL mapping Std'!$A:$E,5,0),VLOOKUP(TRIM($D117),'PL mapping Std'!$A:$E,5,0)))=0,"",IF(A117="BS",IFERROR(VLOOKUP(TRIM($E117),'BS Mapping std'!$A:$H,8,0),VLOOKUP(TRIM($D117),'BS Mapping std'!$A:$H,8,0)),IFERROR(VLOOKUP(TRIM($E117),'PL mapping Std'!$A:$E,5,0),VLOOKUP(TRIM($D117),'PL mapping Std'!$A:$E,5,0))))</f>
        <v/>
      </c>
      <c r="W117">
        <f>_xlfn.IFERROR(VLOOKUP(E117,'F30 mapping'!A:D,4,0),VLOOKUP(D117,'F30 mapping'!A:D,4,0))</f>
        <v/>
      </c>
      <c r="X117">
        <f>IF(B117&lt;6,IFERROR(VLOOKUP(E117,'BS Mapping std'!A:M,13,0),VLOOKUP(D117,'BS Mapping std'!A:M,13,0)),0)</f>
        <v/>
      </c>
      <c r="Y117">
        <f>IF(B117&lt;6,IFERROR(VLOOKUP(E117,'BS Mapping std'!A:N,14,0),VLOOKUP(D117,'BS Mapping std'!A:N,14,0)),0)</f>
        <v/>
      </c>
    </row>
    <row r="118" spans="1:25">
      <c r="A118">
        <f>IF(B118&lt;6,"BS",IF(B118=6,"Exp","Rev"))</f>
        <v/>
      </c>
      <c r="B118">
        <f>_xlfn.NUMBERVALUE(LEFT(F118,1))</f>
        <v/>
      </c>
      <c r="C118">
        <f>Left(F118,2)</f>
        <v/>
      </c>
      <c r="D118">
        <f>Left(F118,3)</f>
        <v/>
      </c>
      <c r="E118">
        <f>IF(F118="121",Left(F118,3)&amp;"0",Left(F118,4))</f>
        <v/>
      </c>
      <c r="F118" t="n">
        <v>41110430</v>
      </c>
      <c r="G118" t="s">
        <v>139</v>
      </c>
      <c r="H118" s="9" t="n">
        <v>0</v>
      </c>
      <c r="I118" s="9" t="n">
        <v>952.92</v>
      </c>
      <c r="J118" s="9" t="n">
        <v>952.92</v>
      </c>
      <c r="K118" s="9" t="n">
        <v>0</v>
      </c>
      <c r="L118" s="9">
        <f>K118-H118</f>
        <v/>
      </c>
      <c r="M118" s="32">
        <f>IFERROR(L118/H118," ")</f>
        <v/>
      </c>
      <c r="N118">
        <f>IF(A118="BS",IFERROR(VLOOKUP(TRIM($E118),'BS Mapping std'!$A:$D,4,0),VLOOKUP(TRIM($D118),'BS Mapping std'!$A:$D,4,0)),IFERROR(VLOOKUP(TRIM($E118),'PL mapping Std'!$A:$D,4,0),VLOOKUP(TRIM($D118),'PL mapping Std'!$A:$D,4,0)))</f>
        <v/>
      </c>
      <c r="O118">
        <f>_xlfn.IFERROR(VLOOKUP(E118,'F30 mapping'!A:C,3,0),VLOOKUP(D118,'F30 mapping'!A:C,3,0))</f>
        <v/>
      </c>
      <c r="P118">
        <f>_xlfn.IFERROR(IFERROR(VLOOKUP(E118,'F40 mapping'!A:C,3,0),VLOOKUP(D118,'F40 mapping'!A:C,3,0)),0)</f>
        <v/>
      </c>
      <c r="Q118">
        <f>_xlfn.IFERROR(IFERROR(VLOOKUP(E118,'F40 mapping'!A:D,4,0),VLOOKUP(D118,'F40 mapping'!A:D,4,0)),0)</f>
        <v/>
      </c>
      <c r="R118">
        <f>_xlfn.IFERROR(IFERROR(VLOOKUP(E118,'F40 mapping'!A:E,5,0),VLOOKUP(D118,'F40 mapping'!A:E,5,0)),0)</f>
        <v/>
      </c>
      <c r="S118">
        <f>_xlfn.IF(B118&lt;6,IFERROR(VLOOKUP(E118,'BS Mapping std'!A:E,5,0),VLOOKUP(D118,'BS Mapping std'!A:E,5,0)),IFERROR(VLOOKUP(E118,'PL mapping Std'!A:F,6,0),VLOOKUP(D118,'PL mapping Std'!A:F,6,0)))</f>
        <v/>
      </c>
      <c r="T118">
        <f>_xlfn.IF(B118&lt;6,IFERROR(VLOOKUP(E118,'BS Mapping std'!A:F,6,0),VLOOKUP(D118,'BS Mapping std'!A:F,6,0)),IFERROR(VLOOKUP(E118,'PL mapping Std'!A:G,7,0),VLOOKUP(D118,'PL mapping Std'!A:G,7,0)))</f>
        <v/>
      </c>
      <c r="V118">
        <f>IF(IF(A118="BS",IFERROR(VLOOKUP(TRIM($E118),'BS Mapping std'!$A:$H,8,0),VLOOKUP(TRIM($D118),'BS Mapping std'!$A:$H,8,0)),IFERROR(VLOOKUP(TRIM($E118),'PL mapping Std'!$A:$E,5,0),VLOOKUP(TRIM($D118),'PL mapping Std'!$A:$E,5,0)))=0,"",IF(A118="BS",IFERROR(VLOOKUP(TRIM($E118),'BS Mapping std'!$A:$H,8,0),VLOOKUP(TRIM($D118),'BS Mapping std'!$A:$H,8,0)),IFERROR(VLOOKUP(TRIM($E118),'PL mapping Std'!$A:$E,5,0),VLOOKUP(TRIM($D118),'PL mapping Std'!$A:$E,5,0))))</f>
        <v/>
      </c>
      <c r="W118">
        <f>_xlfn.IFERROR(VLOOKUP(E118,'F30 mapping'!A:D,4,0),VLOOKUP(D118,'F30 mapping'!A:D,4,0))</f>
        <v/>
      </c>
      <c r="X118">
        <f>IF(B118&lt;6,IFERROR(VLOOKUP(E118,'BS Mapping std'!A:M,13,0),VLOOKUP(D118,'BS Mapping std'!A:M,13,0)),0)</f>
        <v/>
      </c>
      <c r="Y118">
        <f>IF(B118&lt;6,IFERROR(VLOOKUP(E118,'BS Mapping std'!A:N,14,0),VLOOKUP(D118,'BS Mapping std'!A:N,14,0)),0)</f>
        <v/>
      </c>
    </row>
    <row r="119" spans="1:25">
      <c r="A119">
        <f>IF(B119&lt;6,"BS",IF(B119=6,"Exp","Rev"))</f>
        <v/>
      </c>
      <c r="B119">
        <f>_xlfn.NUMBERVALUE(LEFT(F119,1))</f>
        <v/>
      </c>
      <c r="C119">
        <f>Left(F119,2)</f>
        <v/>
      </c>
      <c r="D119">
        <f>Left(F119,3)</f>
        <v/>
      </c>
      <c r="E119">
        <f>IF(F119="121",Left(F119,3)&amp;"0",Left(F119,4))</f>
        <v/>
      </c>
      <c r="F119" t="n">
        <v>41119997</v>
      </c>
      <c r="G119" t="s">
        <v>140</v>
      </c>
      <c r="H119" s="9" t="n">
        <v>-14.51</v>
      </c>
      <c r="I119" s="9" t="n">
        <v>4046.96</v>
      </c>
      <c r="J119" s="9" t="n">
        <v>3641.73</v>
      </c>
      <c r="K119" s="9" t="n">
        <v>390.72</v>
      </c>
      <c r="L119" s="9">
        <f>K119-H119</f>
        <v/>
      </c>
      <c r="M119" s="32">
        <f>IFERROR(L119/H119," ")</f>
        <v/>
      </c>
      <c r="N119">
        <f>IF(A119="BS",IFERROR(VLOOKUP(TRIM($E119),'BS Mapping std'!$A:$D,4,0),VLOOKUP(TRIM($D119),'BS Mapping std'!$A:$D,4,0)),IFERROR(VLOOKUP(TRIM($E119),'PL mapping Std'!$A:$D,4,0),VLOOKUP(TRIM($D119),'PL mapping Std'!$A:$D,4,0)))</f>
        <v/>
      </c>
      <c r="O119">
        <f>_xlfn.IFERROR(VLOOKUP(E119,'F30 mapping'!A:C,3,0),VLOOKUP(D119,'F30 mapping'!A:C,3,0))</f>
        <v/>
      </c>
      <c r="P119">
        <f>_xlfn.IFERROR(IFERROR(VLOOKUP(E119,'F40 mapping'!A:C,3,0),VLOOKUP(D119,'F40 mapping'!A:C,3,0)),0)</f>
        <v/>
      </c>
      <c r="Q119">
        <f>_xlfn.IFERROR(IFERROR(VLOOKUP(E119,'F40 mapping'!A:D,4,0),VLOOKUP(D119,'F40 mapping'!A:D,4,0)),0)</f>
        <v/>
      </c>
      <c r="R119">
        <f>_xlfn.IFERROR(IFERROR(VLOOKUP(E119,'F40 mapping'!A:E,5,0),VLOOKUP(D119,'F40 mapping'!A:E,5,0)),0)</f>
        <v/>
      </c>
      <c r="S119">
        <f>_xlfn.IF(B119&lt;6,IFERROR(VLOOKUP(E119,'BS Mapping std'!A:E,5,0),VLOOKUP(D119,'BS Mapping std'!A:E,5,0)),IFERROR(VLOOKUP(E119,'PL mapping Std'!A:F,6,0),VLOOKUP(D119,'PL mapping Std'!A:F,6,0)))</f>
        <v/>
      </c>
      <c r="T119">
        <f>_xlfn.IF(B119&lt;6,IFERROR(VLOOKUP(E119,'BS Mapping std'!A:F,6,0),VLOOKUP(D119,'BS Mapping std'!A:F,6,0)),IFERROR(VLOOKUP(E119,'PL mapping Std'!A:G,7,0),VLOOKUP(D119,'PL mapping Std'!A:G,7,0)))</f>
        <v/>
      </c>
      <c r="V119">
        <f>IF(IF(A119="BS",IFERROR(VLOOKUP(TRIM($E119),'BS Mapping std'!$A:$H,8,0),VLOOKUP(TRIM($D119),'BS Mapping std'!$A:$H,8,0)),IFERROR(VLOOKUP(TRIM($E119),'PL mapping Std'!$A:$E,5,0),VLOOKUP(TRIM($D119),'PL mapping Std'!$A:$E,5,0)))=0,"",IF(A119="BS",IFERROR(VLOOKUP(TRIM($E119),'BS Mapping std'!$A:$H,8,0),VLOOKUP(TRIM($D119),'BS Mapping std'!$A:$H,8,0)),IFERROR(VLOOKUP(TRIM($E119),'PL mapping Std'!$A:$E,5,0),VLOOKUP(TRIM($D119),'PL mapping Std'!$A:$E,5,0))))</f>
        <v/>
      </c>
      <c r="W119">
        <f>_xlfn.IFERROR(VLOOKUP(E119,'F30 mapping'!A:D,4,0),VLOOKUP(D119,'F30 mapping'!A:D,4,0))</f>
        <v/>
      </c>
      <c r="X119">
        <f>IF(B119&lt;6,IFERROR(VLOOKUP(E119,'BS Mapping std'!A:M,13,0),VLOOKUP(D119,'BS Mapping std'!A:M,13,0)),0)</f>
        <v/>
      </c>
      <c r="Y119">
        <f>IF(B119&lt;6,IFERROR(VLOOKUP(E119,'BS Mapping std'!A:N,14,0),VLOOKUP(D119,'BS Mapping std'!A:N,14,0)),0)</f>
        <v/>
      </c>
    </row>
    <row r="120" spans="1:25">
      <c r="A120">
        <f>IF(B120&lt;6,"BS",IF(B120=6,"Exp","Rev"))</f>
        <v/>
      </c>
      <c r="B120">
        <f>_xlfn.NUMBERVALUE(LEFT(F120,1))</f>
        <v/>
      </c>
      <c r="C120">
        <f>Left(F120,2)</f>
        <v/>
      </c>
      <c r="D120">
        <f>Left(F120,3)</f>
        <v/>
      </c>
      <c r="E120">
        <f>IF(F120="121",Left(F120,3)&amp;"0",Left(F120,4))</f>
        <v/>
      </c>
      <c r="F120" t="n">
        <v>41119998</v>
      </c>
      <c r="G120" t="s">
        <v>141</v>
      </c>
      <c r="H120" s="9" t="n">
        <v>-869.14</v>
      </c>
      <c r="I120" s="9" t="n">
        <v>185813.7</v>
      </c>
      <c r="J120" s="9" t="n">
        <v>156813.51</v>
      </c>
      <c r="K120" s="9" t="n">
        <v>28131.05</v>
      </c>
      <c r="L120" s="9">
        <f>K120-H120</f>
        <v/>
      </c>
      <c r="M120" s="32">
        <f>IFERROR(L120/H120," ")</f>
        <v/>
      </c>
      <c r="N120">
        <f>IF(A120="BS",IFERROR(VLOOKUP(TRIM($E120),'BS Mapping std'!$A:$D,4,0),VLOOKUP(TRIM($D120),'BS Mapping std'!$A:$D,4,0)),IFERROR(VLOOKUP(TRIM($E120),'PL mapping Std'!$A:$D,4,0),VLOOKUP(TRIM($D120),'PL mapping Std'!$A:$D,4,0)))</f>
        <v/>
      </c>
      <c r="O120">
        <f>_xlfn.IFERROR(VLOOKUP(E120,'F30 mapping'!A:C,3,0),VLOOKUP(D120,'F30 mapping'!A:C,3,0))</f>
        <v/>
      </c>
      <c r="P120">
        <f>_xlfn.IFERROR(IFERROR(VLOOKUP(E120,'F40 mapping'!A:C,3,0),VLOOKUP(D120,'F40 mapping'!A:C,3,0)),0)</f>
        <v/>
      </c>
      <c r="Q120">
        <f>_xlfn.IFERROR(IFERROR(VLOOKUP(E120,'F40 mapping'!A:D,4,0),VLOOKUP(D120,'F40 mapping'!A:D,4,0)),0)</f>
        <v/>
      </c>
      <c r="R120">
        <f>_xlfn.IFERROR(IFERROR(VLOOKUP(E120,'F40 mapping'!A:E,5,0),VLOOKUP(D120,'F40 mapping'!A:E,5,0)),0)</f>
        <v/>
      </c>
      <c r="S120">
        <f>_xlfn.IF(B120&lt;6,IFERROR(VLOOKUP(E120,'BS Mapping std'!A:E,5,0),VLOOKUP(D120,'BS Mapping std'!A:E,5,0)),IFERROR(VLOOKUP(E120,'PL mapping Std'!A:F,6,0),VLOOKUP(D120,'PL mapping Std'!A:F,6,0)))</f>
        <v/>
      </c>
      <c r="T120">
        <f>_xlfn.IF(B120&lt;6,IFERROR(VLOOKUP(E120,'BS Mapping std'!A:F,6,0),VLOOKUP(D120,'BS Mapping std'!A:F,6,0)),IFERROR(VLOOKUP(E120,'PL mapping Std'!A:G,7,0),VLOOKUP(D120,'PL mapping Std'!A:G,7,0)))</f>
        <v/>
      </c>
      <c r="V120">
        <f>IF(IF(A120="BS",IFERROR(VLOOKUP(TRIM($E120),'BS Mapping std'!$A:$H,8,0),VLOOKUP(TRIM($D120),'BS Mapping std'!$A:$H,8,0)),IFERROR(VLOOKUP(TRIM($E120),'PL mapping Std'!$A:$E,5,0),VLOOKUP(TRIM($D120),'PL mapping Std'!$A:$E,5,0)))=0,"",IF(A120="BS",IFERROR(VLOOKUP(TRIM($E120),'BS Mapping std'!$A:$H,8,0),VLOOKUP(TRIM($D120),'BS Mapping std'!$A:$H,8,0)),IFERROR(VLOOKUP(TRIM($E120),'PL mapping Std'!$A:$E,5,0),VLOOKUP(TRIM($D120),'PL mapping Std'!$A:$E,5,0))))</f>
        <v/>
      </c>
      <c r="W120">
        <f>_xlfn.IFERROR(VLOOKUP(E120,'F30 mapping'!A:D,4,0),VLOOKUP(D120,'F30 mapping'!A:D,4,0))</f>
        <v/>
      </c>
      <c r="X120">
        <f>IF(B120&lt;6,IFERROR(VLOOKUP(E120,'BS Mapping std'!A:M,13,0),VLOOKUP(D120,'BS Mapping std'!A:M,13,0)),0)</f>
        <v/>
      </c>
      <c r="Y120">
        <f>IF(B120&lt;6,IFERROR(VLOOKUP(E120,'BS Mapping std'!A:N,14,0),VLOOKUP(D120,'BS Mapping std'!A:N,14,0)),0)</f>
        <v/>
      </c>
    </row>
    <row r="121" spans="1:25">
      <c r="A121">
        <f>IF(B121&lt;6,"BS",IF(B121=6,"Exp","Rev"))</f>
        <v/>
      </c>
      <c r="B121">
        <f>_xlfn.NUMBERVALUE(LEFT(F121,1))</f>
        <v/>
      </c>
      <c r="C121">
        <f>Left(F121,2)</f>
        <v/>
      </c>
      <c r="D121">
        <f>Left(F121,3)</f>
        <v/>
      </c>
      <c r="E121">
        <f>IF(F121="121",Left(F121,3)&amp;"0",Left(F121,4))</f>
        <v/>
      </c>
      <c r="F121" t="n">
        <v>41900010</v>
      </c>
      <c r="G121" t="s">
        <v>142</v>
      </c>
      <c r="H121" s="9" t="n">
        <v>-14981.95</v>
      </c>
      <c r="I121" s="9" t="n">
        <v>0</v>
      </c>
      <c r="J121" s="9" t="n">
        <v>-14981.95</v>
      </c>
      <c r="K121" s="9" t="n">
        <v>0</v>
      </c>
      <c r="L121" s="9">
        <f>K121-H121</f>
        <v/>
      </c>
      <c r="M121" s="32">
        <f>IFERROR(L121/H121," ")</f>
        <v/>
      </c>
      <c r="N121">
        <f>IF(A121="BS",IFERROR(VLOOKUP(TRIM($E121),'BS Mapping std'!$A:$D,4,0),VLOOKUP(TRIM($D121),'BS Mapping std'!$A:$D,4,0)),IFERROR(VLOOKUP(TRIM($E121),'PL mapping Std'!$A:$D,4,0),VLOOKUP(TRIM($D121),'PL mapping Std'!$A:$D,4,0)))</f>
        <v/>
      </c>
      <c r="O121">
        <f>_xlfn.IFERROR(VLOOKUP(E121,'F30 mapping'!A:C,3,0),VLOOKUP(D121,'F30 mapping'!A:C,3,0))</f>
        <v/>
      </c>
      <c r="P121">
        <f>_xlfn.IFERROR(IFERROR(VLOOKUP(E121,'F40 mapping'!A:C,3,0),VLOOKUP(D121,'F40 mapping'!A:C,3,0)),0)</f>
        <v/>
      </c>
      <c r="Q121">
        <f>_xlfn.IFERROR(IFERROR(VLOOKUP(E121,'F40 mapping'!A:D,4,0),VLOOKUP(D121,'F40 mapping'!A:D,4,0)),0)</f>
        <v/>
      </c>
      <c r="R121">
        <f>_xlfn.IFERROR(IFERROR(VLOOKUP(E121,'F40 mapping'!A:E,5,0),VLOOKUP(D121,'F40 mapping'!A:E,5,0)),0)</f>
        <v/>
      </c>
      <c r="S121">
        <f>_xlfn.IF(B121&lt;6,IFERROR(VLOOKUP(E121,'BS Mapping std'!A:E,5,0),VLOOKUP(D121,'BS Mapping std'!A:E,5,0)),IFERROR(VLOOKUP(E121,'PL mapping Std'!A:F,6,0),VLOOKUP(D121,'PL mapping Std'!A:F,6,0)))</f>
        <v/>
      </c>
      <c r="T121">
        <f>_xlfn.IF(B121&lt;6,IFERROR(VLOOKUP(E121,'BS Mapping std'!A:F,6,0),VLOOKUP(D121,'BS Mapping std'!A:F,6,0)),IFERROR(VLOOKUP(E121,'PL mapping Std'!A:G,7,0),VLOOKUP(D121,'PL mapping Std'!A:G,7,0)))</f>
        <v/>
      </c>
      <c r="V121">
        <f>IF(IF(A121="BS",IFERROR(VLOOKUP(TRIM($E121),'BS Mapping std'!$A:$H,8,0),VLOOKUP(TRIM($D121),'BS Mapping std'!$A:$H,8,0)),IFERROR(VLOOKUP(TRIM($E121),'PL mapping Std'!$A:$E,5,0),VLOOKUP(TRIM($D121),'PL mapping Std'!$A:$E,5,0)))=0,"",IF(A121="BS",IFERROR(VLOOKUP(TRIM($E121),'BS Mapping std'!$A:$H,8,0),VLOOKUP(TRIM($D121),'BS Mapping std'!$A:$H,8,0)),IFERROR(VLOOKUP(TRIM($E121),'PL mapping Std'!$A:$E,5,0),VLOOKUP(TRIM($D121),'PL mapping Std'!$A:$E,5,0))))</f>
        <v/>
      </c>
      <c r="W121">
        <f>_xlfn.IFERROR(VLOOKUP(E121,'F30 mapping'!A:D,4,0),VLOOKUP(D121,'F30 mapping'!A:D,4,0))</f>
        <v/>
      </c>
      <c r="X121">
        <f>IF(B121&lt;6,IFERROR(VLOOKUP(E121,'BS Mapping std'!A:M,13,0),VLOOKUP(D121,'BS Mapping std'!A:M,13,0)),0)</f>
        <v/>
      </c>
      <c r="Y121">
        <f>IF(B121&lt;6,IFERROR(VLOOKUP(E121,'BS Mapping std'!A:N,14,0),VLOOKUP(D121,'BS Mapping std'!A:N,14,0)),0)</f>
        <v/>
      </c>
    </row>
    <row r="122" spans="1:25">
      <c r="A122">
        <f>IF(B122&lt;6,"BS",IF(B122=6,"Exp","Rev"))</f>
        <v/>
      </c>
      <c r="B122">
        <f>_xlfn.NUMBERVALUE(LEFT(F122,1))</f>
        <v/>
      </c>
      <c r="C122">
        <f>Left(F122,2)</f>
        <v/>
      </c>
      <c r="D122">
        <f>Left(F122,3)</f>
        <v/>
      </c>
      <c r="E122">
        <f>IF(F122="121",Left(F122,3)&amp;"0",Left(F122,4))</f>
        <v/>
      </c>
      <c r="F122" t="n">
        <v>42100000</v>
      </c>
      <c r="G122" t="s">
        <v>143</v>
      </c>
      <c r="H122" s="9" t="n">
        <v>-1016067</v>
      </c>
      <c r="I122" s="9" t="n">
        <v>28376092.65</v>
      </c>
      <c r="J122" s="9" t="n">
        <v>28529942.65</v>
      </c>
      <c r="K122" s="9" t="n">
        <v>-1169917</v>
      </c>
      <c r="L122" s="9">
        <f>K122-H122</f>
        <v/>
      </c>
      <c r="M122" s="32">
        <f>IFERROR(L122/H122," ")</f>
        <v/>
      </c>
      <c r="N122">
        <f>IF(A122="BS",IFERROR(VLOOKUP(TRIM($E122),'BS Mapping std'!$A:$D,4,0),VLOOKUP(TRIM($D122),'BS Mapping std'!$A:$D,4,0)),IFERROR(VLOOKUP(TRIM($E122),'PL mapping Std'!$A:$D,4,0),VLOOKUP(TRIM($D122),'PL mapping Std'!$A:$D,4,0)))</f>
        <v/>
      </c>
      <c r="O122">
        <f>_xlfn.IFERROR(VLOOKUP(E122,'F30 mapping'!A:C,3,0),VLOOKUP(D122,'F30 mapping'!A:C,3,0))</f>
        <v/>
      </c>
      <c r="P122">
        <f>_xlfn.IFERROR(IFERROR(VLOOKUP(E122,'F40 mapping'!A:C,3,0),VLOOKUP(D122,'F40 mapping'!A:C,3,0)),0)</f>
        <v/>
      </c>
      <c r="Q122">
        <f>_xlfn.IFERROR(IFERROR(VLOOKUP(E122,'F40 mapping'!A:D,4,0),VLOOKUP(D122,'F40 mapping'!A:D,4,0)),0)</f>
        <v/>
      </c>
      <c r="R122">
        <f>_xlfn.IFERROR(IFERROR(VLOOKUP(E122,'F40 mapping'!A:E,5,0),VLOOKUP(D122,'F40 mapping'!A:E,5,0)),0)</f>
        <v/>
      </c>
      <c r="S122">
        <f>_xlfn.IF(B122&lt;6,IFERROR(VLOOKUP(E122,'BS Mapping std'!A:E,5,0),VLOOKUP(D122,'BS Mapping std'!A:E,5,0)),IFERROR(VLOOKUP(E122,'PL mapping Std'!A:F,6,0),VLOOKUP(D122,'PL mapping Std'!A:F,6,0)))</f>
        <v/>
      </c>
      <c r="T122">
        <f>_xlfn.IF(B122&lt;6,IFERROR(VLOOKUP(E122,'BS Mapping std'!A:F,6,0),VLOOKUP(D122,'BS Mapping std'!A:F,6,0)),IFERROR(VLOOKUP(E122,'PL mapping Std'!A:G,7,0),VLOOKUP(D122,'PL mapping Std'!A:G,7,0)))</f>
        <v/>
      </c>
      <c r="V122">
        <f>IF(IF(A122="BS",IFERROR(VLOOKUP(TRIM($E122),'BS Mapping std'!$A:$H,8,0),VLOOKUP(TRIM($D122),'BS Mapping std'!$A:$H,8,0)),IFERROR(VLOOKUP(TRIM($E122),'PL mapping Std'!$A:$E,5,0),VLOOKUP(TRIM($D122),'PL mapping Std'!$A:$E,5,0)))=0,"",IF(A122="BS",IFERROR(VLOOKUP(TRIM($E122),'BS Mapping std'!$A:$H,8,0),VLOOKUP(TRIM($D122),'BS Mapping std'!$A:$H,8,0)),IFERROR(VLOOKUP(TRIM($E122),'PL mapping Std'!$A:$E,5,0),VLOOKUP(TRIM($D122),'PL mapping Std'!$A:$E,5,0))))</f>
        <v/>
      </c>
      <c r="W122">
        <f>_xlfn.IFERROR(VLOOKUP(E122,'F30 mapping'!A:D,4,0),VLOOKUP(D122,'F30 mapping'!A:D,4,0))</f>
        <v/>
      </c>
      <c r="X122">
        <f>IF(B122&lt;6,IFERROR(VLOOKUP(E122,'BS Mapping std'!A:M,13,0),VLOOKUP(D122,'BS Mapping std'!A:M,13,0)),0)</f>
        <v/>
      </c>
      <c r="Y122">
        <f>IF(B122&lt;6,IFERROR(VLOOKUP(E122,'BS Mapping std'!A:N,14,0),VLOOKUP(D122,'BS Mapping std'!A:N,14,0)),0)</f>
        <v/>
      </c>
    </row>
    <row r="123" spans="1:25">
      <c r="A123">
        <f>IF(B123&lt;6,"BS",IF(B123=6,"Exp","Rev"))</f>
        <v/>
      </c>
      <c r="B123">
        <f>_xlfn.NUMBERVALUE(LEFT(F123,1))</f>
        <v/>
      </c>
      <c r="C123">
        <f>Left(F123,2)</f>
        <v/>
      </c>
      <c r="D123">
        <f>Left(F123,3)</f>
        <v/>
      </c>
      <c r="E123">
        <f>IF(F123="121",Left(F123,3)&amp;"0",Left(F123,4))</f>
        <v/>
      </c>
      <c r="F123" t="n">
        <v>42500000</v>
      </c>
      <c r="G123" t="s">
        <v>144</v>
      </c>
      <c r="H123" s="9" t="n">
        <v>0</v>
      </c>
      <c r="I123" s="9" t="n">
        <v>343537</v>
      </c>
      <c r="J123" s="9" t="n">
        <v>343537</v>
      </c>
      <c r="K123" s="9" t="n">
        <v>0</v>
      </c>
      <c r="L123" s="9">
        <f>K123-H123</f>
        <v/>
      </c>
      <c r="M123" s="32">
        <f>IFERROR(L123/H123," ")</f>
        <v/>
      </c>
      <c r="N123">
        <f>IF(A123="BS",IFERROR(VLOOKUP(TRIM($E123),'BS Mapping std'!$A:$D,4,0),VLOOKUP(TRIM($D123),'BS Mapping std'!$A:$D,4,0)),IFERROR(VLOOKUP(TRIM($E123),'PL mapping Std'!$A:$D,4,0),VLOOKUP(TRIM($D123),'PL mapping Std'!$A:$D,4,0)))</f>
        <v/>
      </c>
      <c r="O123">
        <f>_xlfn.IFERROR(VLOOKUP(E123,'F30 mapping'!A:C,3,0),VLOOKUP(D123,'F30 mapping'!A:C,3,0))</f>
        <v/>
      </c>
      <c r="P123">
        <f>_xlfn.IFERROR(IFERROR(VLOOKUP(E123,'F40 mapping'!A:C,3,0),VLOOKUP(D123,'F40 mapping'!A:C,3,0)),0)</f>
        <v/>
      </c>
      <c r="Q123">
        <f>_xlfn.IFERROR(IFERROR(VLOOKUP(E123,'F40 mapping'!A:D,4,0),VLOOKUP(D123,'F40 mapping'!A:D,4,0)),0)</f>
        <v/>
      </c>
      <c r="R123">
        <f>_xlfn.IFERROR(IFERROR(VLOOKUP(E123,'F40 mapping'!A:E,5,0),VLOOKUP(D123,'F40 mapping'!A:E,5,0)),0)</f>
        <v/>
      </c>
      <c r="S123">
        <f>_xlfn.IF(B123&lt;6,IFERROR(VLOOKUP(E123,'BS Mapping std'!A:E,5,0),VLOOKUP(D123,'BS Mapping std'!A:E,5,0)),IFERROR(VLOOKUP(E123,'PL mapping Std'!A:F,6,0),VLOOKUP(D123,'PL mapping Std'!A:F,6,0)))</f>
        <v/>
      </c>
      <c r="T123">
        <f>_xlfn.IF(B123&lt;6,IFERROR(VLOOKUP(E123,'BS Mapping std'!A:F,6,0),VLOOKUP(D123,'BS Mapping std'!A:F,6,0)),IFERROR(VLOOKUP(E123,'PL mapping Std'!A:G,7,0),VLOOKUP(D123,'PL mapping Std'!A:G,7,0)))</f>
        <v/>
      </c>
      <c r="V123">
        <f>IF(IF(A123="BS",IFERROR(VLOOKUP(TRIM($E123),'BS Mapping std'!$A:$H,8,0),VLOOKUP(TRIM($D123),'BS Mapping std'!$A:$H,8,0)),IFERROR(VLOOKUP(TRIM($E123),'PL mapping Std'!$A:$E,5,0),VLOOKUP(TRIM($D123),'PL mapping Std'!$A:$E,5,0)))=0,"",IF(A123="BS",IFERROR(VLOOKUP(TRIM($E123),'BS Mapping std'!$A:$H,8,0),VLOOKUP(TRIM($D123),'BS Mapping std'!$A:$H,8,0)),IFERROR(VLOOKUP(TRIM($E123),'PL mapping Std'!$A:$E,5,0),VLOOKUP(TRIM($D123),'PL mapping Std'!$A:$E,5,0))))</f>
        <v/>
      </c>
      <c r="W123">
        <f>_xlfn.IFERROR(VLOOKUP(E123,'F30 mapping'!A:D,4,0),VLOOKUP(D123,'F30 mapping'!A:D,4,0))</f>
        <v/>
      </c>
      <c r="X123">
        <f>IF(B123&lt;6,IFERROR(VLOOKUP(E123,'BS Mapping std'!A:M,13,0),VLOOKUP(D123,'BS Mapping std'!A:M,13,0)),0)</f>
        <v/>
      </c>
      <c r="Y123">
        <f>IF(B123&lt;6,IFERROR(VLOOKUP(E123,'BS Mapping std'!A:N,14,0),VLOOKUP(D123,'BS Mapping std'!A:N,14,0)),0)</f>
        <v/>
      </c>
    </row>
    <row r="124" spans="1:25">
      <c r="A124">
        <f>IF(B124&lt;6,"BS",IF(B124=6,"Exp","Rev"))</f>
        <v/>
      </c>
      <c r="B124">
        <f>_xlfn.NUMBERVALUE(LEFT(F124,1))</f>
        <v/>
      </c>
      <c r="C124">
        <f>Left(F124,2)</f>
        <v/>
      </c>
      <c r="D124">
        <f>Left(F124,3)</f>
        <v/>
      </c>
      <c r="E124">
        <f>IF(F124="121",Left(F124,3)&amp;"0",Left(F124,4))</f>
        <v/>
      </c>
      <c r="F124" t="n">
        <v>42600000</v>
      </c>
      <c r="G124" t="s">
        <v>145</v>
      </c>
      <c r="H124" s="9" t="n">
        <v>-2624</v>
      </c>
      <c r="I124" s="9" t="n">
        <v>0</v>
      </c>
      <c r="J124" s="9" t="n">
        <v>0</v>
      </c>
      <c r="K124" s="9" t="n">
        <v>-2624</v>
      </c>
      <c r="L124" s="9">
        <f>K124-H124</f>
        <v/>
      </c>
      <c r="M124" s="32">
        <f>IFERROR(L124/H124," ")</f>
        <v/>
      </c>
      <c r="N124">
        <f>IF(A124="BS",IFERROR(VLOOKUP(TRIM($E124),'BS Mapping std'!$A:$D,4,0),VLOOKUP(TRIM($D124),'BS Mapping std'!$A:$D,4,0)),IFERROR(VLOOKUP(TRIM($E124),'PL mapping Std'!$A:$D,4,0),VLOOKUP(TRIM($D124),'PL mapping Std'!$A:$D,4,0)))</f>
        <v/>
      </c>
      <c r="O124">
        <f>_xlfn.IFERROR(VLOOKUP(E124,'F30 mapping'!A:C,3,0),VLOOKUP(D124,'F30 mapping'!A:C,3,0))</f>
        <v/>
      </c>
      <c r="P124">
        <f>_xlfn.IFERROR(IFERROR(VLOOKUP(E124,'F40 mapping'!A:C,3,0),VLOOKUP(D124,'F40 mapping'!A:C,3,0)),0)</f>
        <v/>
      </c>
      <c r="Q124">
        <f>_xlfn.IFERROR(IFERROR(VLOOKUP(E124,'F40 mapping'!A:D,4,0),VLOOKUP(D124,'F40 mapping'!A:D,4,0)),0)</f>
        <v/>
      </c>
      <c r="R124">
        <f>_xlfn.IFERROR(IFERROR(VLOOKUP(E124,'F40 mapping'!A:E,5,0),VLOOKUP(D124,'F40 mapping'!A:E,5,0)),0)</f>
        <v/>
      </c>
      <c r="S124">
        <f>_xlfn.IF(B124&lt;6,IFERROR(VLOOKUP(E124,'BS Mapping std'!A:E,5,0),VLOOKUP(D124,'BS Mapping std'!A:E,5,0)),IFERROR(VLOOKUP(E124,'PL mapping Std'!A:F,6,0),VLOOKUP(D124,'PL mapping Std'!A:F,6,0)))</f>
        <v/>
      </c>
      <c r="T124">
        <f>_xlfn.IF(B124&lt;6,IFERROR(VLOOKUP(E124,'BS Mapping std'!A:F,6,0),VLOOKUP(D124,'BS Mapping std'!A:F,6,0)),IFERROR(VLOOKUP(E124,'PL mapping Std'!A:G,7,0),VLOOKUP(D124,'PL mapping Std'!A:G,7,0)))</f>
        <v/>
      </c>
      <c r="V124">
        <f>IF(IF(A124="BS",IFERROR(VLOOKUP(TRIM($E124),'BS Mapping std'!$A:$H,8,0),VLOOKUP(TRIM($D124),'BS Mapping std'!$A:$H,8,0)),IFERROR(VLOOKUP(TRIM($E124),'PL mapping Std'!$A:$E,5,0),VLOOKUP(TRIM($D124),'PL mapping Std'!$A:$E,5,0)))=0,"",IF(A124="BS",IFERROR(VLOOKUP(TRIM($E124),'BS Mapping std'!$A:$H,8,0),VLOOKUP(TRIM($D124),'BS Mapping std'!$A:$H,8,0)),IFERROR(VLOOKUP(TRIM($E124),'PL mapping Std'!$A:$E,5,0),VLOOKUP(TRIM($D124),'PL mapping Std'!$A:$E,5,0))))</f>
        <v/>
      </c>
      <c r="W124">
        <f>_xlfn.IFERROR(VLOOKUP(E124,'F30 mapping'!A:D,4,0),VLOOKUP(D124,'F30 mapping'!A:D,4,0))</f>
        <v/>
      </c>
      <c r="X124">
        <f>IF(B124&lt;6,IFERROR(VLOOKUP(E124,'BS Mapping std'!A:M,13,0),VLOOKUP(D124,'BS Mapping std'!A:M,13,0)),0)</f>
        <v/>
      </c>
      <c r="Y124">
        <f>IF(B124&lt;6,IFERROR(VLOOKUP(E124,'BS Mapping std'!A:N,14,0),VLOOKUP(D124,'BS Mapping std'!A:N,14,0)),0)</f>
        <v/>
      </c>
    </row>
    <row r="125" spans="1:25">
      <c r="A125">
        <f>IF(B125&lt;6,"BS",IF(B125=6,"Exp","Rev"))</f>
        <v/>
      </c>
      <c r="B125">
        <f>_xlfn.NUMBERVALUE(LEFT(F125,1))</f>
        <v/>
      </c>
      <c r="C125">
        <f>Left(F125,2)</f>
        <v/>
      </c>
      <c r="D125">
        <f>Left(F125,3)</f>
        <v/>
      </c>
      <c r="E125">
        <f>IF(F125="121",Left(F125,3)&amp;"0",Left(F125,4))</f>
        <v/>
      </c>
      <c r="F125" t="n">
        <v>42700000</v>
      </c>
      <c r="G125" t="s">
        <v>146</v>
      </c>
      <c r="H125" s="9" t="n">
        <v>-10329.09</v>
      </c>
      <c r="I125" s="9" t="n">
        <v>164529.8</v>
      </c>
      <c r="J125" s="9" t="n">
        <v>169719.39</v>
      </c>
      <c r="K125" s="9" t="n">
        <v>-15518.68</v>
      </c>
      <c r="L125" s="9">
        <f>K125-H125</f>
        <v/>
      </c>
      <c r="M125" s="32">
        <f>IFERROR(L125/H125," ")</f>
        <v/>
      </c>
      <c r="N125">
        <f>IF(A125="BS",IFERROR(VLOOKUP(TRIM($E125),'BS Mapping std'!$A:$D,4,0),VLOOKUP(TRIM($D125),'BS Mapping std'!$A:$D,4,0)),IFERROR(VLOOKUP(TRIM($E125),'PL mapping Std'!$A:$D,4,0),VLOOKUP(TRIM($D125),'PL mapping Std'!$A:$D,4,0)))</f>
        <v/>
      </c>
      <c r="O125">
        <f>_xlfn.IFERROR(VLOOKUP(E125,'F30 mapping'!A:C,3,0),VLOOKUP(D125,'F30 mapping'!A:C,3,0))</f>
        <v/>
      </c>
      <c r="P125">
        <f>_xlfn.IFERROR(IFERROR(VLOOKUP(E125,'F40 mapping'!A:C,3,0),VLOOKUP(D125,'F40 mapping'!A:C,3,0)),0)</f>
        <v/>
      </c>
      <c r="Q125">
        <f>_xlfn.IFERROR(IFERROR(VLOOKUP(E125,'F40 mapping'!A:D,4,0),VLOOKUP(D125,'F40 mapping'!A:D,4,0)),0)</f>
        <v/>
      </c>
      <c r="R125">
        <f>_xlfn.IFERROR(IFERROR(VLOOKUP(E125,'F40 mapping'!A:E,5,0),VLOOKUP(D125,'F40 mapping'!A:E,5,0)),0)</f>
        <v/>
      </c>
      <c r="S125">
        <f>_xlfn.IF(B125&lt;6,IFERROR(VLOOKUP(E125,'BS Mapping std'!A:E,5,0),VLOOKUP(D125,'BS Mapping std'!A:E,5,0)),IFERROR(VLOOKUP(E125,'PL mapping Std'!A:F,6,0),VLOOKUP(D125,'PL mapping Std'!A:F,6,0)))</f>
        <v/>
      </c>
      <c r="T125">
        <f>_xlfn.IF(B125&lt;6,IFERROR(VLOOKUP(E125,'BS Mapping std'!A:F,6,0),VLOOKUP(D125,'BS Mapping std'!A:F,6,0)),IFERROR(VLOOKUP(E125,'PL mapping Std'!A:G,7,0),VLOOKUP(D125,'PL mapping Std'!A:G,7,0)))</f>
        <v/>
      </c>
      <c r="V125">
        <f>IF(IF(A125="BS",IFERROR(VLOOKUP(TRIM($E125),'BS Mapping std'!$A:$H,8,0),VLOOKUP(TRIM($D125),'BS Mapping std'!$A:$H,8,0)),IFERROR(VLOOKUP(TRIM($E125),'PL mapping Std'!$A:$E,5,0),VLOOKUP(TRIM($D125),'PL mapping Std'!$A:$E,5,0)))=0,"",IF(A125="BS",IFERROR(VLOOKUP(TRIM($E125),'BS Mapping std'!$A:$H,8,0),VLOOKUP(TRIM($D125),'BS Mapping std'!$A:$H,8,0)),IFERROR(VLOOKUP(TRIM($E125),'PL mapping Std'!$A:$E,5,0),VLOOKUP(TRIM($D125),'PL mapping Std'!$A:$E,5,0))))</f>
        <v/>
      </c>
      <c r="W125">
        <f>_xlfn.IFERROR(VLOOKUP(E125,'F30 mapping'!A:D,4,0),VLOOKUP(D125,'F30 mapping'!A:D,4,0))</f>
        <v/>
      </c>
      <c r="X125">
        <f>IF(B125&lt;6,IFERROR(VLOOKUP(E125,'BS Mapping std'!A:M,13,0),VLOOKUP(D125,'BS Mapping std'!A:M,13,0)),0)</f>
        <v/>
      </c>
      <c r="Y125">
        <f>IF(B125&lt;6,IFERROR(VLOOKUP(E125,'BS Mapping std'!A:N,14,0),VLOOKUP(D125,'BS Mapping std'!A:N,14,0)),0)</f>
        <v/>
      </c>
    </row>
    <row r="126" spans="1:25">
      <c r="A126">
        <f>IF(B126&lt;6,"BS",IF(B126=6,"Exp","Rev"))</f>
        <v/>
      </c>
      <c r="B126">
        <f>_xlfn.NUMBERVALUE(LEFT(F126,1))</f>
        <v/>
      </c>
      <c r="C126">
        <f>Left(F126,2)</f>
        <v/>
      </c>
      <c r="D126">
        <f>Left(F126,3)</f>
        <v/>
      </c>
      <c r="E126">
        <f>IF(F126="121",Left(F126,3)&amp;"0",Left(F126,4))</f>
        <v/>
      </c>
      <c r="F126" t="n">
        <v>42810020</v>
      </c>
      <c r="G126" t="s">
        <v>147</v>
      </c>
      <c r="H126" s="9" t="n">
        <v>-1040352</v>
      </c>
      <c r="I126" s="9" t="n">
        <v>1040352</v>
      </c>
      <c r="J126" s="9" t="n">
        <v>1229652</v>
      </c>
      <c r="K126" s="9" t="n">
        <v>-1229652</v>
      </c>
      <c r="L126" s="9">
        <f>K126-H126</f>
        <v/>
      </c>
      <c r="M126" s="32">
        <f>IFERROR(L126/H126," ")</f>
        <v/>
      </c>
      <c r="N126">
        <f>IF(A126="BS",IFERROR(VLOOKUP(TRIM($E126),'BS Mapping std'!$A:$D,4,0),VLOOKUP(TRIM($D126),'BS Mapping std'!$A:$D,4,0)),IFERROR(VLOOKUP(TRIM($E126),'PL mapping Std'!$A:$D,4,0),VLOOKUP(TRIM($D126),'PL mapping Std'!$A:$D,4,0)))</f>
        <v/>
      </c>
      <c r="O126">
        <f>_xlfn.IFERROR(VLOOKUP(E126,'F30 mapping'!A:C,3,0),VLOOKUP(D126,'F30 mapping'!A:C,3,0))</f>
        <v/>
      </c>
      <c r="P126">
        <f>_xlfn.IFERROR(IFERROR(VLOOKUP(E126,'F40 mapping'!A:C,3,0),VLOOKUP(D126,'F40 mapping'!A:C,3,0)),0)</f>
        <v/>
      </c>
      <c r="Q126">
        <f>_xlfn.IFERROR(IFERROR(VLOOKUP(E126,'F40 mapping'!A:D,4,0),VLOOKUP(D126,'F40 mapping'!A:D,4,0)),0)</f>
        <v/>
      </c>
      <c r="R126">
        <f>_xlfn.IFERROR(IFERROR(VLOOKUP(E126,'F40 mapping'!A:E,5,0),VLOOKUP(D126,'F40 mapping'!A:E,5,0)),0)</f>
        <v/>
      </c>
      <c r="S126">
        <f>_xlfn.IF(B126&lt;6,IFERROR(VLOOKUP(E126,'BS Mapping std'!A:E,5,0),VLOOKUP(D126,'BS Mapping std'!A:E,5,0)),IFERROR(VLOOKUP(E126,'PL mapping Std'!A:F,6,0),VLOOKUP(D126,'PL mapping Std'!A:F,6,0)))</f>
        <v/>
      </c>
      <c r="T126">
        <f>_xlfn.IF(B126&lt;6,IFERROR(VLOOKUP(E126,'BS Mapping std'!A:F,6,0),VLOOKUP(D126,'BS Mapping std'!A:F,6,0)),IFERROR(VLOOKUP(E126,'PL mapping Std'!A:G,7,0),VLOOKUP(D126,'PL mapping Std'!A:G,7,0)))</f>
        <v/>
      </c>
      <c r="V126">
        <f>IF(IF(A126="BS",IFERROR(VLOOKUP(TRIM($E126),'BS Mapping std'!$A:$H,8,0),VLOOKUP(TRIM($D126),'BS Mapping std'!$A:$H,8,0)),IFERROR(VLOOKUP(TRIM($E126),'PL mapping Std'!$A:$E,5,0),VLOOKUP(TRIM($D126),'PL mapping Std'!$A:$E,5,0)))=0,"",IF(A126="BS",IFERROR(VLOOKUP(TRIM($E126),'BS Mapping std'!$A:$H,8,0),VLOOKUP(TRIM($D126),'BS Mapping std'!$A:$H,8,0)),IFERROR(VLOOKUP(TRIM($E126),'PL mapping Std'!$A:$E,5,0),VLOOKUP(TRIM($D126),'PL mapping Std'!$A:$E,5,0))))</f>
        <v/>
      </c>
      <c r="W126">
        <f>_xlfn.IFERROR(VLOOKUP(E126,'F30 mapping'!A:D,4,0),VLOOKUP(D126,'F30 mapping'!A:D,4,0))</f>
        <v/>
      </c>
      <c r="X126">
        <f>IF(B126&lt;6,IFERROR(VLOOKUP(E126,'BS Mapping std'!A:M,13,0),VLOOKUP(D126,'BS Mapping std'!A:M,13,0)),0)</f>
        <v/>
      </c>
      <c r="Y126">
        <f>IF(B126&lt;6,IFERROR(VLOOKUP(E126,'BS Mapping std'!A:N,14,0),VLOOKUP(D126,'BS Mapping std'!A:N,14,0)),0)</f>
        <v/>
      </c>
    </row>
    <row r="127" spans="1:25">
      <c r="A127">
        <f>IF(B127&lt;6,"BS",IF(B127=6,"Exp","Rev"))</f>
        <v/>
      </c>
      <c r="B127">
        <f>_xlfn.NUMBERVALUE(LEFT(F127,1))</f>
        <v/>
      </c>
      <c r="C127">
        <f>Left(F127,2)</f>
        <v/>
      </c>
      <c r="D127">
        <f>Left(F127,3)</f>
        <v/>
      </c>
      <c r="E127">
        <f>IF(F127="121",Left(F127,3)&amp;"0",Left(F127,4))</f>
        <v/>
      </c>
      <c r="F127" t="n">
        <v>43120010</v>
      </c>
      <c r="G127" t="s">
        <v>148</v>
      </c>
      <c r="H127" s="9" t="n">
        <v>-600</v>
      </c>
      <c r="I127" s="9" t="n">
        <v>1800</v>
      </c>
      <c r="J127" s="9" t="n">
        <v>1200</v>
      </c>
      <c r="K127" s="9" t="n">
        <v>0</v>
      </c>
      <c r="L127" s="9">
        <f>K127-H127</f>
        <v/>
      </c>
      <c r="M127" s="32">
        <f>IFERROR(L127/H127," ")</f>
        <v/>
      </c>
      <c r="N127">
        <f>IF(A127="BS",IFERROR(VLOOKUP(TRIM($E127),'BS Mapping std'!$A:$D,4,0),VLOOKUP(TRIM($D127),'BS Mapping std'!$A:$D,4,0)),IFERROR(VLOOKUP(TRIM($E127),'PL mapping Std'!$A:$D,4,0),VLOOKUP(TRIM($D127),'PL mapping Std'!$A:$D,4,0)))</f>
        <v/>
      </c>
      <c r="O127">
        <f>_xlfn.IFERROR(VLOOKUP(E127,'F30 mapping'!A:C,3,0),VLOOKUP(D127,'F30 mapping'!A:C,3,0))</f>
        <v/>
      </c>
      <c r="P127">
        <f>_xlfn.IFERROR(IFERROR(VLOOKUP(E127,'F40 mapping'!A:C,3,0),VLOOKUP(D127,'F40 mapping'!A:C,3,0)),0)</f>
        <v/>
      </c>
      <c r="Q127">
        <f>_xlfn.IFERROR(IFERROR(VLOOKUP(E127,'F40 mapping'!A:D,4,0),VLOOKUP(D127,'F40 mapping'!A:D,4,0)),0)</f>
        <v/>
      </c>
      <c r="R127">
        <f>_xlfn.IFERROR(IFERROR(VLOOKUP(E127,'F40 mapping'!A:E,5,0),VLOOKUP(D127,'F40 mapping'!A:E,5,0)),0)</f>
        <v/>
      </c>
      <c r="S127">
        <f>_xlfn.IF(B127&lt;6,IFERROR(VLOOKUP(E127,'BS Mapping std'!A:E,5,0),VLOOKUP(D127,'BS Mapping std'!A:E,5,0)),IFERROR(VLOOKUP(E127,'PL mapping Std'!A:F,6,0),VLOOKUP(D127,'PL mapping Std'!A:F,6,0)))</f>
        <v/>
      </c>
      <c r="T127">
        <f>_xlfn.IF(B127&lt;6,IFERROR(VLOOKUP(E127,'BS Mapping std'!A:F,6,0),VLOOKUP(D127,'BS Mapping std'!A:F,6,0)),IFERROR(VLOOKUP(E127,'PL mapping Std'!A:G,7,0),VLOOKUP(D127,'PL mapping Std'!A:G,7,0)))</f>
        <v/>
      </c>
      <c r="V127">
        <f>IF(IF(A127="BS",IFERROR(VLOOKUP(TRIM($E127),'BS Mapping std'!$A:$H,8,0),VLOOKUP(TRIM($D127),'BS Mapping std'!$A:$H,8,0)),IFERROR(VLOOKUP(TRIM($E127),'PL mapping Std'!$A:$E,5,0),VLOOKUP(TRIM($D127),'PL mapping Std'!$A:$E,5,0)))=0,"",IF(A127="BS",IFERROR(VLOOKUP(TRIM($E127),'BS Mapping std'!$A:$H,8,0),VLOOKUP(TRIM($D127),'BS Mapping std'!$A:$H,8,0)),IFERROR(VLOOKUP(TRIM($E127),'PL mapping Std'!$A:$E,5,0),VLOOKUP(TRIM($D127),'PL mapping Std'!$A:$E,5,0))))</f>
        <v/>
      </c>
      <c r="W127">
        <f>_xlfn.IFERROR(VLOOKUP(E127,'F30 mapping'!A:D,4,0),VLOOKUP(D127,'F30 mapping'!A:D,4,0))</f>
        <v/>
      </c>
      <c r="X127">
        <f>IF(B127&lt;6,IFERROR(VLOOKUP(E127,'BS Mapping std'!A:M,13,0),VLOOKUP(D127,'BS Mapping std'!A:M,13,0)),0)</f>
        <v/>
      </c>
      <c r="Y127">
        <f>IF(B127&lt;6,IFERROR(VLOOKUP(E127,'BS Mapping std'!A:N,14,0),VLOOKUP(D127,'BS Mapping std'!A:N,14,0)),0)</f>
        <v/>
      </c>
    </row>
    <row r="128" spans="1:25">
      <c r="A128">
        <f>IF(B128&lt;6,"BS",IF(B128=6,"Exp","Rev"))</f>
        <v/>
      </c>
      <c r="B128">
        <f>_xlfn.NUMBERVALUE(LEFT(F128,1))</f>
        <v/>
      </c>
      <c r="C128">
        <f>Left(F128,2)</f>
        <v/>
      </c>
      <c r="D128">
        <f>Left(F128,3)</f>
        <v/>
      </c>
      <c r="E128">
        <f>IF(F128="121",Left(F128,3)&amp;"0",Left(F128,4))</f>
        <v/>
      </c>
      <c r="F128" t="n">
        <v>43130000</v>
      </c>
      <c r="G128" t="s">
        <v>149</v>
      </c>
      <c r="H128" s="9" t="n">
        <v>-15</v>
      </c>
      <c r="I128" s="9" t="n">
        <v>0</v>
      </c>
      <c r="J128" s="9" t="n">
        <v>0</v>
      </c>
      <c r="K128" s="9" t="n">
        <v>-15</v>
      </c>
      <c r="L128" s="9">
        <f>K128-H128</f>
        <v/>
      </c>
      <c r="M128" s="32">
        <f>IFERROR(L128/H128," ")</f>
        <v/>
      </c>
      <c r="N128">
        <f>IF(A128="BS",IFERROR(VLOOKUP(TRIM($E128),'BS Mapping std'!$A:$D,4,0),VLOOKUP(TRIM($D128),'BS Mapping std'!$A:$D,4,0)),IFERROR(VLOOKUP(TRIM($E128),'PL mapping Std'!$A:$D,4,0),VLOOKUP(TRIM($D128),'PL mapping Std'!$A:$D,4,0)))</f>
        <v/>
      </c>
      <c r="O128">
        <f>_xlfn.IFERROR(VLOOKUP(E128,'F30 mapping'!A:C,3,0),VLOOKUP(D128,'F30 mapping'!A:C,3,0))</f>
        <v/>
      </c>
      <c r="P128">
        <f>_xlfn.IFERROR(IFERROR(VLOOKUP(E128,'F40 mapping'!A:C,3,0),VLOOKUP(D128,'F40 mapping'!A:C,3,0)),0)</f>
        <v/>
      </c>
      <c r="Q128">
        <f>_xlfn.IFERROR(IFERROR(VLOOKUP(E128,'F40 mapping'!A:D,4,0),VLOOKUP(D128,'F40 mapping'!A:D,4,0)),0)</f>
        <v/>
      </c>
      <c r="R128">
        <f>_xlfn.IFERROR(IFERROR(VLOOKUP(E128,'F40 mapping'!A:E,5,0),VLOOKUP(D128,'F40 mapping'!A:E,5,0)),0)</f>
        <v/>
      </c>
      <c r="S128">
        <f>_xlfn.IF(B128&lt;6,IFERROR(VLOOKUP(E128,'BS Mapping std'!A:E,5,0),VLOOKUP(D128,'BS Mapping std'!A:E,5,0)),IFERROR(VLOOKUP(E128,'PL mapping Std'!A:F,6,0),VLOOKUP(D128,'PL mapping Std'!A:F,6,0)))</f>
        <v/>
      </c>
      <c r="T128">
        <f>_xlfn.IF(B128&lt;6,IFERROR(VLOOKUP(E128,'BS Mapping std'!A:F,6,0),VLOOKUP(D128,'BS Mapping std'!A:F,6,0)),IFERROR(VLOOKUP(E128,'PL mapping Std'!A:G,7,0),VLOOKUP(D128,'PL mapping Std'!A:G,7,0)))</f>
        <v/>
      </c>
      <c r="V128">
        <f>IF(IF(A128="BS",IFERROR(VLOOKUP(TRIM($E128),'BS Mapping std'!$A:$H,8,0),VLOOKUP(TRIM($D128),'BS Mapping std'!$A:$H,8,0)),IFERROR(VLOOKUP(TRIM($E128),'PL mapping Std'!$A:$E,5,0),VLOOKUP(TRIM($D128),'PL mapping Std'!$A:$E,5,0)))=0,"",IF(A128="BS",IFERROR(VLOOKUP(TRIM($E128),'BS Mapping std'!$A:$H,8,0),VLOOKUP(TRIM($D128),'BS Mapping std'!$A:$H,8,0)),IFERROR(VLOOKUP(TRIM($E128),'PL mapping Std'!$A:$E,5,0),VLOOKUP(TRIM($D128),'PL mapping Std'!$A:$E,5,0))))</f>
        <v/>
      </c>
      <c r="W128">
        <f>_xlfn.IFERROR(VLOOKUP(E128,'F30 mapping'!A:D,4,0),VLOOKUP(D128,'F30 mapping'!A:D,4,0))</f>
        <v/>
      </c>
      <c r="X128">
        <f>IF(B128&lt;6,IFERROR(VLOOKUP(E128,'BS Mapping std'!A:M,13,0),VLOOKUP(D128,'BS Mapping std'!A:M,13,0)),0)</f>
        <v/>
      </c>
      <c r="Y128">
        <f>IF(B128&lt;6,IFERROR(VLOOKUP(E128,'BS Mapping std'!A:N,14,0),VLOOKUP(D128,'BS Mapping std'!A:N,14,0)),0)</f>
        <v/>
      </c>
    </row>
    <row r="129" spans="1:25">
      <c r="A129">
        <f>IF(B129&lt;6,"BS",IF(B129=6,"Exp","Rev"))</f>
        <v/>
      </c>
      <c r="B129">
        <f>_xlfn.NUMBERVALUE(LEFT(F129,1))</f>
        <v/>
      </c>
      <c r="C129">
        <f>Left(F129,2)</f>
        <v/>
      </c>
      <c r="D129">
        <f>Left(F129,3)</f>
        <v/>
      </c>
      <c r="E129">
        <f>IF(F129="121",Left(F129,3)&amp;"0",Left(F129,4))</f>
        <v/>
      </c>
      <c r="F129" t="n">
        <v>43130010</v>
      </c>
      <c r="G129" t="s">
        <v>150</v>
      </c>
      <c r="H129" s="9" t="n">
        <v>449683.74</v>
      </c>
      <c r="I129" s="9" t="n">
        <v>551171</v>
      </c>
      <c r="J129" s="9" t="n">
        <v>840592</v>
      </c>
      <c r="K129" s="9" t="n">
        <v>160262.74</v>
      </c>
      <c r="L129" s="9">
        <f>K129-H129</f>
        <v/>
      </c>
      <c r="M129" s="32">
        <f>IFERROR(L129/H129," ")</f>
        <v/>
      </c>
      <c r="N129">
        <f>IF(A129="BS",IFERROR(VLOOKUP(TRIM($E129),'BS Mapping std'!$A:$D,4,0),VLOOKUP(TRIM($D129),'BS Mapping std'!$A:$D,4,0)),IFERROR(VLOOKUP(TRIM($E129),'PL mapping Std'!$A:$D,4,0),VLOOKUP(TRIM($D129),'PL mapping Std'!$A:$D,4,0)))</f>
        <v/>
      </c>
      <c r="O129">
        <f>_xlfn.IFERROR(VLOOKUP(E129,'F30 mapping'!A:C,3,0),VLOOKUP(D129,'F30 mapping'!A:C,3,0))</f>
        <v/>
      </c>
      <c r="P129">
        <f>_xlfn.IFERROR(IFERROR(VLOOKUP(E129,'F40 mapping'!A:C,3,0),VLOOKUP(D129,'F40 mapping'!A:C,3,0)),0)</f>
        <v/>
      </c>
      <c r="Q129">
        <f>_xlfn.IFERROR(IFERROR(VLOOKUP(E129,'F40 mapping'!A:D,4,0),VLOOKUP(D129,'F40 mapping'!A:D,4,0)),0)</f>
        <v/>
      </c>
      <c r="R129">
        <f>_xlfn.IFERROR(IFERROR(VLOOKUP(E129,'F40 mapping'!A:E,5,0),VLOOKUP(D129,'F40 mapping'!A:E,5,0)),0)</f>
        <v/>
      </c>
      <c r="S129">
        <f>_xlfn.IF(B129&lt;6,IFERROR(VLOOKUP(E129,'BS Mapping std'!A:E,5,0),VLOOKUP(D129,'BS Mapping std'!A:E,5,0)),IFERROR(VLOOKUP(E129,'PL mapping Std'!A:F,6,0),VLOOKUP(D129,'PL mapping Std'!A:F,6,0)))</f>
        <v/>
      </c>
      <c r="T129">
        <f>_xlfn.IF(B129&lt;6,IFERROR(VLOOKUP(E129,'BS Mapping std'!A:F,6,0),VLOOKUP(D129,'BS Mapping std'!A:F,6,0)),IFERROR(VLOOKUP(E129,'PL mapping Std'!A:G,7,0),VLOOKUP(D129,'PL mapping Std'!A:G,7,0)))</f>
        <v/>
      </c>
      <c r="V129">
        <f>IF(IF(A129="BS",IFERROR(VLOOKUP(TRIM($E129),'BS Mapping std'!$A:$H,8,0),VLOOKUP(TRIM($D129),'BS Mapping std'!$A:$H,8,0)),IFERROR(VLOOKUP(TRIM($E129),'PL mapping Std'!$A:$E,5,0),VLOOKUP(TRIM($D129),'PL mapping Std'!$A:$E,5,0)))=0,"",IF(A129="BS",IFERROR(VLOOKUP(TRIM($E129),'BS Mapping std'!$A:$H,8,0),VLOOKUP(TRIM($D129),'BS Mapping std'!$A:$H,8,0)),IFERROR(VLOOKUP(TRIM($E129),'PL mapping Std'!$A:$E,5,0),VLOOKUP(TRIM($D129),'PL mapping Std'!$A:$E,5,0))))</f>
        <v/>
      </c>
      <c r="W129">
        <f>_xlfn.IFERROR(VLOOKUP(E129,'F30 mapping'!A:D,4,0),VLOOKUP(D129,'F30 mapping'!A:D,4,0))</f>
        <v/>
      </c>
      <c r="X129">
        <f>IF(B129&lt;6,IFERROR(VLOOKUP(E129,'BS Mapping std'!A:M,13,0),VLOOKUP(D129,'BS Mapping std'!A:M,13,0)),0)</f>
        <v/>
      </c>
      <c r="Y129">
        <f>IF(B129&lt;6,IFERROR(VLOOKUP(E129,'BS Mapping std'!A:N,14,0),VLOOKUP(D129,'BS Mapping std'!A:N,14,0)),0)</f>
        <v/>
      </c>
    </row>
    <row r="130" spans="1:25">
      <c r="A130">
        <f>IF(B130&lt;6,"BS",IF(B130=6,"Exp","Rev"))</f>
        <v/>
      </c>
      <c r="B130">
        <f>_xlfn.NUMBERVALUE(LEFT(F130,1))</f>
        <v/>
      </c>
      <c r="C130">
        <f>Left(F130,2)</f>
        <v/>
      </c>
      <c r="D130">
        <f>Left(F130,3)</f>
        <v/>
      </c>
      <c r="E130">
        <f>IF(F130="121",Left(F130,3)&amp;"0",Left(F130,4))</f>
        <v/>
      </c>
      <c r="F130" t="n">
        <v>43150000</v>
      </c>
      <c r="G130" t="s">
        <v>151</v>
      </c>
      <c r="H130" s="9" t="n">
        <v>-492606</v>
      </c>
      <c r="I130" s="9" t="n">
        <v>6705842</v>
      </c>
      <c r="J130" s="9" t="n">
        <v>6764806</v>
      </c>
      <c r="K130" s="9" t="n">
        <v>-551570</v>
      </c>
      <c r="L130" s="9">
        <f>K130-H130</f>
        <v/>
      </c>
      <c r="M130" s="32">
        <f>IFERROR(L130/H130," ")</f>
        <v/>
      </c>
      <c r="N130">
        <f>IF(A130="BS",IFERROR(VLOOKUP(TRIM($E130),'BS Mapping std'!$A:$D,4,0),VLOOKUP(TRIM($D130),'BS Mapping std'!$A:$D,4,0)),IFERROR(VLOOKUP(TRIM($E130),'PL mapping Std'!$A:$D,4,0),VLOOKUP(TRIM($D130),'PL mapping Std'!$A:$D,4,0)))</f>
        <v/>
      </c>
      <c r="O130">
        <f>_xlfn.IFERROR(VLOOKUP(E130,'F30 mapping'!A:C,3,0),VLOOKUP(D130,'F30 mapping'!A:C,3,0))</f>
        <v/>
      </c>
      <c r="P130">
        <f>_xlfn.IFERROR(IFERROR(VLOOKUP(E130,'F40 mapping'!A:C,3,0),VLOOKUP(D130,'F40 mapping'!A:C,3,0)),0)</f>
        <v/>
      </c>
      <c r="Q130">
        <f>_xlfn.IFERROR(IFERROR(VLOOKUP(E130,'F40 mapping'!A:D,4,0),VLOOKUP(D130,'F40 mapping'!A:D,4,0)),0)</f>
        <v/>
      </c>
      <c r="R130">
        <f>_xlfn.IFERROR(IFERROR(VLOOKUP(E130,'F40 mapping'!A:E,5,0),VLOOKUP(D130,'F40 mapping'!A:E,5,0)),0)</f>
        <v/>
      </c>
      <c r="S130">
        <f>_xlfn.IF(B130&lt;6,IFERROR(VLOOKUP(E130,'BS Mapping std'!A:E,5,0),VLOOKUP(D130,'BS Mapping std'!A:E,5,0)),IFERROR(VLOOKUP(E130,'PL mapping Std'!A:F,6,0),VLOOKUP(D130,'PL mapping Std'!A:F,6,0)))</f>
        <v/>
      </c>
      <c r="T130">
        <f>_xlfn.IF(B130&lt;6,IFERROR(VLOOKUP(E130,'BS Mapping std'!A:F,6,0),VLOOKUP(D130,'BS Mapping std'!A:F,6,0)),IFERROR(VLOOKUP(E130,'PL mapping Std'!A:G,7,0),VLOOKUP(D130,'PL mapping Std'!A:G,7,0)))</f>
        <v/>
      </c>
      <c r="V130">
        <f>IF(IF(A130="BS",IFERROR(VLOOKUP(TRIM($E130),'BS Mapping std'!$A:$H,8,0),VLOOKUP(TRIM($D130),'BS Mapping std'!$A:$H,8,0)),IFERROR(VLOOKUP(TRIM($E130),'PL mapping Std'!$A:$E,5,0),VLOOKUP(TRIM($D130),'PL mapping Std'!$A:$E,5,0)))=0,"",IF(A130="BS",IFERROR(VLOOKUP(TRIM($E130),'BS Mapping std'!$A:$H,8,0),VLOOKUP(TRIM($D130),'BS Mapping std'!$A:$H,8,0)),IFERROR(VLOOKUP(TRIM($E130),'PL mapping Std'!$A:$E,5,0),VLOOKUP(TRIM($D130),'PL mapping Std'!$A:$E,5,0))))</f>
        <v/>
      </c>
      <c r="W130">
        <f>_xlfn.IFERROR(VLOOKUP(E130,'F30 mapping'!A:D,4,0),VLOOKUP(D130,'F30 mapping'!A:D,4,0))</f>
        <v/>
      </c>
      <c r="X130">
        <f>IF(B130&lt;6,IFERROR(VLOOKUP(E130,'BS Mapping std'!A:M,13,0),VLOOKUP(D130,'BS Mapping std'!A:M,13,0)),0)</f>
        <v/>
      </c>
      <c r="Y130">
        <f>IF(B130&lt;6,IFERROR(VLOOKUP(E130,'BS Mapping std'!A:N,14,0),VLOOKUP(D130,'BS Mapping std'!A:N,14,0)),0)</f>
        <v/>
      </c>
    </row>
    <row r="131" spans="1:25">
      <c r="A131">
        <f>IF(B131&lt;6,"BS",IF(B131=6,"Exp","Rev"))</f>
        <v/>
      </c>
      <c r="B131">
        <f>_xlfn.NUMBERVALUE(LEFT(F131,1))</f>
        <v/>
      </c>
      <c r="C131">
        <f>Left(F131,2)</f>
        <v/>
      </c>
      <c r="D131">
        <f>Left(F131,3)</f>
        <v/>
      </c>
      <c r="E131">
        <f>IF(F131="121",Left(F131,3)&amp;"0",Left(F131,4))</f>
        <v/>
      </c>
      <c r="F131" t="n">
        <v>43160000</v>
      </c>
      <c r="G131" t="s">
        <v>152</v>
      </c>
      <c r="H131" s="9" t="n">
        <v>-192164</v>
      </c>
      <c r="I131" s="9" t="n">
        <v>2605925</v>
      </c>
      <c r="J131" s="9" t="n">
        <v>2629490</v>
      </c>
      <c r="K131" s="9" t="n">
        <v>-215729</v>
      </c>
      <c r="L131" s="9">
        <f>K131-H131</f>
        <v/>
      </c>
      <c r="M131" s="32">
        <f>IFERROR(L131/H131," ")</f>
        <v/>
      </c>
      <c r="N131">
        <f>IF(A131="BS",IFERROR(VLOOKUP(TRIM($E131),'BS Mapping std'!$A:$D,4,0),VLOOKUP(TRIM($D131),'BS Mapping std'!$A:$D,4,0)),IFERROR(VLOOKUP(TRIM($E131),'PL mapping Std'!$A:$D,4,0),VLOOKUP(TRIM($D131),'PL mapping Std'!$A:$D,4,0)))</f>
        <v/>
      </c>
      <c r="O131">
        <f>_xlfn.IFERROR(VLOOKUP(E131,'F30 mapping'!A:C,3,0),VLOOKUP(D131,'F30 mapping'!A:C,3,0))</f>
        <v/>
      </c>
      <c r="P131">
        <f>_xlfn.IFERROR(IFERROR(VLOOKUP(E131,'F40 mapping'!A:C,3,0),VLOOKUP(D131,'F40 mapping'!A:C,3,0)),0)</f>
        <v/>
      </c>
      <c r="Q131">
        <f>_xlfn.IFERROR(IFERROR(VLOOKUP(E131,'F40 mapping'!A:D,4,0),VLOOKUP(D131,'F40 mapping'!A:D,4,0)),0)</f>
        <v/>
      </c>
      <c r="R131">
        <f>_xlfn.IFERROR(IFERROR(VLOOKUP(E131,'F40 mapping'!A:E,5,0),VLOOKUP(D131,'F40 mapping'!A:E,5,0)),0)</f>
        <v/>
      </c>
      <c r="S131">
        <f>_xlfn.IF(B131&lt;6,IFERROR(VLOOKUP(E131,'BS Mapping std'!A:E,5,0),VLOOKUP(D131,'BS Mapping std'!A:E,5,0)),IFERROR(VLOOKUP(E131,'PL mapping Std'!A:F,6,0),VLOOKUP(D131,'PL mapping Std'!A:F,6,0)))</f>
        <v/>
      </c>
      <c r="T131">
        <f>_xlfn.IF(B131&lt;6,IFERROR(VLOOKUP(E131,'BS Mapping std'!A:F,6,0),VLOOKUP(D131,'BS Mapping std'!A:F,6,0)),IFERROR(VLOOKUP(E131,'PL mapping Std'!A:G,7,0),VLOOKUP(D131,'PL mapping Std'!A:G,7,0)))</f>
        <v/>
      </c>
      <c r="V131">
        <f>IF(IF(A131="BS",IFERROR(VLOOKUP(TRIM($E131),'BS Mapping std'!$A:$H,8,0),VLOOKUP(TRIM($D131),'BS Mapping std'!$A:$H,8,0)),IFERROR(VLOOKUP(TRIM($E131),'PL mapping Std'!$A:$E,5,0),VLOOKUP(TRIM($D131),'PL mapping Std'!$A:$E,5,0)))=0,"",IF(A131="BS",IFERROR(VLOOKUP(TRIM($E131),'BS Mapping std'!$A:$H,8,0),VLOOKUP(TRIM($D131),'BS Mapping std'!$A:$H,8,0)),IFERROR(VLOOKUP(TRIM($E131),'PL mapping Std'!$A:$E,5,0),VLOOKUP(TRIM($D131),'PL mapping Std'!$A:$E,5,0))))</f>
        <v/>
      </c>
      <c r="W131">
        <f>_xlfn.IFERROR(VLOOKUP(E131,'F30 mapping'!A:D,4,0),VLOOKUP(D131,'F30 mapping'!A:D,4,0))</f>
        <v/>
      </c>
      <c r="X131">
        <f>IF(B131&lt;6,IFERROR(VLOOKUP(E131,'BS Mapping std'!A:M,13,0),VLOOKUP(D131,'BS Mapping std'!A:M,13,0)),0)</f>
        <v/>
      </c>
      <c r="Y131">
        <f>IF(B131&lt;6,IFERROR(VLOOKUP(E131,'BS Mapping std'!A:N,14,0),VLOOKUP(D131,'BS Mapping std'!A:N,14,0)),0)</f>
        <v/>
      </c>
    </row>
    <row r="132" spans="1:25">
      <c r="A132">
        <f>IF(B132&lt;6,"BS",IF(B132=6,"Exp","Rev"))</f>
        <v/>
      </c>
      <c r="B132">
        <f>_xlfn.NUMBERVALUE(LEFT(F132,1))</f>
        <v/>
      </c>
      <c r="C132">
        <f>Left(F132,2)</f>
        <v/>
      </c>
      <c r="D132">
        <f>Left(F132,3)</f>
        <v/>
      </c>
      <c r="E132">
        <f>IF(F132="121",Left(F132,3)&amp;"0",Left(F132,4))</f>
        <v/>
      </c>
      <c r="F132" t="n">
        <v>43600000</v>
      </c>
      <c r="G132" t="s">
        <v>153</v>
      </c>
      <c r="H132" s="9" t="n">
        <v>-43546.99</v>
      </c>
      <c r="I132" s="9" t="n">
        <v>590919</v>
      </c>
      <c r="J132" s="9" t="n">
        <v>596408</v>
      </c>
      <c r="K132" s="9" t="n">
        <v>-49035.99</v>
      </c>
      <c r="L132" s="9">
        <f>K132-H132</f>
        <v/>
      </c>
      <c r="M132" s="32">
        <f>IFERROR(L132/H132," ")</f>
        <v/>
      </c>
      <c r="N132">
        <f>IF(A132="BS",IFERROR(VLOOKUP(TRIM($E132),'BS Mapping std'!$A:$D,4,0),VLOOKUP(TRIM($D132),'BS Mapping std'!$A:$D,4,0)),IFERROR(VLOOKUP(TRIM($E132),'PL mapping Std'!$A:$D,4,0),VLOOKUP(TRIM($D132),'PL mapping Std'!$A:$D,4,0)))</f>
        <v/>
      </c>
      <c r="O132">
        <f>_xlfn.IFERROR(VLOOKUP(E132,'F30 mapping'!A:C,3,0),VLOOKUP(D132,'F30 mapping'!A:C,3,0))</f>
        <v/>
      </c>
      <c r="P132">
        <f>_xlfn.IFERROR(IFERROR(VLOOKUP(E132,'F40 mapping'!A:C,3,0),VLOOKUP(D132,'F40 mapping'!A:C,3,0)),0)</f>
        <v/>
      </c>
      <c r="Q132">
        <f>_xlfn.IFERROR(IFERROR(VLOOKUP(E132,'F40 mapping'!A:D,4,0),VLOOKUP(D132,'F40 mapping'!A:D,4,0)),0)</f>
        <v/>
      </c>
      <c r="R132">
        <f>_xlfn.IFERROR(IFERROR(VLOOKUP(E132,'F40 mapping'!A:E,5,0),VLOOKUP(D132,'F40 mapping'!A:E,5,0)),0)</f>
        <v/>
      </c>
      <c r="S132">
        <f>_xlfn.IF(B132&lt;6,IFERROR(VLOOKUP(E132,'BS Mapping std'!A:E,5,0),VLOOKUP(D132,'BS Mapping std'!A:E,5,0)),IFERROR(VLOOKUP(E132,'PL mapping Std'!A:F,6,0),VLOOKUP(D132,'PL mapping Std'!A:F,6,0)))</f>
        <v/>
      </c>
      <c r="T132">
        <f>_xlfn.IF(B132&lt;6,IFERROR(VLOOKUP(E132,'BS Mapping std'!A:F,6,0),VLOOKUP(D132,'BS Mapping std'!A:F,6,0)),IFERROR(VLOOKUP(E132,'PL mapping Std'!A:G,7,0),VLOOKUP(D132,'PL mapping Std'!A:G,7,0)))</f>
        <v/>
      </c>
      <c r="V132">
        <f>IF(IF(A132="BS",IFERROR(VLOOKUP(TRIM($E132),'BS Mapping std'!$A:$H,8,0),VLOOKUP(TRIM($D132),'BS Mapping std'!$A:$H,8,0)),IFERROR(VLOOKUP(TRIM($E132),'PL mapping Std'!$A:$E,5,0),VLOOKUP(TRIM($D132),'PL mapping Std'!$A:$E,5,0)))=0,"",IF(A132="BS",IFERROR(VLOOKUP(TRIM($E132),'BS Mapping std'!$A:$H,8,0),VLOOKUP(TRIM($D132),'BS Mapping std'!$A:$H,8,0)),IFERROR(VLOOKUP(TRIM($E132),'PL mapping Std'!$A:$E,5,0),VLOOKUP(TRIM($D132),'PL mapping Std'!$A:$E,5,0))))</f>
        <v/>
      </c>
      <c r="W132">
        <f>_xlfn.IFERROR(VLOOKUP(E132,'F30 mapping'!A:D,4,0),VLOOKUP(D132,'F30 mapping'!A:D,4,0))</f>
        <v/>
      </c>
      <c r="X132">
        <f>IF(B132&lt;6,IFERROR(VLOOKUP(E132,'BS Mapping std'!A:M,13,0),VLOOKUP(D132,'BS Mapping std'!A:M,13,0)),0)</f>
        <v/>
      </c>
      <c r="Y132">
        <f>IF(B132&lt;6,IFERROR(VLOOKUP(E132,'BS Mapping std'!A:N,14,0),VLOOKUP(D132,'BS Mapping std'!A:N,14,0)),0)</f>
        <v/>
      </c>
    </row>
    <row r="133" spans="1:25">
      <c r="A133">
        <f>IF(B133&lt;6,"BS",IF(B133=6,"Exp","Rev"))</f>
        <v/>
      </c>
      <c r="B133">
        <f>_xlfn.NUMBERVALUE(LEFT(F133,1))</f>
        <v/>
      </c>
      <c r="C133">
        <f>Left(F133,2)</f>
        <v/>
      </c>
      <c r="D133">
        <f>Left(F133,3)</f>
        <v/>
      </c>
      <c r="E133">
        <f>IF(F133="121",Left(F133,3)&amp;"0",Left(F133,4))</f>
        <v/>
      </c>
      <c r="F133" t="n">
        <v>44240000</v>
      </c>
      <c r="G133" t="s">
        <v>154</v>
      </c>
      <c r="H133" s="9" t="n">
        <v>678496.35</v>
      </c>
      <c r="I133" s="9" t="n">
        <v>11171094.07</v>
      </c>
      <c r="J133" s="9" t="n">
        <v>10958793.11</v>
      </c>
      <c r="K133" s="9" t="n">
        <v>890797.3100000001</v>
      </c>
      <c r="L133" s="9">
        <f>K133-H133</f>
        <v/>
      </c>
      <c r="M133" s="32">
        <f>IFERROR(L133/H133," ")</f>
        <v/>
      </c>
      <c r="N133">
        <f>IF(A133="BS",IFERROR(VLOOKUP(TRIM($E133),'BS Mapping std'!$A:$D,4,0),VLOOKUP(TRIM($D133),'BS Mapping std'!$A:$D,4,0)),IFERROR(VLOOKUP(TRIM($E133),'PL mapping Std'!$A:$D,4,0),VLOOKUP(TRIM($D133),'PL mapping Std'!$A:$D,4,0)))</f>
        <v/>
      </c>
      <c r="O133">
        <f>_xlfn.IFERROR(VLOOKUP(E133,'F30 mapping'!A:C,3,0),VLOOKUP(D133,'F30 mapping'!A:C,3,0))</f>
        <v/>
      </c>
      <c r="P133">
        <f>_xlfn.IFERROR(IFERROR(VLOOKUP(E133,'F40 mapping'!A:C,3,0),VLOOKUP(D133,'F40 mapping'!A:C,3,0)),0)</f>
        <v/>
      </c>
      <c r="Q133">
        <f>_xlfn.IFERROR(IFERROR(VLOOKUP(E133,'F40 mapping'!A:D,4,0),VLOOKUP(D133,'F40 mapping'!A:D,4,0)),0)</f>
        <v/>
      </c>
      <c r="R133">
        <f>_xlfn.IFERROR(IFERROR(VLOOKUP(E133,'F40 mapping'!A:E,5,0),VLOOKUP(D133,'F40 mapping'!A:E,5,0)),0)</f>
        <v/>
      </c>
      <c r="S133">
        <f>_xlfn.IF(B133&lt;6,IFERROR(VLOOKUP(E133,'BS Mapping std'!A:E,5,0),VLOOKUP(D133,'BS Mapping std'!A:E,5,0)),IFERROR(VLOOKUP(E133,'PL mapping Std'!A:F,6,0),VLOOKUP(D133,'PL mapping Std'!A:F,6,0)))</f>
        <v/>
      </c>
      <c r="T133">
        <f>_xlfn.IF(B133&lt;6,IFERROR(VLOOKUP(E133,'BS Mapping std'!A:F,6,0),VLOOKUP(D133,'BS Mapping std'!A:F,6,0)),IFERROR(VLOOKUP(E133,'PL mapping Std'!A:G,7,0),VLOOKUP(D133,'PL mapping Std'!A:G,7,0)))</f>
        <v/>
      </c>
      <c r="V133">
        <f>IF(IF(A133="BS",IFERROR(VLOOKUP(TRIM($E133),'BS Mapping std'!$A:$H,8,0),VLOOKUP(TRIM($D133),'BS Mapping std'!$A:$H,8,0)),IFERROR(VLOOKUP(TRIM($E133),'PL mapping Std'!$A:$E,5,0),VLOOKUP(TRIM($D133),'PL mapping Std'!$A:$E,5,0)))=0,"",IF(A133="BS",IFERROR(VLOOKUP(TRIM($E133),'BS Mapping std'!$A:$H,8,0),VLOOKUP(TRIM($D133),'BS Mapping std'!$A:$H,8,0)),IFERROR(VLOOKUP(TRIM($E133),'PL mapping Std'!$A:$E,5,0),VLOOKUP(TRIM($D133),'PL mapping Std'!$A:$E,5,0))))</f>
        <v/>
      </c>
      <c r="W133">
        <f>_xlfn.IFERROR(VLOOKUP(E133,'F30 mapping'!A:D,4,0),VLOOKUP(D133,'F30 mapping'!A:D,4,0))</f>
        <v/>
      </c>
      <c r="X133">
        <f>IF(B133&lt;6,IFERROR(VLOOKUP(E133,'BS Mapping std'!A:M,13,0),VLOOKUP(D133,'BS Mapping std'!A:M,13,0)),0)</f>
        <v/>
      </c>
      <c r="Y133">
        <f>IF(B133&lt;6,IFERROR(VLOOKUP(E133,'BS Mapping std'!A:N,14,0),VLOOKUP(D133,'BS Mapping std'!A:N,14,0)),0)</f>
        <v/>
      </c>
    </row>
    <row r="134" spans="1:25">
      <c r="A134">
        <f>IF(B134&lt;6,"BS",IF(B134=6,"Exp","Rev"))</f>
        <v/>
      </c>
      <c r="B134">
        <f>_xlfn.NUMBERVALUE(LEFT(F134,1))</f>
        <v/>
      </c>
      <c r="C134">
        <f>Left(F134,2)</f>
        <v/>
      </c>
      <c r="D134">
        <f>Left(F134,3)</f>
        <v/>
      </c>
      <c r="E134">
        <f>IF(F134="121",Left(F134,3)&amp;"0",Left(F134,4))</f>
        <v/>
      </c>
      <c r="F134" t="n">
        <v>44260020</v>
      </c>
      <c r="G134" t="s">
        <v>155</v>
      </c>
      <c r="H134" s="9" t="n">
        <v>0</v>
      </c>
      <c r="I134" s="9" t="n">
        <v>13738525.12</v>
      </c>
      <c r="J134" s="9" t="n">
        <v>13738525.12</v>
      </c>
      <c r="K134" s="9" t="n">
        <v>0</v>
      </c>
      <c r="L134" s="9">
        <f>K134-H134</f>
        <v/>
      </c>
      <c r="M134" s="32">
        <f>IFERROR(L134/H134," ")</f>
        <v/>
      </c>
      <c r="N134">
        <f>IF(A134="BS",IFERROR(VLOOKUP(TRIM($E134),'BS Mapping std'!$A:$D,4,0),VLOOKUP(TRIM($D134),'BS Mapping std'!$A:$D,4,0)),IFERROR(VLOOKUP(TRIM($E134),'PL mapping Std'!$A:$D,4,0),VLOOKUP(TRIM($D134),'PL mapping Std'!$A:$D,4,0)))</f>
        <v/>
      </c>
      <c r="O134">
        <f>_xlfn.IFERROR(VLOOKUP(E134,'F30 mapping'!A:C,3,0),VLOOKUP(D134,'F30 mapping'!A:C,3,0))</f>
        <v/>
      </c>
      <c r="P134">
        <f>_xlfn.IFERROR(IFERROR(VLOOKUP(E134,'F40 mapping'!A:C,3,0),VLOOKUP(D134,'F40 mapping'!A:C,3,0)),0)</f>
        <v/>
      </c>
      <c r="Q134">
        <f>_xlfn.IFERROR(IFERROR(VLOOKUP(E134,'F40 mapping'!A:D,4,0),VLOOKUP(D134,'F40 mapping'!A:D,4,0)),0)</f>
        <v/>
      </c>
      <c r="R134">
        <f>_xlfn.IFERROR(IFERROR(VLOOKUP(E134,'F40 mapping'!A:E,5,0),VLOOKUP(D134,'F40 mapping'!A:E,5,0)),0)</f>
        <v/>
      </c>
      <c r="S134">
        <f>_xlfn.IF(B134&lt;6,IFERROR(VLOOKUP(E134,'BS Mapping std'!A:E,5,0),VLOOKUP(D134,'BS Mapping std'!A:E,5,0)),IFERROR(VLOOKUP(E134,'PL mapping Std'!A:F,6,0),VLOOKUP(D134,'PL mapping Std'!A:F,6,0)))</f>
        <v/>
      </c>
      <c r="T134">
        <f>_xlfn.IF(B134&lt;6,IFERROR(VLOOKUP(E134,'BS Mapping std'!A:F,6,0),VLOOKUP(D134,'BS Mapping std'!A:F,6,0)),IFERROR(VLOOKUP(E134,'PL mapping Std'!A:G,7,0),VLOOKUP(D134,'PL mapping Std'!A:G,7,0)))</f>
        <v/>
      </c>
      <c r="V134">
        <f>IF(IF(A134="BS",IFERROR(VLOOKUP(TRIM($E134),'BS Mapping std'!$A:$H,8,0),VLOOKUP(TRIM($D134),'BS Mapping std'!$A:$H,8,0)),IFERROR(VLOOKUP(TRIM($E134),'PL mapping Std'!$A:$E,5,0),VLOOKUP(TRIM($D134),'PL mapping Std'!$A:$E,5,0)))=0,"",IF(A134="BS",IFERROR(VLOOKUP(TRIM($E134),'BS Mapping std'!$A:$H,8,0),VLOOKUP(TRIM($D134),'BS Mapping std'!$A:$H,8,0)),IFERROR(VLOOKUP(TRIM($E134),'PL mapping Std'!$A:$E,5,0),VLOOKUP(TRIM($D134),'PL mapping Std'!$A:$E,5,0))))</f>
        <v/>
      </c>
      <c r="W134">
        <f>_xlfn.IFERROR(VLOOKUP(E134,'F30 mapping'!A:D,4,0),VLOOKUP(D134,'F30 mapping'!A:D,4,0))</f>
        <v/>
      </c>
      <c r="X134">
        <f>IF(B134&lt;6,IFERROR(VLOOKUP(E134,'BS Mapping std'!A:M,13,0),VLOOKUP(D134,'BS Mapping std'!A:M,13,0)),0)</f>
        <v/>
      </c>
      <c r="Y134">
        <f>IF(B134&lt;6,IFERROR(VLOOKUP(E134,'BS Mapping std'!A:N,14,0),VLOOKUP(D134,'BS Mapping std'!A:N,14,0)),0)</f>
        <v/>
      </c>
    </row>
    <row r="135" spans="1:25">
      <c r="A135">
        <f>IF(B135&lt;6,"BS",IF(B135=6,"Exp","Rev"))</f>
        <v/>
      </c>
      <c r="B135">
        <f>_xlfn.NUMBERVALUE(LEFT(F135,1))</f>
        <v/>
      </c>
      <c r="C135">
        <f>Left(F135,2)</f>
        <v/>
      </c>
      <c r="D135">
        <f>Left(F135,3)</f>
        <v/>
      </c>
      <c r="E135">
        <f>IF(F135="121",Left(F135,3)&amp;"0",Left(F135,4))</f>
        <v/>
      </c>
      <c r="F135" t="n">
        <v>44260999</v>
      </c>
      <c r="G135" t="s">
        <v>156</v>
      </c>
      <c r="H135" s="9" t="n">
        <v>0</v>
      </c>
      <c r="I135" s="9" t="n">
        <v>10810939.78</v>
      </c>
      <c r="J135" s="9" t="n">
        <v>10810939.78</v>
      </c>
      <c r="K135" s="9" t="n">
        <v>0</v>
      </c>
      <c r="L135" s="9">
        <f>K135-H135</f>
        <v/>
      </c>
      <c r="M135" s="32">
        <f>IFERROR(L135/H135," ")</f>
        <v/>
      </c>
      <c r="N135">
        <f>IF(A135="BS",IFERROR(VLOOKUP(TRIM($E135),'BS Mapping std'!$A:$D,4,0),VLOOKUP(TRIM($D135),'BS Mapping std'!$A:$D,4,0)),IFERROR(VLOOKUP(TRIM($E135),'PL mapping Std'!$A:$D,4,0),VLOOKUP(TRIM($D135),'PL mapping Std'!$A:$D,4,0)))</f>
        <v/>
      </c>
      <c r="O135">
        <f>_xlfn.IFERROR(VLOOKUP(E135,'F30 mapping'!A:C,3,0),VLOOKUP(D135,'F30 mapping'!A:C,3,0))</f>
        <v/>
      </c>
      <c r="P135">
        <f>_xlfn.IFERROR(IFERROR(VLOOKUP(E135,'F40 mapping'!A:C,3,0),VLOOKUP(D135,'F40 mapping'!A:C,3,0)),0)</f>
        <v/>
      </c>
      <c r="Q135">
        <f>_xlfn.IFERROR(IFERROR(VLOOKUP(E135,'F40 mapping'!A:D,4,0),VLOOKUP(D135,'F40 mapping'!A:D,4,0)),0)</f>
        <v/>
      </c>
      <c r="R135">
        <f>_xlfn.IFERROR(IFERROR(VLOOKUP(E135,'F40 mapping'!A:E,5,0),VLOOKUP(D135,'F40 mapping'!A:E,5,0)),0)</f>
        <v/>
      </c>
      <c r="S135">
        <f>_xlfn.IF(B135&lt;6,IFERROR(VLOOKUP(E135,'BS Mapping std'!A:E,5,0),VLOOKUP(D135,'BS Mapping std'!A:E,5,0)),IFERROR(VLOOKUP(E135,'PL mapping Std'!A:F,6,0),VLOOKUP(D135,'PL mapping Std'!A:F,6,0)))</f>
        <v/>
      </c>
      <c r="T135">
        <f>_xlfn.IF(B135&lt;6,IFERROR(VLOOKUP(E135,'BS Mapping std'!A:F,6,0),VLOOKUP(D135,'BS Mapping std'!A:F,6,0)),IFERROR(VLOOKUP(E135,'PL mapping Std'!A:G,7,0),VLOOKUP(D135,'PL mapping Std'!A:G,7,0)))</f>
        <v/>
      </c>
      <c r="V135">
        <f>IF(IF(A135="BS",IFERROR(VLOOKUP(TRIM($E135),'BS Mapping std'!$A:$H,8,0),VLOOKUP(TRIM($D135),'BS Mapping std'!$A:$H,8,0)),IFERROR(VLOOKUP(TRIM($E135),'PL mapping Std'!$A:$E,5,0),VLOOKUP(TRIM($D135),'PL mapping Std'!$A:$E,5,0)))=0,"",IF(A135="BS",IFERROR(VLOOKUP(TRIM($E135),'BS Mapping std'!$A:$H,8,0),VLOOKUP(TRIM($D135),'BS Mapping std'!$A:$H,8,0)),IFERROR(VLOOKUP(TRIM($E135),'PL mapping Std'!$A:$E,5,0),VLOOKUP(TRIM($D135),'PL mapping Std'!$A:$E,5,0))))</f>
        <v/>
      </c>
      <c r="W135">
        <f>_xlfn.IFERROR(VLOOKUP(E135,'F30 mapping'!A:D,4,0),VLOOKUP(D135,'F30 mapping'!A:D,4,0))</f>
        <v/>
      </c>
      <c r="X135">
        <f>IF(B135&lt;6,IFERROR(VLOOKUP(E135,'BS Mapping std'!A:M,13,0),VLOOKUP(D135,'BS Mapping std'!A:M,13,0)),0)</f>
        <v/>
      </c>
      <c r="Y135">
        <f>IF(B135&lt;6,IFERROR(VLOOKUP(E135,'BS Mapping std'!A:N,14,0),VLOOKUP(D135,'BS Mapping std'!A:N,14,0)),0)</f>
        <v/>
      </c>
    </row>
    <row r="136" spans="1:25">
      <c r="A136">
        <f>IF(B136&lt;6,"BS",IF(B136=6,"Exp","Rev"))</f>
        <v/>
      </c>
      <c r="B136">
        <f>_xlfn.NUMBERVALUE(LEFT(F136,1))</f>
        <v/>
      </c>
      <c r="C136">
        <f>Left(F136,2)</f>
        <v/>
      </c>
      <c r="D136">
        <f>Left(F136,3)</f>
        <v/>
      </c>
      <c r="E136">
        <f>IF(F136="121",Left(F136,3)&amp;"0",Left(F136,4))</f>
        <v/>
      </c>
      <c r="F136" t="n">
        <v>44270000</v>
      </c>
      <c r="G136" t="s">
        <v>157</v>
      </c>
      <c r="H136" s="9" t="n">
        <v>0</v>
      </c>
      <c r="I136" s="9" t="n">
        <v>4163095.72</v>
      </c>
      <c r="J136" s="9" t="n">
        <v>4163095.72</v>
      </c>
      <c r="K136" s="9" t="n">
        <v>0</v>
      </c>
      <c r="L136" s="9">
        <f>K136-H136</f>
        <v/>
      </c>
      <c r="M136" s="32">
        <f>IFERROR(L136/H136," ")</f>
        <v/>
      </c>
      <c r="N136">
        <f>IF(A136="BS",IFERROR(VLOOKUP(TRIM($E136),'BS Mapping std'!$A:$D,4,0),VLOOKUP(TRIM($D136),'BS Mapping std'!$A:$D,4,0)),IFERROR(VLOOKUP(TRIM($E136),'PL mapping Std'!$A:$D,4,0),VLOOKUP(TRIM($D136),'PL mapping Std'!$A:$D,4,0)))</f>
        <v/>
      </c>
      <c r="O136">
        <f>_xlfn.IFERROR(VLOOKUP(E136,'F30 mapping'!A:C,3,0),VLOOKUP(D136,'F30 mapping'!A:C,3,0))</f>
        <v/>
      </c>
      <c r="P136">
        <f>_xlfn.IFERROR(IFERROR(VLOOKUP(E136,'F40 mapping'!A:C,3,0),VLOOKUP(D136,'F40 mapping'!A:C,3,0)),0)</f>
        <v/>
      </c>
      <c r="Q136">
        <f>_xlfn.IFERROR(IFERROR(VLOOKUP(E136,'F40 mapping'!A:D,4,0),VLOOKUP(D136,'F40 mapping'!A:D,4,0)),0)</f>
        <v/>
      </c>
      <c r="R136">
        <f>_xlfn.IFERROR(IFERROR(VLOOKUP(E136,'F40 mapping'!A:E,5,0),VLOOKUP(D136,'F40 mapping'!A:E,5,0)),0)</f>
        <v/>
      </c>
      <c r="S136">
        <f>_xlfn.IF(B136&lt;6,IFERROR(VLOOKUP(E136,'BS Mapping std'!A:E,5,0),VLOOKUP(D136,'BS Mapping std'!A:E,5,0)),IFERROR(VLOOKUP(E136,'PL mapping Std'!A:F,6,0),VLOOKUP(D136,'PL mapping Std'!A:F,6,0)))</f>
        <v/>
      </c>
      <c r="T136">
        <f>_xlfn.IF(B136&lt;6,IFERROR(VLOOKUP(E136,'BS Mapping std'!A:F,6,0),VLOOKUP(D136,'BS Mapping std'!A:F,6,0)),IFERROR(VLOOKUP(E136,'PL mapping Std'!A:G,7,0),VLOOKUP(D136,'PL mapping Std'!A:G,7,0)))</f>
        <v/>
      </c>
      <c r="V136">
        <f>IF(IF(A136="BS",IFERROR(VLOOKUP(TRIM($E136),'BS Mapping std'!$A:$H,8,0),VLOOKUP(TRIM($D136),'BS Mapping std'!$A:$H,8,0)),IFERROR(VLOOKUP(TRIM($E136),'PL mapping Std'!$A:$E,5,0),VLOOKUP(TRIM($D136),'PL mapping Std'!$A:$E,5,0)))=0,"",IF(A136="BS",IFERROR(VLOOKUP(TRIM($E136),'BS Mapping std'!$A:$H,8,0),VLOOKUP(TRIM($D136),'BS Mapping std'!$A:$H,8,0)),IFERROR(VLOOKUP(TRIM($E136),'PL mapping Std'!$A:$E,5,0),VLOOKUP(TRIM($D136),'PL mapping Std'!$A:$E,5,0))))</f>
        <v/>
      </c>
      <c r="W136">
        <f>_xlfn.IFERROR(VLOOKUP(E136,'F30 mapping'!A:D,4,0),VLOOKUP(D136,'F30 mapping'!A:D,4,0))</f>
        <v/>
      </c>
      <c r="X136">
        <f>IF(B136&lt;6,IFERROR(VLOOKUP(E136,'BS Mapping std'!A:M,13,0),VLOOKUP(D136,'BS Mapping std'!A:M,13,0)),0)</f>
        <v/>
      </c>
      <c r="Y136">
        <f>IF(B136&lt;6,IFERROR(VLOOKUP(E136,'BS Mapping std'!A:N,14,0),VLOOKUP(D136,'BS Mapping std'!A:N,14,0)),0)</f>
        <v/>
      </c>
    </row>
    <row r="137" spans="1:25">
      <c r="A137">
        <f>IF(B137&lt;6,"BS",IF(B137=6,"Exp","Rev"))</f>
        <v/>
      </c>
      <c r="B137">
        <f>_xlfn.NUMBERVALUE(LEFT(F137,1))</f>
        <v/>
      </c>
      <c r="C137">
        <f>Left(F137,2)</f>
        <v/>
      </c>
      <c r="D137">
        <f>Left(F137,3)</f>
        <v/>
      </c>
      <c r="E137">
        <f>IF(F137="121",Left(F137,3)&amp;"0",Left(F137,4))</f>
        <v/>
      </c>
      <c r="F137" t="n">
        <v>44270999</v>
      </c>
      <c r="G137" t="s">
        <v>158</v>
      </c>
      <c r="H137" s="9" t="n">
        <v>0</v>
      </c>
      <c r="I137" s="9" t="n">
        <v>10810939.78</v>
      </c>
      <c r="J137" s="9" t="n">
        <v>10810939.78</v>
      </c>
      <c r="K137" s="9" t="n">
        <v>0</v>
      </c>
      <c r="L137" s="9">
        <f>K137-H137</f>
        <v/>
      </c>
      <c r="M137" s="32">
        <f>IFERROR(L137/H137," ")</f>
        <v/>
      </c>
      <c r="N137">
        <f>IF(A137="BS",IFERROR(VLOOKUP(TRIM($E137),'BS Mapping std'!$A:$D,4,0),VLOOKUP(TRIM($D137),'BS Mapping std'!$A:$D,4,0)),IFERROR(VLOOKUP(TRIM($E137),'PL mapping Std'!$A:$D,4,0),VLOOKUP(TRIM($D137),'PL mapping Std'!$A:$D,4,0)))</f>
        <v/>
      </c>
      <c r="O137">
        <f>_xlfn.IFERROR(VLOOKUP(E137,'F30 mapping'!A:C,3,0),VLOOKUP(D137,'F30 mapping'!A:C,3,0))</f>
        <v/>
      </c>
      <c r="P137">
        <f>_xlfn.IFERROR(IFERROR(VLOOKUP(E137,'F40 mapping'!A:C,3,0),VLOOKUP(D137,'F40 mapping'!A:C,3,0)),0)</f>
        <v/>
      </c>
      <c r="Q137">
        <f>_xlfn.IFERROR(IFERROR(VLOOKUP(E137,'F40 mapping'!A:D,4,0),VLOOKUP(D137,'F40 mapping'!A:D,4,0)),0)</f>
        <v/>
      </c>
      <c r="R137">
        <f>_xlfn.IFERROR(IFERROR(VLOOKUP(E137,'F40 mapping'!A:E,5,0),VLOOKUP(D137,'F40 mapping'!A:E,5,0)),0)</f>
        <v/>
      </c>
      <c r="S137">
        <f>_xlfn.IF(B137&lt;6,IFERROR(VLOOKUP(E137,'BS Mapping std'!A:E,5,0),VLOOKUP(D137,'BS Mapping std'!A:E,5,0)),IFERROR(VLOOKUP(E137,'PL mapping Std'!A:F,6,0),VLOOKUP(D137,'PL mapping Std'!A:F,6,0)))</f>
        <v/>
      </c>
      <c r="T137">
        <f>_xlfn.IF(B137&lt;6,IFERROR(VLOOKUP(E137,'BS Mapping std'!A:F,6,0),VLOOKUP(D137,'BS Mapping std'!A:F,6,0)),IFERROR(VLOOKUP(E137,'PL mapping Std'!A:G,7,0),VLOOKUP(D137,'PL mapping Std'!A:G,7,0)))</f>
        <v/>
      </c>
      <c r="V137">
        <f>IF(IF(A137="BS",IFERROR(VLOOKUP(TRIM($E137),'BS Mapping std'!$A:$H,8,0),VLOOKUP(TRIM($D137),'BS Mapping std'!$A:$H,8,0)),IFERROR(VLOOKUP(TRIM($E137),'PL mapping Std'!$A:$E,5,0),VLOOKUP(TRIM($D137),'PL mapping Std'!$A:$E,5,0)))=0,"",IF(A137="BS",IFERROR(VLOOKUP(TRIM($E137),'BS Mapping std'!$A:$H,8,0),VLOOKUP(TRIM($D137),'BS Mapping std'!$A:$H,8,0)),IFERROR(VLOOKUP(TRIM($E137),'PL mapping Std'!$A:$E,5,0),VLOOKUP(TRIM($D137),'PL mapping Std'!$A:$E,5,0))))</f>
        <v/>
      </c>
      <c r="W137">
        <f>_xlfn.IFERROR(VLOOKUP(E137,'F30 mapping'!A:D,4,0),VLOOKUP(D137,'F30 mapping'!A:D,4,0))</f>
        <v/>
      </c>
      <c r="X137">
        <f>IF(B137&lt;6,IFERROR(VLOOKUP(E137,'BS Mapping std'!A:M,13,0),VLOOKUP(D137,'BS Mapping std'!A:M,13,0)),0)</f>
        <v/>
      </c>
      <c r="Y137">
        <f>IF(B137&lt;6,IFERROR(VLOOKUP(E137,'BS Mapping std'!A:N,14,0),VLOOKUP(D137,'BS Mapping std'!A:N,14,0)),0)</f>
        <v/>
      </c>
    </row>
    <row r="138" spans="1:25">
      <c r="A138">
        <f>IF(B138&lt;6,"BS",IF(B138=6,"Exp","Rev"))</f>
        <v/>
      </c>
      <c r="B138">
        <f>_xlfn.NUMBERVALUE(LEFT(F138,1))</f>
        <v/>
      </c>
      <c r="C138">
        <f>Left(F138,2)</f>
        <v/>
      </c>
      <c r="D138">
        <f>Left(F138,3)</f>
        <v/>
      </c>
      <c r="E138">
        <f>IF(F138="121",Left(F138,3)&amp;"0",Left(F138,4))</f>
        <v/>
      </c>
      <c r="F138" t="n">
        <v>44280000</v>
      </c>
      <c r="G138" t="s">
        <v>159</v>
      </c>
      <c r="H138" s="9" t="n">
        <v>78309.72</v>
      </c>
      <c r="I138" s="9" t="n">
        <v>80602.7</v>
      </c>
      <c r="J138" s="9" t="n">
        <v>56.24</v>
      </c>
      <c r="K138" s="9" t="n">
        <v>158856.18</v>
      </c>
      <c r="L138" s="9">
        <f>K138-H138</f>
        <v/>
      </c>
      <c r="M138" s="32">
        <f>IFERROR(L138/H138," ")</f>
        <v/>
      </c>
      <c r="N138">
        <f>IF(A138="BS",IFERROR(VLOOKUP(TRIM($E138),'BS Mapping std'!$A:$D,4,0),VLOOKUP(TRIM($D138),'BS Mapping std'!$A:$D,4,0)),IFERROR(VLOOKUP(TRIM($E138),'PL mapping Std'!$A:$D,4,0),VLOOKUP(TRIM($D138),'PL mapping Std'!$A:$D,4,0)))</f>
        <v/>
      </c>
      <c r="O138">
        <f>_xlfn.IFERROR(VLOOKUP(E138,'F30 mapping'!A:C,3,0),VLOOKUP(D138,'F30 mapping'!A:C,3,0))</f>
        <v/>
      </c>
      <c r="P138">
        <f>_xlfn.IFERROR(IFERROR(VLOOKUP(E138,'F40 mapping'!A:C,3,0),VLOOKUP(D138,'F40 mapping'!A:C,3,0)),0)</f>
        <v/>
      </c>
      <c r="Q138">
        <f>_xlfn.IFERROR(IFERROR(VLOOKUP(E138,'F40 mapping'!A:D,4,0),VLOOKUP(D138,'F40 mapping'!A:D,4,0)),0)</f>
        <v/>
      </c>
      <c r="R138">
        <f>_xlfn.IFERROR(IFERROR(VLOOKUP(E138,'F40 mapping'!A:E,5,0),VLOOKUP(D138,'F40 mapping'!A:E,5,0)),0)</f>
        <v/>
      </c>
      <c r="S138">
        <f>_xlfn.IF(B138&lt;6,IFERROR(VLOOKUP(E138,'BS Mapping std'!A:E,5,0),VLOOKUP(D138,'BS Mapping std'!A:E,5,0)),IFERROR(VLOOKUP(E138,'PL mapping Std'!A:F,6,0),VLOOKUP(D138,'PL mapping Std'!A:F,6,0)))</f>
        <v/>
      </c>
      <c r="T138">
        <f>_xlfn.IF(B138&lt;6,IFERROR(VLOOKUP(E138,'BS Mapping std'!A:F,6,0),VLOOKUP(D138,'BS Mapping std'!A:F,6,0)),IFERROR(VLOOKUP(E138,'PL mapping Std'!A:G,7,0),VLOOKUP(D138,'PL mapping Std'!A:G,7,0)))</f>
        <v/>
      </c>
      <c r="V138">
        <f>IF(IF(A138="BS",IFERROR(VLOOKUP(TRIM($E138),'BS Mapping std'!$A:$H,8,0),VLOOKUP(TRIM($D138),'BS Mapping std'!$A:$H,8,0)),IFERROR(VLOOKUP(TRIM($E138),'PL mapping Std'!$A:$E,5,0),VLOOKUP(TRIM($D138),'PL mapping Std'!$A:$E,5,0)))=0,"",IF(A138="BS",IFERROR(VLOOKUP(TRIM($E138),'BS Mapping std'!$A:$H,8,0),VLOOKUP(TRIM($D138),'BS Mapping std'!$A:$H,8,0)),IFERROR(VLOOKUP(TRIM($E138),'PL mapping Std'!$A:$E,5,0),VLOOKUP(TRIM($D138),'PL mapping Std'!$A:$E,5,0))))</f>
        <v/>
      </c>
      <c r="W138">
        <f>_xlfn.IFERROR(VLOOKUP(E138,'F30 mapping'!A:D,4,0),VLOOKUP(D138,'F30 mapping'!A:D,4,0))</f>
        <v/>
      </c>
      <c r="X138">
        <f>IF(B138&lt;6,IFERROR(VLOOKUP(E138,'BS Mapping std'!A:M,13,0),VLOOKUP(D138,'BS Mapping std'!A:M,13,0)),0)</f>
        <v/>
      </c>
      <c r="Y138">
        <f>IF(B138&lt;6,IFERROR(VLOOKUP(E138,'BS Mapping std'!A:N,14,0),VLOOKUP(D138,'BS Mapping std'!A:N,14,0)),0)</f>
        <v/>
      </c>
    </row>
    <row r="139" spans="1:25">
      <c r="A139">
        <f>IF(B139&lt;6,"BS",IF(B139=6,"Exp","Rev"))</f>
        <v/>
      </c>
      <c r="B139">
        <f>_xlfn.NUMBERVALUE(LEFT(F139,1))</f>
        <v/>
      </c>
      <c r="C139">
        <f>Left(F139,2)</f>
        <v/>
      </c>
      <c r="D139">
        <f>Left(F139,3)</f>
        <v/>
      </c>
      <c r="E139">
        <f>IF(F139="121",Left(F139,3)&amp;"0",Left(F139,4))</f>
        <v/>
      </c>
      <c r="F139" t="n">
        <v>44280010</v>
      </c>
      <c r="G139" t="s">
        <v>160</v>
      </c>
      <c r="H139" s="9" t="n">
        <v>8705.74</v>
      </c>
      <c r="I139" s="9" t="n">
        <v>199715.35</v>
      </c>
      <c r="J139" s="9" t="n">
        <v>202293.75</v>
      </c>
      <c r="K139" s="9" t="n">
        <v>6127.34</v>
      </c>
      <c r="L139" s="9">
        <f>K139-H139</f>
        <v/>
      </c>
      <c r="M139" s="32">
        <f>IFERROR(L139/H139," ")</f>
        <v/>
      </c>
      <c r="N139">
        <f>IF(A139="BS",IFERROR(VLOOKUP(TRIM($E139),'BS Mapping std'!$A:$D,4,0),VLOOKUP(TRIM($D139),'BS Mapping std'!$A:$D,4,0)),IFERROR(VLOOKUP(TRIM($E139),'PL mapping Std'!$A:$D,4,0),VLOOKUP(TRIM($D139),'PL mapping Std'!$A:$D,4,0)))</f>
        <v/>
      </c>
      <c r="O139">
        <f>_xlfn.IFERROR(VLOOKUP(E139,'F30 mapping'!A:C,3,0),VLOOKUP(D139,'F30 mapping'!A:C,3,0))</f>
        <v/>
      </c>
      <c r="P139">
        <f>_xlfn.IFERROR(IFERROR(VLOOKUP(E139,'F40 mapping'!A:C,3,0),VLOOKUP(D139,'F40 mapping'!A:C,3,0)),0)</f>
        <v/>
      </c>
      <c r="Q139">
        <f>_xlfn.IFERROR(IFERROR(VLOOKUP(E139,'F40 mapping'!A:D,4,0),VLOOKUP(D139,'F40 mapping'!A:D,4,0)),0)</f>
        <v/>
      </c>
      <c r="R139">
        <f>_xlfn.IFERROR(IFERROR(VLOOKUP(E139,'F40 mapping'!A:E,5,0),VLOOKUP(D139,'F40 mapping'!A:E,5,0)),0)</f>
        <v/>
      </c>
      <c r="S139">
        <f>_xlfn.IF(B139&lt;6,IFERROR(VLOOKUP(E139,'BS Mapping std'!A:E,5,0),VLOOKUP(D139,'BS Mapping std'!A:E,5,0)),IFERROR(VLOOKUP(E139,'PL mapping Std'!A:F,6,0),VLOOKUP(D139,'PL mapping Std'!A:F,6,0)))</f>
        <v/>
      </c>
      <c r="T139">
        <f>_xlfn.IF(B139&lt;6,IFERROR(VLOOKUP(E139,'BS Mapping std'!A:F,6,0),VLOOKUP(D139,'BS Mapping std'!A:F,6,0)),IFERROR(VLOOKUP(E139,'PL mapping Std'!A:G,7,0),VLOOKUP(D139,'PL mapping Std'!A:G,7,0)))</f>
        <v/>
      </c>
      <c r="V139">
        <f>IF(IF(A139="BS",IFERROR(VLOOKUP(TRIM($E139),'BS Mapping std'!$A:$H,8,0),VLOOKUP(TRIM($D139),'BS Mapping std'!$A:$H,8,0)),IFERROR(VLOOKUP(TRIM($E139),'PL mapping Std'!$A:$E,5,0),VLOOKUP(TRIM($D139),'PL mapping Std'!$A:$E,5,0)))=0,"",IF(A139="BS",IFERROR(VLOOKUP(TRIM($E139),'BS Mapping std'!$A:$H,8,0),VLOOKUP(TRIM($D139),'BS Mapping std'!$A:$H,8,0)),IFERROR(VLOOKUP(TRIM($E139),'PL mapping Std'!$A:$E,5,0),VLOOKUP(TRIM($D139),'PL mapping Std'!$A:$E,5,0))))</f>
        <v/>
      </c>
      <c r="W139">
        <f>_xlfn.IFERROR(VLOOKUP(E139,'F30 mapping'!A:D,4,0),VLOOKUP(D139,'F30 mapping'!A:D,4,0))</f>
        <v/>
      </c>
      <c r="X139">
        <f>IF(B139&lt;6,IFERROR(VLOOKUP(E139,'BS Mapping std'!A:M,13,0),VLOOKUP(D139,'BS Mapping std'!A:M,13,0)),0)</f>
        <v/>
      </c>
      <c r="Y139">
        <f>IF(B139&lt;6,IFERROR(VLOOKUP(E139,'BS Mapping std'!A:N,14,0),VLOOKUP(D139,'BS Mapping std'!A:N,14,0)),0)</f>
        <v/>
      </c>
    </row>
    <row r="140" spans="1:25">
      <c r="A140">
        <f>IF(B140&lt;6,"BS",IF(B140=6,"Exp","Rev"))</f>
        <v/>
      </c>
      <c r="B140">
        <f>_xlfn.NUMBERVALUE(LEFT(F140,1))</f>
        <v/>
      </c>
      <c r="C140">
        <f>Left(F140,2)</f>
        <v/>
      </c>
      <c r="D140">
        <f>Left(F140,3)</f>
        <v/>
      </c>
      <c r="E140">
        <f>IF(F140="121",Left(F140,3)&amp;"0",Left(F140,4))</f>
        <v/>
      </c>
      <c r="F140" t="n">
        <v>44400000</v>
      </c>
      <c r="G140" t="s">
        <v>161</v>
      </c>
      <c r="H140" s="9" t="n">
        <v>-135483</v>
      </c>
      <c r="I140" s="9" t="n">
        <v>1908141</v>
      </c>
      <c r="J140" s="9" t="n">
        <v>1927494</v>
      </c>
      <c r="K140" s="9" t="n">
        <v>-154836</v>
      </c>
      <c r="L140" s="9">
        <f>K140-H140</f>
        <v/>
      </c>
      <c r="M140" s="32">
        <f>IFERROR(L140/H140," ")</f>
        <v/>
      </c>
      <c r="N140">
        <f>IF(A140="BS",IFERROR(VLOOKUP(TRIM($E140),'BS Mapping std'!$A:$D,4,0),VLOOKUP(TRIM($D140),'BS Mapping std'!$A:$D,4,0)),IFERROR(VLOOKUP(TRIM($E140),'PL mapping Std'!$A:$D,4,0),VLOOKUP(TRIM($D140),'PL mapping Std'!$A:$D,4,0)))</f>
        <v/>
      </c>
      <c r="O140">
        <f>_xlfn.IFERROR(VLOOKUP(E140,'F30 mapping'!A:C,3,0),VLOOKUP(D140,'F30 mapping'!A:C,3,0))</f>
        <v/>
      </c>
      <c r="P140">
        <f>_xlfn.IFERROR(IFERROR(VLOOKUP(E140,'F40 mapping'!A:C,3,0),VLOOKUP(D140,'F40 mapping'!A:C,3,0)),0)</f>
        <v/>
      </c>
      <c r="Q140">
        <f>_xlfn.IFERROR(IFERROR(VLOOKUP(E140,'F40 mapping'!A:D,4,0),VLOOKUP(D140,'F40 mapping'!A:D,4,0)),0)</f>
        <v/>
      </c>
      <c r="R140">
        <f>_xlfn.IFERROR(IFERROR(VLOOKUP(E140,'F40 mapping'!A:E,5,0),VLOOKUP(D140,'F40 mapping'!A:E,5,0)),0)</f>
        <v/>
      </c>
      <c r="S140">
        <f>_xlfn.IF(B140&lt;6,IFERROR(VLOOKUP(E140,'BS Mapping std'!A:E,5,0),VLOOKUP(D140,'BS Mapping std'!A:E,5,0)),IFERROR(VLOOKUP(E140,'PL mapping Std'!A:F,6,0),VLOOKUP(D140,'PL mapping Std'!A:F,6,0)))</f>
        <v/>
      </c>
      <c r="T140">
        <f>_xlfn.IF(B140&lt;6,IFERROR(VLOOKUP(E140,'BS Mapping std'!A:F,6,0),VLOOKUP(D140,'BS Mapping std'!A:F,6,0)),IFERROR(VLOOKUP(E140,'PL mapping Std'!A:G,7,0),VLOOKUP(D140,'PL mapping Std'!A:G,7,0)))</f>
        <v/>
      </c>
      <c r="V140">
        <f>IF(IF(A140="BS",IFERROR(VLOOKUP(TRIM($E140),'BS Mapping std'!$A:$H,8,0),VLOOKUP(TRIM($D140),'BS Mapping std'!$A:$H,8,0)),IFERROR(VLOOKUP(TRIM($E140),'PL mapping Std'!$A:$E,5,0),VLOOKUP(TRIM($D140),'PL mapping Std'!$A:$E,5,0)))=0,"",IF(A140="BS",IFERROR(VLOOKUP(TRIM($E140),'BS Mapping std'!$A:$H,8,0),VLOOKUP(TRIM($D140),'BS Mapping std'!$A:$H,8,0)),IFERROR(VLOOKUP(TRIM($E140),'PL mapping Std'!$A:$E,5,0),VLOOKUP(TRIM($D140),'PL mapping Std'!$A:$E,5,0))))</f>
        <v/>
      </c>
      <c r="W140">
        <f>_xlfn.IFERROR(VLOOKUP(E140,'F30 mapping'!A:D,4,0),VLOOKUP(D140,'F30 mapping'!A:D,4,0))</f>
        <v/>
      </c>
      <c r="X140">
        <f>IF(B140&lt;6,IFERROR(VLOOKUP(E140,'BS Mapping std'!A:M,13,0),VLOOKUP(D140,'BS Mapping std'!A:M,13,0)),0)</f>
        <v/>
      </c>
      <c r="Y140">
        <f>IF(B140&lt;6,IFERROR(VLOOKUP(E140,'BS Mapping std'!A:N,14,0),VLOOKUP(D140,'BS Mapping std'!A:N,14,0)),0)</f>
        <v/>
      </c>
    </row>
    <row r="141" spans="1:25">
      <c r="A141">
        <f>IF(B141&lt;6,"BS",IF(B141=6,"Exp","Rev"))</f>
        <v/>
      </c>
      <c r="B141">
        <f>_xlfn.NUMBERVALUE(LEFT(F141,1))</f>
        <v/>
      </c>
      <c r="C141">
        <f>Left(F141,2)</f>
        <v/>
      </c>
      <c r="D141">
        <f>Left(F141,3)</f>
        <v/>
      </c>
      <c r="E141">
        <f>IF(F141="121",Left(F141,3)&amp;"0",Left(F141,4))</f>
        <v/>
      </c>
      <c r="F141" t="n">
        <v>44600020</v>
      </c>
      <c r="G141" t="s">
        <v>162</v>
      </c>
      <c r="H141" s="9" t="n">
        <v>-19072.15</v>
      </c>
      <c r="I141" s="9" t="n">
        <v>114581.63</v>
      </c>
      <c r="J141" s="9" t="n">
        <v>113920.22</v>
      </c>
      <c r="K141" s="9" t="n">
        <v>-18410.74</v>
      </c>
      <c r="L141" s="9">
        <f>K141-H141</f>
        <v/>
      </c>
      <c r="M141" s="32">
        <f>IFERROR(L141/H141," ")</f>
        <v/>
      </c>
      <c r="N141">
        <f>IF(A141="BS",IFERROR(VLOOKUP(TRIM($E141),'BS Mapping std'!$A:$D,4,0),VLOOKUP(TRIM($D141),'BS Mapping std'!$A:$D,4,0)),IFERROR(VLOOKUP(TRIM($E141),'PL mapping Std'!$A:$D,4,0),VLOOKUP(TRIM($D141),'PL mapping Std'!$A:$D,4,0)))</f>
        <v/>
      </c>
      <c r="O141">
        <f>_xlfn.IFERROR(VLOOKUP(E141,'F30 mapping'!A:C,3,0),VLOOKUP(D141,'F30 mapping'!A:C,3,0))</f>
        <v/>
      </c>
      <c r="P141">
        <f>_xlfn.IFERROR(IFERROR(VLOOKUP(E141,'F40 mapping'!A:C,3,0),VLOOKUP(D141,'F40 mapping'!A:C,3,0)),0)</f>
        <v/>
      </c>
      <c r="Q141">
        <f>_xlfn.IFERROR(IFERROR(VLOOKUP(E141,'F40 mapping'!A:D,4,0),VLOOKUP(D141,'F40 mapping'!A:D,4,0)),0)</f>
        <v/>
      </c>
      <c r="R141">
        <f>_xlfn.IFERROR(IFERROR(VLOOKUP(E141,'F40 mapping'!A:E,5,0),VLOOKUP(D141,'F40 mapping'!A:E,5,0)),0)</f>
        <v/>
      </c>
      <c r="S141">
        <f>_xlfn.IF(B141&lt;6,IFERROR(VLOOKUP(E141,'BS Mapping std'!A:E,5,0),VLOOKUP(D141,'BS Mapping std'!A:E,5,0)),IFERROR(VLOOKUP(E141,'PL mapping Std'!A:F,6,0),VLOOKUP(D141,'PL mapping Std'!A:F,6,0)))</f>
        <v/>
      </c>
      <c r="T141">
        <f>_xlfn.IF(B141&lt;6,IFERROR(VLOOKUP(E141,'BS Mapping std'!A:F,6,0),VLOOKUP(D141,'BS Mapping std'!A:F,6,0)),IFERROR(VLOOKUP(E141,'PL mapping Std'!A:G,7,0),VLOOKUP(D141,'PL mapping Std'!A:G,7,0)))</f>
        <v/>
      </c>
      <c r="V141">
        <f>IF(IF(A141="BS",IFERROR(VLOOKUP(TRIM($E141),'BS Mapping std'!$A:$H,8,0),VLOOKUP(TRIM($D141),'BS Mapping std'!$A:$H,8,0)),IFERROR(VLOOKUP(TRIM($E141),'PL mapping Std'!$A:$E,5,0),VLOOKUP(TRIM($D141),'PL mapping Std'!$A:$E,5,0)))=0,"",IF(A141="BS",IFERROR(VLOOKUP(TRIM($E141),'BS Mapping std'!$A:$H,8,0),VLOOKUP(TRIM($D141),'BS Mapping std'!$A:$H,8,0)),IFERROR(VLOOKUP(TRIM($E141),'PL mapping Std'!$A:$E,5,0),VLOOKUP(TRIM($D141),'PL mapping Std'!$A:$E,5,0))))</f>
        <v/>
      </c>
      <c r="W141">
        <f>_xlfn.IFERROR(VLOOKUP(E141,'F30 mapping'!A:D,4,0),VLOOKUP(D141,'F30 mapping'!A:D,4,0))</f>
        <v/>
      </c>
      <c r="X141">
        <f>IF(B141&lt;6,IFERROR(VLOOKUP(E141,'BS Mapping std'!A:M,13,0),VLOOKUP(D141,'BS Mapping std'!A:M,13,0)),0)</f>
        <v/>
      </c>
      <c r="Y141">
        <f>IF(B141&lt;6,IFERROR(VLOOKUP(E141,'BS Mapping std'!A:N,14,0),VLOOKUP(D141,'BS Mapping std'!A:N,14,0)),0)</f>
        <v/>
      </c>
    </row>
    <row r="142" spans="1:25">
      <c r="A142">
        <f>IF(B142&lt;6,"BS",IF(B142=6,"Exp","Rev"))</f>
        <v/>
      </c>
      <c r="B142">
        <f>_xlfn.NUMBERVALUE(LEFT(F142,1))</f>
        <v/>
      </c>
      <c r="C142">
        <f>Left(F142,2)</f>
        <v/>
      </c>
      <c r="D142">
        <f>Left(F142,3)</f>
        <v/>
      </c>
      <c r="E142">
        <f>IF(F142="121",Left(F142,3)&amp;"0",Left(F142,4))</f>
        <v/>
      </c>
      <c r="F142" t="n">
        <v>44600030</v>
      </c>
      <c r="G142" t="s">
        <v>163</v>
      </c>
      <c r="H142" s="9" t="n">
        <v>0</v>
      </c>
      <c r="I142" s="9" t="n">
        <v>1196.61</v>
      </c>
      <c r="J142" s="9" t="n">
        <v>1196.61</v>
      </c>
      <c r="K142" s="9" t="n">
        <v>0</v>
      </c>
      <c r="L142" s="9">
        <f>K142-H142</f>
        <v/>
      </c>
      <c r="M142" s="32">
        <f>IFERROR(L142/H142," ")</f>
        <v/>
      </c>
      <c r="N142">
        <f>IF(A142="BS",IFERROR(VLOOKUP(TRIM($E142),'BS Mapping std'!$A:$D,4,0),VLOOKUP(TRIM($D142),'BS Mapping std'!$A:$D,4,0)),IFERROR(VLOOKUP(TRIM($E142),'PL mapping Std'!$A:$D,4,0),VLOOKUP(TRIM($D142),'PL mapping Std'!$A:$D,4,0)))</f>
        <v/>
      </c>
      <c r="O142">
        <f>_xlfn.IFERROR(VLOOKUP(E142,'F30 mapping'!A:C,3,0),VLOOKUP(D142,'F30 mapping'!A:C,3,0))</f>
        <v/>
      </c>
      <c r="P142">
        <f>_xlfn.IFERROR(IFERROR(VLOOKUP(E142,'F40 mapping'!A:C,3,0),VLOOKUP(D142,'F40 mapping'!A:C,3,0)),0)</f>
        <v/>
      </c>
      <c r="Q142">
        <f>_xlfn.IFERROR(IFERROR(VLOOKUP(E142,'F40 mapping'!A:D,4,0),VLOOKUP(D142,'F40 mapping'!A:D,4,0)),0)</f>
        <v/>
      </c>
      <c r="R142">
        <f>_xlfn.IFERROR(IFERROR(VLOOKUP(E142,'F40 mapping'!A:E,5,0),VLOOKUP(D142,'F40 mapping'!A:E,5,0)),0)</f>
        <v/>
      </c>
      <c r="S142">
        <f>_xlfn.IF(B142&lt;6,IFERROR(VLOOKUP(E142,'BS Mapping std'!A:E,5,0),VLOOKUP(D142,'BS Mapping std'!A:E,5,0)),IFERROR(VLOOKUP(E142,'PL mapping Std'!A:F,6,0),VLOOKUP(D142,'PL mapping Std'!A:F,6,0)))</f>
        <v/>
      </c>
      <c r="T142">
        <f>_xlfn.IF(B142&lt;6,IFERROR(VLOOKUP(E142,'BS Mapping std'!A:F,6,0),VLOOKUP(D142,'BS Mapping std'!A:F,6,0)),IFERROR(VLOOKUP(E142,'PL mapping Std'!A:G,7,0),VLOOKUP(D142,'PL mapping Std'!A:G,7,0)))</f>
        <v/>
      </c>
      <c r="V142">
        <f>IF(IF(A142="BS",IFERROR(VLOOKUP(TRIM($E142),'BS Mapping std'!$A:$H,8,0),VLOOKUP(TRIM($D142),'BS Mapping std'!$A:$H,8,0)),IFERROR(VLOOKUP(TRIM($E142),'PL mapping Std'!$A:$E,5,0),VLOOKUP(TRIM($D142),'PL mapping Std'!$A:$E,5,0)))=0,"",IF(A142="BS",IFERROR(VLOOKUP(TRIM($E142),'BS Mapping std'!$A:$H,8,0),VLOOKUP(TRIM($D142),'BS Mapping std'!$A:$H,8,0)),IFERROR(VLOOKUP(TRIM($E142),'PL mapping Std'!$A:$E,5,0),VLOOKUP(TRIM($D142),'PL mapping Std'!$A:$E,5,0))))</f>
        <v/>
      </c>
      <c r="W142">
        <f>_xlfn.IFERROR(VLOOKUP(E142,'F30 mapping'!A:D,4,0),VLOOKUP(D142,'F30 mapping'!A:D,4,0))</f>
        <v/>
      </c>
      <c r="X142">
        <f>IF(B142&lt;6,IFERROR(VLOOKUP(E142,'BS Mapping std'!A:M,13,0),VLOOKUP(D142,'BS Mapping std'!A:M,13,0)),0)</f>
        <v/>
      </c>
      <c r="Y142">
        <f>IF(B142&lt;6,IFERROR(VLOOKUP(E142,'BS Mapping std'!A:N,14,0),VLOOKUP(D142,'BS Mapping std'!A:N,14,0)),0)</f>
        <v/>
      </c>
    </row>
    <row r="143" spans="1:25">
      <c r="A143">
        <f>IF(B143&lt;6,"BS",IF(B143=6,"Exp","Rev"))</f>
        <v/>
      </c>
      <c r="B143">
        <f>_xlfn.NUMBERVALUE(LEFT(F143,1))</f>
        <v/>
      </c>
      <c r="C143">
        <f>Left(F143,2)</f>
        <v/>
      </c>
      <c r="D143">
        <f>Left(F143,3)</f>
        <v/>
      </c>
      <c r="E143">
        <f>IF(F143="121",Left(F143,3)&amp;"0",Left(F143,4))</f>
        <v/>
      </c>
      <c r="F143" t="n">
        <v>44700010</v>
      </c>
      <c r="G143" t="s">
        <v>164</v>
      </c>
      <c r="H143" s="9" t="n">
        <v>-27094</v>
      </c>
      <c r="I143" s="9" t="n">
        <v>405262.5</v>
      </c>
      <c r="J143" s="9" t="n">
        <v>408360.5</v>
      </c>
      <c r="K143" s="9" t="n">
        <v>-30192</v>
      </c>
      <c r="L143" s="9">
        <f>K143-H143</f>
        <v/>
      </c>
      <c r="M143" s="32">
        <f>IFERROR(L143/H143," ")</f>
        <v/>
      </c>
      <c r="N143">
        <f>IF(A143="BS",IFERROR(VLOOKUP(TRIM($E143),'BS Mapping std'!$A:$D,4,0),VLOOKUP(TRIM($D143),'BS Mapping std'!$A:$D,4,0)),IFERROR(VLOOKUP(TRIM($E143),'PL mapping Std'!$A:$D,4,0),VLOOKUP(TRIM($D143),'PL mapping Std'!$A:$D,4,0)))</f>
        <v/>
      </c>
      <c r="O143">
        <f>_xlfn.IFERROR(VLOOKUP(E143,'F30 mapping'!A:C,3,0),VLOOKUP(D143,'F30 mapping'!A:C,3,0))</f>
        <v/>
      </c>
      <c r="P143">
        <f>_xlfn.IFERROR(IFERROR(VLOOKUP(E143,'F40 mapping'!A:C,3,0),VLOOKUP(D143,'F40 mapping'!A:C,3,0)),0)</f>
        <v/>
      </c>
      <c r="Q143">
        <f>_xlfn.IFERROR(IFERROR(VLOOKUP(E143,'F40 mapping'!A:D,4,0),VLOOKUP(D143,'F40 mapping'!A:D,4,0)),0)</f>
        <v/>
      </c>
      <c r="R143">
        <f>_xlfn.IFERROR(IFERROR(VLOOKUP(E143,'F40 mapping'!A:E,5,0),VLOOKUP(D143,'F40 mapping'!A:E,5,0)),0)</f>
        <v/>
      </c>
      <c r="S143">
        <f>_xlfn.IF(B143&lt;6,IFERROR(VLOOKUP(E143,'BS Mapping std'!A:E,5,0),VLOOKUP(D143,'BS Mapping std'!A:E,5,0)),IFERROR(VLOOKUP(E143,'PL mapping Std'!A:F,6,0),VLOOKUP(D143,'PL mapping Std'!A:F,6,0)))</f>
        <v/>
      </c>
      <c r="T143">
        <f>_xlfn.IF(B143&lt;6,IFERROR(VLOOKUP(E143,'BS Mapping std'!A:F,6,0),VLOOKUP(D143,'BS Mapping std'!A:F,6,0)),IFERROR(VLOOKUP(E143,'PL mapping Std'!A:G,7,0),VLOOKUP(D143,'PL mapping Std'!A:G,7,0)))</f>
        <v/>
      </c>
      <c r="V143">
        <f>IF(IF(A143="BS",IFERROR(VLOOKUP(TRIM($E143),'BS Mapping std'!$A:$H,8,0),VLOOKUP(TRIM($D143),'BS Mapping std'!$A:$H,8,0)),IFERROR(VLOOKUP(TRIM($E143),'PL mapping Std'!$A:$E,5,0),VLOOKUP(TRIM($D143),'PL mapping Std'!$A:$E,5,0)))=0,"",IF(A143="BS",IFERROR(VLOOKUP(TRIM($E143),'BS Mapping std'!$A:$H,8,0),VLOOKUP(TRIM($D143),'BS Mapping std'!$A:$H,8,0)),IFERROR(VLOOKUP(TRIM($E143),'PL mapping Std'!$A:$E,5,0),VLOOKUP(TRIM($D143),'PL mapping Std'!$A:$E,5,0))))</f>
        <v/>
      </c>
      <c r="W143">
        <f>_xlfn.IFERROR(VLOOKUP(E143,'F30 mapping'!A:D,4,0),VLOOKUP(D143,'F30 mapping'!A:D,4,0))</f>
        <v/>
      </c>
      <c r="X143">
        <f>IF(B143&lt;6,IFERROR(VLOOKUP(E143,'BS Mapping std'!A:M,13,0),VLOOKUP(D143,'BS Mapping std'!A:M,13,0)),0)</f>
        <v/>
      </c>
      <c r="Y143">
        <f>IF(B143&lt;6,IFERROR(VLOOKUP(E143,'BS Mapping std'!A:N,14,0),VLOOKUP(D143,'BS Mapping std'!A:N,14,0)),0)</f>
        <v/>
      </c>
    </row>
    <row r="144" spans="1:25">
      <c r="A144">
        <f>IF(B144&lt;6,"BS",IF(B144=6,"Exp","Rev"))</f>
        <v/>
      </c>
      <c r="B144">
        <f>_xlfn.NUMBERVALUE(LEFT(F144,1))</f>
        <v/>
      </c>
      <c r="C144">
        <f>Left(F144,2)</f>
        <v/>
      </c>
      <c r="D144">
        <f>Left(F144,3)</f>
        <v/>
      </c>
      <c r="E144">
        <f>IF(F144="121",Left(F144,3)&amp;"0",Left(F144,4))</f>
        <v/>
      </c>
      <c r="F144" t="n">
        <v>44820020</v>
      </c>
      <c r="G144" t="s">
        <v>165</v>
      </c>
      <c r="H144" s="9" t="n">
        <v>294086</v>
      </c>
      <c r="I144" s="9" t="n">
        <v>0</v>
      </c>
      <c r="J144" s="9" t="n">
        <v>1</v>
      </c>
      <c r="K144" s="9" t="n">
        <v>294085</v>
      </c>
      <c r="L144" s="9">
        <f>K144-H144</f>
        <v/>
      </c>
      <c r="M144" s="32">
        <f>IFERROR(L144/H144," ")</f>
        <v/>
      </c>
      <c r="N144">
        <f>IF(A144="BS",IFERROR(VLOOKUP(TRIM($E144),'BS Mapping std'!$A:$D,4,0),VLOOKUP(TRIM($D144),'BS Mapping std'!$A:$D,4,0)),IFERROR(VLOOKUP(TRIM($E144),'PL mapping Std'!$A:$D,4,0),VLOOKUP(TRIM($D144),'PL mapping Std'!$A:$D,4,0)))</f>
        <v/>
      </c>
      <c r="O144">
        <f>_xlfn.IFERROR(VLOOKUP(E144,'F30 mapping'!A:C,3,0),VLOOKUP(D144,'F30 mapping'!A:C,3,0))</f>
        <v/>
      </c>
      <c r="P144">
        <f>_xlfn.IFERROR(IFERROR(VLOOKUP(E144,'F40 mapping'!A:C,3,0),VLOOKUP(D144,'F40 mapping'!A:C,3,0)),0)</f>
        <v/>
      </c>
      <c r="Q144">
        <f>_xlfn.IFERROR(IFERROR(VLOOKUP(E144,'F40 mapping'!A:D,4,0),VLOOKUP(D144,'F40 mapping'!A:D,4,0)),0)</f>
        <v/>
      </c>
      <c r="R144">
        <f>_xlfn.IFERROR(IFERROR(VLOOKUP(E144,'F40 mapping'!A:E,5,0),VLOOKUP(D144,'F40 mapping'!A:E,5,0)),0)</f>
        <v/>
      </c>
      <c r="S144">
        <f>_xlfn.IF(B144&lt;6,IFERROR(VLOOKUP(E144,'BS Mapping std'!A:E,5,0),VLOOKUP(D144,'BS Mapping std'!A:E,5,0)),IFERROR(VLOOKUP(E144,'PL mapping Std'!A:F,6,0),VLOOKUP(D144,'PL mapping Std'!A:F,6,0)))</f>
        <v/>
      </c>
      <c r="T144">
        <f>_xlfn.IF(B144&lt;6,IFERROR(VLOOKUP(E144,'BS Mapping std'!A:F,6,0),VLOOKUP(D144,'BS Mapping std'!A:F,6,0)),IFERROR(VLOOKUP(E144,'PL mapping Std'!A:G,7,0),VLOOKUP(D144,'PL mapping Std'!A:G,7,0)))</f>
        <v/>
      </c>
      <c r="V144">
        <f>IF(IF(A144="BS",IFERROR(VLOOKUP(TRIM($E144),'BS Mapping std'!$A:$H,8,0),VLOOKUP(TRIM($D144),'BS Mapping std'!$A:$H,8,0)),IFERROR(VLOOKUP(TRIM($E144),'PL mapping Std'!$A:$E,5,0),VLOOKUP(TRIM($D144),'PL mapping Std'!$A:$E,5,0)))=0,"",IF(A144="BS",IFERROR(VLOOKUP(TRIM($E144),'BS Mapping std'!$A:$H,8,0),VLOOKUP(TRIM($D144),'BS Mapping std'!$A:$H,8,0)),IFERROR(VLOOKUP(TRIM($E144),'PL mapping Std'!$A:$E,5,0),VLOOKUP(TRIM($D144),'PL mapping Std'!$A:$E,5,0))))</f>
        <v/>
      </c>
      <c r="W144">
        <f>_xlfn.IFERROR(VLOOKUP(E144,'F30 mapping'!A:D,4,0),VLOOKUP(D144,'F30 mapping'!A:D,4,0))</f>
        <v/>
      </c>
      <c r="X144">
        <f>IF(B144&lt;6,IFERROR(VLOOKUP(E144,'BS Mapping std'!A:M,13,0),VLOOKUP(D144,'BS Mapping std'!A:M,13,0)),0)</f>
        <v/>
      </c>
      <c r="Y144">
        <f>IF(B144&lt;6,IFERROR(VLOOKUP(E144,'BS Mapping std'!A:N,14,0),VLOOKUP(D144,'BS Mapping std'!A:N,14,0)),0)</f>
        <v/>
      </c>
    </row>
    <row r="145" spans="1:25">
      <c r="A145">
        <f>IF(B145&lt;6,"BS",IF(B145=6,"Exp","Rev"))</f>
        <v/>
      </c>
      <c r="B145">
        <f>_xlfn.NUMBERVALUE(LEFT(F145,1))</f>
        <v/>
      </c>
      <c r="C145">
        <f>Left(F145,2)</f>
        <v/>
      </c>
      <c r="D145">
        <f>Left(F145,3)</f>
        <v/>
      </c>
      <c r="E145">
        <f>IF(F145="121",Left(F145,3)&amp;"0",Left(F145,4))</f>
        <v/>
      </c>
      <c r="F145" t="n">
        <v>45110010</v>
      </c>
      <c r="G145" t="s">
        <v>166</v>
      </c>
      <c r="H145" s="9" t="n">
        <v>0</v>
      </c>
      <c r="I145" s="9" t="n">
        <v>0</v>
      </c>
      <c r="J145" s="9" t="n">
        <v>0</v>
      </c>
      <c r="K145" s="9" t="n">
        <v>0</v>
      </c>
      <c r="L145" s="9">
        <f>K145-H145</f>
        <v/>
      </c>
      <c r="M145" s="32">
        <f>IFERROR(L145/H145," ")</f>
        <v/>
      </c>
      <c r="N145">
        <f>IF(A145="BS",IFERROR(VLOOKUP(TRIM($E145),'BS Mapping std'!$A:$D,4,0),VLOOKUP(TRIM($D145),'BS Mapping std'!$A:$D,4,0)),IFERROR(VLOOKUP(TRIM($E145),'PL mapping Std'!$A:$D,4,0),VLOOKUP(TRIM($D145),'PL mapping Std'!$A:$D,4,0)))</f>
        <v/>
      </c>
      <c r="O145">
        <f>_xlfn.IFERROR(VLOOKUP(E145,'F30 mapping'!A:C,3,0),VLOOKUP(D145,'F30 mapping'!A:C,3,0))</f>
        <v/>
      </c>
      <c r="P145">
        <f>_xlfn.IFERROR(IFERROR(VLOOKUP(E145,'F40 mapping'!A:C,3,0),VLOOKUP(D145,'F40 mapping'!A:C,3,0)),0)</f>
        <v/>
      </c>
      <c r="Q145">
        <f>_xlfn.IFERROR(IFERROR(VLOOKUP(E145,'F40 mapping'!A:D,4,0),VLOOKUP(D145,'F40 mapping'!A:D,4,0)),0)</f>
        <v/>
      </c>
      <c r="R145">
        <f>_xlfn.IFERROR(IFERROR(VLOOKUP(E145,'F40 mapping'!A:E,5,0),VLOOKUP(D145,'F40 mapping'!A:E,5,0)),0)</f>
        <v/>
      </c>
      <c r="S145">
        <f>_xlfn.IF(B145&lt;6,IFERROR(VLOOKUP(E145,'BS Mapping std'!A:E,5,0),VLOOKUP(D145,'BS Mapping std'!A:E,5,0)),IFERROR(VLOOKUP(E145,'PL mapping Std'!A:F,6,0),VLOOKUP(D145,'PL mapping Std'!A:F,6,0)))</f>
        <v/>
      </c>
      <c r="T145">
        <f>_xlfn.IF(B145&lt;6,IFERROR(VLOOKUP(E145,'BS Mapping std'!A:F,6,0),VLOOKUP(D145,'BS Mapping std'!A:F,6,0)),IFERROR(VLOOKUP(E145,'PL mapping Std'!A:G,7,0),VLOOKUP(D145,'PL mapping Std'!A:G,7,0)))</f>
        <v/>
      </c>
      <c r="V145">
        <f>IF(IF(A145="BS",IFERROR(VLOOKUP(TRIM($E145),'BS Mapping std'!$A:$H,8,0),VLOOKUP(TRIM($D145),'BS Mapping std'!$A:$H,8,0)),IFERROR(VLOOKUP(TRIM($E145),'PL mapping Std'!$A:$E,5,0),VLOOKUP(TRIM($D145),'PL mapping Std'!$A:$E,5,0)))=0,"",IF(A145="BS",IFERROR(VLOOKUP(TRIM($E145),'BS Mapping std'!$A:$H,8,0),VLOOKUP(TRIM($D145),'BS Mapping std'!$A:$H,8,0)),IFERROR(VLOOKUP(TRIM($E145),'PL mapping Std'!$A:$E,5,0),VLOOKUP(TRIM($D145),'PL mapping Std'!$A:$E,5,0))))</f>
        <v/>
      </c>
      <c r="W145">
        <f>_xlfn.IFERROR(VLOOKUP(E145,'F30 mapping'!A:D,4,0),VLOOKUP(D145,'F30 mapping'!A:D,4,0))</f>
        <v/>
      </c>
      <c r="X145">
        <f>IF(B145&lt;6,IFERROR(VLOOKUP(E145,'BS Mapping std'!A:M,13,0),VLOOKUP(D145,'BS Mapping std'!A:M,13,0)),0)</f>
        <v/>
      </c>
      <c r="Y145">
        <f>IF(B145&lt;6,IFERROR(VLOOKUP(E145,'BS Mapping std'!A:N,14,0),VLOOKUP(D145,'BS Mapping std'!A:N,14,0)),0)</f>
        <v/>
      </c>
    </row>
    <row r="146" spans="1:25">
      <c r="A146">
        <f>IF(B146&lt;6,"BS",IF(B146=6,"Exp","Rev"))</f>
        <v/>
      </c>
      <c r="B146">
        <f>_xlfn.NUMBERVALUE(LEFT(F146,1))</f>
        <v/>
      </c>
      <c r="C146">
        <f>Left(F146,2)</f>
        <v/>
      </c>
      <c r="D146">
        <f>Left(F146,3)</f>
        <v/>
      </c>
      <c r="E146">
        <f>IF(F146="121",Left(F146,3)&amp;"0",Left(F146,4))</f>
        <v/>
      </c>
      <c r="F146" t="n">
        <v>46100070</v>
      </c>
      <c r="G146" t="s">
        <v>167</v>
      </c>
      <c r="H146" s="9" t="n">
        <v>0</v>
      </c>
      <c r="I146" s="9" t="n">
        <v>116407.42</v>
      </c>
      <c r="J146" s="9" t="n">
        <v>116407.42</v>
      </c>
      <c r="K146" s="9" t="n">
        <v>0</v>
      </c>
      <c r="L146" s="9">
        <f>K146-H146</f>
        <v/>
      </c>
      <c r="M146" s="32">
        <f>IFERROR(L146/H146," ")</f>
        <v/>
      </c>
      <c r="N146">
        <f>IF(A146="BS",IFERROR(VLOOKUP(TRIM($E146),'BS Mapping std'!$A:$D,4,0),VLOOKUP(TRIM($D146),'BS Mapping std'!$A:$D,4,0)),IFERROR(VLOOKUP(TRIM($E146),'PL mapping Std'!$A:$D,4,0),VLOOKUP(TRIM($D146),'PL mapping Std'!$A:$D,4,0)))</f>
        <v/>
      </c>
      <c r="O146">
        <f>_xlfn.IFERROR(VLOOKUP(E146,'F30 mapping'!A:C,3,0),VLOOKUP(D146,'F30 mapping'!A:C,3,0))</f>
        <v/>
      </c>
      <c r="P146">
        <f>_xlfn.IFERROR(IFERROR(VLOOKUP(E146,'F40 mapping'!A:C,3,0),VLOOKUP(D146,'F40 mapping'!A:C,3,0)),0)</f>
        <v/>
      </c>
      <c r="Q146">
        <f>_xlfn.IFERROR(IFERROR(VLOOKUP(E146,'F40 mapping'!A:D,4,0),VLOOKUP(D146,'F40 mapping'!A:D,4,0)),0)</f>
        <v/>
      </c>
      <c r="R146">
        <f>_xlfn.IFERROR(IFERROR(VLOOKUP(E146,'F40 mapping'!A:E,5,0),VLOOKUP(D146,'F40 mapping'!A:E,5,0)),0)</f>
        <v/>
      </c>
      <c r="S146">
        <f>_xlfn.IF(B146&lt;6,IFERROR(VLOOKUP(E146,'BS Mapping std'!A:E,5,0),VLOOKUP(D146,'BS Mapping std'!A:E,5,0)),IFERROR(VLOOKUP(E146,'PL mapping Std'!A:F,6,0),VLOOKUP(D146,'PL mapping Std'!A:F,6,0)))</f>
        <v/>
      </c>
      <c r="T146">
        <f>_xlfn.IF(B146&lt;6,IFERROR(VLOOKUP(E146,'BS Mapping std'!A:F,6,0),VLOOKUP(D146,'BS Mapping std'!A:F,6,0)),IFERROR(VLOOKUP(E146,'PL mapping Std'!A:G,7,0),VLOOKUP(D146,'PL mapping Std'!A:G,7,0)))</f>
        <v/>
      </c>
      <c r="V146">
        <f>IF(IF(A146="BS",IFERROR(VLOOKUP(TRIM($E146),'BS Mapping std'!$A:$H,8,0),VLOOKUP(TRIM($D146),'BS Mapping std'!$A:$H,8,0)),IFERROR(VLOOKUP(TRIM($E146),'PL mapping Std'!$A:$E,5,0),VLOOKUP(TRIM($D146),'PL mapping Std'!$A:$E,5,0)))=0,"",IF(A146="BS",IFERROR(VLOOKUP(TRIM($E146),'BS Mapping std'!$A:$H,8,0),VLOOKUP(TRIM($D146),'BS Mapping std'!$A:$H,8,0)),IFERROR(VLOOKUP(TRIM($E146),'PL mapping Std'!$A:$E,5,0),VLOOKUP(TRIM($D146),'PL mapping Std'!$A:$E,5,0))))</f>
        <v/>
      </c>
      <c r="W146">
        <f>_xlfn.IFERROR(VLOOKUP(E146,'F30 mapping'!A:D,4,0),VLOOKUP(D146,'F30 mapping'!A:D,4,0))</f>
        <v/>
      </c>
      <c r="X146">
        <f>IF(B146&lt;6,IFERROR(VLOOKUP(E146,'BS Mapping std'!A:M,13,0),VLOOKUP(D146,'BS Mapping std'!A:M,13,0)),0)</f>
        <v/>
      </c>
      <c r="Y146">
        <f>IF(B146&lt;6,IFERROR(VLOOKUP(E146,'BS Mapping std'!A:N,14,0),VLOOKUP(D146,'BS Mapping std'!A:N,14,0)),0)</f>
        <v/>
      </c>
    </row>
    <row r="147" spans="1:25">
      <c r="A147">
        <f>IF(B147&lt;6,"BS",IF(B147=6,"Exp","Rev"))</f>
        <v/>
      </c>
      <c r="B147">
        <f>_xlfn.NUMBERVALUE(LEFT(F147,1))</f>
        <v/>
      </c>
      <c r="C147">
        <f>Left(F147,2)</f>
        <v/>
      </c>
      <c r="D147">
        <f>Left(F147,3)</f>
        <v/>
      </c>
      <c r="E147">
        <f>IF(F147="121",Left(F147,3)&amp;"0",Left(F147,4))</f>
        <v/>
      </c>
      <c r="F147" t="n">
        <v>47100000</v>
      </c>
      <c r="G147" t="s">
        <v>168</v>
      </c>
      <c r="H147" s="9" t="n">
        <v>11546.24</v>
      </c>
      <c r="I147" s="9" t="n">
        <v>524639.02</v>
      </c>
      <c r="J147" s="9" t="n">
        <v>463564.73</v>
      </c>
      <c r="K147" s="9" t="n">
        <v>72620.53</v>
      </c>
      <c r="L147" s="9">
        <f>K147-H147</f>
        <v/>
      </c>
      <c r="M147" s="32">
        <f>IFERROR(L147/H147," ")</f>
        <v/>
      </c>
      <c r="N147">
        <f>IF(A147="BS",IFERROR(VLOOKUP(TRIM($E147),'BS Mapping std'!$A:$D,4,0),VLOOKUP(TRIM($D147),'BS Mapping std'!$A:$D,4,0)),IFERROR(VLOOKUP(TRIM($E147),'PL mapping Std'!$A:$D,4,0),VLOOKUP(TRIM($D147),'PL mapping Std'!$A:$D,4,0)))</f>
        <v/>
      </c>
      <c r="O147">
        <f>_xlfn.IFERROR(VLOOKUP(E147,'F30 mapping'!A:C,3,0),VLOOKUP(D147,'F30 mapping'!A:C,3,0))</f>
        <v/>
      </c>
      <c r="P147">
        <f>_xlfn.IFERROR(IFERROR(VLOOKUP(E147,'F40 mapping'!A:C,3,0),VLOOKUP(D147,'F40 mapping'!A:C,3,0)),0)</f>
        <v/>
      </c>
      <c r="Q147">
        <f>_xlfn.IFERROR(IFERROR(VLOOKUP(E147,'F40 mapping'!A:D,4,0),VLOOKUP(D147,'F40 mapping'!A:D,4,0)),0)</f>
        <v/>
      </c>
      <c r="R147">
        <f>_xlfn.IFERROR(IFERROR(VLOOKUP(E147,'F40 mapping'!A:E,5,0),VLOOKUP(D147,'F40 mapping'!A:E,5,0)),0)</f>
        <v/>
      </c>
      <c r="S147">
        <f>_xlfn.IF(B147&lt;6,IFERROR(VLOOKUP(E147,'BS Mapping std'!A:E,5,0),VLOOKUP(D147,'BS Mapping std'!A:E,5,0)),IFERROR(VLOOKUP(E147,'PL mapping Std'!A:F,6,0),VLOOKUP(D147,'PL mapping Std'!A:F,6,0)))</f>
        <v/>
      </c>
      <c r="T147">
        <f>_xlfn.IF(B147&lt;6,IFERROR(VLOOKUP(E147,'BS Mapping std'!A:F,6,0),VLOOKUP(D147,'BS Mapping std'!A:F,6,0)),IFERROR(VLOOKUP(E147,'PL mapping Std'!A:G,7,0),VLOOKUP(D147,'PL mapping Std'!A:G,7,0)))</f>
        <v/>
      </c>
      <c r="V147">
        <f>IF(IF(A147="BS",IFERROR(VLOOKUP(TRIM($E147),'BS Mapping std'!$A:$H,8,0),VLOOKUP(TRIM($D147),'BS Mapping std'!$A:$H,8,0)),IFERROR(VLOOKUP(TRIM($E147),'PL mapping Std'!$A:$E,5,0),VLOOKUP(TRIM($D147),'PL mapping Std'!$A:$E,5,0)))=0,"",IF(A147="BS",IFERROR(VLOOKUP(TRIM($E147),'BS Mapping std'!$A:$H,8,0),VLOOKUP(TRIM($D147),'BS Mapping std'!$A:$H,8,0)),IFERROR(VLOOKUP(TRIM($E147),'PL mapping Std'!$A:$E,5,0),VLOOKUP(TRIM($D147),'PL mapping Std'!$A:$E,5,0))))</f>
        <v/>
      </c>
      <c r="W147">
        <f>_xlfn.IFERROR(VLOOKUP(E147,'F30 mapping'!A:D,4,0),VLOOKUP(D147,'F30 mapping'!A:D,4,0))</f>
        <v/>
      </c>
      <c r="X147">
        <f>IF(B147&lt;6,IFERROR(VLOOKUP(E147,'BS Mapping std'!A:M,13,0),VLOOKUP(D147,'BS Mapping std'!A:M,13,0)),0)</f>
        <v/>
      </c>
      <c r="Y147">
        <f>IF(B147&lt;6,IFERROR(VLOOKUP(E147,'BS Mapping std'!A:N,14,0),VLOOKUP(D147,'BS Mapping std'!A:N,14,0)),0)</f>
        <v/>
      </c>
    </row>
    <row r="148" spans="1:25">
      <c r="A148">
        <f>IF(B148&lt;6,"BS",IF(B148=6,"Exp","Rev"))</f>
        <v/>
      </c>
      <c r="B148">
        <f>_xlfn.NUMBERVALUE(LEFT(F148,1))</f>
        <v/>
      </c>
      <c r="C148">
        <f>Left(F148,2)</f>
        <v/>
      </c>
      <c r="D148">
        <f>Left(F148,3)</f>
        <v/>
      </c>
      <c r="E148">
        <f>IF(F148="121",Left(F148,3)&amp;"0",Left(F148,4))</f>
        <v/>
      </c>
      <c r="F148" t="n">
        <v>47300000</v>
      </c>
      <c r="G148" t="s">
        <v>169</v>
      </c>
      <c r="H148" s="9" t="n">
        <v>601.42</v>
      </c>
      <c r="I148" s="9" t="n">
        <v>216889.31</v>
      </c>
      <c r="J148" s="9" t="n">
        <v>217490.73</v>
      </c>
      <c r="K148" s="9" t="n">
        <v>0</v>
      </c>
      <c r="L148" s="9">
        <f>K148-H148</f>
        <v/>
      </c>
      <c r="M148" s="32">
        <f>IFERROR(L148/H148," ")</f>
        <v/>
      </c>
      <c r="N148">
        <f>IF(A148="BS",IFERROR(VLOOKUP(TRIM($E148),'BS Mapping std'!$A:$D,4,0),VLOOKUP(TRIM($D148),'BS Mapping std'!$A:$D,4,0)),IFERROR(VLOOKUP(TRIM($E148),'PL mapping Std'!$A:$D,4,0),VLOOKUP(TRIM($D148),'PL mapping Std'!$A:$D,4,0)))</f>
        <v/>
      </c>
      <c r="O148">
        <f>_xlfn.IFERROR(VLOOKUP(E148,'F30 mapping'!A:C,3,0),VLOOKUP(D148,'F30 mapping'!A:C,3,0))</f>
        <v/>
      </c>
      <c r="P148">
        <f>_xlfn.IFERROR(IFERROR(VLOOKUP(E148,'F40 mapping'!A:C,3,0),VLOOKUP(D148,'F40 mapping'!A:C,3,0)),0)</f>
        <v/>
      </c>
      <c r="Q148">
        <f>_xlfn.IFERROR(IFERROR(VLOOKUP(E148,'F40 mapping'!A:D,4,0),VLOOKUP(D148,'F40 mapping'!A:D,4,0)),0)</f>
        <v/>
      </c>
      <c r="R148">
        <f>_xlfn.IFERROR(IFERROR(VLOOKUP(E148,'F40 mapping'!A:E,5,0),VLOOKUP(D148,'F40 mapping'!A:E,5,0)),0)</f>
        <v/>
      </c>
      <c r="S148">
        <f>_xlfn.IF(B148&lt;6,IFERROR(VLOOKUP(E148,'BS Mapping std'!A:E,5,0),VLOOKUP(D148,'BS Mapping std'!A:E,5,0)),IFERROR(VLOOKUP(E148,'PL mapping Std'!A:F,6,0),VLOOKUP(D148,'PL mapping Std'!A:F,6,0)))</f>
        <v/>
      </c>
      <c r="T148">
        <f>_xlfn.IF(B148&lt;6,IFERROR(VLOOKUP(E148,'BS Mapping std'!A:F,6,0),VLOOKUP(D148,'BS Mapping std'!A:F,6,0)),IFERROR(VLOOKUP(E148,'PL mapping Std'!A:G,7,0),VLOOKUP(D148,'PL mapping Std'!A:G,7,0)))</f>
        <v/>
      </c>
      <c r="V148">
        <f>IF(IF(A148="BS",IFERROR(VLOOKUP(TRIM($E148),'BS Mapping std'!$A:$H,8,0),VLOOKUP(TRIM($D148),'BS Mapping std'!$A:$H,8,0)),IFERROR(VLOOKUP(TRIM($E148),'PL mapping Std'!$A:$E,5,0),VLOOKUP(TRIM($D148),'PL mapping Std'!$A:$E,5,0)))=0,"",IF(A148="BS",IFERROR(VLOOKUP(TRIM($E148),'BS Mapping std'!$A:$H,8,0),VLOOKUP(TRIM($D148),'BS Mapping std'!$A:$H,8,0)),IFERROR(VLOOKUP(TRIM($E148),'PL mapping Std'!$A:$E,5,0),VLOOKUP(TRIM($D148),'PL mapping Std'!$A:$E,5,0))))</f>
        <v/>
      </c>
      <c r="W148">
        <f>_xlfn.IFERROR(VLOOKUP(E148,'F30 mapping'!A:D,4,0),VLOOKUP(D148,'F30 mapping'!A:D,4,0))</f>
        <v/>
      </c>
      <c r="X148">
        <f>IF(B148&lt;6,IFERROR(VLOOKUP(E148,'BS Mapping std'!A:M,13,0),VLOOKUP(D148,'BS Mapping std'!A:M,13,0)),0)</f>
        <v/>
      </c>
      <c r="Y148">
        <f>IF(B148&lt;6,IFERROR(VLOOKUP(E148,'BS Mapping std'!A:N,14,0),VLOOKUP(D148,'BS Mapping std'!A:N,14,0)),0)</f>
        <v/>
      </c>
    </row>
    <row r="149" spans="1:25">
      <c r="A149">
        <f>IF(B149&lt;6,"BS",IF(B149=6,"Exp","Rev"))</f>
        <v/>
      </c>
      <c r="B149">
        <f>_xlfn.NUMBERVALUE(LEFT(F149,1))</f>
        <v/>
      </c>
      <c r="C149">
        <f>Left(F149,2)</f>
        <v/>
      </c>
      <c r="D149">
        <f>Left(F149,3)</f>
        <v/>
      </c>
      <c r="E149">
        <f>IF(F149="121",Left(F149,3)&amp;"0",Left(F149,4))</f>
        <v/>
      </c>
      <c r="F149" t="n">
        <v>49100010</v>
      </c>
      <c r="G149" t="s">
        <v>170</v>
      </c>
      <c r="H149" s="9" t="n">
        <v>-157700.29</v>
      </c>
      <c r="I149" s="9" t="n">
        <v>3410.25</v>
      </c>
      <c r="J149" s="9" t="n">
        <v>1859.75</v>
      </c>
      <c r="K149" s="9" t="n">
        <v>-156149.79</v>
      </c>
      <c r="L149" s="9">
        <f>K149-H149</f>
        <v/>
      </c>
      <c r="M149" s="32">
        <f>IFERROR(L149/H149," ")</f>
        <v/>
      </c>
      <c r="N149">
        <f>IF(A149="BS",IFERROR(VLOOKUP(TRIM($E149),'BS Mapping std'!$A:$D,4,0),VLOOKUP(TRIM($D149),'BS Mapping std'!$A:$D,4,0)),IFERROR(VLOOKUP(TRIM($E149),'PL mapping Std'!$A:$D,4,0),VLOOKUP(TRIM($D149),'PL mapping Std'!$A:$D,4,0)))</f>
        <v/>
      </c>
      <c r="O149">
        <f>_xlfn.IFERROR(VLOOKUP(E149,'F30 mapping'!A:C,3,0),VLOOKUP(D149,'F30 mapping'!A:C,3,0))</f>
        <v/>
      </c>
      <c r="P149">
        <f>_xlfn.IFERROR(IFERROR(VLOOKUP(E149,'F40 mapping'!A:C,3,0),VLOOKUP(D149,'F40 mapping'!A:C,3,0)),0)</f>
        <v/>
      </c>
      <c r="Q149">
        <f>_xlfn.IFERROR(IFERROR(VLOOKUP(E149,'F40 mapping'!A:D,4,0),VLOOKUP(D149,'F40 mapping'!A:D,4,0)),0)</f>
        <v/>
      </c>
      <c r="R149">
        <f>_xlfn.IFERROR(IFERROR(VLOOKUP(E149,'F40 mapping'!A:E,5,0),VLOOKUP(D149,'F40 mapping'!A:E,5,0)),0)</f>
        <v/>
      </c>
      <c r="S149">
        <f>_xlfn.IF(B149&lt;6,IFERROR(VLOOKUP(E149,'BS Mapping std'!A:E,5,0),VLOOKUP(D149,'BS Mapping std'!A:E,5,0)),IFERROR(VLOOKUP(E149,'PL mapping Std'!A:F,6,0),VLOOKUP(D149,'PL mapping Std'!A:F,6,0)))</f>
        <v/>
      </c>
      <c r="T149">
        <f>_xlfn.IF(B149&lt;6,IFERROR(VLOOKUP(E149,'BS Mapping std'!A:F,6,0),VLOOKUP(D149,'BS Mapping std'!A:F,6,0)),IFERROR(VLOOKUP(E149,'PL mapping Std'!A:G,7,0),VLOOKUP(D149,'PL mapping Std'!A:G,7,0)))</f>
        <v/>
      </c>
      <c r="V149">
        <f>IF(IF(A149="BS",IFERROR(VLOOKUP(TRIM($E149),'BS Mapping std'!$A:$H,8,0),VLOOKUP(TRIM($D149),'BS Mapping std'!$A:$H,8,0)),IFERROR(VLOOKUP(TRIM($E149),'PL mapping Std'!$A:$E,5,0),VLOOKUP(TRIM($D149),'PL mapping Std'!$A:$E,5,0)))=0,"",IF(A149="BS",IFERROR(VLOOKUP(TRIM($E149),'BS Mapping std'!$A:$H,8,0),VLOOKUP(TRIM($D149),'BS Mapping std'!$A:$H,8,0)),IFERROR(VLOOKUP(TRIM($E149),'PL mapping Std'!$A:$E,5,0),VLOOKUP(TRIM($D149),'PL mapping Std'!$A:$E,5,0))))</f>
        <v/>
      </c>
      <c r="W149">
        <f>_xlfn.IFERROR(VLOOKUP(E149,'F30 mapping'!A:D,4,0),VLOOKUP(D149,'F30 mapping'!A:D,4,0))</f>
        <v/>
      </c>
      <c r="X149">
        <f>IF(B149&lt;6,IFERROR(VLOOKUP(E149,'BS Mapping std'!A:M,13,0),VLOOKUP(D149,'BS Mapping std'!A:M,13,0)),0)</f>
        <v/>
      </c>
      <c r="Y149">
        <f>IF(B149&lt;6,IFERROR(VLOOKUP(E149,'BS Mapping std'!A:N,14,0),VLOOKUP(D149,'BS Mapping std'!A:N,14,0)),0)</f>
        <v/>
      </c>
    </row>
    <row r="150" spans="1:25">
      <c r="A150">
        <f>IF(B150&lt;6,"BS",IF(B150=6,"Exp","Rev"))</f>
        <v/>
      </c>
      <c r="B150">
        <f>_xlfn.NUMBERVALUE(LEFT(F150,1))</f>
        <v/>
      </c>
      <c r="C150">
        <f>Left(F150,2)</f>
        <v/>
      </c>
      <c r="D150">
        <f>Left(F150,3)</f>
        <v/>
      </c>
      <c r="E150">
        <f>IF(F150="121",Left(F150,3)&amp;"0",Left(F150,4))</f>
        <v/>
      </c>
      <c r="F150" t="n">
        <v>51130000</v>
      </c>
      <c r="G150" t="s">
        <v>171</v>
      </c>
      <c r="H150" s="9" t="n">
        <v>172183.9</v>
      </c>
      <c r="I150" s="9" t="n">
        <v>1063756.41</v>
      </c>
      <c r="J150" s="9" t="n">
        <v>1235940.31</v>
      </c>
      <c r="K150" s="9" t="n">
        <v>0</v>
      </c>
      <c r="L150" s="9">
        <f>K150-H150</f>
        <v/>
      </c>
      <c r="M150" s="32">
        <f>IFERROR(L150/H150," ")</f>
        <v/>
      </c>
      <c r="N150">
        <f>IF(A150="BS",IFERROR(VLOOKUP(TRIM($E150),'BS Mapping std'!$A:$D,4,0),VLOOKUP(TRIM($D150),'BS Mapping std'!$A:$D,4,0)),IFERROR(VLOOKUP(TRIM($E150),'PL mapping Std'!$A:$D,4,0),VLOOKUP(TRIM($D150),'PL mapping Std'!$A:$D,4,0)))</f>
        <v/>
      </c>
      <c r="O150">
        <f>_xlfn.IFERROR(VLOOKUP(E150,'F30 mapping'!A:C,3,0),VLOOKUP(D150,'F30 mapping'!A:C,3,0))</f>
        <v/>
      </c>
      <c r="P150">
        <f>_xlfn.IFERROR(IFERROR(VLOOKUP(E150,'F40 mapping'!A:C,3,0),VLOOKUP(D150,'F40 mapping'!A:C,3,0)),0)</f>
        <v/>
      </c>
      <c r="Q150">
        <f>_xlfn.IFERROR(IFERROR(VLOOKUP(E150,'F40 mapping'!A:D,4,0),VLOOKUP(D150,'F40 mapping'!A:D,4,0)),0)</f>
        <v/>
      </c>
      <c r="R150">
        <f>_xlfn.IFERROR(IFERROR(VLOOKUP(E150,'F40 mapping'!A:E,5,0),VLOOKUP(D150,'F40 mapping'!A:E,5,0)),0)</f>
        <v/>
      </c>
      <c r="S150">
        <f>_xlfn.IF(B150&lt;6,IFERROR(VLOOKUP(E150,'BS Mapping std'!A:E,5,0),VLOOKUP(D150,'BS Mapping std'!A:E,5,0)),IFERROR(VLOOKUP(E150,'PL mapping Std'!A:F,6,0),VLOOKUP(D150,'PL mapping Std'!A:F,6,0)))</f>
        <v/>
      </c>
      <c r="T150">
        <f>_xlfn.IF(B150&lt;6,IFERROR(VLOOKUP(E150,'BS Mapping std'!A:F,6,0),VLOOKUP(D150,'BS Mapping std'!A:F,6,0)),IFERROR(VLOOKUP(E150,'PL mapping Std'!A:G,7,0),VLOOKUP(D150,'PL mapping Std'!A:G,7,0)))</f>
        <v/>
      </c>
      <c r="V150">
        <f>IF(IF(A150="BS",IFERROR(VLOOKUP(TRIM($E150),'BS Mapping std'!$A:$H,8,0),VLOOKUP(TRIM($D150),'BS Mapping std'!$A:$H,8,0)),IFERROR(VLOOKUP(TRIM($E150),'PL mapping Std'!$A:$E,5,0),VLOOKUP(TRIM($D150),'PL mapping Std'!$A:$E,5,0)))=0,"",IF(A150="BS",IFERROR(VLOOKUP(TRIM($E150),'BS Mapping std'!$A:$H,8,0),VLOOKUP(TRIM($D150),'BS Mapping std'!$A:$H,8,0)),IFERROR(VLOOKUP(TRIM($E150),'PL mapping Std'!$A:$E,5,0),VLOOKUP(TRIM($D150),'PL mapping Std'!$A:$E,5,0))))</f>
        <v/>
      </c>
      <c r="W150">
        <f>_xlfn.IFERROR(VLOOKUP(E150,'F30 mapping'!A:D,4,0),VLOOKUP(D150,'F30 mapping'!A:D,4,0))</f>
        <v/>
      </c>
      <c r="X150">
        <f>IF(B150&lt;6,IFERROR(VLOOKUP(E150,'BS Mapping std'!A:M,13,0),VLOOKUP(D150,'BS Mapping std'!A:M,13,0)),0)</f>
        <v/>
      </c>
      <c r="Y150">
        <f>IF(B150&lt;6,IFERROR(VLOOKUP(E150,'BS Mapping std'!A:N,14,0),VLOOKUP(D150,'BS Mapping std'!A:N,14,0)),0)</f>
        <v/>
      </c>
    </row>
    <row r="151" spans="1:25">
      <c r="A151">
        <f>IF(B151&lt;6,"BS",IF(B151=6,"Exp","Rev"))</f>
        <v/>
      </c>
      <c r="B151">
        <f>_xlfn.NUMBERVALUE(LEFT(F151,1))</f>
        <v/>
      </c>
      <c r="C151">
        <f>Left(F151,2)</f>
        <v/>
      </c>
      <c r="D151">
        <f>Left(F151,3)</f>
        <v/>
      </c>
      <c r="E151">
        <f>IF(F151="121",Left(F151,3)&amp;"0",Left(F151,4))</f>
        <v/>
      </c>
      <c r="F151" t="n">
        <v>51130010</v>
      </c>
      <c r="G151" t="s">
        <v>172</v>
      </c>
      <c r="H151" s="9" t="n">
        <v>0</v>
      </c>
      <c r="I151" s="9" t="n">
        <v>53058.26</v>
      </c>
      <c r="J151" s="9" t="n">
        <v>53058.26</v>
      </c>
      <c r="K151" s="9" t="n">
        <v>0</v>
      </c>
      <c r="L151" s="9">
        <f>K151-H151</f>
        <v/>
      </c>
      <c r="M151" s="32">
        <f>IFERROR(L151/H151," ")</f>
        <v/>
      </c>
      <c r="N151">
        <f>IF(A151="BS",IFERROR(VLOOKUP(TRIM($E151),'BS Mapping std'!$A:$D,4,0),VLOOKUP(TRIM($D151),'BS Mapping std'!$A:$D,4,0)),IFERROR(VLOOKUP(TRIM($E151),'PL mapping Std'!$A:$D,4,0),VLOOKUP(TRIM($D151),'PL mapping Std'!$A:$D,4,0)))</f>
        <v/>
      </c>
      <c r="O151">
        <f>_xlfn.IFERROR(VLOOKUP(E151,'F30 mapping'!A:C,3,0),VLOOKUP(D151,'F30 mapping'!A:C,3,0))</f>
        <v/>
      </c>
      <c r="P151">
        <f>_xlfn.IFERROR(IFERROR(VLOOKUP(E151,'F40 mapping'!A:C,3,0),VLOOKUP(D151,'F40 mapping'!A:C,3,0)),0)</f>
        <v/>
      </c>
      <c r="Q151">
        <f>_xlfn.IFERROR(IFERROR(VLOOKUP(E151,'F40 mapping'!A:D,4,0),VLOOKUP(D151,'F40 mapping'!A:D,4,0)),0)</f>
        <v/>
      </c>
      <c r="R151">
        <f>_xlfn.IFERROR(IFERROR(VLOOKUP(E151,'F40 mapping'!A:E,5,0),VLOOKUP(D151,'F40 mapping'!A:E,5,0)),0)</f>
        <v/>
      </c>
      <c r="S151">
        <f>_xlfn.IF(B151&lt;6,IFERROR(VLOOKUP(E151,'BS Mapping std'!A:E,5,0),VLOOKUP(D151,'BS Mapping std'!A:E,5,0)),IFERROR(VLOOKUP(E151,'PL mapping Std'!A:F,6,0),VLOOKUP(D151,'PL mapping Std'!A:F,6,0)))</f>
        <v/>
      </c>
      <c r="T151">
        <f>_xlfn.IF(B151&lt;6,IFERROR(VLOOKUP(E151,'BS Mapping std'!A:F,6,0),VLOOKUP(D151,'BS Mapping std'!A:F,6,0)),IFERROR(VLOOKUP(E151,'PL mapping Std'!A:G,7,0),VLOOKUP(D151,'PL mapping Std'!A:G,7,0)))</f>
        <v/>
      </c>
      <c r="V151">
        <f>IF(IF(A151="BS",IFERROR(VLOOKUP(TRIM($E151),'BS Mapping std'!$A:$H,8,0),VLOOKUP(TRIM($D151),'BS Mapping std'!$A:$H,8,0)),IFERROR(VLOOKUP(TRIM($E151),'PL mapping Std'!$A:$E,5,0),VLOOKUP(TRIM($D151),'PL mapping Std'!$A:$E,5,0)))=0,"",IF(A151="BS",IFERROR(VLOOKUP(TRIM($E151),'BS Mapping std'!$A:$H,8,0),VLOOKUP(TRIM($D151),'BS Mapping std'!$A:$H,8,0)),IFERROR(VLOOKUP(TRIM($E151),'PL mapping Std'!$A:$E,5,0),VLOOKUP(TRIM($D151),'PL mapping Std'!$A:$E,5,0))))</f>
        <v/>
      </c>
      <c r="W151">
        <f>_xlfn.IFERROR(VLOOKUP(E151,'F30 mapping'!A:D,4,0),VLOOKUP(D151,'F30 mapping'!A:D,4,0))</f>
        <v/>
      </c>
      <c r="X151">
        <f>IF(B151&lt;6,IFERROR(VLOOKUP(E151,'BS Mapping std'!A:M,13,0),VLOOKUP(D151,'BS Mapping std'!A:M,13,0)),0)</f>
        <v/>
      </c>
      <c r="Y151">
        <f>IF(B151&lt;6,IFERROR(VLOOKUP(E151,'BS Mapping std'!A:N,14,0),VLOOKUP(D151,'BS Mapping std'!A:N,14,0)),0)</f>
        <v/>
      </c>
    </row>
    <row r="152" spans="1:25">
      <c r="A152">
        <f>IF(B152&lt;6,"BS",IF(B152=6,"Exp","Rev"))</f>
        <v/>
      </c>
      <c r="B152">
        <f>_xlfn.NUMBERVALUE(LEFT(F152,1))</f>
        <v/>
      </c>
      <c r="C152">
        <f>Left(F152,2)</f>
        <v/>
      </c>
      <c r="D152">
        <f>Left(F152,3)</f>
        <v/>
      </c>
      <c r="E152">
        <f>IF(F152="121",Left(F152,3)&amp;"0",Left(F152,4))</f>
        <v/>
      </c>
      <c r="F152" t="n">
        <v>51130020</v>
      </c>
      <c r="G152" t="s">
        <v>173</v>
      </c>
      <c r="H152" s="9" t="n">
        <v>0</v>
      </c>
      <c r="I152" s="9" t="n">
        <v>44129.93</v>
      </c>
      <c r="J152" s="9" t="n">
        <v>32407.82</v>
      </c>
      <c r="K152" s="9" t="n">
        <v>11722.11</v>
      </c>
      <c r="L152" s="9">
        <f>K152-H152</f>
        <v/>
      </c>
      <c r="M152" s="32">
        <f>IFERROR(L152/H152," ")</f>
        <v/>
      </c>
      <c r="N152">
        <f>IF(A152="BS",IFERROR(VLOOKUP(TRIM($E152),'BS Mapping std'!$A:$D,4,0),VLOOKUP(TRIM($D152),'BS Mapping std'!$A:$D,4,0)),IFERROR(VLOOKUP(TRIM($E152),'PL mapping Std'!$A:$D,4,0),VLOOKUP(TRIM($D152),'PL mapping Std'!$A:$D,4,0)))</f>
        <v/>
      </c>
      <c r="O152">
        <f>_xlfn.IFERROR(VLOOKUP(E152,'F30 mapping'!A:C,3,0),VLOOKUP(D152,'F30 mapping'!A:C,3,0))</f>
        <v/>
      </c>
      <c r="P152">
        <f>_xlfn.IFERROR(IFERROR(VLOOKUP(E152,'F40 mapping'!A:C,3,0),VLOOKUP(D152,'F40 mapping'!A:C,3,0)),0)</f>
        <v/>
      </c>
      <c r="Q152">
        <f>_xlfn.IFERROR(IFERROR(VLOOKUP(E152,'F40 mapping'!A:D,4,0),VLOOKUP(D152,'F40 mapping'!A:D,4,0)),0)</f>
        <v/>
      </c>
      <c r="R152">
        <f>_xlfn.IFERROR(IFERROR(VLOOKUP(E152,'F40 mapping'!A:E,5,0),VLOOKUP(D152,'F40 mapping'!A:E,5,0)),0)</f>
        <v/>
      </c>
      <c r="S152">
        <f>_xlfn.IF(B152&lt;6,IFERROR(VLOOKUP(E152,'BS Mapping std'!A:E,5,0),VLOOKUP(D152,'BS Mapping std'!A:E,5,0)),IFERROR(VLOOKUP(E152,'PL mapping Std'!A:F,6,0),VLOOKUP(D152,'PL mapping Std'!A:F,6,0)))</f>
        <v/>
      </c>
      <c r="T152">
        <f>_xlfn.IF(B152&lt;6,IFERROR(VLOOKUP(E152,'BS Mapping std'!A:F,6,0),VLOOKUP(D152,'BS Mapping std'!A:F,6,0)),IFERROR(VLOOKUP(E152,'PL mapping Std'!A:G,7,0),VLOOKUP(D152,'PL mapping Std'!A:G,7,0)))</f>
        <v/>
      </c>
      <c r="V152">
        <f>IF(IF(A152="BS",IFERROR(VLOOKUP(TRIM($E152),'BS Mapping std'!$A:$H,8,0),VLOOKUP(TRIM($D152),'BS Mapping std'!$A:$H,8,0)),IFERROR(VLOOKUP(TRIM($E152),'PL mapping Std'!$A:$E,5,0),VLOOKUP(TRIM($D152),'PL mapping Std'!$A:$E,5,0)))=0,"",IF(A152="BS",IFERROR(VLOOKUP(TRIM($E152),'BS Mapping std'!$A:$H,8,0),VLOOKUP(TRIM($D152),'BS Mapping std'!$A:$H,8,0)),IFERROR(VLOOKUP(TRIM($E152),'PL mapping Std'!$A:$E,5,0),VLOOKUP(TRIM($D152),'PL mapping Std'!$A:$E,5,0))))</f>
        <v/>
      </c>
      <c r="W152">
        <f>_xlfn.IFERROR(VLOOKUP(E152,'F30 mapping'!A:D,4,0),VLOOKUP(D152,'F30 mapping'!A:D,4,0))</f>
        <v/>
      </c>
      <c r="X152">
        <f>IF(B152&lt;6,IFERROR(VLOOKUP(E152,'BS Mapping std'!A:M,13,0),VLOOKUP(D152,'BS Mapping std'!A:M,13,0)),0)</f>
        <v/>
      </c>
      <c r="Y152">
        <f>IF(B152&lt;6,IFERROR(VLOOKUP(E152,'BS Mapping std'!A:N,14,0),VLOOKUP(D152,'BS Mapping std'!A:N,14,0)),0)</f>
        <v/>
      </c>
    </row>
    <row r="153" spans="1:25">
      <c r="A153">
        <f>IF(B153&lt;6,"BS",IF(B153=6,"Exp","Rev"))</f>
        <v/>
      </c>
      <c r="B153">
        <f>_xlfn.NUMBERVALUE(LEFT(F153,1))</f>
        <v/>
      </c>
      <c r="C153">
        <f>Left(F153,2)</f>
        <v/>
      </c>
      <c r="D153">
        <f>Left(F153,3)</f>
        <v/>
      </c>
      <c r="E153">
        <f>IF(F153="121",Left(F153,3)&amp;"0",Left(F153,4))</f>
        <v/>
      </c>
      <c r="F153" t="n">
        <v>51130030</v>
      </c>
      <c r="G153" t="s">
        <v>174</v>
      </c>
      <c r="H153" s="9" t="n">
        <v>0</v>
      </c>
      <c r="I153" s="9" t="n">
        <v>275982.19</v>
      </c>
      <c r="J153" s="9" t="n">
        <v>133811.08</v>
      </c>
      <c r="K153" s="9" t="n">
        <v>142171.11</v>
      </c>
      <c r="L153" s="9">
        <f>K153-H153</f>
        <v/>
      </c>
      <c r="M153" s="32">
        <f>IFERROR(L153/H153," ")</f>
        <v/>
      </c>
      <c r="N153">
        <f>IF(A153="BS",IFERROR(VLOOKUP(TRIM($E153),'BS Mapping std'!$A:$D,4,0),VLOOKUP(TRIM($D153),'BS Mapping std'!$A:$D,4,0)),IFERROR(VLOOKUP(TRIM($E153),'PL mapping Std'!$A:$D,4,0),VLOOKUP(TRIM($D153),'PL mapping Std'!$A:$D,4,0)))</f>
        <v/>
      </c>
      <c r="O153">
        <f>_xlfn.IFERROR(VLOOKUP(E153,'F30 mapping'!A:C,3,0),VLOOKUP(D153,'F30 mapping'!A:C,3,0))</f>
        <v/>
      </c>
      <c r="P153">
        <f>_xlfn.IFERROR(IFERROR(VLOOKUP(E153,'F40 mapping'!A:C,3,0),VLOOKUP(D153,'F40 mapping'!A:C,3,0)),0)</f>
        <v/>
      </c>
      <c r="Q153">
        <f>_xlfn.IFERROR(IFERROR(VLOOKUP(E153,'F40 mapping'!A:D,4,0),VLOOKUP(D153,'F40 mapping'!A:D,4,0)),0)</f>
        <v/>
      </c>
      <c r="R153">
        <f>_xlfn.IFERROR(IFERROR(VLOOKUP(E153,'F40 mapping'!A:E,5,0),VLOOKUP(D153,'F40 mapping'!A:E,5,0)),0)</f>
        <v/>
      </c>
      <c r="S153">
        <f>_xlfn.IF(B153&lt;6,IFERROR(VLOOKUP(E153,'BS Mapping std'!A:E,5,0),VLOOKUP(D153,'BS Mapping std'!A:E,5,0)),IFERROR(VLOOKUP(E153,'PL mapping Std'!A:F,6,0),VLOOKUP(D153,'PL mapping Std'!A:F,6,0)))</f>
        <v/>
      </c>
      <c r="T153">
        <f>_xlfn.IF(B153&lt;6,IFERROR(VLOOKUP(E153,'BS Mapping std'!A:F,6,0),VLOOKUP(D153,'BS Mapping std'!A:F,6,0)),IFERROR(VLOOKUP(E153,'PL mapping Std'!A:G,7,0),VLOOKUP(D153,'PL mapping Std'!A:G,7,0)))</f>
        <v/>
      </c>
      <c r="V153">
        <f>IF(IF(A153="BS",IFERROR(VLOOKUP(TRIM($E153),'BS Mapping std'!$A:$H,8,0),VLOOKUP(TRIM($D153),'BS Mapping std'!$A:$H,8,0)),IFERROR(VLOOKUP(TRIM($E153),'PL mapping Std'!$A:$E,5,0),VLOOKUP(TRIM($D153),'PL mapping Std'!$A:$E,5,0)))=0,"",IF(A153="BS",IFERROR(VLOOKUP(TRIM($E153),'BS Mapping std'!$A:$H,8,0),VLOOKUP(TRIM($D153),'BS Mapping std'!$A:$H,8,0)),IFERROR(VLOOKUP(TRIM($E153),'PL mapping Std'!$A:$E,5,0),VLOOKUP(TRIM($D153),'PL mapping Std'!$A:$E,5,0))))</f>
        <v/>
      </c>
      <c r="W153">
        <f>_xlfn.IFERROR(VLOOKUP(E153,'F30 mapping'!A:D,4,0),VLOOKUP(D153,'F30 mapping'!A:D,4,0))</f>
        <v/>
      </c>
      <c r="X153">
        <f>IF(B153&lt;6,IFERROR(VLOOKUP(E153,'BS Mapping std'!A:M,13,0),VLOOKUP(D153,'BS Mapping std'!A:M,13,0)),0)</f>
        <v/>
      </c>
      <c r="Y153">
        <f>IF(B153&lt;6,IFERROR(VLOOKUP(E153,'BS Mapping std'!A:N,14,0),VLOOKUP(D153,'BS Mapping std'!A:N,14,0)),0)</f>
        <v/>
      </c>
    </row>
    <row r="154" spans="1:25">
      <c r="A154">
        <f>IF(B154&lt;6,"BS",IF(B154=6,"Exp","Rev"))</f>
        <v/>
      </c>
      <c r="B154">
        <f>_xlfn.NUMBERVALUE(LEFT(F154,1))</f>
        <v/>
      </c>
      <c r="C154">
        <f>Left(F154,2)</f>
        <v/>
      </c>
      <c r="D154">
        <f>Left(F154,3)</f>
        <v/>
      </c>
      <c r="E154">
        <f>IF(F154="121",Left(F154,3)&amp;"0",Left(F154,4))</f>
        <v/>
      </c>
      <c r="F154" t="n">
        <v>51210400</v>
      </c>
      <c r="G154" t="s">
        <v>175</v>
      </c>
      <c r="H154" s="9" t="n">
        <v>294818.48</v>
      </c>
      <c r="I154" s="9" t="n">
        <v>6584500.3</v>
      </c>
      <c r="J154" s="9" t="n">
        <v>6373037.66</v>
      </c>
      <c r="K154" s="9" t="n">
        <v>506281.12</v>
      </c>
      <c r="L154" s="9">
        <f>K154-H154</f>
        <v/>
      </c>
      <c r="M154" s="32">
        <f>IFERROR(L154/H154," ")</f>
        <v/>
      </c>
      <c r="N154">
        <f>IF(A154="BS",IFERROR(VLOOKUP(TRIM($E154),'BS Mapping std'!$A:$D,4,0),VLOOKUP(TRIM($D154),'BS Mapping std'!$A:$D,4,0)),IFERROR(VLOOKUP(TRIM($E154),'PL mapping Std'!$A:$D,4,0),VLOOKUP(TRIM($D154),'PL mapping Std'!$A:$D,4,0)))</f>
        <v/>
      </c>
      <c r="O154">
        <f>_xlfn.IFERROR(VLOOKUP(E154,'F30 mapping'!A:C,3,0),VLOOKUP(D154,'F30 mapping'!A:C,3,0))</f>
        <v/>
      </c>
      <c r="P154">
        <f>_xlfn.IFERROR(IFERROR(VLOOKUP(E154,'F40 mapping'!A:C,3,0),VLOOKUP(D154,'F40 mapping'!A:C,3,0)),0)</f>
        <v/>
      </c>
      <c r="Q154">
        <f>_xlfn.IFERROR(IFERROR(VLOOKUP(E154,'F40 mapping'!A:D,4,0),VLOOKUP(D154,'F40 mapping'!A:D,4,0)),0)</f>
        <v/>
      </c>
      <c r="R154">
        <f>_xlfn.IFERROR(IFERROR(VLOOKUP(E154,'F40 mapping'!A:E,5,0),VLOOKUP(D154,'F40 mapping'!A:E,5,0)),0)</f>
        <v/>
      </c>
      <c r="S154">
        <f>_xlfn.IF(B154&lt;6,IFERROR(VLOOKUP(E154,'BS Mapping std'!A:E,5,0),VLOOKUP(D154,'BS Mapping std'!A:E,5,0)),IFERROR(VLOOKUP(E154,'PL mapping Std'!A:F,6,0),VLOOKUP(D154,'PL mapping Std'!A:F,6,0)))</f>
        <v/>
      </c>
      <c r="T154">
        <f>_xlfn.IF(B154&lt;6,IFERROR(VLOOKUP(E154,'BS Mapping std'!A:F,6,0),VLOOKUP(D154,'BS Mapping std'!A:F,6,0)),IFERROR(VLOOKUP(E154,'PL mapping Std'!A:G,7,0),VLOOKUP(D154,'PL mapping Std'!A:G,7,0)))</f>
        <v/>
      </c>
      <c r="V154">
        <f>IF(IF(A154="BS",IFERROR(VLOOKUP(TRIM($E154),'BS Mapping std'!$A:$H,8,0),VLOOKUP(TRIM($D154),'BS Mapping std'!$A:$H,8,0)),IFERROR(VLOOKUP(TRIM($E154),'PL mapping Std'!$A:$E,5,0),VLOOKUP(TRIM($D154),'PL mapping Std'!$A:$E,5,0)))=0,"",IF(A154="BS",IFERROR(VLOOKUP(TRIM($E154),'BS Mapping std'!$A:$H,8,0),VLOOKUP(TRIM($D154),'BS Mapping std'!$A:$H,8,0)),IFERROR(VLOOKUP(TRIM($E154),'PL mapping Std'!$A:$E,5,0),VLOOKUP(TRIM($D154),'PL mapping Std'!$A:$E,5,0))))</f>
        <v/>
      </c>
      <c r="W154">
        <f>_xlfn.IFERROR(VLOOKUP(E154,'F30 mapping'!A:D,4,0),VLOOKUP(D154,'F30 mapping'!A:D,4,0))</f>
        <v/>
      </c>
      <c r="X154">
        <f>IF(B154&lt;6,IFERROR(VLOOKUP(E154,'BS Mapping std'!A:M,13,0),VLOOKUP(D154,'BS Mapping std'!A:M,13,0)),0)</f>
        <v/>
      </c>
      <c r="Y154">
        <f>IF(B154&lt;6,IFERROR(VLOOKUP(E154,'BS Mapping std'!A:N,14,0),VLOOKUP(D154,'BS Mapping std'!A:N,14,0)),0)</f>
        <v/>
      </c>
    </row>
    <row r="155" spans="1:25">
      <c r="A155">
        <f>IF(B155&lt;6,"BS",IF(B155=6,"Exp","Rev"))</f>
        <v/>
      </c>
      <c r="B155">
        <f>_xlfn.NUMBERVALUE(LEFT(F155,1))</f>
        <v/>
      </c>
      <c r="C155">
        <f>Left(F155,2)</f>
        <v/>
      </c>
      <c r="D155">
        <f>Left(F155,3)</f>
        <v/>
      </c>
      <c r="E155">
        <f>IF(F155="121",Left(F155,3)&amp;"0",Left(F155,4))</f>
        <v/>
      </c>
      <c r="F155" t="n">
        <v>51210450</v>
      </c>
      <c r="G155" t="s">
        <v>176</v>
      </c>
      <c r="H155" s="9" t="n">
        <v>732400.38</v>
      </c>
      <c r="I155" s="9" t="n">
        <v>60014136.08</v>
      </c>
      <c r="J155" s="9" t="n">
        <v>60090915.6</v>
      </c>
      <c r="K155" s="9" t="n">
        <v>655620.86</v>
      </c>
      <c r="L155" s="9">
        <f>K155-H155</f>
        <v/>
      </c>
      <c r="M155" s="32">
        <f>IFERROR(L155/H155," ")</f>
        <v/>
      </c>
      <c r="N155">
        <f>IF(A155="BS",IFERROR(VLOOKUP(TRIM($E155),'BS Mapping std'!$A:$D,4,0),VLOOKUP(TRIM($D155),'BS Mapping std'!$A:$D,4,0)),IFERROR(VLOOKUP(TRIM($E155),'PL mapping Std'!$A:$D,4,0),VLOOKUP(TRIM($D155),'PL mapping Std'!$A:$D,4,0)))</f>
        <v/>
      </c>
      <c r="O155">
        <f>_xlfn.IFERROR(VLOOKUP(E155,'F30 mapping'!A:C,3,0),VLOOKUP(D155,'F30 mapping'!A:C,3,0))</f>
        <v/>
      </c>
      <c r="P155">
        <f>_xlfn.IFERROR(IFERROR(VLOOKUP(E155,'F40 mapping'!A:C,3,0),VLOOKUP(D155,'F40 mapping'!A:C,3,0)),0)</f>
        <v/>
      </c>
      <c r="Q155">
        <f>_xlfn.IFERROR(IFERROR(VLOOKUP(E155,'F40 mapping'!A:D,4,0),VLOOKUP(D155,'F40 mapping'!A:D,4,0)),0)</f>
        <v/>
      </c>
      <c r="R155">
        <f>_xlfn.IFERROR(IFERROR(VLOOKUP(E155,'F40 mapping'!A:E,5,0),VLOOKUP(D155,'F40 mapping'!A:E,5,0)),0)</f>
        <v/>
      </c>
      <c r="S155">
        <f>_xlfn.IF(B155&lt;6,IFERROR(VLOOKUP(E155,'BS Mapping std'!A:E,5,0),VLOOKUP(D155,'BS Mapping std'!A:E,5,0)),IFERROR(VLOOKUP(E155,'PL mapping Std'!A:F,6,0),VLOOKUP(D155,'PL mapping Std'!A:F,6,0)))</f>
        <v/>
      </c>
      <c r="T155">
        <f>_xlfn.IF(B155&lt;6,IFERROR(VLOOKUP(E155,'BS Mapping std'!A:F,6,0),VLOOKUP(D155,'BS Mapping std'!A:F,6,0)),IFERROR(VLOOKUP(E155,'PL mapping Std'!A:G,7,0),VLOOKUP(D155,'PL mapping Std'!A:G,7,0)))</f>
        <v/>
      </c>
      <c r="V155">
        <f>IF(IF(A155="BS",IFERROR(VLOOKUP(TRIM($E155),'BS Mapping std'!$A:$H,8,0),VLOOKUP(TRIM($D155),'BS Mapping std'!$A:$H,8,0)),IFERROR(VLOOKUP(TRIM($E155),'PL mapping Std'!$A:$E,5,0),VLOOKUP(TRIM($D155),'PL mapping Std'!$A:$E,5,0)))=0,"",IF(A155="BS",IFERROR(VLOOKUP(TRIM($E155),'BS Mapping std'!$A:$H,8,0),VLOOKUP(TRIM($D155),'BS Mapping std'!$A:$H,8,0)),IFERROR(VLOOKUP(TRIM($E155),'PL mapping Std'!$A:$E,5,0),VLOOKUP(TRIM($D155),'PL mapping Std'!$A:$E,5,0))))</f>
        <v/>
      </c>
      <c r="W155">
        <f>_xlfn.IFERROR(VLOOKUP(E155,'F30 mapping'!A:D,4,0),VLOOKUP(D155,'F30 mapping'!A:D,4,0))</f>
        <v/>
      </c>
      <c r="X155">
        <f>IF(B155&lt;6,IFERROR(VLOOKUP(E155,'BS Mapping std'!A:M,13,0),VLOOKUP(D155,'BS Mapping std'!A:M,13,0)),0)</f>
        <v/>
      </c>
      <c r="Y155">
        <f>IF(B155&lt;6,IFERROR(VLOOKUP(E155,'BS Mapping std'!A:N,14,0),VLOOKUP(D155,'BS Mapping std'!A:N,14,0)),0)</f>
        <v/>
      </c>
    </row>
    <row r="156" spans="1:25">
      <c r="A156">
        <f>IF(B156&lt;6,"BS",IF(B156=6,"Exp","Rev"))</f>
        <v/>
      </c>
      <c r="B156">
        <f>_xlfn.NUMBERVALUE(LEFT(F156,1))</f>
        <v/>
      </c>
      <c r="C156">
        <f>Left(F156,2)</f>
        <v/>
      </c>
      <c r="D156">
        <f>Left(F156,3)</f>
        <v/>
      </c>
      <c r="E156">
        <f>IF(F156="121",Left(F156,3)&amp;"0",Left(F156,4))</f>
        <v/>
      </c>
      <c r="F156" t="n">
        <v>51240450</v>
      </c>
      <c r="G156" t="s">
        <v>177</v>
      </c>
      <c r="H156" s="9" t="n">
        <v>48078.07</v>
      </c>
      <c r="I156" s="9" t="n">
        <v>1203220.65</v>
      </c>
      <c r="J156" s="9" t="n">
        <v>1102835.26</v>
      </c>
      <c r="K156" s="9" t="n">
        <v>148463.46</v>
      </c>
      <c r="L156" s="9">
        <f>K156-H156</f>
        <v/>
      </c>
      <c r="M156" s="32">
        <f>IFERROR(L156/H156," ")</f>
        <v/>
      </c>
      <c r="N156">
        <f>IF(A156="BS",IFERROR(VLOOKUP(TRIM($E156),'BS Mapping std'!$A:$D,4,0),VLOOKUP(TRIM($D156),'BS Mapping std'!$A:$D,4,0)),IFERROR(VLOOKUP(TRIM($E156),'PL mapping Std'!$A:$D,4,0),VLOOKUP(TRIM($D156),'PL mapping Std'!$A:$D,4,0)))</f>
        <v/>
      </c>
      <c r="O156">
        <f>_xlfn.IFERROR(VLOOKUP(E156,'F30 mapping'!A:C,3,0),VLOOKUP(D156,'F30 mapping'!A:C,3,0))</f>
        <v/>
      </c>
      <c r="P156">
        <f>_xlfn.IFERROR(IFERROR(VLOOKUP(E156,'F40 mapping'!A:C,3,0),VLOOKUP(D156,'F40 mapping'!A:C,3,0)),0)</f>
        <v/>
      </c>
      <c r="Q156">
        <f>_xlfn.IFERROR(IFERROR(VLOOKUP(E156,'F40 mapping'!A:D,4,0),VLOOKUP(D156,'F40 mapping'!A:D,4,0)),0)</f>
        <v/>
      </c>
      <c r="R156">
        <f>_xlfn.IFERROR(IFERROR(VLOOKUP(E156,'F40 mapping'!A:E,5,0),VLOOKUP(D156,'F40 mapping'!A:E,5,0)),0)</f>
        <v/>
      </c>
      <c r="S156">
        <f>_xlfn.IF(B156&lt;6,IFERROR(VLOOKUP(E156,'BS Mapping std'!A:E,5,0),VLOOKUP(D156,'BS Mapping std'!A:E,5,0)),IFERROR(VLOOKUP(E156,'PL mapping Std'!A:F,6,0),VLOOKUP(D156,'PL mapping Std'!A:F,6,0)))</f>
        <v/>
      </c>
      <c r="T156">
        <f>_xlfn.IF(B156&lt;6,IFERROR(VLOOKUP(E156,'BS Mapping std'!A:F,6,0),VLOOKUP(D156,'BS Mapping std'!A:F,6,0)),IFERROR(VLOOKUP(E156,'PL mapping Std'!A:G,7,0),VLOOKUP(D156,'PL mapping Std'!A:G,7,0)))</f>
        <v/>
      </c>
      <c r="V156">
        <f>IF(IF(A156="BS",IFERROR(VLOOKUP(TRIM($E156),'BS Mapping std'!$A:$H,8,0),VLOOKUP(TRIM($D156),'BS Mapping std'!$A:$H,8,0)),IFERROR(VLOOKUP(TRIM($E156),'PL mapping Std'!$A:$E,5,0),VLOOKUP(TRIM($D156),'PL mapping Std'!$A:$E,5,0)))=0,"",IF(A156="BS",IFERROR(VLOOKUP(TRIM($E156),'BS Mapping std'!$A:$H,8,0),VLOOKUP(TRIM($D156),'BS Mapping std'!$A:$H,8,0)),IFERROR(VLOOKUP(TRIM($E156),'PL mapping Std'!$A:$E,5,0),VLOOKUP(TRIM($D156),'PL mapping Std'!$A:$E,5,0))))</f>
        <v/>
      </c>
      <c r="W156">
        <f>_xlfn.IFERROR(VLOOKUP(E156,'F30 mapping'!A:D,4,0),VLOOKUP(D156,'F30 mapping'!A:D,4,0))</f>
        <v/>
      </c>
      <c r="X156">
        <f>IF(B156&lt;6,IFERROR(VLOOKUP(E156,'BS Mapping std'!A:M,13,0),VLOOKUP(D156,'BS Mapping std'!A:M,13,0)),0)</f>
        <v/>
      </c>
      <c r="Y156">
        <f>IF(B156&lt;6,IFERROR(VLOOKUP(E156,'BS Mapping std'!A:N,14,0),VLOOKUP(D156,'BS Mapping std'!A:N,14,0)),0)</f>
        <v/>
      </c>
    </row>
    <row r="157" spans="1:25">
      <c r="A157">
        <f>IF(B157&lt;6,"BS",IF(B157=6,"Exp","Rev"))</f>
        <v/>
      </c>
      <c r="B157">
        <f>_xlfn.NUMBERVALUE(LEFT(F157,1))</f>
        <v/>
      </c>
      <c r="C157">
        <f>Left(F157,2)</f>
        <v/>
      </c>
      <c r="D157">
        <f>Left(F157,3)</f>
        <v/>
      </c>
      <c r="E157">
        <f>IF(F157="121",Left(F157,3)&amp;"0",Left(F157,4))</f>
        <v/>
      </c>
      <c r="F157" t="n">
        <v>51240470</v>
      </c>
      <c r="G157" t="s">
        <v>178</v>
      </c>
      <c r="H157" s="9" t="n">
        <v>225449.98</v>
      </c>
      <c r="I157" s="9" t="n">
        <v>35165099.98</v>
      </c>
      <c r="J157" s="9" t="n">
        <v>35108470.88</v>
      </c>
      <c r="K157" s="9" t="n">
        <v>282079.08</v>
      </c>
      <c r="L157" s="9">
        <f>K157-H157</f>
        <v/>
      </c>
      <c r="M157" s="32">
        <f>IFERROR(L157/H157," ")</f>
        <v/>
      </c>
      <c r="N157">
        <f>IF(A157="BS",IFERROR(VLOOKUP(TRIM($E157),'BS Mapping std'!$A:$D,4,0),VLOOKUP(TRIM($D157),'BS Mapping std'!$A:$D,4,0)),IFERROR(VLOOKUP(TRIM($E157),'PL mapping Std'!$A:$D,4,0),VLOOKUP(TRIM($D157),'PL mapping Std'!$A:$D,4,0)))</f>
        <v/>
      </c>
      <c r="O157">
        <f>_xlfn.IFERROR(VLOOKUP(E157,'F30 mapping'!A:C,3,0),VLOOKUP(D157,'F30 mapping'!A:C,3,0))</f>
        <v/>
      </c>
      <c r="P157">
        <f>_xlfn.IFERROR(IFERROR(VLOOKUP(E157,'F40 mapping'!A:C,3,0),VLOOKUP(D157,'F40 mapping'!A:C,3,0)),0)</f>
        <v/>
      </c>
      <c r="Q157">
        <f>_xlfn.IFERROR(IFERROR(VLOOKUP(E157,'F40 mapping'!A:D,4,0),VLOOKUP(D157,'F40 mapping'!A:D,4,0)),0)</f>
        <v/>
      </c>
      <c r="R157">
        <f>_xlfn.IFERROR(IFERROR(VLOOKUP(E157,'F40 mapping'!A:E,5,0),VLOOKUP(D157,'F40 mapping'!A:E,5,0)),0)</f>
        <v/>
      </c>
      <c r="S157">
        <f>_xlfn.IF(B157&lt;6,IFERROR(VLOOKUP(E157,'BS Mapping std'!A:E,5,0),VLOOKUP(D157,'BS Mapping std'!A:E,5,0)),IFERROR(VLOOKUP(E157,'PL mapping Std'!A:F,6,0),VLOOKUP(D157,'PL mapping Std'!A:F,6,0)))</f>
        <v/>
      </c>
      <c r="T157">
        <f>_xlfn.IF(B157&lt;6,IFERROR(VLOOKUP(E157,'BS Mapping std'!A:F,6,0),VLOOKUP(D157,'BS Mapping std'!A:F,6,0)),IFERROR(VLOOKUP(E157,'PL mapping Std'!A:G,7,0),VLOOKUP(D157,'PL mapping Std'!A:G,7,0)))</f>
        <v/>
      </c>
      <c r="V157">
        <f>IF(IF(A157="BS",IFERROR(VLOOKUP(TRIM($E157),'BS Mapping std'!$A:$H,8,0),VLOOKUP(TRIM($D157),'BS Mapping std'!$A:$H,8,0)),IFERROR(VLOOKUP(TRIM($E157),'PL mapping Std'!$A:$E,5,0),VLOOKUP(TRIM($D157),'PL mapping Std'!$A:$E,5,0)))=0,"",IF(A157="BS",IFERROR(VLOOKUP(TRIM($E157),'BS Mapping std'!$A:$H,8,0),VLOOKUP(TRIM($D157),'BS Mapping std'!$A:$H,8,0)),IFERROR(VLOOKUP(TRIM($E157),'PL mapping Std'!$A:$E,5,0),VLOOKUP(TRIM($D157),'PL mapping Std'!$A:$E,5,0))))</f>
        <v/>
      </c>
      <c r="W157">
        <f>_xlfn.IFERROR(VLOOKUP(E157,'F30 mapping'!A:D,4,0),VLOOKUP(D157,'F30 mapping'!A:D,4,0))</f>
        <v/>
      </c>
      <c r="X157">
        <f>IF(B157&lt;6,IFERROR(VLOOKUP(E157,'BS Mapping std'!A:M,13,0),VLOOKUP(D157,'BS Mapping std'!A:M,13,0)),0)</f>
        <v/>
      </c>
      <c r="Y157">
        <f>IF(B157&lt;6,IFERROR(VLOOKUP(E157,'BS Mapping std'!A:N,14,0),VLOOKUP(D157,'BS Mapping std'!A:N,14,0)),0)</f>
        <v/>
      </c>
    </row>
    <row r="158" spans="1:25">
      <c r="A158">
        <f>IF(B158&lt;6,"BS",IF(B158=6,"Exp","Rev"))</f>
        <v/>
      </c>
      <c r="B158">
        <f>_xlfn.NUMBERVALUE(LEFT(F158,1))</f>
        <v/>
      </c>
      <c r="C158">
        <f>Left(F158,2)</f>
        <v/>
      </c>
      <c r="D158">
        <f>Left(F158,3)</f>
        <v/>
      </c>
      <c r="E158">
        <f>IF(F158="121",Left(F158,3)&amp;"0",Left(F158,4))</f>
        <v/>
      </c>
      <c r="F158" t="n">
        <v>51240480</v>
      </c>
      <c r="G158" t="s">
        <v>179</v>
      </c>
      <c r="H158" s="9" t="n">
        <v>216233.65</v>
      </c>
      <c r="I158" s="9" t="n">
        <v>32095720.58</v>
      </c>
      <c r="J158" s="9" t="n">
        <v>32004408.15</v>
      </c>
      <c r="K158" s="9" t="n">
        <v>307546.08</v>
      </c>
      <c r="L158" s="9">
        <f>K158-H158</f>
        <v/>
      </c>
      <c r="M158" s="32">
        <f>IFERROR(L158/H158," ")</f>
        <v/>
      </c>
      <c r="N158">
        <f>IF(A158="BS",IFERROR(VLOOKUP(TRIM($E158),'BS Mapping std'!$A:$D,4,0),VLOOKUP(TRIM($D158),'BS Mapping std'!$A:$D,4,0)),IFERROR(VLOOKUP(TRIM($E158),'PL mapping Std'!$A:$D,4,0),VLOOKUP(TRIM($D158),'PL mapping Std'!$A:$D,4,0)))</f>
        <v/>
      </c>
      <c r="O158">
        <f>_xlfn.IFERROR(VLOOKUP(E158,'F30 mapping'!A:C,3,0),VLOOKUP(D158,'F30 mapping'!A:C,3,0))</f>
        <v/>
      </c>
      <c r="P158">
        <f>_xlfn.IFERROR(IFERROR(VLOOKUP(E158,'F40 mapping'!A:C,3,0),VLOOKUP(D158,'F40 mapping'!A:C,3,0)),0)</f>
        <v/>
      </c>
      <c r="Q158">
        <f>_xlfn.IFERROR(IFERROR(VLOOKUP(E158,'F40 mapping'!A:D,4,0),VLOOKUP(D158,'F40 mapping'!A:D,4,0)),0)</f>
        <v/>
      </c>
      <c r="R158">
        <f>_xlfn.IFERROR(IFERROR(VLOOKUP(E158,'F40 mapping'!A:E,5,0),VLOOKUP(D158,'F40 mapping'!A:E,5,0)),0)</f>
        <v/>
      </c>
      <c r="S158">
        <f>_xlfn.IF(B158&lt;6,IFERROR(VLOOKUP(E158,'BS Mapping std'!A:E,5,0),VLOOKUP(D158,'BS Mapping std'!A:E,5,0)),IFERROR(VLOOKUP(E158,'PL mapping Std'!A:F,6,0),VLOOKUP(D158,'PL mapping Std'!A:F,6,0)))</f>
        <v/>
      </c>
      <c r="T158">
        <f>_xlfn.IF(B158&lt;6,IFERROR(VLOOKUP(E158,'BS Mapping std'!A:F,6,0),VLOOKUP(D158,'BS Mapping std'!A:F,6,0)),IFERROR(VLOOKUP(E158,'PL mapping Std'!A:G,7,0),VLOOKUP(D158,'PL mapping Std'!A:G,7,0)))</f>
        <v/>
      </c>
      <c r="V158">
        <f>IF(IF(A158="BS",IFERROR(VLOOKUP(TRIM($E158),'BS Mapping std'!$A:$H,8,0),VLOOKUP(TRIM($D158),'BS Mapping std'!$A:$H,8,0)),IFERROR(VLOOKUP(TRIM($E158),'PL mapping Std'!$A:$E,5,0),VLOOKUP(TRIM($D158),'PL mapping Std'!$A:$E,5,0)))=0,"",IF(A158="BS",IFERROR(VLOOKUP(TRIM($E158),'BS Mapping std'!$A:$H,8,0),VLOOKUP(TRIM($D158),'BS Mapping std'!$A:$H,8,0)),IFERROR(VLOOKUP(TRIM($E158),'PL mapping Std'!$A:$E,5,0),VLOOKUP(TRIM($D158),'PL mapping Std'!$A:$E,5,0))))</f>
        <v/>
      </c>
      <c r="W158">
        <f>_xlfn.IFERROR(VLOOKUP(E158,'F30 mapping'!A:D,4,0),VLOOKUP(D158,'F30 mapping'!A:D,4,0))</f>
        <v/>
      </c>
      <c r="X158">
        <f>IF(B158&lt;6,IFERROR(VLOOKUP(E158,'BS Mapping std'!A:M,13,0),VLOOKUP(D158,'BS Mapping std'!A:M,13,0)),0)</f>
        <v/>
      </c>
      <c r="Y158">
        <f>IF(B158&lt;6,IFERROR(VLOOKUP(E158,'BS Mapping std'!A:N,14,0),VLOOKUP(D158,'BS Mapping std'!A:N,14,0)),0)</f>
        <v/>
      </c>
    </row>
    <row r="159" spans="1:25">
      <c r="A159">
        <f>IF(B159&lt;6,"BS",IF(B159=6,"Exp","Rev"))</f>
        <v/>
      </c>
      <c r="B159">
        <f>_xlfn.NUMBERVALUE(LEFT(F159,1))</f>
        <v/>
      </c>
      <c r="C159">
        <f>Left(F159,2)</f>
        <v/>
      </c>
      <c r="D159">
        <f>Left(F159,3)</f>
        <v/>
      </c>
      <c r="E159">
        <f>IF(F159="121",Left(F159,3)&amp;"0",Left(F159,4))</f>
        <v/>
      </c>
      <c r="F159" t="n">
        <v>51240490</v>
      </c>
      <c r="G159" t="s">
        <v>180</v>
      </c>
      <c r="H159" s="9" t="n">
        <v>17623.45</v>
      </c>
      <c r="I159" s="9" t="n">
        <v>6124.68</v>
      </c>
      <c r="J159" s="9" t="n">
        <v>13347.56</v>
      </c>
      <c r="K159" s="9" t="n">
        <v>10400.57</v>
      </c>
      <c r="L159" s="9">
        <f>K159-H159</f>
        <v/>
      </c>
      <c r="M159" s="32">
        <f>IFERROR(L159/H159," ")</f>
        <v/>
      </c>
      <c r="N159">
        <f>IF(A159="BS",IFERROR(VLOOKUP(TRIM($E159),'BS Mapping std'!$A:$D,4,0),VLOOKUP(TRIM($D159),'BS Mapping std'!$A:$D,4,0)),IFERROR(VLOOKUP(TRIM($E159),'PL mapping Std'!$A:$D,4,0),VLOOKUP(TRIM($D159),'PL mapping Std'!$A:$D,4,0)))</f>
        <v/>
      </c>
      <c r="O159">
        <f>_xlfn.IFERROR(VLOOKUP(E159,'F30 mapping'!A:C,3,0),VLOOKUP(D159,'F30 mapping'!A:C,3,0))</f>
        <v/>
      </c>
      <c r="P159">
        <f>_xlfn.IFERROR(IFERROR(VLOOKUP(E159,'F40 mapping'!A:C,3,0),VLOOKUP(D159,'F40 mapping'!A:C,3,0)),0)</f>
        <v/>
      </c>
      <c r="Q159">
        <f>_xlfn.IFERROR(IFERROR(VLOOKUP(E159,'F40 mapping'!A:D,4,0),VLOOKUP(D159,'F40 mapping'!A:D,4,0)),0)</f>
        <v/>
      </c>
      <c r="R159">
        <f>_xlfn.IFERROR(IFERROR(VLOOKUP(E159,'F40 mapping'!A:E,5,0),VLOOKUP(D159,'F40 mapping'!A:E,5,0)),0)</f>
        <v/>
      </c>
      <c r="S159">
        <f>_xlfn.IF(B159&lt;6,IFERROR(VLOOKUP(E159,'BS Mapping std'!A:E,5,0),VLOOKUP(D159,'BS Mapping std'!A:E,5,0)),IFERROR(VLOOKUP(E159,'PL mapping Std'!A:F,6,0),VLOOKUP(D159,'PL mapping Std'!A:F,6,0)))</f>
        <v/>
      </c>
      <c r="T159">
        <f>_xlfn.IF(B159&lt;6,IFERROR(VLOOKUP(E159,'BS Mapping std'!A:F,6,0),VLOOKUP(D159,'BS Mapping std'!A:F,6,0)),IFERROR(VLOOKUP(E159,'PL mapping Std'!A:G,7,0),VLOOKUP(D159,'PL mapping Std'!A:G,7,0)))</f>
        <v/>
      </c>
      <c r="V159">
        <f>IF(IF(A159="BS",IFERROR(VLOOKUP(TRIM($E159),'BS Mapping std'!$A:$H,8,0),VLOOKUP(TRIM($D159),'BS Mapping std'!$A:$H,8,0)),IFERROR(VLOOKUP(TRIM($E159),'PL mapping Std'!$A:$E,5,0),VLOOKUP(TRIM($D159),'PL mapping Std'!$A:$E,5,0)))=0,"",IF(A159="BS",IFERROR(VLOOKUP(TRIM($E159),'BS Mapping std'!$A:$H,8,0),VLOOKUP(TRIM($D159),'BS Mapping std'!$A:$H,8,0)),IFERROR(VLOOKUP(TRIM($E159),'PL mapping Std'!$A:$E,5,0),VLOOKUP(TRIM($D159),'PL mapping Std'!$A:$E,5,0))))</f>
        <v/>
      </c>
      <c r="W159">
        <f>_xlfn.IFERROR(VLOOKUP(E159,'F30 mapping'!A:D,4,0),VLOOKUP(D159,'F30 mapping'!A:D,4,0))</f>
        <v/>
      </c>
      <c r="X159">
        <f>IF(B159&lt;6,IFERROR(VLOOKUP(E159,'BS Mapping std'!A:M,13,0),VLOOKUP(D159,'BS Mapping std'!A:M,13,0)),0)</f>
        <v/>
      </c>
      <c r="Y159">
        <f>IF(B159&lt;6,IFERROR(VLOOKUP(E159,'BS Mapping std'!A:N,14,0),VLOOKUP(D159,'BS Mapping std'!A:N,14,0)),0)</f>
        <v/>
      </c>
    </row>
    <row r="160" spans="1:25">
      <c r="A160">
        <f>IF(B160&lt;6,"BS",IF(B160=6,"Exp","Rev"))</f>
        <v/>
      </c>
      <c r="B160">
        <f>_xlfn.NUMBERVALUE(LEFT(F160,1))</f>
        <v/>
      </c>
      <c r="C160">
        <f>Left(F160,2)</f>
        <v/>
      </c>
      <c r="D160">
        <f>Left(F160,3)</f>
        <v/>
      </c>
      <c r="E160">
        <f>IF(F160="121",Left(F160,3)&amp;"0",Left(F160,4))</f>
        <v/>
      </c>
      <c r="F160" t="n">
        <v>51250020</v>
      </c>
      <c r="G160" t="s">
        <v>181</v>
      </c>
      <c r="H160" s="9" t="n">
        <v>0</v>
      </c>
      <c r="I160" s="9" t="n">
        <v>8197231.65</v>
      </c>
      <c r="J160" s="9" t="n">
        <v>8197231.65</v>
      </c>
      <c r="K160" s="9" t="n">
        <v>0</v>
      </c>
      <c r="L160" s="9">
        <f>K160-H160</f>
        <v/>
      </c>
      <c r="M160" s="32">
        <f>IFERROR(L160/H160," ")</f>
        <v/>
      </c>
      <c r="N160">
        <f>IF(A160="BS",IFERROR(VLOOKUP(TRIM($E160),'BS Mapping std'!$A:$D,4,0),VLOOKUP(TRIM($D160),'BS Mapping std'!$A:$D,4,0)),IFERROR(VLOOKUP(TRIM($E160),'PL mapping Std'!$A:$D,4,0),VLOOKUP(TRIM($D160),'PL mapping Std'!$A:$D,4,0)))</f>
        <v/>
      </c>
      <c r="O160">
        <f>_xlfn.IFERROR(VLOOKUP(E160,'F30 mapping'!A:C,3,0),VLOOKUP(D160,'F30 mapping'!A:C,3,0))</f>
        <v/>
      </c>
      <c r="P160">
        <f>_xlfn.IFERROR(IFERROR(VLOOKUP(E160,'F40 mapping'!A:C,3,0),VLOOKUP(D160,'F40 mapping'!A:C,3,0)),0)</f>
        <v/>
      </c>
      <c r="Q160">
        <f>_xlfn.IFERROR(IFERROR(VLOOKUP(E160,'F40 mapping'!A:D,4,0),VLOOKUP(D160,'F40 mapping'!A:D,4,0)),0)</f>
        <v/>
      </c>
      <c r="R160">
        <f>_xlfn.IFERROR(IFERROR(VLOOKUP(E160,'F40 mapping'!A:E,5,0),VLOOKUP(D160,'F40 mapping'!A:E,5,0)),0)</f>
        <v/>
      </c>
      <c r="S160">
        <f>_xlfn.IF(B160&lt;6,IFERROR(VLOOKUP(E160,'BS Mapping std'!A:E,5,0),VLOOKUP(D160,'BS Mapping std'!A:E,5,0)),IFERROR(VLOOKUP(E160,'PL mapping Std'!A:F,6,0),VLOOKUP(D160,'PL mapping Std'!A:F,6,0)))</f>
        <v/>
      </c>
      <c r="T160">
        <f>_xlfn.IF(B160&lt;6,IFERROR(VLOOKUP(E160,'BS Mapping std'!A:F,6,0),VLOOKUP(D160,'BS Mapping std'!A:F,6,0)),IFERROR(VLOOKUP(E160,'PL mapping Std'!A:G,7,0),VLOOKUP(D160,'PL mapping Std'!A:G,7,0)))</f>
        <v/>
      </c>
      <c r="V160">
        <f>IF(IF(A160="BS",IFERROR(VLOOKUP(TRIM($E160),'BS Mapping std'!$A:$H,8,0),VLOOKUP(TRIM($D160),'BS Mapping std'!$A:$H,8,0)),IFERROR(VLOOKUP(TRIM($E160),'PL mapping Std'!$A:$E,5,0),VLOOKUP(TRIM($D160),'PL mapping Std'!$A:$E,5,0)))=0,"",IF(A160="BS",IFERROR(VLOOKUP(TRIM($E160),'BS Mapping std'!$A:$H,8,0),VLOOKUP(TRIM($D160),'BS Mapping std'!$A:$H,8,0)),IFERROR(VLOOKUP(TRIM($E160),'PL mapping Std'!$A:$E,5,0),VLOOKUP(TRIM($D160),'PL mapping Std'!$A:$E,5,0))))</f>
        <v/>
      </c>
      <c r="W160">
        <f>_xlfn.IFERROR(VLOOKUP(E160,'F30 mapping'!A:D,4,0),VLOOKUP(D160,'F30 mapping'!A:D,4,0))</f>
        <v/>
      </c>
      <c r="X160">
        <f>IF(B160&lt;6,IFERROR(VLOOKUP(E160,'BS Mapping std'!A:M,13,0),VLOOKUP(D160,'BS Mapping std'!A:M,13,0)),0)</f>
        <v/>
      </c>
      <c r="Y160">
        <f>IF(B160&lt;6,IFERROR(VLOOKUP(E160,'BS Mapping std'!A:N,14,0),VLOOKUP(D160,'BS Mapping std'!A:N,14,0)),0)</f>
        <v/>
      </c>
    </row>
    <row r="161" spans="1:25">
      <c r="A161">
        <f>IF(B161&lt;6,"BS",IF(B161=6,"Exp","Rev"))</f>
        <v/>
      </c>
      <c r="B161">
        <f>_xlfn.NUMBERVALUE(LEFT(F161,1))</f>
        <v/>
      </c>
      <c r="C161">
        <f>Left(F161,2)</f>
        <v/>
      </c>
      <c r="D161">
        <f>Left(F161,3)</f>
        <v/>
      </c>
      <c r="E161">
        <f>IF(F161="121",Left(F161,3)&amp;"0",Left(F161,4))</f>
        <v/>
      </c>
      <c r="F161" t="n">
        <v>53110000</v>
      </c>
      <c r="G161" t="s">
        <v>182</v>
      </c>
      <c r="H161" s="9" t="n">
        <v>914.58</v>
      </c>
      <c r="I161" s="9" t="n">
        <v>120818.37</v>
      </c>
      <c r="J161" s="9" t="n">
        <v>117830.87</v>
      </c>
      <c r="K161" s="9" t="n">
        <v>3902.08</v>
      </c>
      <c r="L161" s="9">
        <f>K161-H161</f>
        <v/>
      </c>
      <c r="M161" s="32">
        <f>IFERROR(L161/H161," ")</f>
        <v/>
      </c>
      <c r="N161">
        <f>IF(A161="BS",IFERROR(VLOOKUP(TRIM($E161),'BS Mapping std'!$A:$D,4,0),VLOOKUP(TRIM($D161),'BS Mapping std'!$A:$D,4,0)),IFERROR(VLOOKUP(TRIM($E161),'PL mapping Std'!$A:$D,4,0),VLOOKUP(TRIM($D161),'PL mapping Std'!$A:$D,4,0)))</f>
        <v/>
      </c>
      <c r="O161">
        <f>_xlfn.IFERROR(VLOOKUP(E161,'F30 mapping'!A:C,3,0),VLOOKUP(D161,'F30 mapping'!A:C,3,0))</f>
        <v/>
      </c>
      <c r="P161">
        <f>_xlfn.IFERROR(IFERROR(VLOOKUP(E161,'F40 mapping'!A:C,3,0),VLOOKUP(D161,'F40 mapping'!A:C,3,0)),0)</f>
        <v/>
      </c>
      <c r="Q161">
        <f>_xlfn.IFERROR(IFERROR(VLOOKUP(E161,'F40 mapping'!A:D,4,0),VLOOKUP(D161,'F40 mapping'!A:D,4,0)),0)</f>
        <v/>
      </c>
      <c r="R161">
        <f>_xlfn.IFERROR(IFERROR(VLOOKUP(E161,'F40 mapping'!A:E,5,0),VLOOKUP(D161,'F40 mapping'!A:E,5,0)),0)</f>
        <v/>
      </c>
      <c r="S161">
        <f>_xlfn.IF(B161&lt;6,IFERROR(VLOOKUP(E161,'BS Mapping std'!A:E,5,0),VLOOKUP(D161,'BS Mapping std'!A:E,5,0)),IFERROR(VLOOKUP(E161,'PL mapping Std'!A:F,6,0),VLOOKUP(D161,'PL mapping Std'!A:F,6,0)))</f>
        <v/>
      </c>
      <c r="T161">
        <f>_xlfn.IF(B161&lt;6,IFERROR(VLOOKUP(E161,'BS Mapping std'!A:F,6,0),VLOOKUP(D161,'BS Mapping std'!A:F,6,0)),IFERROR(VLOOKUP(E161,'PL mapping Std'!A:G,7,0),VLOOKUP(D161,'PL mapping Std'!A:G,7,0)))</f>
        <v/>
      </c>
      <c r="V161">
        <f>IF(IF(A161="BS",IFERROR(VLOOKUP(TRIM($E161),'BS Mapping std'!$A:$H,8,0),VLOOKUP(TRIM($D161),'BS Mapping std'!$A:$H,8,0)),IFERROR(VLOOKUP(TRIM($E161),'PL mapping Std'!$A:$E,5,0),VLOOKUP(TRIM($D161),'PL mapping Std'!$A:$E,5,0)))=0,"",IF(A161="BS",IFERROR(VLOOKUP(TRIM($E161),'BS Mapping std'!$A:$H,8,0),VLOOKUP(TRIM($D161),'BS Mapping std'!$A:$H,8,0)),IFERROR(VLOOKUP(TRIM($E161),'PL mapping Std'!$A:$E,5,0),VLOOKUP(TRIM($D161),'PL mapping Std'!$A:$E,5,0))))</f>
        <v/>
      </c>
      <c r="W161">
        <f>_xlfn.IFERROR(VLOOKUP(E161,'F30 mapping'!A:D,4,0),VLOOKUP(D161,'F30 mapping'!A:D,4,0))</f>
        <v/>
      </c>
      <c r="X161">
        <f>IF(B161&lt;6,IFERROR(VLOOKUP(E161,'BS Mapping std'!A:M,13,0),VLOOKUP(D161,'BS Mapping std'!A:M,13,0)),0)</f>
        <v/>
      </c>
      <c r="Y161">
        <f>IF(B161&lt;6,IFERROR(VLOOKUP(E161,'BS Mapping std'!A:N,14,0),VLOOKUP(D161,'BS Mapping std'!A:N,14,0)),0)</f>
        <v/>
      </c>
    </row>
    <row r="162" spans="1:25">
      <c r="A162">
        <f>IF(B162&lt;6,"BS",IF(B162=6,"Exp","Rev"))</f>
        <v/>
      </c>
      <c r="B162">
        <f>_xlfn.NUMBERVALUE(LEFT(F162,1))</f>
        <v/>
      </c>
      <c r="C162">
        <f>Left(F162,2)</f>
        <v/>
      </c>
      <c r="D162">
        <f>Left(F162,3)</f>
        <v/>
      </c>
      <c r="E162">
        <f>IF(F162="121",Left(F162,3)&amp;"0",Left(F162,4))</f>
        <v/>
      </c>
      <c r="F162" t="n">
        <v>53140000</v>
      </c>
      <c r="G162" t="s">
        <v>183</v>
      </c>
      <c r="H162" s="9" t="n">
        <v>4259.67</v>
      </c>
      <c r="I162" s="9" t="n">
        <v>20880.29</v>
      </c>
      <c r="J162" s="9" t="n">
        <v>15210.58</v>
      </c>
      <c r="K162" s="9" t="n">
        <v>9929.379999999999</v>
      </c>
      <c r="L162" s="9">
        <f>K162-H162</f>
        <v/>
      </c>
      <c r="M162" s="32">
        <f>IFERROR(L162/H162," ")</f>
        <v/>
      </c>
      <c r="N162">
        <f>IF(A162="BS",IFERROR(VLOOKUP(TRIM($E162),'BS Mapping std'!$A:$D,4,0),VLOOKUP(TRIM($D162),'BS Mapping std'!$A:$D,4,0)),IFERROR(VLOOKUP(TRIM($E162),'PL mapping Std'!$A:$D,4,0),VLOOKUP(TRIM($D162),'PL mapping Std'!$A:$D,4,0)))</f>
        <v/>
      </c>
      <c r="O162">
        <f>_xlfn.IFERROR(VLOOKUP(E162,'F30 mapping'!A:C,3,0),VLOOKUP(D162,'F30 mapping'!A:C,3,0))</f>
        <v/>
      </c>
      <c r="P162">
        <f>_xlfn.IFERROR(IFERROR(VLOOKUP(E162,'F40 mapping'!A:C,3,0),VLOOKUP(D162,'F40 mapping'!A:C,3,0)),0)</f>
        <v/>
      </c>
      <c r="Q162">
        <f>_xlfn.IFERROR(IFERROR(VLOOKUP(E162,'F40 mapping'!A:D,4,0),VLOOKUP(D162,'F40 mapping'!A:D,4,0)),0)</f>
        <v/>
      </c>
      <c r="R162">
        <f>_xlfn.IFERROR(IFERROR(VLOOKUP(E162,'F40 mapping'!A:E,5,0),VLOOKUP(D162,'F40 mapping'!A:E,5,0)),0)</f>
        <v/>
      </c>
      <c r="S162">
        <f>_xlfn.IF(B162&lt;6,IFERROR(VLOOKUP(E162,'BS Mapping std'!A:E,5,0),VLOOKUP(D162,'BS Mapping std'!A:E,5,0)),IFERROR(VLOOKUP(E162,'PL mapping Std'!A:F,6,0),VLOOKUP(D162,'PL mapping Std'!A:F,6,0)))</f>
        <v/>
      </c>
      <c r="T162">
        <f>_xlfn.IF(B162&lt;6,IFERROR(VLOOKUP(E162,'BS Mapping std'!A:F,6,0),VLOOKUP(D162,'BS Mapping std'!A:F,6,0)),IFERROR(VLOOKUP(E162,'PL mapping Std'!A:G,7,0),VLOOKUP(D162,'PL mapping Std'!A:G,7,0)))</f>
        <v/>
      </c>
      <c r="V162">
        <f>IF(IF(A162="BS",IFERROR(VLOOKUP(TRIM($E162),'BS Mapping std'!$A:$H,8,0),VLOOKUP(TRIM($D162),'BS Mapping std'!$A:$H,8,0)),IFERROR(VLOOKUP(TRIM($E162),'PL mapping Std'!$A:$E,5,0),VLOOKUP(TRIM($D162),'PL mapping Std'!$A:$E,5,0)))=0,"",IF(A162="BS",IFERROR(VLOOKUP(TRIM($E162),'BS Mapping std'!$A:$H,8,0),VLOOKUP(TRIM($D162),'BS Mapping std'!$A:$H,8,0)),IFERROR(VLOOKUP(TRIM($E162),'PL mapping Std'!$A:$E,5,0),VLOOKUP(TRIM($D162),'PL mapping Std'!$A:$E,5,0))))</f>
        <v/>
      </c>
      <c r="W162">
        <f>_xlfn.IFERROR(VLOOKUP(E162,'F30 mapping'!A:D,4,0),VLOOKUP(D162,'F30 mapping'!A:D,4,0))</f>
        <v/>
      </c>
      <c r="X162">
        <f>IF(B162&lt;6,IFERROR(VLOOKUP(E162,'BS Mapping std'!A:M,13,0),VLOOKUP(D162,'BS Mapping std'!A:M,13,0)),0)</f>
        <v/>
      </c>
      <c r="Y162">
        <f>IF(B162&lt;6,IFERROR(VLOOKUP(E162,'BS Mapping std'!A:N,14,0),VLOOKUP(D162,'BS Mapping std'!A:N,14,0)),0)</f>
        <v/>
      </c>
    </row>
    <row r="163" spans="1:25">
      <c r="A163">
        <f>IF(B163&lt;6,"BS",IF(B163=6,"Exp","Rev"))</f>
        <v/>
      </c>
      <c r="B163">
        <f>_xlfn.NUMBERVALUE(LEFT(F163,1))</f>
        <v/>
      </c>
      <c r="C163">
        <f>Left(F163,2)</f>
        <v/>
      </c>
      <c r="D163">
        <f>Left(F163,3)</f>
        <v/>
      </c>
      <c r="E163">
        <f>IF(F163="121",Left(F163,3)&amp;"0",Left(F163,4))</f>
        <v/>
      </c>
      <c r="F163" t="n">
        <v>53140010</v>
      </c>
      <c r="G163" t="s">
        <v>184</v>
      </c>
      <c r="H163" s="9" t="n">
        <v>194.68</v>
      </c>
      <c r="I163" s="9" t="n">
        <v>82.83</v>
      </c>
      <c r="J163" s="9" t="n">
        <v>204.87</v>
      </c>
      <c r="K163" s="9" t="n">
        <v>72.64</v>
      </c>
      <c r="L163" s="9">
        <f>K163-H163</f>
        <v/>
      </c>
      <c r="M163" s="32">
        <f>IFERROR(L163/H163," ")</f>
        <v/>
      </c>
      <c r="N163">
        <f>IF(A163="BS",IFERROR(VLOOKUP(TRIM($E163),'BS Mapping std'!$A:$D,4,0),VLOOKUP(TRIM($D163),'BS Mapping std'!$A:$D,4,0)),IFERROR(VLOOKUP(TRIM($E163),'PL mapping Std'!$A:$D,4,0),VLOOKUP(TRIM($D163),'PL mapping Std'!$A:$D,4,0)))</f>
        <v/>
      </c>
      <c r="O163">
        <f>_xlfn.IFERROR(VLOOKUP(E163,'F30 mapping'!A:C,3,0),VLOOKUP(D163,'F30 mapping'!A:C,3,0))</f>
        <v/>
      </c>
      <c r="P163">
        <f>_xlfn.IFERROR(IFERROR(VLOOKUP(E163,'F40 mapping'!A:C,3,0),VLOOKUP(D163,'F40 mapping'!A:C,3,0)),0)</f>
        <v/>
      </c>
      <c r="Q163">
        <f>_xlfn.IFERROR(IFERROR(VLOOKUP(E163,'F40 mapping'!A:D,4,0),VLOOKUP(D163,'F40 mapping'!A:D,4,0)),0)</f>
        <v/>
      </c>
      <c r="R163">
        <f>_xlfn.IFERROR(IFERROR(VLOOKUP(E163,'F40 mapping'!A:E,5,0),VLOOKUP(D163,'F40 mapping'!A:E,5,0)),0)</f>
        <v/>
      </c>
      <c r="S163">
        <f>_xlfn.IF(B163&lt;6,IFERROR(VLOOKUP(E163,'BS Mapping std'!A:E,5,0),VLOOKUP(D163,'BS Mapping std'!A:E,5,0)),IFERROR(VLOOKUP(E163,'PL mapping Std'!A:F,6,0),VLOOKUP(D163,'PL mapping Std'!A:F,6,0)))</f>
        <v/>
      </c>
      <c r="T163">
        <f>_xlfn.IF(B163&lt;6,IFERROR(VLOOKUP(E163,'BS Mapping std'!A:F,6,0),VLOOKUP(D163,'BS Mapping std'!A:F,6,0)),IFERROR(VLOOKUP(E163,'PL mapping Std'!A:G,7,0),VLOOKUP(D163,'PL mapping Std'!A:G,7,0)))</f>
        <v/>
      </c>
      <c r="V163">
        <f>IF(IF(A163="BS",IFERROR(VLOOKUP(TRIM($E163),'BS Mapping std'!$A:$H,8,0),VLOOKUP(TRIM($D163),'BS Mapping std'!$A:$H,8,0)),IFERROR(VLOOKUP(TRIM($E163),'PL mapping Std'!$A:$E,5,0),VLOOKUP(TRIM($D163),'PL mapping Std'!$A:$E,5,0)))=0,"",IF(A163="BS",IFERROR(VLOOKUP(TRIM($E163),'BS Mapping std'!$A:$H,8,0),VLOOKUP(TRIM($D163),'BS Mapping std'!$A:$H,8,0)),IFERROR(VLOOKUP(TRIM($E163),'PL mapping Std'!$A:$E,5,0),VLOOKUP(TRIM($D163),'PL mapping Std'!$A:$E,5,0))))</f>
        <v/>
      </c>
      <c r="W163">
        <f>_xlfn.IFERROR(VLOOKUP(E163,'F30 mapping'!A:D,4,0),VLOOKUP(D163,'F30 mapping'!A:D,4,0))</f>
        <v/>
      </c>
      <c r="X163">
        <f>IF(B163&lt;6,IFERROR(VLOOKUP(E163,'BS Mapping std'!A:M,13,0),VLOOKUP(D163,'BS Mapping std'!A:M,13,0)),0)</f>
        <v/>
      </c>
      <c r="Y163">
        <f>IF(B163&lt;6,IFERROR(VLOOKUP(E163,'BS Mapping std'!A:N,14,0),VLOOKUP(D163,'BS Mapping std'!A:N,14,0)),0)</f>
        <v/>
      </c>
    </row>
    <row r="164" spans="1:25">
      <c r="A164">
        <f>IF(B164&lt;6,"BS",IF(B164=6,"Exp","Rev"))</f>
        <v/>
      </c>
      <c r="B164">
        <f>_xlfn.NUMBERVALUE(LEFT(F164,1))</f>
        <v/>
      </c>
      <c r="C164">
        <f>Left(F164,2)</f>
        <v/>
      </c>
      <c r="D164">
        <f>Left(F164,3)</f>
        <v/>
      </c>
      <c r="E164">
        <f>IF(F164="121",Left(F164,3)&amp;"0",Left(F164,4))</f>
        <v/>
      </c>
      <c r="F164" t="n">
        <v>53140020</v>
      </c>
      <c r="G164" t="s">
        <v>185</v>
      </c>
      <c r="H164" s="9" t="n">
        <v>621.51</v>
      </c>
      <c r="I164" s="9" t="n">
        <v>107.58</v>
      </c>
      <c r="J164" s="9" t="n">
        <v>70.05</v>
      </c>
      <c r="K164" s="9" t="n">
        <v>659.04</v>
      </c>
      <c r="L164" s="9">
        <f>K164-H164</f>
        <v/>
      </c>
      <c r="M164" s="32">
        <f>IFERROR(L164/H164," ")</f>
        <v/>
      </c>
      <c r="N164">
        <f>IF(A164="BS",IFERROR(VLOOKUP(TRIM($E164),'BS Mapping std'!$A:$D,4,0),VLOOKUP(TRIM($D164),'BS Mapping std'!$A:$D,4,0)),IFERROR(VLOOKUP(TRIM($E164),'PL mapping Std'!$A:$D,4,0),VLOOKUP(TRIM($D164),'PL mapping Std'!$A:$D,4,0)))</f>
        <v/>
      </c>
      <c r="O164">
        <f>_xlfn.IFERROR(VLOOKUP(E164,'F30 mapping'!A:C,3,0),VLOOKUP(D164,'F30 mapping'!A:C,3,0))</f>
        <v/>
      </c>
      <c r="P164">
        <f>_xlfn.IFERROR(IFERROR(VLOOKUP(E164,'F40 mapping'!A:C,3,0),VLOOKUP(D164,'F40 mapping'!A:C,3,0)),0)</f>
        <v/>
      </c>
      <c r="Q164">
        <f>_xlfn.IFERROR(IFERROR(VLOOKUP(E164,'F40 mapping'!A:D,4,0),VLOOKUP(D164,'F40 mapping'!A:D,4,0)),0)</f>
        <v/>
      </c>
      <c r="R164">
        <f>_xlfn.IFERROR(IFERROR(VLOOKUP(E164,'F40 mapping'!A:E,5,0),VLOOKUP(D164,'F40 mapping'!A:E,5,0)),0)</f>
        <v/>
      </c>
      <c r="S164">
        <f>_xlfn.IF(B164&lt;6,IFERROR(VLOOKUP(E164,'BS Mapping std'!A:E,5,0),VLOOKUP(D164,'BS Mapping std'!A:E,5,0)),IFERROR(VLOOKUP(E164,'PL mapping Std'!A:F,6,0),VLOOKUP(D164,'PL mapping Std'!A:F,6,0)))</f>
        <v/>
      </c>
      <c r="T164">
        <f>_xlfn.IF(B164&lt;6,IFERROR(VLOOKUP(E164,'BS Mapping std'!A:F,6,0),VLOOKUP(D164,'BS Mapping std'!A:F,6,0)),IFERROR(VLOOKUP(E164,'PL mapping Std'!A:G,7,0),VLOOKUP(D164,'PL mapping Std'!A:G,7,0)))</f>
        <v/>
      </c>
      <c r="V164">
        <f>IF(IF(A164="BS",IFERROR(VLOOKUP(TRIM($E164),'BS Mapping std'!$A:$H,8,0),VLOOKUP(TRIM($D164),'BS Mapping std'!$A:$H,8,0)),IFERROR(VLOOKUP(TRIM($E164),'PL mapping Std'!$A:$E,5,0),VLOOKUP(TRIM($D164),'PL mapping Std'!$A:$E,5,0)))=0,"",IF(A164="BS",IFERROR(VLOOKUP(TRIM($E164),'BS Mapping std'!$A:$H,8,0),VLOOKUP(TRIM($D164),'BS Mapping std'!$A:$H,8,0)),IFERROR(VLOOKUP(TRIM($E164),'PL mapping Std'!$A:$E,5,0),VLOOKUP(TRIM($D164),'PL mapping Std'!$A:$E,5,0))))</f>
        <v/>
      </c>
      <c r="W164">
        <f>_xlfn.IFERROR(VLOOKUP(E164,'F30 mapping'!A:D,4,0),VLOOKUP(D164,'F30 mapping'!A:D,4,0))</f>
        <v/>
      </c>
      <c r="X164">
        <f>IF(B164&lt;6,IFERROR(VLOOKUP(E164,'BS Mapping std'!A:M,13,0),VLOOKUP(D164,'BS Mapping std'!A:M,13,0)),0)</f>
        <v/>
      </c>
      <c r="Y164">
        <f>IF(B164&lt;6,IFERROR(VLOOKUP(E164,'BS Mapping std'!A:N,14,0),VLOOKUP(D164,'BS Mapping std'!A:N,14,0)),0)</f>
        <v/>
      </c>
    </row>
    <row r="165" spans="1:25">
      <c r="A165">
        <f>IF(B165&lt;6,"BS",IF(B165=6,"Exp","Rev"))</f>
        <v/>
      </c>
      <c r="B165">
        <f>_xlfn.NUMBERVALUE(LEFT(F165,1))</f>
        <v/>
      </c>
      <c r="C165">
        <f>Left(F165,2)</f>
        <v/>
      </c>
      <c r="D165">
        <f>Left(F165,3)</f>
        <v/>
      </c>
      <c r="E165">
        <f>IF(F165="121",Left(F165,3)&amp;"0",Left(F165,4))</f>
        <v/>
      </c>
      <c r="F165" t="n">
        <v>53280000</v>
      </c>
      <c r="G165" t="s">
        <v>186</v>
      </c>
      <c r="H165" s="9" t="n">
        <v>0</v>
      </c>
      <c r="I165" s="9" t="n">
        <v>2130720</v>
      </c>
      <c r="J165" s="9" t="n">
        <v>2130720</v>
      </c>
      <c r="K165" s="9" t="n">
        <v>0</v>
      </c>
      <c r="L165" s="9">
        <f>K165-H165</f>
        <v/>
      </c>
      <c r="M165" s="32">
        <f>IFERROR(L165/H165," ")</f>
        <v/>
      </c>
      <c r="N165">
        <f>IF(A165="BS",IFERROR(VLOOKUP(TRIM($E165),'BS Mapping std'!$A:$D,4,0),VLOOKUP(TRIM($D165),'BS Mapping std'!$A:$D,4,0)),IFERROR(VLOOKUP(TRIM($E165),'PL mapping Std'!$A:$D,4,0),VLOOKUP(TRIM($D165),'PL mapping Std'!$A:$D,4,0)))</f>
        <v/>
      </c>
      <c r="O165">
        <f>_xlfn.IFERROR(VLOOKUP(E165,'F30 mapping'!A:C,3,0),VLOOKUP(D165,'F30 mapping'!A:C,3,0))</f>
        <v/>
      </c>
      <c r="P165">
        <f>_xlfn.IFERROR(IFERROR(VLOOKUP(E165,'F40 mapping'!A:C,3,0),VLOOKUP(D165,'F40 mapping'!A:C,3,0)),0)</f>
        <v/>
      </c>
      <c r="Q165">
        <f>_xlfn.IFERROR(IFERROR(VLOOKUP(E165,'F40 mapping'!A:D,4,0),VLOOKUP(D165,'F40 mapping'!A:D,4,0)),0)</f>
        <v/>
      </c>
      <c r="R165">
        <f>_xlfn.IFERROR(IFERROR(VLOOKUP(E165,'F40 mapping'!A:E,5,0),VLOOKUP(D165,'F40 mapping'!A:E,5,0)),0)</f>
        <v/>
      </c>
      <c r="S165">
        <f>_xlfn.IF(B165&lt;6,IFERROR(VLOOKUP(E165,'BS Mapping std'!A:E,5,0),VLOOKUP(D165,'BS Mapping std'!A:E,5,0)),IFERROR(VLOOKUP(E165,'PL mapping Std'!A:F,6,0),VLOOKUP(D165,'PL mapping Std'!A:F,6,0)))</f>
        <v/>
      </c>
      <c r="T165">
        <f>_xlfn.IF(B165&lt;6,IFERROR(VLOOKUP(E165,'BS Mapping std'!A:F,6,0),VLOOKUP(D165,'BS Mapping std'!A:F,6,0)),IFERROR(VLOOKUP(E165,'PL mapping Std'!A:G,7,0),VLOOKUP(D165,'PL mapping Std'!A:G,7,0)))</f>
        <v/>
      </c>
      <c r="V165">
        <f>IF(IF(A165="BS",IFERROR(VLOOKUP(TRIM($E165),'BS Mapping std'!$A:$H,8,0),VLOOKUP(TRIM($D165),'BS Mapping std'!$A:$H,8,0)),IFERROR(VLOOKUP(TRIM($E165),'PL mapping Std'!$A:$E,5,0),VLOOKUP(TRIM($D165),'PL mapping Std'!$A:$E,5,0)))=0,"",IF(A165="BS",IFERROR(VLOOKUP(TRIM($E165),'BS Mapping std'!$A:$H,8,0),VLOOKUP(TRIM($D165),'BS Mapping std'!$A:$H,8,0)),IFERROR(VLOOKUP(TRIM($E165),'PL mapping Std'!$A:$E,5,0),VLOOKUP(TRIM($D165),'PL mapping Std'!$A:$E,5,0))))</f>
        <v/>
      </c>
      <c r="W165">
        <f>_xlfn.IFERROR(VLOOKUP(E165,'F30 mapping'!A:D,4,0),VLOOKUP(D165,'F30 mapping'!A:D,4,0))</f>
        <v/>
      </c>
      <c r="X165">
        <f>IF(B165&lt;6,IFERROR(VLOOKUP(E165,'BS Mapping std'!A:M,13,0),VLOOKUP(D165,'BS Mapping std'!A:M,13,0)),0)</f>
        <v/>
      </c>
      <c r="Y165">
        <f>IF(B165&lt;6,IFERROR(VLOOKUP(E165,'BS Mapping std'!A:N,14,0),VLOOKUP(D165,'BS Mapping std'!A:N,14,0)),0)</f>
        <v/>
      </c>
    </row>
    <row r="166" spans="1:25">
      <c r="A166">
        <f>IF(B166&lt;6,"BS",IF(B166=6,"Exp","Rev"))</f>
        <v/>
      </c>
      <c r="B166">
        <f>_xlfn.NUMBERVALUE(LEFT(F166,1))</f>
        <v/>
      </c>
      <c r="C166">
        <f>Left(F166,2)</f>
        <v/>
      </c>
      <c r="D166">
        <f>Left(F166,3)</f>
        <v/>
      </c>
      <c r="E166">
        <f>IF(F166="121",Left(F166,3)&amp;"0",Left(F166,4))</f>
        <v/>
      </c>
      <c r="F166" t="n">
        <v>54200000</v>
      </c>
      <c r="G166" t="s">
        <v>187</v>
      </c>
      <c r="H166" s="9" t="n">
        <v>-4299.14</v>
      </c>
      <c r="I166" s="9" t="n">
        <v>199334.73</v>
      </c>
      <c r="J166" s="9" t="n">
        <v>198098.56</v>
      </c>
      <c r="K166" s="9" t="n">
        <v>-3062.97</v>
      </c>
      <c r="L166" s="9">
        <f>K166-H166</f>
        <v/>
      </c>
      <c r="M166" s="32">
        <f>IFERROR(L166/H166," ")</f>
        <v/>
      </c>
      <c r="N166">
        <f>IF(A166="BS",IFERROR(VLOOKUP(TRIM($E166),'BS Mapping std'!$A:$D,4,0),VLOOKUP(TRIM($D166),'BS Mapping std'!$A:$D,4,0)),IFERROR(VLOOKUP(TRIM($E166),'PL mapping Std'!$A:$D,4,0),VLOOKUP(TRIM($D166),'PL mapping Std'!$A:$D,4,0)))</f>
        <v/>
      </c>
      <c r="O166">
        <f>_xlfn.IFERROR(VLOOKUP(E166,'F30 mapping'!A:C,3,0),VLOOKUP(D166,'F30 mapping'!A:C,3,0))</f>
        <v/>
      </c>
      <c r="P166">
        <f>_xlfn.IFERROR(IFERROR(VLOOKUP(E166,'F40 mapping'!A:C,3,0),VLOOKUP(D166,'F40 mapping'!A:C,3,0)),0)</f>
        <v/>
      </c>
      <c r="Q166">
        <f>_xlfn.IFERROR(IFERROR(VLOOKUP(E166,'F40 mapping'!A:D,4,0),VLOOKUP(D166,'F40 mapping'!A:D,4,0)),0)</f>
        <v/>
      </c>
      <c r="R166">
        <f>_xlfn.IFERROR(IFERROR(VLOOKUP(E166,'F40 mapping'!A:E,5,0),VLOOKUP(D166,'F40 mapping'!A:E,5,0)),0)</f>
        <v/>
      </c>
      <c r="S166">
        <f>_xlfn.IF(B166&lt;6,IFERROR(VLOOKUP(E166,'BS Mapping std'!A:E,5,0),VLOOKUP(D166,'BS Mapping std'!A:E,5,0)),IFERROR(VLOOKUP(E166,'PL mapping Std'!A:F,6,0),VLOOKUP(D166,'PL mapping Std'!A:F,6,0)))</f>
        <v/>
      </c>
      <c r="T166">
        <f>_xlfn.IF(B166&lt;6,IFERROR(VLOOKUP(E166,'BS Mapping std'!A:F,6,0),VLOOKUP(D166,'BS Mapping std'!A:F,6,0)),IFERROR(VLOOKUP(E166,'PL mapping Std'!A:G,7,0),VLOOKUP(D166,'PL mapping Std'!A:G,7,0)))</f>
        <v/>
      </c>
      <c r="V166">
        <f>IF(IF(A166="BS",IFERROR(VLOOKUP(TRIM($E166),'BS Mapping std'!$A:$H,8,0),VLOOKUP(TRIM($D166),'BS Mapping std'!$A:$H,8,0)),IFERROR(VLOOKUP(TRIM($E166),'PL mapping Std'!$A:$E,5,0),VLOOKUP(TRIM($D166),'PL mapping Std'!$A:$E,5,0)))=0,"",IF(A166="BS",IFERROR(VLOOKUP(TRIM($E166),'BS Mapping std'!$A:$H,8,0),VLOOKUP(TRIM($D166),'BS Mapping std'!$A:$H,8,0)),IFERROR(VLOOKUP(TRIM($E166),'PL mapping Std'!$A:$E,5,0),VLOOKUP(TRIM($D166),'PL mapping Std'!$A:$E,5,0))))</f>
        <v/>
      </c>
      <c r="W166">
        <f>_xlfn.IFERROR(VLOOKUP(E166,'F30 mapping'!A:D,4,0),VLOOKUP(D166,'F30 mapping'!A:D,4,0))</f>
        <v/>
      </c>
      <c r="X166">
        <f>IF(B166&lt;6,IFERROR(VLOOKUP(E166,'BS Mapping std'!A:M,13,0),VLOOKUP(D166,'BS Mapping std'!A:M,13,0)),0)</f>
        <v/>
      </c>
      <c r="Y166">
        <f>IF(B166&lt;6,IFERROR(VLOOKUP(E166,'BS Mapping std'!A:N,14,0),VLOOKUP(D166,'BS Mapping std'!A:N,14,0)),0)</f>
        <v/>
      </c>
    </row>
    <row r="167" spans="1:25">
      <c r="A167">
        <f>IF(B167&lt;6,"BS",IF(B167=6,"Exp","Rev"))</f>
        <v/>
      </c>
      <c r="B167">
        <f>_xlfn.NUMBERVALUE(LEFT(F167,1))</f>
        <v/>
      </c>
      <c r="C167">
        <f>Left(F167,2)</f>
        <v/>
      </c>
      <c r="D167">
        <f>Left(F167,3)</f>
        <v/>
      </c>
      <c r="E167">
        <f>IF(F167="121",Left(F167,3)&amp;"0",Left(F167,4))</f>
        <v/>
      </c>
      <c r="F167" t="n">
        <v>58100000</v>
      </c>
      <c r="G167" t="s">
        <v>188</v>
      </c>
      <c r="H167" s="9" t="n">
        <v>0</v>
      </c>
      <c r="I167" s="9" t="n">
        <v>410452.27</v>
      </c>
      <c r="J167" s="9" t="n">
        <v>410452.27</v>
      </c>
      <c r="K167" s="9" t="n">
        <v>0</v>
      </c>
      <c r="L167" s="9">
        <f>K167-H167</f>
        <v/>
      </c>
      <c r="M167" s="32">
        <f>IFERROR(L167/H167," ")</f>
        <v/>
      </c>
      <c r="N167">
        <f>IF(A167="BS",IFERROR(VLOOKUP(TRIM($E167),'BS Mapping std'!$A:$D,4,0),VLOOKUP(TRIM($D167),'BS Mapping std'!$A:$D,4,0)),IFERROR(VLOOKUP(TRIM($E167),'PL mapping Std'!$A:$D,4,0),VLOOKUP(TRIM($D167),'PL mapping Std'!$A:$D,4,0)))</f>
        <v/>
      </c>
      <c r="O167">
        <f>_xlfn.IFERROR(VLOOKUP(E167,'F30 mapping'!A:C,3,0),VLOOKUP(D167,'F30 mapping'!A:C,3,0))</f>
        <v/>
      </c>
      <c r="P167">
        <f>_xlfn.IFERROR(IFERROR(VLOOKUP(E167,'F40 mapping'!A:C,3,0),VLOOKUP(D167,'F40 mapping'!A:C,3,0)),0)</f>
        <v/>
      </c>
      <c r="Q167">
        <f>_xlfn.IFERROR(IFERROR(VLOOKUP(E167,'F40 mapping'!A:D,4,0),VLOOKUP(D167,'F40 mapping'!A:D,4,0)),0)</f>
        <v/>
      </c>
      <c r="R167">
        <f>_xlfn.IFERROR(IFERROR(VLOOKUP(E167,'F40 mapping'!A:E,5,0),VLOOKUP(D167,'F40 mapping'!A:E,5,0)),0)</f>
        <v/>
      </c>
      <c r="S167">
        <f>_xlfn.IF(B167&lt;6,IFERROR(VLOOKUP(E167,'BS Mapping std'!A:E,5,0),VLOOKUP(D167,'BS Mapping std'!A:E,5,0)),IFERROR(VLOOKUP(E167,'PL mapping Std'!A:F,6,0),VLOOKUP(D167,'PL mapping Std'!A:F,6,0)))</f>
        <v/>
      </c>
      <c r="T167">
        <f>_xlfn.IF(B167&lt;6,IFERROR(VLOOKUP(E167,'BS Mapping std'!A:F,6,0),VLOOKUP(D167,'BS Mapping std'!A:F,6,0)),IFERROR(VLOOKUP(E167,'PL mapping Std'!A:G,7,0),VLOOKUP(D167,'PL mapping Std'!A:G,7,0)))</f>
        <v/>
      </c>
      <c r="V167">
        <f>IF(IF(A167="BS",IFERROR(VLOOKUP(TRIM($E167),'BS Mapping std'!$A:$H,8,0),VLOOKUP(TRIM($D167),'BS Mapping std'!$A:$H,8,0)),IFERROR(VLOOKUP(TRIM($E167),'PL mapping Std'!$A:$E,5,0),VLOOKUP(TRIM($D167),'PL mapping Std'!$A:$E,5,0)))=0,"",IF(A167="BS",IFERROR(VLOOKUP(TRIM($E167),'BS Mapping std'!$A:$H,8,0),VLOOKUP(TRIM($D167),'BS Mapping std'!$A:$H,8,0)),IFERROR(VLOOKUP(TRIM($E167),'PL mapping Std'!$A:$E,5,0),VLOOKUP(TRIM($D167),'PL mapping Std'!$A:$E,5,0))))</f>
        <v/>
      </c>
      <c r="W167">
        <f>_xlfn.IFERROR(VLOOKUP(E167,'F30 mapping'!A:D,4,0),VLOOKUP(D167,'F30 mapping'!A:D,4,0))</f>
        <v/>
      </c>
      <c r="X167">
        <f>IF(B167&lt;6,IFERROR(VLOOKUP(E167,'BS Mapping std'!A:M,13,0),VLOOKUP(D167,'BS Mapping std'!A:M,13,0)),0)</f>
        <v/>
      </c>
      <c r="Y167">
        <f>IF(B167&lt;6,IFERROR(VLOOKUP(E167,'BS Mapping std'!A:N,14,0),VLOOKUP(D167,'BS Mapping std'!A:N,14,0)),0)</f>
        <v/>
      </c>
    </row>
    <row r="168" spans="1:25">
      <c r="A168">
        <f>IF(B168&lt;6,"BS",IF(B168=6,"Exp","Rev"))</f>
        <v/>
      </c>
      <c r="B168">
        <f>_xlfn.NUMBERVALUE(LEFT(F168,1))</f>
        <v/>
      </c>
      <c r="C168">
        <f>Left(F168,2)</f>
        <v/>
      </c>
      <c r="D168">
        <f>Left(F168,3)</f>
        <v/>
      </c>
      <c r="E168">
        <f>IF(F168="121",Left(F168,3)&amp;"0",Left(F168,4))</f>
        <v/>
      </c>
      <c r="F168" t="n">
        <v>58100010</v>
      </c>
      <c r="G168" t="s">
        <v>189</v>
      </c>
      <c r="H168" s="9" t="n">
        <v>0</v>
      </c>
      <c r="I168" s="9" t="n">
        <v>57492753.64</v>
      </c>
      <c r="J168" s="9" t="n">
        <v>57492753.64</v>
      </c>
      <c r="K168" s="9" t="n">
        <v>0</v>
      </c>
      <c r="L168" s="9">
        <f>K168-H168</f>
        <v/>
      </c>
      <c r="M168" s="32">
        <f>IFERROR(L168/H168," ")</f>
        <v/>
      </c>
      <c r="N168">
        <f>IF(A168="BS",IFERROR(VLOOKUP(TRIM($E168),'BS Mapping std'!$A:$D,4,0),VLOOKUP(TRIM($D168),'BS Mapping std'!$A:$D,4,0)),IFERROR(VLOOKUP(TRIM($E168),'PL mapping Std'!$A:$D,4,0),VLOOKUP(TRIM($D168),'PL mapping Std'!$A:$D,4,0)))</f>
        <v/>
      </c>
      <c r="O168">
        <f>_xlfn.IFERROR(VLOOKUP(E168,'F30 mapping'!A:C,3,0),VLOOKUP(D168,'F30 mapping'!A:C,3,0))</f>
        <v/>
      </c>
      <c r="P168">
        <f>_xlfn.IFERROR(IFERROR(VLOOKUP(E168,'F40 mapping'!A:C,3,0),VLOOKUP(D168,'F40 mapping'!A:C,3,0)),0)</f>
        <v/>
      </c>
      <c r="Q168">
        <f>_xlfn.IFERROR(IFERROR(VLOOKUP(E168,'F40 mapping'!A:D,4,0),VLOOKUP(D168,'F40 mapping'!A:D,4,0)),0)</f>
        <v/>
      </c>
      <c r="R168">
        <f>_xlfn.IFERROR(IFERROR(VLOOKUP(E168,'F40 mapping'!A:E,5,0),VLOOKUP(D168,'F40 mapping'!A:E,5,0)),0)</f>
        <v/>
      </c>
      <c r="S168">
        <f>_xlfn.IF(B168&lt;6,IFERROR(VLOOKUP(E168,'BS Mapping std'!A:E,5,0),VLOOKUP(D168,'BS Mapping std'!A:E,5,0)),IFERROR(VLOOKUP(E168,'PL mapping Std'!A:F,6,0),VLOOKUP(D168,'PL mapping Std'!A:F,6,0)))</f>
        <v/>
      </c>
      <c r="T168">
        <f>_xlfn.IF(B168&lt;6,IFERROR(VLOOKUP(E168,'BS Mapping std'!A:F,6,0),VLOOKUP(D168,'BS Mapping std'!A:F,6,0)),IFERROR(VLOOKUP(E168,'PL mapping Std'!A:G,7,0),VLOOKUP(D168,'PL mapping Std'!A:G,7,0)))</f>
        <v/>
      </c>
      <c r="V168">
        <f>IF(IF(A168="BS",IFERROR(VLOOKUP(TRIM($E168),'BS Mapping std'!$A:$H,8,0),VLOOKUP(TRIM($D168),'BS Mapping std'!$A:$H,8,0)),IFERROR(VLOOKUP(TRIM($E168),'PL mapping Std'!$A:$E,5,0),VLOOKUP(TRIM($D168),'PL mapping Std'!$A:$E,5,0)))=0,"",IF(A168="BS",IFERROR(VLOOKUP(TRIM($E168),'BS Mapping std'!$A:$H,8,0),VLOOKUP(TRIM($D168),'BS Mapping std'!$A:$H,8,0)),IFERROR(VLOOKUP(TRIM($E168),'PL mapping Std'!$A:$E,5,0),VLOOKUP(TRIM($D168),'PL mapping Std'!$A:$E,5,0))))</f>
        <v/>
      </c>
      <c r="W168">
        <f>_xlfn.IFERROR(VLOOKUP(E168,'F30 mapping'!A:D,4,0),VLOOKUP(D168,'F30 mapping'!A:D,4,0))</f>
        <v/>
      </c>
      <c r="X168">
        <f>IF(B168&lt;6,IFERROR(VLOOKUP(E168,'BS Mapping std'!A:M,13,0),VLOOKUP(D168,'BS Mapping std'!A:M,13,0)),0)</f>
        <v/>
      </c>
      <c r="Y168">
        <f>IF(B168&lt;6,IFERROR(VLOOKUP(E168,'BS Mapping std'!A:N,14,0),VLOOKUP(D168,'BS Mapping std'!A:N,14,0)),0)</f>
        <v/>
      </c>
    </row>
    <row r="169" spans="1:25">
      <c r="A169">
        <f>IF(B169&lt;6,"BS",IF(B169=6,"Exp","Rev"))</f>
        <v/>
      </c>
      <c r="B169">
        <f>_xlfn.NUMBERVALUE(LEFT(F169,1))</f>
        <v/>
      </c>
      <c r="C169">
        <f>Left(F169,2)</f>
        <v/>
      </c>
      <c r="D169">
        <f>Left(F169,3)</f>
        <v/>
      </c>
      <c r="E169">
        <f>IF(F169="121",Left(F169,3)&amp;"0",Left(F169,4))</f>
        <v/>
      </c>
      <c r="F169" t="n">
        <v>60100010</v>
      </c>
      <c r="G169" t="s">
        <v>190</v>
      </c>
      <c r="H169" s="9" t="n">
        <v>13304550.71</v>
      </c>
      <c r="I169" s="9" t="n">
        <v>20575732.98</v>
      </c>
      <c r="J169" s="9" t="n">
        <v>20575732.98</v>
      </c>
      <c r="K169" s="9" t="n">
        <v>20575732.98</v>
      </c>
      <c r="L169" s="9">
        <f>K169-H169</f>
        <v/>
      </c>
      <c r="M169" s="32">
        <f>IFERROR(L169/H169," ")</f>
        <v/>
      </c>
      <c r="N169">
        <f>IF(A169="BS",IFERROR(VLOOKUP(TRIM($E169),'BS Mapping std'!$A:$D,4,0),VLOOKUP(TRIM($D169),'BS Mapping std'!$A:$D,4,0)),IFERROR(VLOOKUP(TRIM($E169),'PL mapping Std'!$A:$D,4,0),VLOOKUP(TRIM($D169),'PL mapping Std'!$A:$D,4,0)))</f>
        <v/>
      </c>
      <c r="O169">
        <f>_xlfn.IFERROR(VLOOKUP(E169,'F30 mapping'!A:C,3,0),VLOOKUP(D169,'F30 mapping'!A:C,3,0))</f>
        <v/>
      </c>
      <c r="P169">
        <f>_xlfn.IFERROR(IFERROR(VLOOKUP(E169,'F40 mapping'!A:C,3,0),VLOOKUP(D169,'F40 mapping'!A:C,3,0)),0)</f>
        <v/>
      </c>
      <c r="Q169">
        <f>_xlfn.IFERROR(IFERROR(VLOOKUP(E169,'F40 mapping'!A:D,4,0),VLOOKUP(D169,'F40 mapping'!A:D,4,0)),0)</f>
        <v/>
      </c>
      <c r="R169">
        <f>_xlfn.IFERROR(IFERROR(VLOOKUP(E169,'F40 mapping'!A:E,5,0),VLOOKUP(D169,'F40 mapping'!A:E,5,0)),0)</f>
        <v/>
      </c>
      <c r="S169">
        <f>_xlfn.IF(B169&lt;6,IFERROR(VLOOKUP(E169,'BS Mapping std'!A:E,5,0),VLOOKUP(D169,'BS Mapping std'!A:E,5,0)),IFERROR(VLOOKUP(E169,'PL mapping Std'!A:F,6,0),VLOOKUP(D169,'PL mapping Std'!A:F,6,0)))</f>
        <v/>
      </c>
      <c r="T169">
        <f>_xlfn.IF(B169&lt;6,IFERROR(VLOOKUP(E169,'BS Mapping std'!A:F,6,0),VLOOKUP(D169,'BS Mapping std'!A:F,6,0)),IFERROR(VLOOKUP(E169,'PL mapping Std'!A:G,7,0),VLOOKUP(D169,'PL mapping Std'!A:G,7,0)))</f>
        <v/>
      </c>
      <c r="V169">
        <f>IF(IF(A169="BS",IFERROR(VLOOKUP(TRIM($E169),'BS Mapping std'!$A:$H,8,0),VLOOKUP(TRIM($D169),'BS Mapping std'!$A:$H,8,0)),IFERROR(VLOOKUP(TRIM($E169),'PL mapping Std'!$A:$E,5,0),VLOOKUP(TRIM($D169),'PL mapping Std'!$A:$E,5,0)))=0,"",IF(A169="BS",IFERROR(VLOOKUP(TRIM($E169),'BS Mapping std'!$A:$H,8,0),VLOOKUP(TRIM($D169),'BS Mapping std'!$A:$H,8,0)),IFERROR(VLOOKUP(TRIM($E169),'PL mapping Std'!$A:$E,5,0),VLOOKUP(TRIM($D169),'PL mapping Std'!$A:$E,5,0))))</f>
        <v/>
      </c>
      <c r="W169">
        <f>_xlfn.IFERROR(VLOOKUP(E169,'F30 mapping'!A:D,4,0),VLOOKUP(D169,'F30 mapping'!A:D,4,0))</f>
        <v/>
      </c>
      <c r="X169">
        <f>IF(B169&lt;6,IFERROR(VLOOKUP(E169,'BS Mapping std'!A:M,13,0),VLOOKUP(D169,'BS Mapping std'!A:M,13,0)),0)</f>
        <v/>
      </c>
      <c r="Y169">
        <f>IF(B169&lt;6,IFERROR(VLOOKUP(E169,'BS Mapping std'!A:N,14,0),VLOOKUP(D169,'BS Mapping std'!A:N,14,0)),0)</f>
        <v/>
      </c>
    </row>
    <row r="170" spans="1:25">
      <c r="A170">
        <f>IF(B170&lt;6,"BS",IF(B170=6,"Exp","Rev"))</f>
        <v/>
      </c>
      <c r="B170">
        <f>_xlfn.NUMBERVALUE(LEFT(F170,1))</f>
        <v/>
      </c>
      <c r="C170">
        <f>Left(F170,2)</f>
        <v/>
      </c>
      <c r="D170">
        <f>Left(F170,3)</f>
        <v/>
      </c>
      <c r="E170">
        <f>IF(F170="121",Left(F170,3)&amp;"0",Left(F170,4))</f>
        <v/>
      </c>
      <c r="F170" t="n">
        <v>60100020</v>
      </c>
      <c r="G170" t="s">
        <v>191</v>
      </c>
      <c r="H170" s="9" t="n">
        <v>17919535.28</v>
      </c>
      <c r="I170" s="9" t="n">
        <v>26554726.22</v>
      </c>
      <c r="J170" s="9" t="n">
        <v>26554726.22</v>
      </c>
      <c r="K170" s="9" t="n">
        <v>26554726.22</v>
      </c>
      <c r="L170" s="9">
        <f>K170-H170</f>
        <v/>
      </c>
      <c r="M170" s="32">
        <f>IFERROR(L170/H170," ")</f>
        <v/>
      </c>
      <c r="N170">
        <f>IF(A170="BS",IFERROR(VLOOKUP(TRIM($E170),'BS Mapping std'!$A:$D,4,0),VLOOKUP(TRIM($D170),'BS Mapping std'!$A:$D,4,0)),IFERROR(VLOOKUP(TRIM($E170),'PL mapping Std'!$A:$D,4,0),VLOOKUP(TRIM($D170),'PL mapping Std'!$A:$D,4,0)))</f>
        <v/>
      </c>
      <c r="O170">
        <f>_xlfn.IFERROR(VLOOKUP(E170,'F30 mapping'!A:C,3,0),VLOOKUP(D170,'F30 mapping'!A:C,3,0))</f>
        <v/>
      </c>
      <c r="P170">
        <f>_xlfn.IFERROR(IFERROR(VLOOKUP(E170,'F40 mapping'!A:C,3,0),VLOOKUP(D170,'F40 mapping'!A:C,3,0)),0)</f>
        <v/>
      </c>
      <c r="Q170">
        <f>_xlfn.IFERROR(IFERROR(VLOOKUP(E170,'F40 mapping'!A:D,4,0),VLOOKUP(D170,'F40 mapping'!A:D,4,0)),0)</f>
        <v/>
      </c>
      <c r="R170">
        <f>_xlfn.IFERROR(IFERROR(VLOOKUP(E170,'F40 mapping'!A:E,5,0),VLOOKUP(D170,'F40 mapping'!A:E,5,0)),0)</f>
        <v/>
      </c>
      <c r="S170">
        <f>_xlfn.IF(B170&lt;6,IFERROR(VLOOKUP(E170,'BS Mapping std'!A:E,5,0),VLOOKUP(D170,'BS Mapping std'!A:E,5,0)),IFERROR(VLOOKUP(E170,'PL mapping Std'!A:F,6,0),VLOOKUP(D170,'PL mapping Std'!A:F,6,0)))</f>
        <v/>
      </c>
      <c r="T170">
        <f>_xlfn.IF(B170&lt;6,IFERROR(VLOOKUP(E170,'BS Mapping std'!A:F,6,0),VLOOKUP(D170,'BS Mapping std'!A:F,6,0)),IFERROR(VLOOKUP(E170,'PL mapping Std'!A:G,7,0),VLOOKUP(D170,'PL mapping Std'!A:G,7,0)))</f>
        <v/>
      </c>
      <c r="V170">
        <f>IF(IF(A170="BS",IFERROR(VLOOKUP(TRIM($E170),'BS Mapping std'!$A:$H,8,0),VLOOKUP(TRIM($D170),'BS Mapping std'!$A:$H,8,0)),IFERROR(VLOOKUP(TRIM($E170),'PL mapping Std'!$A:$E,5,0),VLOOKUP(TRIM($D170),'PL mapping Std'!$A:$E,5,0)))=0,"",IF(A170="BS",IFERROR(VLOOKUP(TRIM($E170),'BS Mapping std'!$A:$H,8,0),VLOOKUP(TRIM($D170),'BS Mapping std'!$A:$H,8,0)),IFERROR(VLOOKUP(TRIM($E170),'PL mapping Std'!$A:$E,5,0),VLOOKUP(TRIM($D170),'PL mapping Std'!$A:$E,5,0))))</f>
        <v/>
      </c>
      <c r="W170">
        <f>_xlfn.IFERROR(VLOOKUP(E170,'F30 mapping'!A:D,4,0),VLOOKUP(D170,'F30 mapping'!A:D,4,0))</f>
        <v/>
      </c>
      <c r="X170">
        <f>IF(B170&lt;6,IFERROR(VLOOKUP(E170,'BS Mapping std'!A:M,13,0),VLOOKUP(D170,'BS Mapping std'!A:M,13,0)),0)</f>
        <v/>
      </c>
      <c r="Y170">
        <f>IF(B170&lt;6,IFERROR(VLOOKUP(E170,'BS Mapping std'!A:N,14,0),VLOOKUP(D170,'BS Mapping std'!A:N,14,0)),0)</f>
        <v/>
      </c>
    </row>
    <row r="171" spans="1:25">
      <c r="A171">
        <f>IF(B171&lt;6,"BS",IF(B171=6,"Exp","Rev"))</f>
        <v/>
      </c>
      <c r="B171">
        <f>_xlfn.NUMBERVALUE(LEFT(F171,1))</f>
        <v/>
      </c>
      <c r="C171">
        <f>Left(F171,2)</f>
        <v/>
      </c>
      <c r="D171">
        <f>Left(F171,3)</f>
        <v/>
      </c>
      <c r="E171">
        <f>IF(F171="121",Left(F171,3)&amp;"0",Left(F171,4))</f>
        <v/>
      </c>
      <c r="F171" t="n">
        <v>60100030</v>
      </c>
      <c r="G171" t="s">
        <v>192</v>
      </c>
      <c r="H171" s="9" t="n">
        <v>191584.08</v>
      </c>
      <c r="I171" s="9" t="n">
        <v>821456.4300000001</v>
      </c>
      <c r="J171" s="9" t="n">
        <v>821456.4300000001</v>
      </c>
      <c r="K171" s="9" t="n">
        <v>821456.4300000001</v>
      </c>
      <c r="L171" s="9">
        <f>K171-H171</f>
        <v/>
      </c>
      <c r="M171" s="32">
        <f>IFERROR(L171/H171," ")</f>
        <v/>
      </c>
      <c r="N171">
        <f>IF(A171="BS",IFERROR(VLOOKUP(TRIM($E171),'BS Mapping std'!$A:$D,4,0),VLOOKUP(TRIM($D171),'BS Mapping std'!$A:$D,4,0)),IFERROR(VLOOKUP(TRIM($E171),'PL mapping Std'!$A:$D,4,0),VLOOKUP(TRIM($D171),'PL mapping Std'!$A:$D,4,0)))</f>
        <v/>
      </c>
      <c r="O171">
        <f>_xlfn.IFERROR(VLOOKUP(E171,'F30 mapping'!A:C,3,0),VLOOKUP(D171,'F30 mapping'!A:C,3,0))</f>
        <v/>
      </c>
      <c r="P171">
        <f>_xlfn.IFERROR(IFERROR(VLOOKUP(E171,'F40 mapping'!A:C,3,0),VLOOKUP(D171,'F40 mapping'!A:C,3,0)),0)</f>
        <v/>
      </c>
      <c r="Q171">
        <f>_xlfn.IFERROR(IFERROR(VLOOKUP(E171,'F40 mapping'!A:D,4,0),VLOOKUP(D171,'F40 mapping'!A:D,4,0)),0)</f>
        <v/>
      </c>
      <c r="R171">
        <f>_xlfn.IFERROR(IFERROR(VLOOKUP(E171,'F40 mapping'!A:E,5,0),VLOOKUP(D171,'F40 mapping'!A:E,5,0)),0)</f>
        <v/>
      </c>
      <c r="S171">
        <f>_xlfn.IF(B171&lt;6,IFERROR(VLOOKUP(E171,'BS Mapping std'!A:E,5,0),VLOOKUP(D171,'BS Mapping std'!A:E,5,0)),IFERROR(VLOOKUP(E171,'PL mapping Std'!A:F,6,0),VLOOKUP(D171,'PL mapping Std'!A:F,6,0)))</f>
        <v/>
      </c>
      <c r="T171">
        <f>_xlfn.IF(B171&lt;6,IFERROR(VLOOKUP(E171,'BS Mapping std'!A:F,6,0),VLOOKUP(D171,'BS Mapping std'!A:F,6,0)),IFERROR(VLOOKUP(E171,'PL mapping Std'!A:G,7,0),VLOOKUP(D171,'PL mapping Std'!A:G,7,0)))</f>
        <v/>
      </c>
      <c r="V171">
        <f>IF(IF(A171="BS",IFERROR(VLOOKUP(TRIM($E171),'BS Mapping std'!$A:$H,8,0),VLOOKUP(TRIM($D171),'BS Mapping std'!$A:$H,8,0)),IFERROR(VLOOKUP(TRIM($E171),'PL mapping Std'!$A:$E,5,0),VLOOKUP(TRIM($D171),'PL mapping Std'!$A:$E,5,0)))=0,"",IF(A171="BS",IFERROR(VLOOKUP(TRIM($E171),'BS Mapping std'!$A:$H,8,0),VLOOKUP(TRIM($D171),'BS Mapping std'!$A:$H,8,0)),IFERROR(VLOOKUP(TRIM($E171),'PL mapping Std'!$A:$E,5,0),VLOOKUP(TRIM($D171),'PL mapping Std'!$A:$E,5,0))))</f>
        <v/>
      </c>
      <c r="W171">
        <f>_xlfn.IFERROR(VLOOKUP(E171,'F30 mapping'!A:D,4,0),VLOOKUP(D171,'F30 mapping'!A:D,4,0))</f>
        <v/>
      </c>
      <c r="X171">
        <f>IF(B171&lt;6,IFERROR(VLOOKUP(E171,'BS Mapping std'!A:M,13,0),VLOOKUP(D171,'BS Mapping std'!A:M,13,0)),0)</f>
        <v/>
      </c>
      <c r="Y171">
        <f>IF(B171&lt;6,IFERROR(VLOOKUP(E171,'BS Mapping std'!A:N,14,0),VLOOKUP(D171,'BS Mapping std'!A:N,14,0)),0)</f>
        <v/>
      </c>
    </row>
    <row r="172" spans="1:25">
      <c r="A172">
        <f>IF(B172&lt;6,"BS",IF(B172=6,"Exp","Rev"))</f>
        <v/>
      </c>
      <c r="B172">
        <f>_xlfn.NUMBERVALUE(LEFT(F172,1))</f>
        <v/>
      </c>
      <c r="C172">
        <f>Left(F172,2)</f>
        <v/>
      </c>
      <c r="D172">
        <f>Left(F172,3)</f>
        <v/>
      </c>
      <c r="E172">
        <f>IF(F172="121",Left(F172,3)&amp;"0",Left(F172,4))</f>
        <v/>
      </c>
      <c r="F172" t="n">
        <v>60100040</v>
      </c>
      <c r="G172" t="s">
        <v>193</v>
      </c>
      <c r="H172" s="9" t="n">
        <v>-215973.15</v>
      </c>
      <c r="I172" s="9" t="n">
        <v>-6473487.61</v>
      </c>
      <c r="J172" s="9" t="n">
        <v>-6473487.61</v>
      </c>
      <c r="K172" s="9" t="n">
        <v>-6473487.61</v>
      </c>
      <c r="L172" s="9">
        <f>K172-H172</f>
        <v/>
      </c>
      <c r="M172" s="32">
        <f>IFERROR(L172/H172," ")</f>
        <v/>
      </c>
      <c r="N172">
        <f>IF(A172="BS",IFERROR(VLOOKUP(TRIM($E172),'BS Mapping std'!$A:$D,4,0),VLOOKUP(TRIM($D172),'BS Mapping std'!$A:$D,4,0)),IFERROR(VLOOKUP(TRIM($E172),'PL mapping Std'!$A:$D,4,0),VLOOKUP(TRIM($D172),'PL mapping Std'!$A:$D,4,0)))</f>
        <v/>
      </c>
      <c r="O172">
        <f>_xlfn.IFERROR(VLOOKUP(E172,'F30 mapping'!A:C,3,0),VLOOKUP(D172,'F30 mapping'!A:C,3,0))</f>
        <v/>
      </c>
      <c r="P172">
        <f>_xlfn.IFERROR(IFERROR(VLOOKUP(E172,'F40 mapping'!A:C,3,0),VLOOKUP(D172,'F40 mapping'!A:C,3,0)),0)</f>
        <v/>
      </c>
      <c r="Q172">
        <f>_xlfn.IFERROR(IFERROR(VLOOKUP(E172,'F40 mapping'!A:D,4,0),VLOOKUP(D172,'F40 mapping'!A:D,4,0)),0)</f>
        <v/>
      </c>
      <c r="R172">
        <f>_xlfn.IFERROR(IFERROR(VLOOKUP(E172,'F40 mapping'!A:E,5,0),VLOOKUP(D172,'F40 mapping'!A:E,5,0)),0)</f>
        <v/>
      </c>
      <c r="S172">
        <f>_xlfn.IF(B172&lt;6,IFERROR(VLOOKUP(E172,'BS Mapping std'!A:E,5,0),VLOOKUP(D172,'BS Mapping std'!A:E,5,0)),IFERROR(VLOOKUP(E172,'PL mapping Std'!A:F,6,0),VLOOKUP(D172,'PL mapping Std'!A:F,6,0)))</f>
        <v/>
      </c>
      <c r="T172">
        <f>_xlfn.IF(B172&lt;6,IFERROR(VLOOKUP(E172,'BS Mapping std'!A:F,6,0),VLOOKUP(D172,'BS Mapping std'!A:F,6,0)),IFERROR(VLOOKUP(E172,'PL mapping Std'!A:G,7,0),VLOOKUP(D172,'PL mapping Std'!A:G,7,0)))</f>
        <v/>
      </c>
      <c r="V172">
        <f>IF(IF(A172="BS",IFERROR(VLOOKUP(TRIM($E172),'BS Mapping std'!$A:$H,8,0),VLOOKUP(TRIM($D172),'BS Mapping std'!$A:$H,8,0)),IFERROR(VLOOKUP(TRIM($E172),'PL mapping Std'!$A:$E,5,0),VLOOKUP(TRIM($D172),'PL mapping Std'!$A:$E,5,0)))=0,"",IF(A172="BS",IFERROR(VLOOKUP(TRIM($E172),'BS Mapping std'!$A:$H,8,0),VLOOKUP(TRIM($D172),'BS Mapping std'!$A:$H,8,0)),IFERROR(VLOOKUP(TRIM($E172),'PL mapping Std'!$A:$E,5,0),VLOOKUP(TRIM($D172),'PL mapping Std'!$A:$E,5,0))))</f>
        <v/>
      </c>
      <c r="W172">
        <f>_xlfn.IFERROR(VLOOKUP(E172,'F30 mapping'!A:D,4,0),VLOOKUP(D172,'F30 mapping'!A:D,4,0))</f>
        <v/>
      </c>
      <c r="X172">
        <f>IF(B172&lt;6,IFERROR(VLOOKUP(E172,'BS Mapping std'!A:M,13,0),VLOOKUP(D172,'BS Mapping std'!A:M,13,0)),0)</f>
        <v/>
      </c>
      <c r="Y172">
        <f>IF(B172&lt;6,IFERROR(VLOOKUP(E172,'BS Mapping std'!A:N,14,0),VLOOKUP(D172,'BS Mapping std'!A:N,14,0)),0)</f>
        <v/>
      </c>
    </row>
    <row r="173" spans="1:25">
      <c r="A173">
        <f>IF(B173&lt;6,"BS",IF(B173=6,"Exp","Rev"))</f>
        <v/>
      </c>
      <c r="B173">
        <f>_xlfn.NUMBERVALUE(LEFT(F173,1))</f>
        <v/>
      </c>
      <c r="C173">
        <f>Left(F173,2)</f>
        <v/>
      </c>
      <c r="D173">
        <f>Left(F173,3)</f>
        <v/>
      </c>
      <c r="E173">
        <f>IF(F173="121",Left(F173,3)&amp;"0",Left(F173,4))</f>
        <v/>
      </c>
      <c r="F173" t="n">
        <v>60100060</v>
      </c>
      <c r="G173" t="s">
        <v>194</v>
      </c>
      <c r="H173" s="9" t="n">
        <v>5738.14</v>
      </c>
      <c r="I173" s="9" t="n">
        <v>1512.37</v>
      </c>
      <c r="J173" s="9" t="n">
        <v>1512.37</v>
      </c>
      <c r="K173" s="9" t="n">
        <v>1512.37</v>
      </c>
      <c r="L173" s="9">
        <f>K173-H173</f>
        <v/>
      </c>
      <c r="M173" s="32">
        <f>IFERROR(L173/H173," ")</f>
        <v/>
      </c>
      <c r="N173">
        <f>IF(A173="BS",IFERROR(VLOOKUP(TRIM($E173),'BS Mapping std'!$A:$D,4,0),VLOOKUP(TRIM($D173),'BS Mapping std'!$A:$D,4,0)),IFERROR(VLOOKUP(TRIM($E173),'PL mapping Std'!$A:$D,4,0),VLOOKUP(TRIM($D173),'PL mapping Std'!$A:$D,4,0)))</f>
        <v/>
      </c>
      <c r="O173">
        <f>_xlfn.IFERROR(VLOOKUP(E173,'F30 mapping'!A:C,3,0),VLOOKUP(D173,'F30 mapping'!A:C,3,0))</f>
        <v/>
      </c>
      <c r="P173">
        <f>_xlfn.IFERROR(IFERROR(VLOOKUP(E173,'F40 mapping'!A:C,3,0),VLOOKUP(D173,'F40 mapping'!A:C,3,0)),0)</f>
        <v/>
      </c>
      <c r="Q173">
        <f>_xlfn.IFERROR(IFERROR(VLOOKUP(E173,'F40 mapping'!A:D,4,0),VLOOKUP(D173,'F40 mapping'!A:D,4,0)),0)</f>
        <v/>
      </c>
      <c r="R173">
        <f>_xlfn.IFERROR(IFERROR(VLOOKUP(E173,'F40 mapping'!A:E,5,0),VLOOKUP(D173,'F40 mapping'!A:E,5,0)),0)</f>
        <v/>
      </c>
      <c r="S173">
        <f>_xlfn.IF(B173&lt;6,IFERROR(VLOOKUP(E173,'BS Mapping std'!A:E,5,0),VLOOKUP(D173,'BS Mapping std'!A:E,5,0)),IFERROR(VLOOKUP(E173,'PL mapping Std'!A:F,6,0),VLOOKUP(D173,'PL mapping Std'!A:F,6,0)))</f>
        <v/>
      </c>
      <c r="T173">
        <f>_xlfn.IF(B173&lt;6,IFERROR(VLOOKUP(E173,'BS Mapping std'!A:F,6,0),VLOOKUP(D173,'BS Mapping std'!A:F,6,0)),IFERROR(VLOOKUP(E173,'PL mapping Std'!A:G,7,0),VLOOKUP(D173,'PL mapping Std'!A:G,7,0)))</f>
        <v/>
      </c>
      <c r="V173">
        <f>IF(IF(A173="BS",IFERROR(VLOOKUP(TRIM($E173),'BS Mapping std'!$A:$H,8,0),VLOOKUP(TRIM($D173),'BS Mapping std'!$A:$H,8,0)),IFERROR(VLOOKUP(TRIM($E173),'PL mapping Std'!$A:$E,5,0),VLOOKUP(TRIM($D173),'PL mapping Std'!$A:$E,5,0)))=0,"",IF(A173="BS",IFERROR(VLOOKUP(TRIM($E173),'BS Mapping std'!$A:$H,8,0),VLOOKUP(TRIM($D173),'BS Mapping std'!$A:$H,8,0)),IFERROR(VLOOKUP(TRIM($E173),'PL mapping Std'!$A:$E,5,0),VLOOKUP(TRIM($D173),'PL mapping Std'!$A:$E,5,0))))</f>
        <v/>
      </c>
      <c r="W173">
        <f>_xlfn.IFERROR(VLOOKUP(E173,'F30 mapping'!A:D,4,0),VLOOKUP(D173,'F30 mapping'!A:D,4,0))</f>
        <v/>
      </c>
      <c r="X173">
        <f>IF(B173&lt;6,IFERROR(VLOOKUP(E173,'BS Mapping std'!A:M,13,0),VLOOKUP(D173,'BS Mapping std'!A:M,13,0)),0)</f>
        <v/>
      </c>
      <c r="Y173">
        <f>IF(B173&lt;6,IFERROR(VLOOKUP(E173,'BS Mapping std'!A:N,14,0),VLOOKUP(D173,'BS Mapping std'!A:N,14,0)),0)</f>
        <v/>
      </c>
    </row>
    <row r="174" spans="1:25">
      <c r="A174">
        <f>IF(B174&lt;6,"BS",IF(B174=6,"Exp","Rev"))</f>
        <v/>
      </c>
      <c r="B174">
        <f>_xlfn.NUMBERVALUE(LEFT(F174,1))</f>
        <v/>
      </c>
      <c r="C174">
        <f>Left(F174,2)</f>
        <v/>
      </c>
      <c r="D174">
        <f>Left(F174,3)</f>
        <v/>
      </c>
      <c r="E174">
        <f>IF(F174="121",Left(F174,3)&amp;"0",Left(F174,4))</f>
        <v/>
      </c>
      <c r="F174" t="n">
        <v>60109990</v>
      </c>
      <c r="G174" t="s">
        <v>195</v>
      </c>
      <c r="H174" s="9" t="n">
        <v>300.03</v>
      </c>
      <c r="I174" s="9" t="n">
        <v>92.31</v>
      </c>
      <c r="J174" s="9" t="n">
        <v>92.31</v>
      </c>
      <c r="K174" s="9" t="n">
        <v>92.31</v>
      </c>
      <c r="L174" s="9">
        <f>K174-H174</f>
        <v/>
      </c>
      <c r="M174" s="32">
        <f>IFERROR(L174/H174," ")</f>
        <v/>
      </c>
      <c r="N174">
        <f>IF(A174="BS",IFERROR(VLOOKUP(TRIM($E174),'BS Mapping std'!$A:$D,4,0),VLOOKUP(TRIM($D174),'BS Mapping std'!$A:$D,4,0)),IFERROR(VLOOKUP(TRIM($E174),'PL mapping Std'!$A:$D,4,0),VLOOKUP(TRIM($D174),'PL mapping Std'!$A:$D,4,0)))</f>
        <v/>
      </c>
      <c r="O174">
        <f>_xlfn.IFERROR(VLOOKUP(E174,'F30 mapping'!A:C,3,0),VLOOKUP(D174,'F30 mapping'!A:C,3,0))</f>
        <v/>
      </c>
      <c r="P174">
        <f>_xlfn.IFERROR(IFERROR(VLOOKUP(E174,'F40 mapping'!A:C,3,0),VLOOKUP(D174,'F40 mapping'!A:C,3,0)),0)</f>
        <v/>
      </c>
      <c r="Q174">
        <f>_xlfn.IFERROR(IFERROR(VLOOKUP(E174,'F40 mapping'!A:D,4,0),VLOOKUP(D174,'F40 mapping'!A:D,4,0)),0)</f>
        <v/>
      </c>
      <c r="R174">
        <f>_xlfn.IFERROR(IFERROR(VLOOKUP(E174,'F40 mapping'!A:E,5,0),VLOOKUP(D174,'F40 mapping'!A:E,5,0)),0)</f>
        <v/>
      </c>
      <c r="S174">
        <f>_xlfn.IF(B174&lt;6,IFERROR(VLOOKUP(E174,'BS Mapping std'!A:E,5,0),VLOOKUP(D174,'BS Mapping std'!A:E,5,0)),IFERROR(VLOOKUP(E174,'PL mapping Std'!A:F,6,0),VLOOKUP(D174,'PL mapping Std'!A:F,6,0)))</f>
        <v/>
      </c>
      <c r="T174">
        <f>_xlfn.IF(B174&lt;6,IFERROR(VLOOKUP(E174,'BS Mapping std'!A:F,6,0),VLOOKUP(D174,'BS Mapping std'!A:F,6,0)),IFERROR(VLOOKUP(E174,'PL mapping Std'!A:G,7,0),VLOOKUP(D174,'PL mapping Std'!A:G,7,0)))</f>
        <v/>
      </c>
      <c r="V174">
        <f>IF(IF(A174="BS",IFERROR(VLOOKUP(TRIM($E174),'BS Mapping std'!$A:$H,8,0),VLOOKUP(TRIM($D174),'BS Mapping std'!$A:$H,8,0)),IFERROR(VLOOKUP(TRIM($E174),'PL mapping Std'!$A:$E,5,0),VLOOKUP(TRIM($D174),'PL mapping Std'!$A:$E,5,0)))=0,"",IF(A174="BS",IFERROR(VLOOKUP(TRIM($E174),'BS Mapping std'!$A:$H,8,0),VLOOKUP(TRIM($D174),'BS Mapping std'!$A:$H,8,0)),IFERROR(VLOOKUP(TRIM($E174),'PL mapping Std'!$A:$E,5,0),VLOOKUP(TRIM($D174),'PL mapping Std'!$A:$E,5,0))))</f>
        <v/>
      </c>
      <c r="W174">
        <f>_xlfn.IFERROR(VLOOKUP(E174,'F30 mapping'!A:D,4,0),VLOOKUP(D174,'F30 mapping'!A:D,4,0))</f>
        <v/>
      </c>
      <c r="X174">
        <f>IF(B174&lt;6,IFERROR(VLOOKUP(E174,'BS Mapping std'!A:M,13,0),VLOOKUP(D174,'BS Mapping std'!A:M,13,0)),0)</f>
        <v/>
      </c>
      <c r="Y174">
        <f>IF(B174&lt;6,IFERROR(VLOOKUP(E174,'BS Mapping std'!A:N,14,0),VLOOKUP(D174,'BS Mapping std'!A:N,14,0)),0)</f>
        <v/>
      </c>
    </row>
    <row r="175" spans="1:25">
      <c r="A175">
        <f>IF(B175&lt;6,"BS",IF(B175=6,"Exp","Rev"))</f>
        <v/>
      </c>
      <c r="B175">
        <f>_xlfn.NUMBERVALUE(LEFT(F175,1))</f>
        <v/>
      </c>
      <c r="C175">
        <f>Left(F175,2)</f>
        <v/>
      </c>
      <c r="D175">
        <f>Left(F175,3)</f>
        <v/>
      </c>
      <c r="E175">
        <f>IF(F175="121",Left(F175,3)&amp;"0",Left(F175,4))</f>
        <v/>
      </c>
      <c r="F175" t="n">
        <v>60109991</v>
      </c>
      <c r="G175" t="s">
        <v>196</v>
      </c>
      <c r="H175" s="9" t="n">
        <v>-1707.66</v>
      </c>
      <c r="I175" s="9" t="n">
        <v>-427.58</v>
      </c>
      <c r="J175" s="9" t="n">
        <v>-427.58</v>
      </c>
      <c r="K175" s="9" t="n">
        <v>-427.58</v>
      </c>
      <c r="L175" s="9">
        <f>K175-H175</f>
        <v/>
      </c>
      <c r="M175" s="32">
        <f>IFERROR(L175/H175," ")</f>
        <v/>
      </c>
      <c r="N175">
        <f>IF(A175="BS",IFERROR(VLOOKUP(TRIM($E175),'BS Mapping std'!$A:$D,4,0),VLOOKUP(TRIM($D175),'BS Mapping std'!$A:$D,4,0)),IFERROR(VLOOKUP(TRIM($E175),'PL mapping Std'!$A:$D,4,0),VLOOKUP(TRIM($D175),'PL mapping Std'!$A:$D,4,0)))</f>
        <v/>
      </c>
      <c r="O175">
        <f>_xlfn.IFERROR(VLOOKUP(E175,'F30 mapping'!A:C,3,0),VLOOKUP(D175,'F30 mapping'!A:C,3,0))</f>
        <v/>
      </c>
      <c r="P175">
        <f>_xlfn.IFERROR(IFERROR(VLOOKUP(E175,'F40 mapping'!A:C,3,0),VLOOKUP(D175,'F40 mapping'!A:C,3,0)),0)</f>
        <v/>
      </c>
      <c r="Q175">
        <f>_xlfn.IFERROR(IFERROR(VLOOKUP(E175,'F40 mapping'!A:D,4,0),VLOOKUP(D175,'F40 mapping'!A:D,4,0)),0)</f>
        <v/>
      </c>
      <c r="R175">
        <f>_xlfn.IFERROR(IFERROR(VLOOKUP(E175,'F40 mapping'!A:E,5,0),VLOOKUP(D175,'F40 mapping'!A:E,5,0)),0)</f>
        <v/>
      </c>
      <c r="S175">
        <f>_xlfn.IF(B175&lt;6,IFERROR(VLOOKUP(E175,'BS Mapping std'!A:E,5,0),VLOOKUP(D175,'BS Mapping std'!A:E,5,0)),IFERROR(VLOOKUP(E175,'PL mapping Std'!A:F,6,0),VLOOKUP(D175,'PL mapping Std'!A:F,6,0)))</f>
        <v/>
      </c>
      <c r="T175">
        <f>_xlfn.IF(B175&lt;6,IFERROR(VLOOKUP(E175,'BS Mapping std'!A:F,6,0),VLOOKUP(D175,'BS Mapping std'!A:F,6,0)),IFERROR(VLOOKUP(E175,'PL mapping Std'!A:G,7,0),VLOOKUP(D175,'PL mapping Std'!A:G,7,0)))</f>
        <v/>
      </c>
      <c r="V175">
        <f>IF(IF(A175="BS",IFERROR(VLOOKUP(TRIM($E175),'BS Mapping std'!$A:$H,8,0),VLOOKUP(TRIM($D175),'BS Mapping std'!$A:$H,8,0)),IFERROR(VLOOKUP(TRIM($E175),'PL mapping Std'!$A:$E,5,0),VLOOKUP(TRIM($D175),'PL mapping Std'!$A:$E,5,0)))=0,"",IF(A175="BS",IFERROR(VLOOKUP(TRIM($E175),'BS Mapping std'!$A:$H,8,0),VLOOKUP(TRIM($D175),'BS Mapping std'!$A:$H,8,0)),IFERROR(VLOOKUP(TRIM($E175),'PL mapping Std'!$A:$E,5,0),VLOOKUP(TRIM($D175),'PL mapping Std'!$A:$E,5,0))))</f>
        <v/>
      </c>
      <c r="W175">
        <f>_xlfn.IFERROR(VLOOKUP(E175,'F30 mapping'!A:D,4,0),VLOOKUP(D175,'F30 mapping'!A:D,4,0))</f>
        <v/>
      </c>
      <c r="X175">
        <f>IF(B175&lt;6,IFERROR(VLOOKUP(E175,'BS Mapping std'!A:M,13,0),VLOOKUP(D175,'BS Mapping std'!A:M,13,0)),0)</f>
        <v/>
      </c>
      <c r="Y175">
        <f>IF(B175&lt;6,IFERROR(VLOOKUP(E175,'BS Mapping std'!A:N,14,0),VLOOKUP(D175,'BS Mapping std'!A:N,14,0)),0)</f>
        <v/>
      </c>
    </row>
    <row r="176" spans="1:25">
      <c r="A176">
        <f>IF(B176&lt;6,"BS",IF(B176=6,"Exp","Rev"))</f>
        <v/>
      </c>
      <c r="B176">
        <f>_xlfn.NUMBERVALUE(LEFT(F176,1))</f>
        <v/>
      </c>
      <c r="C176">
        <f>Left(F176,2)</f>
        <v/>
      </c>
      <c r="D176">
        <f>Left(F176,3)</f>
        <v/>
      </c>
      <c r="E176">
        <f>IF(F176="121",Left(F176,3)&amp;"0",Left(F176,4))</f>
        <v/>
      </c>
      <c r="F176" t="n">
        <v>60109992</v>
      </c>
      <c r="G176" t="s">
        <v>197</v>
      </c>
      <c r="H176" s="9" t="n">
        <v>10.69</v>
      </c>
      <c r="I176" s="9" t="n">
        <v>11888.48</v>
      </c>
      <c r="J176" s="9" t="n">
        <v>11888.48</v>
      </c>
      <c r="K176" s="9" t="n">
        <v>11888.48</v>
      </c>
      <c r="L176" s="9">
        <f>K176-H176</f>
        <v/>
      </c>
      <c r="M176" s="32">
        <f>IFERROR(L176/H176," ")</f>
        <v/>
      </c>
      <c r="N176">
        <f>IF(A176="BS",IFERROR(VLOOKUP(TRIM($E176),'BS Mapping std'!$A:$D,4,0),VLOOKUP(TRIM($D176),'BS Mapping std'!$A:$D,4,0)),IFERROR(VLOOKUP(TRIM($E176),'PL mapping Std'!$A:$D,4,0),VLOOKUP(TRIM($D176),'PL mapping Std'!$A:$D,4,0)))</f>
        <v/>
      </c>
      <c r="O176">
        <f>_xlfn.IFERROR(VLOOKUP(E176,'F30 mapping'!A:C,3,0),VLOOKUP(D176,'F30 mapping'!A:C,3,0))</f>
        <v/>
      </c>
      <c r="P176">
        <f>_xlfn.IFERROR(IFERROR(VLOOKUP(E176,'F40 mapping'!A:C,3,0),VLOOKUP(D176,'F40 mapping'!A:C,3,0)),0)</f>
        <v/>
      </c>
      <c r="Q176">
        <f>_xlfn.IFERROR(IFERROR(VLOOKUP(E176,'F40 mapping'!A:D,4,0),VLOOKUP(D176,'F40 mapping'!A:D,4,0)),0)</f>
        <v/>
      </c>
      <c r="R176">
        <f>_xlfn.IFERROR(IFERROR(VLOOKUP(E176,'F40 mapping'!A:E,5,0),VLOOKUP(D176,'F40 mapping'!A:E,5,0)),0)</f>
        <v/>
      </c>
      <c r="S176">
        <f>_xlfn.IF(B176&lt;6,IFERROR(VLOOKUP(E176,'BS Mapping std'!A:E,5,0),VLOOKUP(D176,'BS Mapping std'!A:E,5,0)),IFERROR(VLOOKUP(E176,'PL mapping Std'!A:F,6,0),VLOOKUP(D176,'PL mapping Std'!A:F,6,0)))</f>
        <v/>
      </c>
      <c r="T176">
        <f>_xlfn.IF(B176&lt;6,IFERROR(VLOOKUP(E176,'BS Mapping std'!A:F,6,0),VLOOKUP(D176,'BS Mapping std'!A:F,6,0)),IFERROR(VLOOKUP(E176,'PL mapping Std'!A:G,7,0),VLOOKUP(D176,'PL mapping Std'!A:G,7,0)))</f>
        <v/>
      </c>
      <c r="V176">
        <f>IF(IF(A176="BS",IFERROR(VLOOKUP(TRIM($E176),'BS Mapping std'!$A:$H,8,0),VLOOKUP(TRIM($D176),'BS Mapping std'!$A:$H,8,0)),IFERROR(VLOOKUP(TRIM($E176),'PL mapping Std'!$A:$E,5,0),VLOOKUP(TRIM($D176),'PL mapping Std'!$A:$E,5,0)))=0,"",IF(A176="BS",IFERROR(VLOOKUP(TRIM($E176),'BS Mapping std'!$A:$H,8,0),VLOOKUP(TRIM($D176),'BS Mapping std'!$A:$H,8,0)),IFERROR(VLOOKUP(TRIM($E176),'PL mapping Std'!$A:$E,5,0),VLOOKUP(TRIM($D176),'PL mapping Std'!$A:$E,5,0))))</f>
        <v/>
      </c>
      <c r="W176">
        <f>_xlfn.IFERROR(VLOOKUP(E176,'F30 mapping'!A:D,4,0),VLOOKUP(D176,'F30 mapping'!A:D,4,0))</f>
        <v/>
      </c>
      <c r="X176">
        <f>IF(B176&lt;6,IFERROR(VLOOKUP(E176,'BS Mapping std'!A:M,13,0),VLOOKUP(D176,'BS Mapping std'!A:M,13,0)),0)</f>
        <v/>
      </c>
      <c r="Y176">
        <f>IF(B176&lt;6,IFERROR(VLOOKUP(E176,'BS Mapping std'!A:N,14,0),VLOOKUP(D176,'BS Mapping std'!A:N,14,0)),0)</f>
        <v/>
      </c>
    </row>
    <row r="177" spans="1:25">
      <c r="A177">
        <f>IF(B177&lt;6,"BS",IF(B177=6,"Exp","Rev"))</f>
        <v/>
      </c>
      <c r="B177">
        <f>_xlfn.NUMBERVALUE(LEFT(F177,1))</f>
        <v/>
      </c>
      <c r="C177">
        <f>Left(F177,2)</f>
        <v/>
      </c>
      <c r="D177">
        <f>Left(F177,3)</f>
        <v/>
      </c>
      <c r="E177">
        <f>IF(F177="121",Left(F177,3)&amp;"0",Left(F177,4))</f>
        <v/>
      </c>
      <c r="F177" t="n">
        <v>60109996</v>
      </c>
      <c r="G177" t="s">
        <v>198</v>
      </c>
      <c r="H177" s="9" t="n">
        <v>0</v>
      </c>
      <c r="I177" s="9" t="n">
        <v>-482.71</v>
      </c>
      <c r="J177" s="9" t="n">
        <v>-482.71</v>
      </c>
      <c r="K177" s="9" t="n">
        <v>-482.71</v>
      </c>
      <c r="L177" s="9">
        <f>K177-H177</f>
        <v/>
      </c>
      <c r="M177" s="32">
        <f>IFERROR(L177/H177," ")</f>
        <v/>
      </c>
      <c r="N177">
        <f>IF(A177="BS",IFERROR(VLOOKUP(TRIM($E177),'BS Mapping std'!$A:$D,4,0),VLOOKUP(TRIM($D177),'BS Mapping std'!$A:$D,4,0)),IFERROR(VLOOKUP(TRIM($E177),'PL mapping Std'!$A:$D,4,0),VLOOKUP(TRIM($D177),'PL mapping Std'!$A:$D,4,0)))</f>
        <v/>
      </c>
      <c r="O177">
        <f>_xlfn.IFERROR(VLOOKUP(E177,'F30 mapping'!A:C,3,0),VLOOKUP(D177,'F30 mapping'!A:C,3,0))</f>
        <v/>
      </c>
      <c r="P177">
        <f>_xlfn.IFERROR(IFERROR(VLOOKUP(E177,'F40 mapping'!A:C,3,0),VLOOKUP(D177,'F40 mapping'!A:C,3,0)),0)</f>
        <v/>
      </c>
      <c r="Q177">
        <f>_xlfn.IFERROR(IFERROR(VLOOKUP(E177,'F40 mapping'!A:D,4,0),VLOOKUP(D177,'F40 mapping'!A:D,4,0)),0)</f>
        <v/>
      </c>
      <c r="R177">
        <f>_xlfn.IFERROR(IFERROR(VLOOKUP(E177,'F40 mapping'!A:E,5,0),VLOOKUP(D177,'F40 mapping'!A:E,5,0)),0)</f>
        <v/>
      </c>
      <c r="S177">
        <f>_xlfn.IF(B177&lt;6,IFERROR(VLOOKUP(E177,'BS Mapping std'!A:E,5,0),VLOOKUP(D177,'BS Mapping std'!A:E,5,0)),IFERROR(VLOOKUP(E177,'PL mapping Std'!A:F,6,0),VLOOKUP(D177,'PL mapping Std'!A:F,6,0)))</f>
        <v/>
      </c>
      <c r="T177">
        <f>_xlfn.IF(B177&lt;6,IFERROR(VLOOKUP(E177,'BS Mapping std'!A:F,6,0),VLOOKUP(D177,'BS Mapping std'!A:F,6,0)),IFERROR(VLOOKUP(E177,'PL mapping Std'!A:G,7,0),VLOOKUP(D177,'PL mapping Std'!A:G,7,0)))</f>
        <v/>
      </c>
      <c r="V177">
        <f>IF(IF(A177="BS",IFERROR(VLOOKUP(TRIM($E177),'BS Mapping std'!$A:$H,8,0),VLOOKUP(TRIM($D177),'BS Mapping std'!$A:$H,8,0)),IFERROR(VLOOKUP(TRIM($E177),'PL mapping Std'!$A:$E,5,0),VLOOKUP(TRIM($D177),'PL mapping Std'!$A:$E,5,0)))=0,"",IF(A177="BS",IFERROR(VLOOKUP(TRIM($E177),'BS Mapping std'!$A:$H,8,0),VLOOKUP(TRIM($D177),'BS Mapping std'!$A:$H,8,0)),IFERROR(VLOOKUP(TRIM($E177),'PL mapping Std'!$A:$E,5,0),VLOOKUP(TRIM($D177),'PL mapping Std'!$A:$E,5,0))))</f>
        <v/>
      </c>
      <c r="W177">
        <f>_xlfn.IFERROR(VLOOKUP(E177,'F30 mapping'!A:D,4,0),VLOOKUP(D177,'F30 mapping'!A:D,4,0))</f>
        <v/>
      </c>
      <c r="X177">
        <f>IF(B177&lt;6,IFERROR(VLOOKUP(E177,'BS Mapping std'!A:M,13,0),VLOOKUP(D177,'BS Mapping std'!A:M,13,0)),0)</f>
        <v/>
      </c>
      <c r="Y177">
        <f>IF(B177&lt;6,IFERROR(VLOOKUP(E177,'BS Mapping std'!A:N,14,0),VLOOKUP(D177,'BS Mapping std'!A:N,14,0)),0)</f>
        <v/>
      </c>
    </row>
    <row r="178" spans="1:25">
      <c r="A178">
        <f>IF(B178&lt;6,"BS",IF(B178=6,"Exp","Rev"))</f>
        <v/>
      </c>
      <c r="B178">
        <f>_xlfn.NUMBERVALUE(LEFT(F178,1))</f>
        <v/>
      </c>
      <c r="C178">
        <f>Left(F178,2)</f>
        <v/>
      </c>
      <c r="D178">
        <f>Left(F178,3)</f>
        <v/>
      </c>
      <c r="E178">
        <f>IF(F178="121",Left(F178,3)&amp;"0",Left(F178,4))</f>
        <v/>
      </c>
      <c r="F178" t="n">
        <v>60109997</v>
      </c>
      <c r="G178" t="s">
        <v>199</v>
      </c>
      <c r="H178" s="9" t="n">
        <v>5221.19</v>
      </c>
      <c r="I178" s="9" t="n">
        <v>3222.25</v>
      </c>
      <c r="J178" s="9" t="n">
        <v>3222.25</v>
      </c>
      <c r="K178" s="9" t="n">
        <v>3222.25</v>
      </c>
      <c r="L178" s="9">
        <f>K178-H178</f>
        <v/>
      </c>
      <c r="M178" s="32">
        <f>IFERROR(L178/H178," ")</f>
        <v/>
      </c>
      <c r="N178">
        <f>IF(A178="BS",IFERROR(VLOOKUP(TRIM($E178),'BS Mapping std'!$A:$D,4,0),VLOOKUP(TRIM($D178),'BS Mapping std'!$A:$D,4,0)),IFERROR(VLOOKUP(TRIM($E178),'PL mapping Std'!$A:$D,4,0),VLOOKUP(TRIM($D178),'PL mapping Std'!$A:$D,4,0)))</f>
        <v/>
      </c>
      <c r="O178">
        <f>_xlfn.IFERROR(VLOOKUP(E178,'F30 mapping'!A:C,3,0),VLOOKUP(D178,'F30 mapping'!A:C,3,0))</f>
        <v/>
      </c>
      <c r="P178">
        <f>_xlfn.IFERROR(IFERROR(VLOOKUP(E178,'F40 mapping'!A:C,3,0),VLOOKUP(D178,'F40 mapping'!A:C,3,0)),0)</f>
        <v/>
      </c>
      <c r="Q178">
        <f>_xlfn.IFERROR(IFERROR(VLOOKUP(E178,'F40 mapping'!A:D,4,0),VLOOKUP(D178,'F40 mapping'!A:D,4,0)),0)</f>
        <v/>
      </c>
      <c r="R178">
        <f>_xlfn.IFERROR(IFERROR(VLOOKUP(E178,'F40 mapping'!A:E,5,0),VLOOKUP(D178,'F40 mapping'!A:E,5,0)),0)</f>
        <v/>
      </c>
      <c r="S178">
        <f>_xlfn.IF(B178&lt;6,IFERROR(VLOOKUP(E178,'BS Mapping std'!A:E,5,0),VLOOKUP(D178,'BS Mapping std'!A:E,5,0)),IFERROR(VLOOKUP(E178,'PL mapping Std'!A:F,6,0),VLOOKUP(D178,'PL mapping Std'!A:F,6,0)))</f>
        <v/>
      </c>
      <c r="T178">
        <f>_xlfn.IF(B178&lt;6,IFERROR(VLOOKUP(E178,'BS Mapping std'!A:F,6,0),VLOOKUP(D178,'BS Mapping std'!A:F,6,0)),IFERROR(VLOOKUP(E178,'PL mapping Std'!A:G,7,0),VLOOKUP(D178,'PL mapping Std'!A:G,7,0)))</f>
        <v/>
      </c>
      <c r="V178">
        <f>IF(IF(A178="BS",IFERROR(VLOOKUP(TRIM($E178),'BS Mapping std'!$A:$H,8,0),VLOOKUP(TRIM($D178),'BS Mapping std'!$A:$H,8,0)),IFERROR(VLOOKUP(TRIM($E178),'PL mapping Std'!$A:$E,5,0),VLOOKUP(TRIM($D178),'PL mapping Std'!$A:$E,5,0)))=0,"",IF(A178="BS",IFERROR(VLOOKUP(TRIM($E178),'BS Mapping std'!$A:$H,8,0),VLOOKUP(TRIM($D178),'BS Mapping std'!$A:$H,8,0)),IFERROR(VLOOKUP(TRIM($E178),'PL mapping Std'!$A:$E,5,0),VLOOKUP(TRIM($D178),'PL mapping Std'!$A:$E,5,0))))</f>
        <v/>
      </c>
      <c r="W178">
        <f>_xlfn.IFERROR(VLOOKUP(E178,'F30 mapping'!A:D,4,0),VLOOKUP(D178,'F30 mapping'!A:D,4,0))</f>
        <v/>
      </c>
      <c r="X178">
        <f>IF(B178&lt;6,IFERROR(VLOOKUP(E178,'BS Mapping std'!A:M,13,0),VLOOKUP(D178,'BS Mapping std'!A:M,13,0)),0)</f>
        <v/>
      </c>
      <c r="Y178">
        <f>IF(B178&lt;6,IFERROR(VLOOKUP(E178,'BS Mapping std'!A:N,14,0),VLOOKUP(D178,'BS Mapping std'!A:N,14,0)),0)</f>
        <v/>
      </c>
    </row>
    <row r="179" spans="1:25">
      <c r="A179">
        <f>IF(B179&lt;6,"BS",IF(B179=6,"Exp","Rev"))</f>
        <v/>
      </c>
      <c r="B179">
        <f>_xlfn.NUMBERVALUE(LEFT(F179,1))</f>
        <v/>
      </c>
      <c r="C179">
        <f>Left(F179,2)</f>
        <v/>
      </c>
      <c r="D179">
        <f>Left(F179,3)</f>
        <v/>
      </c>
      <c r="E179">
        <f>IF(F179="121",Left(F179,3)&amp;"0",Left(F179,4))</f>
        <v/>
      </c>
      <c r="F179" t="n">
        <v>60109998</v>
      </c>
      <c r="G179" t="s">
        <v>200</v>
      </c>
      <c r="H179" s="9" t="n">
        <v>210683.23</v>
      </c>
      <c r="I179" s="9" t="n">
        <v>349956.2</v>
      </c>
      <c r="J179" s="9" t="n">
        <v>349956.2</v>
      </c>
      <c r="K179" s="9" t="n">
        <v>349956.2</v>
      </c>
      <c r="L179" s="9">
        <f>K179-H179</f>
        <v/>
      </c>
      <c r="M179" s="32">
        <f>IFERROR(L179/H179," ")</f>
        <v/>
      </c>
      <c r="N179">
        <f>IF(A179="BS",IFERROR(VLOOKUP(TRIM($E179),'BS Mapping std'!$A:$D,4,0),VLOOKUP(TRIM($D179),'BS Mapping std'!$A:$D,4,0)),IFERROR(VLOOKUP(TRIM($E179),'PL mapping Std'!$A:$D,4,0),VLOOKUP(TRIM($D179),'PL mapping Std'!$A:$D,4,0)))</f>
        <v/>
      </c>
      <c r="O179">
        <f>_xlfn.IFERROR(VLOOKUP(E179,'F30 mapping'!A:C,3,0),VLOOKUP(D179,'F30 mapping'!A:C,3,0))</f>
        <v/>
      </c>
      <c r="P179">
        <f>_xlfn.IFERROR(IFERROR(VLOOKUP(E179,'F40 mapping'!A:C,3,0),VLOOKUP(D179,'F40 mapping'!A:C,3,0)),0)</f>
        <v/>
      </c>
      <c r="Q179">
        <f>_xlfn.IFERROR(IFERROR(VLOOKUP(E179,'F40 mapping'!A:D,4,0),VLOOKUP(D179,'F40 mapping'!A:D,4,0)),0)</f>
        <v/>
      </c>
      <c r="R179">
        <f>_xlfn.IFERROR(IFERROR(VLOOKUP(E179,'F40 mapping'!A:E,5,0),VLOOKUP(D179,'F40 mapping'!A:E,5,0)),0)</f>
        <v/>
      </c>
      <c r="S179">
        <f>_xlfn.IF(B179&lt;6,IFERROR(VLOOKUP(E179,'BS Mapping std'!A:E,5,0),VLOOKUP(D179,'BS Mapping std'!A:E,5,0)),IFERROR(VLOOKUP(E179,'PL mapping Std'!A:F,6,0),VLOOKUP(D179,'PL mapping Std'!A:F,6,0)))</f>
        <v/>
      </c>
      <c r="T179">
        <f>_xlfn.IF(B179&lt;6,IFERROR(VLOOKUP(E179,'BS Mapping std'!A:F,6,0),VLOOKUP(D179,'BS Mapping std'!A:F,6,0)),IFERROR(VLOOKUP(E179,'PL mapping Std'!A:G,7,0),VLOOKUP(D179,'PL mapping Std'!A:G,7,0)))</f>
        <v/>
      </c>
      <c r="V179">
        <f>IF(IF(A179="BS",IFERROR(VLOOKUP(TRIM($E179),'BS Mapping std'!$A:$H,8,0),VLOOKUP(TRIM($D179),'BS Mapping std'!$A:$H,8,0)),IFERROR(VLOOKUP(TRIM($E179),'PL mapping Std'!$A:$E,5,0),VLOOKUP(TRIM($D179),'PL mapping Std'!$A:$E,5,0)))=0,"",IF(A179="BS",IFERROR(VLOOKUP(TRIM($E179),'BS Mapping std'!$A:$H,8,0),VLOOKUP(TRIM($D179),'BS Mapping std'!$A:$H,8,0)),IFERROR(VLOOKUP(TRIM($E179),'PL mapping Std'!$A:$E,5,0),VLOOKUP(TRIM($D179),'PL mapping Std'!$A:$E,5,0))))</f>
        <v/>
      </c>
      <c r="W179">
        <f>_xlfn.IFERROR(VLOOKUP(E179,'F30 mapping'!A:D,4,0),VLOOKUP(D179,'F30 mapping'!A:D,4,0))</f>
        <v/>
      </c>
      <c r="X179">
        <f>IF(B179&lt;6,IFERROR(VLOOKUP(E179,'BS Mapping std'!A:M,13,0),VLOOKUP(D179,'BS Mapping std'!A:M,13,0)),0)</f>
        <v/>
      </c>
      <c r="Y179">
        <f>IF(B179&lt;6,IFERROR(VLOOKUP(E179,'BS Mapping std'!A:N,14,0),VLOOKUP(D179,'BS Mapping std'!A:N,14,0)),0)</f>
        <v/>
      </c>
    </row>
    <row r="180" spans="1:25">
      <c r="A180">
        <f>IF(B180&lt;6,"BS",IF(B180=6,"Exp","Rev"))</f>
        <v/>
      </c>
      <c r="B180">
        <f>_xlfn.NUMBERVALUE(LEFT(F180,1))</f>
        <v/>
      </c>
      <c r="C180">
        <f>Left(F180,2)</f>
        <v/>
      </c>
      <c r="D180">
        <f>Left(F180,3)</f>
        <v/>
      </c>
      <c r="E180">
        <f>IF(F180="121",Left(F180,3)&amp;"0",Left(F180,4))</f>
        <v/>
      </c>
      <c r="F180" t="n">
        <v>60210010</v>
      </c>
      <c r="G180" t="s">
        <v>201</v>
      </c>
      <c r="H180" s="9" t="n">
        <v>15464068.17</v>
      </c>
      <c r="I180" s="9" t="n">
        <v>19243366.8</v>
      </c>
      <c r="J180" s="9" t="n">
        <v>19243366.8</v>
      </c>
      <c r="K180" s="9" t="n">
        <v>19243366.8</v>
      </c>
      <c r="L180" s="9">
        <f>K180-H180</f>
        <v/>
      </c>
      <c r="M180" s="32">
        <f>IFERROR(L180/H180," ")</f>
        <v/>
      </c>
      <c r="N180">
        <f>IF(A180="BS",IFERROR(VLOOKUP(TRIM($E180),'BS Mapping std'!$A:$D,4,0),VLOOKUP(TRIM($D180),'BS Mapping std'!$A:$D,4,0)),IFERROR(VLOOKUP(TRIM($E180),'PL mapping Std'!$A:$D,4,0),VLOOKUP(TRIM($D180),'PL mapping Std'!$A:$D,4,0)))</f>
        <v/>
      </c>
      <c r="O180">
        <f>_xlfn.IFERROR(VLOOKUP(E180,'F30 mapping'!A:C,3,0),VLOOKUP(D180,'F30 mapping'!A:C,3,0))</f>
        <v/>
      </c>
      <c r="P180">
        <f>_xlfn.IFERROR(IFERROR(VLOOKUP(E180,'F40 mapping'!A:C,3,0),VLOOKUP(D180,'F40 mapping'!A:C,3,0)),0)</f>
        <v/>
      </c>
      <c r="Q180">
        <f>_xlfn.IFERROR(IFERROR(VLOOKUP(E180,'F40 mapping'!A:D,4,0),VLOOKUP(D180,'F40 mapping'!A:D,4,0)),0)</f>
        <v/>
      </c>
      <c r="R180">
        <f>_xlfn.IFERROR(IFERROR(VLOOKUP(E180,'F40 mapping'!A:E,5,0),VLOOKUP(D180,'F40 mapping'!A:E,5,0)),0)</f>
        <v/>
      </c>
      <c r="S180">
        <f>_xlfn.IF(B180&lt;6,IFERROR(VLOOKUP(E180,'BS Mapping std'!A:E,5,0),VLOOKUP(D180,'BS Mapping std'!A:E,5,0)),IFERROR(VLOOKUP(E180,'PL mapping Std'!A:F,6,0),VLOOKUP(D180,'PL mapping Std'!A:F,6,0)))</f>
        <v/>
      </c>
      <c r="T180">
        <f>_xlfn.IF(B180&lt;6,IFERROR(VLOOKUP(E180,'BS Mapping std'!A:F,6,0),VLOOKUP(D180,'BS Mapping std'!A:F,6,0)),IFERROR(VLOOKUP(E180,'PL mapping Std'!A:G,7,0),VLOOKUP(D180,'PL mapping Std'!A:G,7,0)))</f>
        <v/>
      </c>
      <c r="V180">
        <f>IF(IF(A180="BS",IFERROR(VLOOKUP(TRIM($E180),'BS Mapping std'!$A:$H,8,0),VLOOKUP(TRIM($D180),'BS Mapping std'!$A:$H,8,0)),IFERROR(VLOOKUP(TRIM($E180),'PL mapping Std'!$A:$E,5,0),VLOOKUP(TRIM($D180),'PL mapping Std'!$A:$E,5,0)))=0,"",IF(A180="BS",IFERROR(VLOOKUP(TRIM($E180),'BS Mapping std'!$A:$H,8,0),VLOOKUP(TRIM($D180),'BS Mapping std'!$A:$H,8,0)),IFERROR(VLOOKUP(TRIM($E180),'PL mapping Std'!$A:$E,5,0),VLOOKUP(TRIM($D180),'PL mapping Std'!$A:$E,5,0))))</f>
        <v/>
      </c>
      <c r="W180">
        <f>_xlfn.IFERROR(VLOOKUP(E180,'F30 mapping'!A:D,4,0),VLOOKUP(D180,'F30 mapping'!A:D,4,0))</f>
        <v/>
      </c>
      <c r="X180">
        <f>IF(B180&lt;6,IFERROR(VLOOKUP(E180,'BS Mapping std'!A:M,13,0),VLOOKUP(D180,'BS Mapping std'!A:M,13,0)),0)</f>
        <v/>
      </c>
      <c r="Y180">
        <f>IF(B180&lt;6,IFERROR(VLOOKUP(E180,'BS Mapping std'!A:N,14,0),VLOOKUP(D180,'BS Mapping std'!A:N,14,0)),0)</f>
        <v/>
      </c>
    </row>
    <row r="181" spans="1:25">
      <c r="A181">
        <f>IF(B181&lt;6,"BS",IF(B181=6,"Exp","Rev"))</f>
        <v/>
      </c>
      <c r="B181">
        <f>_xlfn.NUMBERVALUE(LEFT(F181,1))</f>
        <v/>
      </c>
      <c r="C181">
        <f>Left(F181,2)</f>
        <v/>
      </c>
      <c r="D181">
        <f>Left(F181,3)</f>
        <v/>
      </c>
      <c r="E181">
        <f>IF(F181="121",Left(F181,3)&amp;"0",Left(F181,4))</f>
        <v/>
      </c>
      <c r="F181" t="n">
        <v>60210020</v>
      </c>
      <c r="G181" t="s">
        <v>202</v>
      </c>
      <c r="H181" s="9" t="n">
        <v>102105.09</v>
      </c>
      <c r="I181" s="9" t="n">
        <v>52043.06</v>
      </c>
      <c r="J181" s="9" t="n">
        <v>52043.06</v>
      </c>
      <c r="K181" s="9" t="n">
        <v>52043.06</v>
      </c>
      <c r="L181" s="9">
        <f>K181-H181</f>
        <v/>
      </c>
      <c r="M181" s="32">
        <f>IFERROR(L181/H181," ")</f>
        <v/>
      </c>
      <c r="N181">
        <f>IF(A181="BS",IFERROR(VLOOKUP(TRIM($E181),'BS Mapping std'!$A:$D,4,0),VLOOKUP(TRIM($D181),'BS Mapping std'!$A:$D,4,0)),IFERROR(VLOOKUP(TRIM($E181),'PL mapping Std'!$A:$D,4,0),VLOOKUP(TRIM($D181),'PL mapping Std'!$A:$D,4,0)))</f>
        <v/>
      </c>
      <c r="O181">
        <f>_xlfn.IFERROR(VLOOKUP(E181,'F30 mapping'!A:C,3,0),VLOOKUP(D181,'F30 mapping'!A:C,3,0))</f>
        <v/>
      </c>
      <c r="P181">
        <f>_xlfn.IFERROR(IFERROR(VLOOKUP(E181,'F40 mapping'!A:C,3,0),VLOOKUP(D181,'F40 mapping'!A:C,3,0)),0)</f>
        <v/>
      </c>
      <c r="Q181">
        <f>_xlfn.IFERROR(IFERROR(VLOOKUP(E181,'F40 mapping'!A:D,4,0),VLOOKUP(D181,'F40 mapping'!A:D,4,0)),0)</f>
        <v/>
      </c>
      <c r="R181">
        <f>_xlfn.IFERROR(IFERROR(VLOOKUP(E181,'F40 mapping'!A:E,5,0),VLOOKUP(D181,'F40 mapping'!A:E,5,0)),0)</f>
        <v/>
      </c>
      <c r="S181">
        <f>_xlfn.IF(B181&lt;6,IFERROR(VLOOKUP(E181,'BS Mapping std'!A:E,5,0),VLOOKUP(D181,'BS Mapping std'!A:E,5,0)),IFERROR(VLOOKUP(E181,'PL mapping Std'!A:F,6,0),VLOOKUP(D181,'PL mapping Std'!A:F,6,0)))</f>
        <v/>
      </c>
      <c r="T181">
        <f>_xlfn.IF(B181&lt;6,IFERROR(VLOOKUP(E181,'BS Mapping std'!A:F,6,0),VLOOKUP(D181,'BS Mapping std'!A:F,6,0)),IFERROR(VLOOKUP(E181,'PL mapping Std'!A:G,7,0),VLOOKUP(D181,'PL mapping Std'!A:G,7,0)))</f>
        <v/>
      </c>
      <c r="V181">
        <f>IF(IF(A181="BS",IFERROR(VLOOKUP(TRIM($E181),'BS Mapping std'!$A:$H,8,0),VLOOKUP(TRIM($D181),'BS Mapping std'!$A:$H,8,0)),IFERROR(VLOOKUP(TRIM($E181),'PL mapping Std'!$A:$E,5,0),VLOOKUP(TRIM($D181),'PL mapping Std'!$A:$E,5,0)))=0,"",IF(A181="BS",IFERROR(VLOOKUP(TRIM($E181),'BS Mapping std'!$A:$H,8,0),VLOOKUP(TRIM($D181),'BS Mapping std'!$A:$H,8,0)),IFERROR(VLOOKUP(TRIM($E181),'PL mapping Std'!$A:$E,5,0),VLOOKUP(TRIM($D181),'PL mapping Std'!$A:$E,5,0))))</f>
        <v/>
      </c>
      <c r="W181">
        <f>_xlfn.IFERROR(VLOOKUP(E181,'F30 mapping'!A:D,4,0),VLOOKUP(D181,'F30 mapping'!A:D,4,0))</f>
        <v/>
      </c>
      <c r="X181">
        <f>IF(B181&lt;6,IFERROR(VLOOKUP(E181,'BS Mapping std'!A:M,13,0),VLOOKUP(D181,'BS Mapping std'!A:M,13,0)),0)</f>
        <v/>
      </c>
      <c r="Y181">
        <f>IF(B181&lt;6,IFERROR(VLOOKUP(E181,'BS Mapping std'!A:N,14,0),VLOOKUP(D181,'BS Mapping std'!A:N,14,0)),0)</f>
        <v/>
      </c>
    </row>
    <row r="182" spans="1:25">
      <c r="A182">
        <f>IF(B182&lt;6,"BS",IF(B182=6,"Exp","Rev"))</f>
        <v/>
      </c>
      <c r="B182">
        <f>_xlfn.NUMBERVALUE(LEFT(F182,1))</f>
        <v/>
      </c>
      <c r="C182">
        <f>Left(F182,2)</f>
        <v/>
      </c>
      <c r="D182">
        <f>Left(F182,3)</f>
        <v/>
      </c>
      <c r="E182">
        <f>IF(F182="121",Left(F182,3)&amp;"0",Left(F182,4))</f>
        <v/>
      </c>
      <c r="F182" t="n">
        <v>60219995</v>
      </c>
      <c r="G182" t="s">
        <v>203</v>
      </c>
      <c r="H182" s="9" t="n">
        <v>51.69</v>
      </c>
      <c r="I182" s="9" t="n">
        <v>30961.58</v>
      </c>
      <c r="J182" s="9" t="n">
        <v>30961.58</v>
      </c>
      <c r="K182" s="9" t="n">
        <v>30961.58</v>
      </c>
      <c r="L182" s="9">
        <f>K182-H182</f>
        <v/>
      </c>
      <c r="M182" s="32">
        <f>IFERROR(L182/H182," ")</f>
        <v/>
      </c>
      <c r="N182">
        <f>IF(A182="BS",IFERROR(VLOOKUP(TRIM($E182),'BS Mapping std'!$A:$D,4,0),VLOOKUP(TRIM($D182),'BS Mapping std'!$A:$D,4,0)),IFERROR(VLOOKUP(TRIM($E182),'PL mapping Std'!$A:$D,4,0),VLOOKUP(TRIM($D182),'PL mapping Std'!$A:$D,4,0)))</f>
        <v/>
      </c>
      <c r="O182">
        <f>_xlfn.IFERROR(VLOOKUP(E182,'F30 mapping'!A:C,3,0),VLOOKUP(D182,'F30 mapping'!A:C,3,0))</f>
        <v/>
      </c>
      <c r="P182">
        <f>_xlfn.IFERROR(IFERROR(VLOOKUP(E182,'F40 mapping'!A:C,3,0),VLOOKUP(D182,'F40 mapping'!A:C,3,0)),0)</f>
        <v/>
      </c>
      <c r="Q182">
        <f>_xlfn.IFERROR(IFERROR(VLOOKUP(E182,'F40 mapping'!A:D,4,0),VLOOKUP(D182,'F40 mapping'!A:D,4,0)),0)</f>
        <v/>
      </c>
      <c r="R182">
        <f>_xlfn.IFERROR(IFERROR(VLOOKUP(E182,'F40 mapping'!A:E,5,0),VLOOKUP(D182,'F40 mapping'!A:E,5,0)),0)</f>
        <v/>
      </c>
      <c r="S182">
        <f>_xlfn.IF(B182&lt;6,IFERROR(VLOOKUP(E182,'BS Mapping std'!A:E,5,0),VLOOKUP(D182,'BS Mapping std'!A:E,5,0)),IFERROR(VLOOKUP(E182,'PL mapping Std'!A:F,6,0),VLOOKUP(D182,'PL mapping Std'!A:F,6,0)))</f>
        <v/>
      </c>
      <c r="T182">
        <f>_xlfn.IF(B182&lt;6,IFERROR(VLOOKUP(E182,'BS Mapping std'!A:F,6,0),VLOOKUP(D182,'BS Mapping std'!A:F,6,0)),IFERROR(VLOOKUP(E182,'PL mapping Std'!A:G,7,0),VLOOKUP(D182,'PL mapping Std'!A:G,7,0)))</f>
        <v/>
      </c>
      <c r="V182">
        <f>IF(IF(A182="BS",IFERROR(VLOOKUP(TRIM($E182),'BS Mapping std'!$A:$H,8,0),VLOOKUP(TRIM($D182),'BS Mapping std'!$A:$H,8,0)),IFERROR(VLOOKUP(TRIM($E182),'PL mapping Std'!$A:$E,5,0),VLOOKUP(TRIM($D182),'PL mapping Std'!$A:$E,5,0)))=0,"",IF(A182="BS",IFERROR(VLOOKUP(TRIM($E182),'BS Mapping std'!$A:$H,8,0),VLOOKUP(TRIM($D182),'BS Mapping std'!$A:$H,8,0)),IFERROR(VLOOKUP(TRIM($E182),'PL mapping Std'!$A:$E,5,0),VLOOKUP(TRIM($D182),'PL mapping Std'!$A:$E,5,0))))</f>
        <v/>
      </c>
      <c r="W182">
        <f>_xlfn.IFERROR(VLOOKUP(E182,'F30 mapping'!A:D,4,0),VLOOKUP(D182,'F30 mapping'!A:D,4,0))</f>
        <v/>
      </c>
      <c r="X182">
        <f>IF(B182&lt;6,IFERROR(VLOOKUP(E182,'BS Mapping std'!A:M,13,0),VLOOKUP(D182,'BS Mapping std'!A:M,13,0)),0)</f>
        <v/>
      </c>
      <c r="Y182">
        <f>IF(B182&lt;6,IFERROR(VLOOKUP(E182,'BS Mapping std'!A:N,14,0),VLOOKUP(D182,'BS Mapping std'!A:N,14,0)),0)</f>
        <v/>
      </c>
    </row>
    <row r="183" spans="1:25">
      <c r="A183">
        <f>IF(B183&lt;6,"BS",IF(B183=6,"Exp","Rev"))</f>
        <v/>
      </c>
      <c r="B183">
        <f>_xlfn.NUMBERVALUE(LEFT(F183,1))</f>
        <v/>
      </c>
      <c r="C183">
        <f>Left(F183,2)</f>
        <v/>
      </c>
      <c r="D183">
        <f>Left(F183,3)</f>
        <v/>
      </c>
      <c r="E183">
        <f>IF(F183="121",Left(F183,3)&amp;"0",Left(F183,4))</f>
        <v/>
      </c>
      <c r="F183" t="n">
        <v>60219996</v>
      </c>
      <c r="G183" t="s">
        <v>204</v>
      </c>
      <c r="H183" s="9" t="n">
        <v>-5225.88</v>
      </c>
      <c r="I183" s="9" t="n">
        <v>-2193.12</v>
      </c>
      <c r="J183" s="9" t="n">
        <v>-2193.12</v>
      </c>
      <c r="K183" s="9" t="n">
        <v>-2193.12</v>
      </c>
      <c r="L183" s="9">
        <f>K183-H183</f>
        <v/>
      </c>
      <c r="M183" s="32">
        <f>IFERROR(L183/H183," ")</f>
        <v/>
      </c>
      <c r="N183">
        <f>IF(A183="BS",IFERROR(VLOOKUP(TRIM($E183),'BS Mapping std'!$A:$D,4,0),VLOOKUP(TRIM($D183),'BS Mapping std'!$A:$D,4,0)),IFERROR(VLOOKUP(TRIM($E183),'PL mapping Std'!$A:$D,4,0),VLOOKUP(TRIM($D183),'PL mapping Std'!$A:$D,4,0)))</f>
        <v/>
      </c>
      <c r="O183">
        <f>_xlfn.IFERROR(VLOOKUP(E183,'F30 mapping'!A:C,3,0),VLOOKUP(D183,'F30 mapping'!A:C,3,0))</f>
        <v/>
      </c>
      <c r="P183">
        <f>_xlfn.IFERROR(IFERROR(VLOOKUP(E183,'F40 mapping'!A:C,3,0),VLOOKUP(D183,'F40 mapping'!A:C,3,0)),0)</f>
        <v/>
      </c>
      <c r="Q183">
        <f>_xlfn.IFERROR(IFERROR(VLOOKUP(E183,'F40 mapping'!A:D,4,0),VLOOKUP(D183,'F40 mapping'!A:D,4,0)),0)</f>
        <v/>
      </c>
      <c r="R183">
        <f>_xlfn.IFERROR(IFERROR(VLOOKUP(E183,'F40 mapping'!A:E,5,0),VLOOKUP(D183,'F40 mapping'!A:E,5,0)),0)</f>
        <v/>
      </c>
      <c r="S183">
        <f>_xlfn.IF(B183&lt;6,IFERROR(VLOOKUP(E183,'BS Mapping std'!A:E,5,0),VLOOKUP(D183,'BS Mapping std'!A:E,5,0)),IFERROR(VLOOKUP(E183,'PL mapping Std'!A:F,6,0),VLOOKUP(D183,'PL mapping Std'!A:F,6,0)))</f>
        <v/>
      </c>
      <c r="T183">
        <f>_xlfn.IF(B183&lt;6,IFERROR(VLOOKUP(E183,'BS Mapping std'!A:F,6,0),VLOOKUP(D183,'BS Mapping std'!A:F,6,0)),IFERROR(VLOOKUP(E183,'PL mapping Std'!A:G,7,0),VLOOKUP(D183,'PL mapping Std'!A:G,7,0)))</f>
        <v/>
      </c>
      <c r="V183">
        <f>IF(IF(A183="BS",IFERROR(VLOOKUP(TRIM($E183),'BS Mapping std'!$A:$H,8,0),VLOOKUP(TRIM($D183),'BS Mapping std'!$A:$H,8,0)),IFERROR(VLOOKUP(TRIM($E183),'PL mapping Std'!$A:$E,5,0),VLOOKUP(TRIM($D183),'PL mapping Std'!$A:$E,5,0)))=0,"",IF(A183="BS",IFERROR(VLOOKUP(TRIM($E183),'BS Mapping std'!$A:$H,8,0),VLOOKUP(TRIM($D183),'BS Mapping std'!$A:$H,8,0)),IFERROR(VLOOKUP(TRIM($E183),'PL mapping Std'!$A:$E,5,0),VLOOKUP(TRIM($D183),'PL mapping Std'!$A:$E,5,0))))</f>
        <v/>
      </c>
      <c r="W183">
        <f>_xlfn.IFERROR(VLOOKUP(E183,'F30 mapping'!A:D,4,0),VLOOKUP(D183,'F30 mapping'!A:D,4,0))</f>
        <v/>
      </c>
      <c r="X183">
        <f>IF(B183&lt;6,IFERROR(VLOOKUP(E183,'BS Mapping std'!A:M,13,0),VLOOKUP(D183,'BS Mapping std'!A:M,13,0)),0)</f>
        <v/>
      </c>
      <c r="Y183">
        <f>IF(B183&lt;6,IFERROR(VLOOKUP(E183,'BS Mapping std'!A:N,14,0),VLOOKUP(D183,'BS Mapping std'!A:N,14,0)),0)</f>
        <v/>
      </c>
    </row>
    <row r="184" spans="1:25">
      <c r="A184">
        <f>IF(B184&lt;6,"BS",IF(B184=6,"Exp","Rev"))</f>
        <v/>
      </c>
      <c r="B184">
        <f>_xlfn.NUMBERVALUE(LEFT(F184,1))</f>
        <v/>
      </c>
      <c r="C184">
        <f>Left(F184,2)</f>
        <v/>
      </c>
      <c r="D184">
        <f>Left(F184,3)</f>
        <v/>
      </c>
      <c r="E184">
        <f>IF(F184="121",Left(F184,3)&amp;"0",Left(F184,4))</f>
        <v/>
      </c>
      <c r="F184" t="n">
        <v>60219997</v>
      </c>
      <c r="G184" t="s">
        <v>205</v>
      </c>
      <c r="H184" s="9" t="n">
        <v>16659.95</v>
      </c>
      <c r="I184" s="9" t="n">
        <v>1342.71</v>
      </c>
      <c r="J184" s="9" t="n">
        <v>1342.71</v>
      </c>
      <c r="K184" s="9" t="n">
        <v>1342.71</v>
      </c>
      <c r="L184" s="9">
        <f>K184-H184</f>
        <v/>
      </c>
      <c r="M184" s="32">
        <f>IFERROR(L184/H184," ")</f>
        <v/>
      </c>
      <c r="N184">
        <f>IF(A184="BS",IFERROR(VLOOKUP(TRIM($E184),'BS Mapping std'!$A:$D,4,0),VLOOKUP(TRIM($D184),'BS Mapping std'!$A:$D,4,0)),IFERROR(VLOOKUP(TRIM($E184),'PL mapping Std'!$A:$D,4,0),VLOOKUP(TRIM($D184),'PL mapping Std'!$A:$D,4,0)))</f>
        <v/>
      </c>
      <c r="O184">
        <f>_xlfn.IFERROR(VLOOKUP(E184,'F30 mapping'!A:C,3,0),VLOOKUP(D184,'F30 mapping'!A:C,3,0))</f>
        <v/>
      </c>
      <c r="P184">
        <f>_xlfn.IFERROR(IFERROR(VLOOKUP(E184,'F40 mapping'!A:C,3,0),VLOOKUP(D184,'F40 mapping'!A:C,3,0)),0)</f>
        <v/>
      </c>
      <c r="Q184">
        <f>_xlfn.IFERROR(IFERROR(VLOOKUP(E184,'F40 mapping'!A:D,4,0),VLOOKUP(D184,'F40 mapping'!A:D,4,0)),0)</f>
        <v/>
      </c>
      <c r="R184">
        <f>_xlfn.IFERROR(IFERROR(VLOOKUP(E184,'F40 mapping'!A:E,5,0),VLOOKUP(D184,'F40 mapping'!A:E,5,0)),0)</f>
        <v/>
      </c>
      <c r="S184">
        <f>_xlfn.IF(B184&lt;6,IFERROR(VLOOKUP(E184,'BS Mapping std'!A:E,5,0),VLOOKUP(D184,'BS Mapping std'!A:E,5,0)),IFERROR(VLOOKUP(E184,'PL mapping Std'!A:F,6,0),VLOOKUP(D184,'PL mapping Std'!A:F,6,0)))</f>
        <v/>
      </c>
      <c r="T184">
        <f>_xlfn.IF(B184&lt;6,IFERROR(VLOOKUP(E184,'BS Mapping std'!A:F,6,0),VLOOKUP(D184,'BS Mapping std'!A:F,6,0)),IFERROR(VLOOKUP(E184,'PL mapping Std'!A:G,7,0),VLOOKUP(D184,'PL mapping Std'!A:G,7,0)))</f>
        <v/>
      </c>
      <c r="V184">
        <f>IF(IF(A184="BS",IFERROR(VLOOKUP(TRIM($E184),'BS Mapping std'!$A:$H,8,0),VLOOKUP(TRIM($D184),'BS Mapping std'!$A:$H,8,0)),IFERROR(VLOOKUP(TRIM($E184),'PL mapping Std'!$A:$E,5,0),VLOOKUP(TRIM($D184),'PL mapping Std'!$A:$E,5,0)))=0,"",IF(A184="BS",IFERROR(VLOOKUP(TRIM($E184),'BS Mapping std'!$A:$H,8,0),VLOOKUP(TRIM($D184),'BS Mapping std'!$A:$H,8,0)),IFERROR(VLOOKUP(TRIM($E184),'PL mapping Std'!$A:$E,5,0),VLOOKUP(TRIM($D184),'PL mapping Std'!$A:$E,5,0))))</f>
        <v/>
      </c>
      <c r="W184">
        <f>_xlfn.IFERROR(VLOOKUP(E184,'F30 mapping'!A:D,4,0),VLOOKUP(D184,'F30 mapping'!A:D,4,0))</f>
        <v/>
      </c>
      <c r="X184">
        <f>IF(B184&lt;6,IFERROR(VLOOKUP(E184,'BS Mapping std'!A:M,13,0),VLOOKUP(D184,'BS Mapping std'!A:M,13,0)),0)</f>
        <v/>
      </c>
      <c r="Y184">
        <f>IF(B184&lt;6,IFERROR(VLOOKUP(E184,'BS Mapping std'!A:N,14,0),VLOOKUP(D184,'BS Mapping std'!A:N,14,0)),0)</f>
        <v/>
      </c>
    </row>
    <row r="185" spans="1:25">
      <c r="A185">
        <f>IF(B185&lt;6,"BS",IF(B185=6,"Exp","Rev"))</f>
        <v/>
      </c>
      <c r="B185">
        <f>_xlfn.NUMBERVALUE(LEFT(F185,1))</f>
        <v/>
      </c>
      <c r="C185">
        <f>Left(F185,2)</f>
        <v/>
      </c>
      <c r="D185">
        <f>Left(F185,3)</f>
        <v/>
      </c>
      <c r="E185">
        <f>IF(F185="121",Left(F185,3)&amp;"0",Left(F185,4))</f>
        <v/>
      </c>
      <c r="F185" t="n">
        <v>60219998</v>
      </c>
      <c r="G185" t="s">
        <v>206</v>
      </c>
      <c r="H185" s="9" t="n">
        <v>-71.52</v>
      </c>
      <c r="I185" s="9" t="n">
        <v>-351.8</v>
      </c>
      <c r="J185" s="9" t="n">
        <v>-351.8</v>
      </c>
      <c r="K185" s="9" t="n">
        <v>-351.8</v>
      </c>
      <c r="L185" s="9">
        <f>K185-H185</f>
        <v/>
      </c>
      <c r="M185" s="32">
        <f>IFERROR(L185/H185," ")</f>
        <v/>
      </c>
      <c r="N185">
        <f>IF(A185="BS",IFERROR(VLOOKUP(TRIM($E185),'BS Mapping std'!$A:$D,4,0),VLOOKUP(TRIM($D185),'BS Mapping std'!$A:$D,4,0)),IFERROR(VLOOKUP(TRIM($E185),'PL mapping Std'!$A:$D,4,0),VLOOKUP(TRIM($D185),'PL mapping Std'!$A:$D,4,0)))</f>
        <v/>
      </c>
      <c r="O185">
        <f>_xlfn.IFERROR(VLOOKUP(E185,'F30 mapping'!A:C,3,0),VLOOKUP(D185,'F30 mapping'!A:C,3,0))</f>
        <v/>
      </c>
      <c r="P185">
        <f>_xlfn.IFERROR(IFERROR(VLOOKUP(E185,'F40 mapping'!A:C,3,0),VLOOKUP(D185,'F40 mapping'!A:C,3,0)),0)</f>
        <v/>
      </c>
      <c r="Q185">
        <f>_xlfn.IFERROR(IFERROR(VLOOKUP(E185,'F40 mapping'!A:D,4,0),VLOOKUP(D185,'F40 mapping'!A:D,4,0)),0)</f>
        <v/>
      </c>
      <c r="R185">
        <f>_xlfn.IFERROR(IFERROR(VLOOKUP(E185,'F40 mapping'!A:E,5,0),VLOOKUP(D185,'F40 mapping'!A:E,5,0)),0)</f>
        <v/>
      </c>
      <c r="S185">
        <f>_xlfn.IF(B185&lt;6,IFERROR(VLOOKUP(E185,'BS Mapping std'!A:E,5,0),VLOOKUP(D185,'BS Mapping std'!A:E,5,0)),IFERROR(VLOOKUP(E185,'PL mapping Std'!A:F,6,0),VLOOKUP(D185,'PL mapping Std'!A:F,6,0)))</f>
        <v/>
      </c>
      <c r="T185">
        <f>_xlfn.IF(B185&lt;6,IFERROR(VLOOKUP(E185,'BS Mapping std'!A:F,6,0),VLOOKUP(D185,'BS Mapping std'!A:F,6,0)),IFERROR(VLOOKUP(E185,'PL mapping Std'!A:G,7,0),VLOOKUP(D185,'PL mapping Std'!A:G,7,0)))</f>
        <v/>
      </c>
      <c r="V185">
        <f>IF(IF(A185="BS",IFERROR(VLOOKUP(TRIM($E185),'BS Mapping std'!$A:$H,8,0),VLOOKUP(TRIM($D185),'BS Mapping std'!$A:$H,8,0)),IFERROR(VLOOKUP(TRIM($E185),'PL mapping Std'!$A:$E,5,0),VLOOKUP(TRIM($D185),'PL mapping Std'!$A:$E,5,0)))=0,"",IF(A185="BS",IFERROR(VLOOKUP(TRIM($E185),'BS Mapping std'!$A:$H,8,0),VLOOKUP(TRIM($D185),'BS Mapping std'!$A:$H,8,0)),IFERROR(VLOOKUP(TRIM($E185),'PL mapping Std'!$A:$E,5,0),VLOOKUP(TRIM($D185),'PL mapping Std'!$A:$E,5,0))))</f>
        <v/>
      </c>
      <c r="W185">
        <f>_xlfn.IFERROR(VLOOKUP(E185,'F30 mapping'!A:D,4,0),VLOOKUP(D185,'F30 mapping'!A:D,4,0))</f>
        <v/>
      </c>
      <c r="X185">
        <f>IF(B185&lt;6,IFERROR(VLOOKUP(E185,'BS Mapping std'!A:M,13,0),VLOOKUP(D185,'BS Mapping std'!A:M,13,0)),0)</f>
        <v/>
      </c>
      <c r="Y185">
        <f>IF(B185&lt;6,IFERROR(VLOOKUP(E185,'BS Mapping std'!A:N,14,0),VLOOKUP(D185,'BS Mapping std'!A:N,14,0)),0)</f>
        <v/>
      </c>
    </row>
    <row r="186" spans="1:25">
      <c r="A186">
        <f>IF(B186&lt;6,"BS",IF(B186=6,"Exp","Rev"))</f>
        <v/>
      </c>
      <c r="B186">
        <f>_xlfn.NUMBERVALUE(LEFT(F186,1))</f>
        <v/>
      </c>
      <c r="C186">
        <f>Left(F186,2)</f>
        <v/>
      </c>
      <c r="D186">
        <f>Left(F186,3)</f>
        <v/>
      </c>
      <c r="E186">
        <f>IF(F186="121",Left(F186,3)&amp;"0",Left(F186,4))</f>
        <v/>
      </c>
      <c r="F186" t="n">
        <v>60219999</v>
      </c>
      <c r="G186" t="s">
        <v>207</v>
      </c>
      <c r="H186" s="9" t="n">
        <v>1252.42</v>
      </c>
      <c r="I186" s="9" t="n">
        <v>55.93</v>
      </c>
      <c r="J186" s="9" t="n">
        <v>55.93</v>
      </c>
      <c r="K186" s="9" t="n">
        <v>55.93</v>
      </c>
      <c r="L186" s="9">
        <f>K186-H186</f>
        <v/>
      </c>
      <c r="M186" s="32">
        <f>IFERROR(L186/H186," ")</f>
        <v/>
      </c>
      <c r="N186">
        <f>IF(A186="BS",IFERROR(VLOOKUP(TRIM($E186),'BS Mapping std'!$A:$D,4,0),VLOOKUP(TRIM($D186),'BS Mapping std'!$A:$D,4,0)),IFERROR(VLOOKUP(TRIM($E186),'PL mapping Std'!$A:$D,4,0),VLOOKUP(TRIM($D186),'PL mapping Std'!$A:$D,4,0)))</f>
        <v/>
      </c>
      <c r="O186">
        <f>_xlfn.IFERROR(VLOOKUP(E186,'F30 mapping'!A:C,3,0),VLOOKUP(D186,'F30 mapping'!A:C,3,0))</f>
        <v/>
      </c>
      <c r="P186">
        <f>_xlfn.IFERROR(IFERROR(VLOOKUP(E186,'F40 mapping'!A:C,3,0),VLOOKUP(D186,'F40 mapping'!A:C,3,0)),0)</f>
        <v/>
      </c>
      <c r="Q186">
        <f>_xlfn.IFERROR(IFERROR(VLOOKUP(E186,'F40 mapping'!A:D,4,0),VLOOKUP(D186,'F40 mapping'!A:D,4,0)),0)</f>
        <v/>
      </c>
      <c r="R186">
        <f>_xlfn.IFERROR(IFERROR(VLOOKUP(E186,'F40 mapping'!A:E,5,0),VLOOKUP(D186,'F40 mapping'!A:E,5,0)),0)</f>
        <v/>
      </c>
      <c r="S186">
        <f>_xlfn.IF(B186&lt;6,IFERROR(VLOOKUP(E186,'BS Mapping std'!A:E,5,0),VLOOKUP(D186,'BS Mapping std'!A:E,5,0)),IFERROR(VLOOKUP(E186,'PL mapping Std'!A:F,6,0),VLOOKUP(D186,'PL mapping Std'!A:F,6,0)))</f>
        <v/>
      </c>
      <c r="T186">
        <f>_xlfn.IF(B186&lt;6,IFERROR(VLOOKUP(E186,'BS Mapping std'!A:F,6,0),VLOOKUP(D186,'BS Mapping std'!A:F,6,0)),IFERROR(VLOOKUP(E186,'PL mapping Std'!A:G,7,0),VLOOKUP(D186,'PL mapping Std'!A:G,7,0)))</f>
        <v/>
      </c>
      <c r="V186">
        <f>IF(IF(A186="BS",IFERROR(VLOOKUP(TRIM($E186),'BS Mapping std'!$A:$H,8,0),VLOOKUP(TRIM($D186),'BS Mapping std'!$A:$H,8,0)),IFERROR(VLOOKUP(TRIM($E186),'PL mapping Std'!$A:$E,5,0),VLOOKUP(TRIM($D186),'PL mapping Std'!$A:$E,5,0)))=0,"",IF(A186="BS",IFERROR(VLOOKUP(TRIM($E186),'BS Mapping std'!$A:$H,8,0),VLOOKUP(TRIM($D186),'BS Mapping std'!$A:$H,8,0)),IFERROR(VLOOKUP(TRIM($E186),'PL mapping Std'!$A:$E,5,0),VLOOKUP(TRIM($D186),'PL mapping Std'!$A:$E,5,0))))</f>
        <v/>
      </c>
      <c r="W186">
        <f>_xlfn.IFERROR(VLOOKUP(E186,'F30 mapping'!A:D,4,0),VLOOKUP(D186,'F30 mapping'!A:D,4,0))</f>
        <v/>
      </c>
      <c r="X186">
        <f>IF(B186&lt;6,IFERROR(VLOOKUP(E186,'BS Mapping std'!A:M,13,0),VLOOKUP(D186,'BS Mapping std'!A:M,13,0)),0)</f>
        <v/>
      </c>
      <c r="Y186">
        <f>IF(B186&lt;6,IFERROR(VLOOKUP(E186,'BS Mapping std'!A:N,14,0),VLOOKUP(D186,'BS Mapping std'!A:N,14,0)),0)</f>
        <v/>
      </c>
    </row>
    <row r="187" spans="1:25">
      <c r="A187">
        <f>IF(B187&lt;6,"BS",IF(B187=6,"Exp","Rev"))</f>
        <v/>
      </c>
      <c r="B187">
        <f>_xlfn.NUMBERVALUE(LEFT(F187,1))</f>
        <v/>
      </c>
      <c r="C187">
        <f>Left(F187,2)</f>
        <v/>
      </c>
      <c r="D187">
        <f>Left(F187,3)</f>
        <v/>
      </c>
      <c r="E187">
        <f>IF(F187="121",Left(F187,3)&amp;"0",Left(F187,4))</f>
        <v/>
      </c>
      <c r="F187" t="n">
        <v>60220010</v>
      </c>
      <c r="G187" t="s">
        <v>208</v>
      </c>
      <c r="H187" s="9" t="n">
        <v>116524.02</v>
      </c>
      <c r="I187" s="9" t="n">
        <v>161471.77</v>
      </c>
      <c r="J187" s="9" t="n">
        <v>161471.77</v>
      </c>
      <c r="K187" s="9" t="n">
        <v>161471.77</v>
      </c>
      <c r="L187" s="9">
        <f>K187-H187</f>
        <v/>
      </c>
      <c r="M187" s="32">
        <f>IFERROR(L187/H187," ")</f>
        <v/>
      </c>
      <c r="N187">
        <f>IF(A187="BS",IFERROR(VLOOKUP(TRIM($E187),'BS Mapping std'!$A:$D,4,0),VLOOKUP(TRIM($D187),'BS Mapping std'!$A:$D,4,0)),IFERROR(VLOOKUP(TRIM($E187),'PL mapping Std'!$A:$D,4,0),VLOOKUP(TRIM($D187),'PL mapping Std'!$A:$D,4,0)))</f>
        <v/>
      </c>
      <c r="O187">
        <f>_xlfn.IFERROR(VLOOKUP(E187,'F30 mapping'!A:C,3,0),VLOOKUP(D187,'F30 mapping'!A:C,3,0))</f>
        <v/>
      </c>
      <c r="P187">
        <f>_xlfn.IFERROR(IFERROR(VLOOKUP(E187,'F40 mapping'!A:C,3,0),VLOOKUP(D187,'F40 mapping'!A:C,3,0)),0)</f>
        <v/>
      </c>
      <c r="Q187">
        <f>_xlfn.IFERROR(IFERROR(VLOOKUP(E187,'F40 mapping'!A:D,4,0),VLOOKUP(D187,'F40 mapping'!A:D,4,0)),0)</f>
        <v/>
      </c>
      <c r="R187">
        <f>_xlfn.IFERROR(IFERROR(VLOOKUP(E187,'F40 mapping'!A:E,5,0),VLOOKUP(D187,'F40 mapping'!A:E,5,0)),0)</f>
        <v/>
      </c>
      <c r="S187">
        <f>_xlfn.IF(B187&lt;6,IFERROR(VLOOKUP(E187,'BS Mapping std'!A:E,5,0),VLOOKUP(D187,'BS Mapping std'!A:E,5,0)),IFERROR(VLOOKUP(E187,'PL mapping Std'!A:F,6,0),VLOOKUP(D187,'PL mapping Std'!A:F,6,0)))</f>
        <v/>
      </c>
      <c r="T187">
        <f>_xlfn.IF(B187&lt;6,IFERROR(VLOOKUP(E187,'BS Mapping std'!A:F,6,0),VLOOKUP(D187,'BS Mapping std'!A:F,6,0)),IFERROR(VLOOKUP(E187,'PL mapping Std'!A:G,7,0),VLOOKUP(D187,'PL mapping Std'!A:G,7,0)))</f>
        <v/>
      </c>
      <c r="V187">
        <f>IF(IF(A187="BS",IFERROR(VLOOKUP(TRIM($E187),'BS Mapping std'!$A:$H,8,0),VLOOKUP(TRIM($D187),'BS Mapping std'!$A:$H,8,0)),IFERROR(VLOOKUP(TRIM($E187),'PL mapping Std'!$A:$E,5,0),VLOOKUP(TRIM($D187),'PL mapping Std'!$A:$E,5,0)))=0,"",IF(A187="BS",IFERROR(VLOOKUP(TRIM($E187),'BS Mapping std'!$A:$H,8,0),VLOOKUP(TRIM($D187),'BS Mapping std'!$A:$H,8,0)),IFERROR(VLOOKUP(TRIM($E187),'PL mapping Std'!$A:$E,5,0),VLOOKUP(TRIM($D187),'PL mapping Std'!$A:$E,5,0))))</f>
        <v/>
      </c>
      <c r="W187">
        <f>_xlfn.IFERROR(VLOOKUP(E187,'F30 mapping'!A:D,4,0),VLOOKUP(D187,'F30 mapping'!A:D,4,0))</f>
        <v/>
      </c>
      <c r="X187">
        <f>IF(B187&lt;6,IFERROR(VLOOKUP(E187,'BS Mapping std'!A:M,13,0),VLOOKUP(D187,'BS Mapping std'!A:M,13,0)),0)</f>
        <v/>
      </c>
      <c r="Y187">
        <f>IF(B187&lt;6,IFERROR(VLOOKUP(E187,'BS Mapping std'!A:N,14,0),VLOOKUP(D187,'BS Mapping std'!A:N,14,0)),0)</f>
        <v/>
      </c>
    </row>
    <row r="188" spans="1:25">
      <c r="A188">
        <f>IF(B188&lt;6,"BS",IF(B188=6,"Exp","Rev"))</f>
        <v/>
      </c>
      <c r="B188">
        <f>_xlfn.NUMBERVALUE(LEFT(F188,1))</f>
        <v/>
      </c>
      <c r="C188">
        <f>Left(F188,2)</f>
        <v/>
      </c>
      <c r="D188">
        <f>Left(F188,3)</f>
        <v/>
      </c>
      <c r="E188">
        <f>IF(F188="121",Left(F188,3)&amp;"0",Left(F188,4))</f>
        <v/>
      </c>
      <c r="F188" t="n">
        <v>60230010</v>
      </c>
      <c r="G188" t="s">
        <v>209</v>
      </c>
      <c r="H188" s="9" t="n">
        <v>162045.89</v>
      </c>
      <c r="I188" s="9" t="n">
        <v>19025.42</v>
      </c>
      <c r="J188" s="9" t="n">
        <v>19025.42</v>
      </c>
      <c r="K188" s="9" t="n">
        <v>19025.42</v>
      </c>
      <c r="L188" s="9">
        <f>K188-H188</f>
        <v/>
      </c>
      <c r="M188" s="32">
        <f>IFERROR(L188/H188," ")</f>
        <v/>
      </c>
      <c r="N188">
        <f>IF(A188="BS",IFERROR(VLOOKUP(TRIM($E188),'BS Mapping std'!$A:$D,4,0),VLOOKUP(TRIM($D188),'BS Mapping std'!$A:$D,4,0)),IFERROR(VLOOKUP(TRIM($E188),'PL mapping Std'!$A:$D,4,0),VLOOKUP(TRIM($D188),'PL mapping Std'!$A:$D,4,0)))</f>
        <v/>
      </c>
      <c r="O188">
        <f>_xlfn.IFERROR(VLOOKUP(E188,'F30 mapping'!A:C,3,0),VLOOKUP(D188,'F30 mapping'!A:C,3,0))</f>
        <v/>
      </c>
      <c r="P188">
        <f>_xlfn.IFERROR(IFERROR(VLOOKUP(E188,'F40 mapping'!A:C,3,0),VLOOKUP(D188,'F40 mapping'!A:C,3,0)),0)</f>
        <v/>
      </c>
      <c r="Q188">
        <f>_xlfn.IFERROR(IFERROR(VLOOKUP(E188,'F40 mapping'!A:D,4,0),VLOOKUP(D188,'F40 mapping'!A:D,4,0)),0)</f>
        <v/>
      </c>
      <c r="R188">
        <f>_xlfn.IFERROR(IFERROR(VLOOKUP(E188,'F40 mapping'!A:E,5,0),VLOOKUP(D188,'F40 mapping'!A:E,5,0)),0)</f>
        <v/>
      </c>
      <c r="S188">
        <f>_xlfn.IF(B188&lt;6,IFERROR(VLOOKUP(E188,'BS Mapping std'!A:E,5,0),VLOOKUP(D188,'BS Mapping std'!A:E,5,0)),IFERROR(VLOOKUP(E188,'PL mapping Std'!A:F,6,0),VLOOKUP(D188,'PL mapping Std'!A:F,6,0)))</f>
        <v/>
      </c>
      <c r="T188">
        <f>_xlfn.IF(B188&lt;6,IFERROR(VLOOKUP(E188,'BS Mapping std'!A:F,6,0),VLOOKUP(D188,'BS Mapping std'!A:F,6,0)),IFERROR(VLOOKUP(E188,'PL mapping Std'!A:G,7,0),VLOOKUP(D188,'PL mapping Std'!A:G,7,0)))</f>
        <v/>
      </c>
      <c r="V188">
        <f>IF(IF(A188="BS",IFERROR(VLOOKUP(TRIM($E188),'BS Mapping std'!$A:$H,8,0),VLOOKUP(TRIM($D188),'BS Mapping std'!$A:$H,8,0)),IFERROR(VLOOKUP(TRIM($E188),'PL mapping Std'!$A:$E,5,0),VLOOKUP(TRIM($D188),'PL mapping Std'!$A:$E,5,0)))=0,"",IF(A188="BS",IFERROR(VLOOKUP(TRIM($E188),'BS Mapping std'!$A:$H,8,0),VLOOKUP(TRIM($D188),'BS Mapping std'!$A:$H,8,0)),IFERROR(VLOOKUP(TRIM($E188),'PL mapping Std'!$A:$E,5,0),VLOOKUP(TRIM($D188),'PL mapping Std'!$A:$E,5,0))))</f>
        <v/>
      </c>
      <c r="W188">
        <f>_xlfn.IFERROR(VLOOKUP(E188,'F30 mapping'!A:D,4,0),VLOOKUP(D188,'F30 mapping'!A:D,4,0))</f>
        <v/>
      </c>
      <c r="X188">
        <f>IF(B188&lt;6,IFERROR(VLOOKUP(E188,'BS Mapping std'!A:M,13,0),VLOOKUP(D188,'BS Mapping std'!A:M,13,0)),0)</f>
        <v/>
      </c>
      <c r="Y188">
        <f>IF(B188&lt;6,IFERROR(VLOOKUP(E188,'BS Mapping std'!A:N,14,0),VLOOKUP(D188,'BS Mapping std'!A:N,14,0)),0)</f>
        <v/>
      </c>
    </row>
    <row r="189" spans="1:25">
      <c r="A189">
        <f>IF(B189&lt;6,"BS",IF(B189=6,"Exp","Rev"))</f>
        <v/>
      </c>
      <c r="B189">
        <f>_xlfn.NUMBERVALUE(LEFT(F189,1))</f>
        <v/>
      </c>
      <c r="C189">
        <f>Left(F189,2)</f>
        <v/>
      </c>
      <c r="D189">
        <f>Left(F189,3)</f>
        <v/>
      </c>
      <c r="E189">
        <f>IF(F189="121",Left(F189,3)&amp;"0",Left(F189,4))</f>
        <v/>
      </c>
      <c r="F189" t="n">
        <v>60240020</v>
      </c>
      <c r="G189" t="s">
        <v>210</v>
      </c>
      <c r="H189" s="9" t="n">
        <v>881488.59</v>
      </c>
      <c r="I189" s="9" t="n">
        <v>1106900.97</v>
      </c>
      <c r="J189" s="9" t="n">
        <v>1106900.97</v>
      </c>
      <c r="K189" s="9" t="n">
        <v>1106900.97</v>
      </c>
      <c r="L189" s="9">
        <f>K189-H189</f>
        <v/>
      </c>
      <c r="M189" s="32">
        <f>IFERROR(L189/H189," ")</f>
        <v/>
      </c>
      <c r="N189">
        <f>IF(A189="BS",IFERROR(VLOOKUP(TRIM($E189),'BS Mapping std'!$A:$D,4,0),VLOOKUP(TRIM($D189),'BS Mapping std'!$A:$D,4,0)),IFERROR(VLOOKUP(TRIM($E189),'PL mapping Std'!$A:$D,4,0),VLOOKUP(TRIM($D189),'PL mapping Std'!$A:$D,4,0)))</f>
        <v/>
      </c>
      <c r="O189">
        <f>_xlfn.IFERROR(VLOOKUP(E189,'F30 mapping'!A:C,3,0),VLOOKUP(D189,'F30 mapping'!A:C,3,0))</f>
        <v/>
      </c>
      <c r="P189">
        <f>_xlfn.IFERROR(IFERROR(VLOOKUP(E189,'F40 mapping'!A:C,3,0),VLOOKUP(D189,'F40 mapping'!A:C,3,0)),0)</f>
        <v/>
      </c>
      <c r="Q189">
        <f>_xlfn.IFERROR(IFERROR(VLOOKUP(E189,'F40 mapping'!A:D,4,0),VLOOKUP(D189,'F40 mapping'!A:D,4,0)),0)</f>
        <v/>
      </c>
      <c r="R189">
        <f>_xlfn.IFERROR(IFERROR(VLOOKUP(E189,'F40 mapping'!A:E,5,0),VLOOKUP(D189,'F40 mapping'!A:E,5,0)),0)</f>
        <v/>
      </c>
      <c r="S189">
        <f>_xlfn.IF(B189&lt;6,IFERROR(VLOOKUP(E189,'BS Mapping std'!A:E,5,0),VLOOKUP(D189,'BS Mapping std'!A:E,5,0)),IFERROR(VLOOKUP(E189,'PL mapping Std'!A:F,6,0),VLOOKUP(D189,'PL mapping Std'!A:F,6,0)))</f>
        <v/>
      </c>
      <c r="T189">
        <f>_xlfn.IF(B189&lt;6,IFERROR(VLOOKUP(E189,'BS Mapping std'!A:F,6,0),VLOOKUP(D189,'BS Mapping std'!A:F,6,0)),IFERROR(VLOOKUP(E189,'PL mapping Std'!A:G,7,0),VLOOKUP(D189,'PL mapping Std'!A:G,7,0)))</f>
        <v/>
      </c>
      <c r="V189">
        <f>IF(IF(A189="BS",IFERROR(VLOOKUP(TRIM($E189),'BS Mapping std'!$A:$H,8,0),VLOOKUP(TRIM($D189),'BS Mapping std'!$A:$H,8,0)),IFERROR(VLOOKUP(TRIM($E189),'PL mapping Std'!$A:$E,5,0),VLOOKUP(TRIM($D189),'PL mapping Std'!$A:$E,5,0)))=0,"",IF(A189="BS",IFERROR(VLOOKUP(TRIM($E189),'BS Mapping std'!$A:$H,8,0),VLOOKUP(TRIM($D189),'BS Mapping std'!$A:$H,8,0)),IFERROR(VLOOKUP(TRIM($E189),'PL mapping Std'!$A:$E,5,0),VLOOKUP(TRIM($D189),'PL mapping Std'!$A:$E,5,0))))</f>
        <v/>
      </c>
      <c r="W189">
        <f>_xlfn.IFERROR(VLOOKUP(E189,'F30 mapping'!A:D,4,0),VLOOKUP(D189,'F30 mapping'!A:D,4,0))</f>
        <v/>
      </c>
      <c r="X189">
        <f>IF(B189&lt;6,IFERROR(VLOOKUP(E189,'BS Mapping std'!A:M,13,0),VLOOKUP(D189,'BS Mapping std'!A:M,13,0)),0)</f>
        <v/>
      </c>
      <c r="Y189">
        <f>IF(B189&lt;6,IFERROR(VLOOKUP(E189,'BS Mapping std'!A:N,14,0),VLOOKUP(D189,'BS Mapping std'!A:N,14,0)),0)</f>
        <v/>
      </c>
    </row>
    <row r="190" spans="1:25">
      <c r="A190">
        <f>IF(B190&lt;6,"BS",IF(B190=6,"Exp","Rev"))</f>
        <v/>
      </c>
      <c r="B190">
        <f>_xlfn.NUMBERVALUE(LEFT(F190,1))</f>
        <v/>
      </c>
      <c r="C190">
        <f>Left(F190,2)</f>
        <v/>
      </c>
      <c r="D190">
        <f>Left(F190,3)</f>
        <v/>
      </c>
      <c r="E190">
        <f>IF(F190="121",Left(F190,3)&amp;"0",Left(F190,4))</f>
        <v/>
      </c>
      <c r="F190" t="n">
        <v>60249999</v>
      </c>
      <c r="G190" t="s">
        <v>211</v>
      </c>
      <c r="H190" s="9" t="n">
        <v>8866.77</v>
      </c>
      <c r="I190" s="9" t="n">
        <v>86.41</v>
      </c>
      <c r="J190" s="9" t="n">
        <v>86.41</v>
      </c>
      <c r="K190" s="9" t="n">
        <v>86.41</v>
      </c>
      <c r="L190" s="9">
        <f>K190-H190</f>
        <v/>
      </c>
      <c r="M190" s="32">
        <f>IFERROR(L190/H190," ")</f>
        <v/>
      </c>
      <c r="N190">
        <f>IF(A190="BS",IFERROR(VLOOKUP(TRIM($E190),'BS Mapping std'!$A:$D,4,0),VLOOKUP(TRIM($D190),'BS Mapping std'!$A:$D,4,0)),IFERROR(VLOOKUP(TRIM($E190),'PL mapping Std'!$A:$D,4,0),VLOOKUP(TRIM($D190),'PL mapping Std'!$A:$D,4,0)))</f>
        <v/>
      </c>
      <c r="O190">
        <f>_xlfn.IFERROR(VLOOKUP(E190,'F30 mapping'!A:C,3,0),VLOOKUP(D190,'F30 mapping'!A:C,3,0))</f>
        <v/>
      </c>
      <c r="P190">
        <f>_xlfn.IFERROR(IFERROR(VLOOKUP(E190,'F40 mapping'!A:C,3,0),VLOOKUP(D190,'F40 mapping'!A:C,3,0)),0)</f>
        <v/>
      </c>
      <c r="Q190">
        <f>_xlfn.IFERROR(IFERROR(VLOOKUP(E190,'F40 mapping'!A:D,4,0),VLOOKUP(D190,'F40 mapping'!A:D,4,0)),0)</f>
        <v/>
      </c>
      <c r="R190">
        <f>_xlfn.IFERROR(IFERROR(VLOOKUP(E190,'F40 mapping'!A:E,5,0),VLOOKUP(D190,'F40 mapping'!A:E,5,0)),0)</f>
        <v/>
      </c>
      <c r="S190">
        <f>_xlfn.IF(B190&lt;6,IFERROR(VLOOKUP(E190,'BS Mapping std'!A:E,5,0),VLOOKUP(D190,'BS Mapping std'!A:E,5,0)),IFERROR(VLOOKUP(E190,'PL mapping Std'!A:F,6,0),VLOOKUP(D190,'PL mapping Std'!A:F,6,0)))</f>
        <v/>
      </c>
      <c r="T190">
        <f>_xlfn.IF(B190&lt;6,IFERROR(VLOOKUP(E190,'BS Mapping std'!A:F,6,0),VLOOKUP(D190,'BS Mapping std'!A:F,6,0)),IFERROR(VLOOKUP(E190,'PL mapping Std'!A:G,7,0),VLOOKUP(D190,'PL mapping Std'!A:G,7,0)))</f>
        <v/>
      </c>
      <c r="V190">
        <f>IF(IF(A190="BS",IFERROR(VLOOKUP(TRIM($E190),'BS Mapping std'!$A:$H,8,0),VLOOKUP(TRIM($D190),'BS Mapping std'!$A:$H,8,0)),IFERROR(VLOOKUP(TRIM($E190),'PL mapping Std'!$A:$E,5,0),VLOOKUP(TRIM($D190),'PL mapping Std'!$A:$E,5,0)))=0,"",IF(A190="BS",IFERROR(VLOOKUP(TRIM($E190),'BS Mapping std'!$A:$H,8,0),VLOOKUP(TRIM($D190),'BS Mapping std'!$A:$H,8,0)),IFERROR(VLOOKUP(TRIM($E190),'PL mapping Std'!$A:$E,5,0),VLOOKUP(TRIM($D190),'PL mapping Std'!$A:$E,5,0))))</f>
        <v/>
      </c>
      <c r="W190">
        <f>_xlfn.IFERROR(VLOOKUP(E190,'F30 mapping'!A:D,4,0),VLOOKUP(D190,'F30 mapping'!A:D,4,0))</f>
        <v/>
      </c>
      <c r="X190">
        <f>IF(B190&lt;6,IFERROR(VLOOKUP(E190,'BS Mapping std'!A:M,13,0),VLOOKUP(D190,'BS Mapping std'!A:M,13,0)),0)</f>
        <v/>
      </c>
      <c r="Y190">
        <f>IF(B190&lt;6,IFERROR(VLOOKUP(E190,'BS Mapping std'!A:N,14,0),VLOOKUP(D190,'BS Mapping std'!A:N,14,0)),0)</f>
        <v/>
      </c>
    </row>
    <row r="191" spans="1:25">
      <c r="A191">
        <f>IF(B191&lt;6,"BS",IF(B191=6,"Exp","Rev"))</f>
        <v/>
      </c>
      <c r="B191">
        <f>_xlfn.NUMBERVALUE(LEFT(F191,1))</f>
        <v/>
      </c>
      <c r="C191">
        <f>Left(F191,2)</f>
        <v/>
      </c>
      <c r="D191">
        <f>Left(F191,3)</f>
        <v/>
      </c>
      <c r="E191">
        <f>IF(F191="121",Left(F191,3)&amp;"0",Left(F191,4))</f>
        <v/>
      </c>
      <c r="F191" t="n">
        <v>60300000</v>
      </c>
      <c r="G191" t="s">
        <v>212</v>
      </c>
      <c r="H191" s="9" t="n">
        <v>37510.17</v>
      </c>
      <c r="I191" s="9" t="n">
        <v>61056.58</v>
      </c>
      <c r="J191" s="9" t="n">
        <v>61056.58</v>
      </c>
      <c r="K191" s="9" t="n">
        <v>61056.58</v>
      </c>
      <c r="L191" s="9">
        <f>K191-H191</f>
        <v/>
      </c>
      <c r="M191" s="32">
        <f>IFERROR(L191/H191," ")</f>
        <v/>
      </c>
      <c r="N191">
        <f>IF(A191="BS",IFERROR(VLOOKUP(TRIM($E191),'BS Mapping std'!$A:$D,4,0),VLOOKUP(TRIM($D191),'BS Mapping std'!$A:$D,4,0)),IFERROR(VLOOKUP(TRIM($E191),'PL mapping Std'!$A:$D,4,0),VLOOKUP(TRIM($D191),'PL mapping Std'!$A:$D,4,0)))</f>
        <v/>
      </c>
      <c r="O191">
        <f>_xlfn.IFERROR(VLOOKUP(E191,'F30 mapping'!A:C,3,0),VLOOKUP(D191,'F30 mapping'!A:C,3,0))</f>
        <v/>
      </c>
      <c r="P191">
        <f>_xlfn.IFERROR(IFERROR(VLOOKUP(E191,'F40 mapping'!A:C,3,0),VLOOKUP(D191,'F40 mapping'!A:C,3,0)),0)</f>
        <v/>
      </c>
      <c r="Q191">
        <f>_xlfn.IFERROR(IFERROR(VLOOKUP(E191,'F40 mapping'!A:D,4,0),VLOOKUP(D191,'F40 mapping'!A:D,4,0)),0)</f>
        <v/>
      </c>
      <c r="R191">
        <f>_xlfn.IFERROR(IFERROR(VLOOKUP(E191,'F40 mapping'!A:E,5,0),VLOOKUP(D191,'F40 mapping'!A:E,5,0)),0)</f>
        <v/>
      </c>
      <c r="S191">
        <f>_xlfn.IF(B191&lt;6,IFERROR(VLOOKUP(E191,'BS Mapping std'!A:E,5,0),VLOOKUP(D191,'BS Mapping std'!A:E,5,0)),IFERROR(VLOOKUP(E191,'PL mapping Std'!A:F,6,0),VLOOKUP(D191,'PL mapping Std'!A:F,6,0)))</f>
        <v/>
      </c>
      <c r="T191">
        <f>_xlfn.IF(B191&lt;6,IFERROR(VLOOKUP(E191,'BS Mapping std'!A:F,6,0),VLOOKUP(D191,'BS Mapping std'!A:F,6,0)),IFERROR(VLOOKUP(E191,'PL mapping Std'!A:G,7,0),VLOOKUP(D191,'PL mapping Std'!A:G,7,0)))</f>
        <v/>
      </c>
      <c r="V191">
        <f>IF(IF(A191="BS",IFERROR(VLOOKUP(TRIM($E191),'BS Mapping std'!$A:$H,8,0),VLOOKUP(TRIM($D191),'BS Mapping std'!$A:$H,8,0)),IFERROR(VLOOKUP(TRIM($E191),'PL mapping Std'!$A:$E,5,0),VLOOKUP(TRIM($D191),'PL mapping Std'!$A:$E,5,0)))=0,"",IF(A191="BS",IFERROR(VLOOKUP(TRIM($E191),'BS Mapping std'!$A:$H,8,0),VLOOKUP(TRIM($D191),'BS Mapping std'!$A:$H,8,0)),IFERROR(VLOOKUP(TRIM($E191),'PL mapping Std'!$A:$E,5,0),VLOOKUP(TRIM($D191),'PL mapping Std'!$A:$E,5,0))))</f>
        <v/>
      </c>
      <c r="W191">
        <f>_xlfn.IFERROR(VLOOKUP(E191,'F30 mapping'!A:D,4,0),VLOOKUP(D191,'F30 mapping'!A:D,4,0))</f>
        <v/>
      </c>
      <c r="X191">
        <f>IF(B191&lt;6,IFERROR(VLOOKUP(E191,'BS Mapping std'!A:M,13,0),VLOOKUP(D191,'BS Mapping std'!A:M,13,0)),0)</f>
        <v/>
      </c>
      <c r="Y191">
        <f>IF(B191&lt;6,IFERROR(VLOOKUP(E191,'BS Mapping std'!A:N,14,0),VLOOKUP(D191,'BS Mapping std'!A:N,14,0)),0)</f>
        <v/>
      </c>
    </row>
    <row r="192" spans="1:25">
      <c r="A192">
        <f>IF(B192&lt;6,"BS",IF(B192=6,"Exp","Rev"))</f>
        <v/>
      </c>
      <c r="B192">
        <f>_xlfn.NUMBERVALUE(LEFT(F192,1))</f>
        <v/>
      </c>
      <c r="C192">
        <f>Left(F192,2)</f>
        <v/>
      </c>
      <c r="D192">
        <f>Left(F192,3)</f>
        <v/>
      </c>
      <c r="E192">
        <f>IF(F192="121",Left(F192,3)&amp;"0",Left(F192,4))</f>
        <v/>
      </c>
      <c r="F192" t="n">
        <v>60400010</v>
      </c>
      <c r="G192" t="s">
        <v>213</v>
      </c>
      <c r="H192" s="9" t="n">
        <v>105797.32</v>
      </c>
      <c r="I192" s="9" t="n">
        <v>63454.50999999999</v>
      </c>
      <c r="J192" s="9" t="n">
        <v>63454.50999999999</v>
      </c>
      <c r="K192" s="9" t="n">
        <v>63454.50999999999</v>
      </c>
      <c r="L192" s="9">
        <f>K192-H192</f>
        <v/>
      </c>
      <c r="M192" s="32">
        <f>IFERROR(L192/H192," ")</f>
        <v/>
      </c>
      <c r="N192">
        <f>IF(A192="BS",IFERROR(VLOOKUP(TRIM($E192),'BS Mapping std'!$A:$D,4,0),VLOOKUP(TRIM($D192),'BS Mapping std'!$A:$D,4,0)),IFERROR(VLOOKUP(TRIM($E192),'PL mapping Std'!$A:$D,4,0),VLOOKUP(TRIM($D192),'PL mapping Std'!$A:$D,4,0)))</f>
        <v/>
      </c>
      <c r="O192">
        <f>_xlfn.IFERROR(VLOOKUP(E192,'F30 mapping'!A:C,3,0),VLOOKUP(D192,'F30 mapping'!A:C,3,0))</f>
        <v/>
      </c>
      <c r="P192">
        <f>_xlfn.IFERROR(IFERROR(VLOOKUP(E192,'F40 mapping'!A:C,3,0),VLOOKUP(D192,'F40 mapping'!A:C,3,0)),0)</f>
        <v/>
      </c>
      <c r="Q192">
        <f>_xlfn.IFERROR(IFERROR(VLOOKUP(E192,'F40 mapping'!A:D,4,0),VLOOKUP(D192,'F40 mapping'!A:D,4,0)),0)</f>
        <v/>
      </c>
      <c r="R192">
        <f>_xlfn.IFERROR(IFERROR(VLOOKUP(E192,'F40 mapping'!A:E,5,0),VLOOKUP(D192,'F40 mapping'!A:E,5,0)),0)</f>
        <v/>
      </c>
      <c r="S192">
        <f>_xlfn.IF(B192&lt;6,IFERROR(VLOOKUP(E192,'BS Mapping std'!A:E,5,0),VLOOKUP(D192,'BS Mapping std'!A:E,5,0)),IFERROR(VLOOKUP(E192,'PL mapping Std'!A:F,6,0),VLOOKUP(D192,'PL mapping Std'!A:F,6,0)))</f>
        <v/>
      </c>
      <c r="T192">
        <f>_xlfn.IF(B192&lt;6,IFERROR(VLOOKUP(E192,'BS Mapping std'!A:F,6,0),VLOOKUP(D192,'BS Mapping std'!A:F,6,0)),IFERROR(VLOOKUP(E192,'PL mapping Std'!A:G,7,0),VLOOKUP(D192,'PL mapping Std'!A:G,7,0)))</f>
        <v/>
      </c>
      <c r="V192">
        <f>IF(IF(A192="BS",IFERROR(VLOOKUP(TRIM($E192),'BS Mapping std'!$A:$H,8,0),VLOOKUP(TRIM($D192),'BS Mapping std'!$A:$H,8,0)),IFERROR(VLOOKUP(TRIM($E192),'PL mapping Std'!$A:$E,5,0),VLOOKUP(TRIM($D192),'PL mapping Std'!$A:$E,5,0)))=0,"",IF(A192="BS",IFERROR(VLOOKUP(TRIM($E192),'BS Mapping std'!$A:$H,8,0),VLOOKUP(TRIM($D192),'BS Mapping std'!$A:$H,8,0)),IFERROR(VLOOKUP(TRIM($E192),'PL mapping Std'!$A:$E,5,0),VLOOKUP(TRIM($D192),'PL mapping Std'!$A:$E,5,0))))</f>
        <v/>
      </c>
      <c r="W192">
        <f>_xlfn.IFERROR(VLOOKUP(E192,'F30 mapping'!A:D,4,0),VLOOKUP(D192,'F30 mapping'!A:D,4,0))</f>
        <v/>
      </c>
      <c r="X192">
        <f>IF(B192&lt;6,IFERROR(VLOOKUP(E192,'BS Mapping std'!A:M,13,0),VLOOKUP(D192,'BS Mapping std'!A:M,13,0)),0)</f>
        <v/>
      </c>
      <c r="Y192">
        <f>IF(B192&lt;6,IFERROR(VLOOKUP(E192,'BS Mapping std'!A:N,14,0),VLOOKUP(D192,'BS Mapping std'!A:N,14,0)),0)</f>
        <v/>
      </c>
    </row>
    <row r="193" spans="1:25">
      <c r="A193">
        <f>IF(B193&lt;6,"BS",IF(B193=6,"Exp","Rev"))</f>
        <v/>
      </c>
      <c r="B193">
        <f>_xlfn.NUMBERVALUE(LEFT(F193,1))</f>
        <v/>
      </c>
      <c r="C193">
        <f>Left(F193,2)</f>
        <v/>
      </c>
      <c r="D193">
        <f>Left(F193,3)</f>
        <v/>
      </c>
      <c r="E193">
        <f>IF(F193="121",Left(F193,3)&amp;"0",Left(F193,4))</f>
        <v/>
      </c>
      <c r="F193" t="n">
        <v>60400020</v>
      </c>
      <c r="G193" t="s">
        <v>214</v>
      </c>
      <c r="H193" s="9" t="n">
        <v>1418.45</v>
      </c>
      <c r="I193" s="9" t="n">
        <v>1684.6</v>
      </c>
      <c r="J193" s="9" t="n">
        <v>1684.6</v>
      </c>
      <c r="K193" s="9" t="n">
        <v>1684.6</v>
      </c>
      <c r="L193" s="9">
        <f>K193-H193</f>
        <v/>
      </c>
      <c r="M193" s="32">
        <f>IFERROR(L193/H193," ")</f>
        <v/>
      </c>
      <c r="N193">
        <f>IF(A193="BS",IFERROR(VLOOKUP(TRIM($E193),'BS Mapping std'!$A:$D,4,0),VLOOKUP(TRIM($D193),'BS Mapping std'!$A:$D,4,0)),IFERROR(VLOOKUP(TRIM($E193),'PL mapping Std'!$A:$D,4,0),VLOOKUP(TRIM($D193),'PL mapping Std'!$A:$D,4,0)))</f>
        <v/>
      </c>
      <c r="O193">
        <f>_xlfn.IFERROR(VLOOKUP(E193,'F30 mapping'!A:C,3,0),VLOOKUP(D193,'F30 mapping'!A:C,3,0))</f>
        <v/>
      </c>
      <c r="P193">
        <f>_xlfn.IFERROR(IFERROR(VLOOKUP(E193,'F40 mapping'!A:C,3,0),VLOOKUP(D193,'F40 mapping'!A:C,3,0)),0)</f>
        <v/>
      </c>
      <c r="Q193">
        <f>_xlfn.IFERROR(IFERROR(VLOOKUP(E193,'F40 mapping'!A:D,4,0),VLOOKUP(D193,'F40 mapping'!A:D,4,0)),0)</f>
        <v/>
      </c>
      <c r="R193">
        <f>_xlfn.IFERROR(IFERROR(VLOOKUP(E193,'F40 mapping'!A:E,5,0),VLOOKUP(D193,'F40 mapping'!A:E,5,0)),0)</f>
        <v/>
      </c>
      <c r="S193">
        <f>_xlfn.IF(B193&lt;6,IFERROR(VLOOKUP(E193,'BS Mapping std'!A:E,5,0),VLOOKUP(D193,'BS Mapping std'!A:E,5,0)),IFERROR(VLOOKUP(E193,'PL mapping Std'!A:F,6,0),VLOOKUP(D193,'PL mapping Std'!A:F,6,0)))</f>
        <v/>
      </c>
      <c r="T193">
        <f>_xlfn.IF(B193&lt;6,IFERROR(VLOOKUP(E193,'BS Mapping std'!A:F,6,0),VLOOKUP(D193,'BS Mapping std'!A:F,6,0)),IFERROR(VLOOKUP(E193,'PL mapping Std'!A:G,7,0),VLOOKUP(D193,'PL mapping Std'!A:G,7,0)))</f>
        <v/>
      </c>
      <c r="V193">
        <f>IF(IF(A193="BS",IFERROR(VLOOKUP(TRIM($E193),'BS Mapping std'!$A:$H,8,0),VLOOKUP(TRIM($D193),'BS Mapping std'!$A:$H,8,0)),IFERROR(VLOOKUP(TRIM($E193),'PL mapping Std'!$A:$E,5,0),VLOOKUP(TRIM($D193),'PL mapping Std'!$A:$E,5,0)))=0,"",IF(A193="BS",IFERROR(VLOOKUP(TRIM($E193),'BS Mapping std'!$A:$H,8,0),VLOOKUP(TRIM($D193),'BS Mapping std'!$A:$H,8,0)),IFERROR(VLOOKUP(TRIM($E193),'PL mapping Std'!$A:$E,5,0),VLOOKUP(TRIM($D193),'PL mapping Std'!$A:$E,5,0))))</f>
        <v/>
      </c>
      <c r="W193">
        <f>_xlfn.IFERROR(VLOOKUP(E193,'F30 mapping'!A:D,4,0),VLOOKUP(D193,'F30 mapping'!A:D,4,0))</f>
        <v/>
      </c>
      <c r="X193">
        <f>IF(B193&lt;6,IFERROR(VLOOKUP(E193,'BS Mapping std'!A:M,13,0),VLOOKUP(D193,'BS Mapping std'!A:M,13,0)),0)</f>
        <v/>
      </c>
      <c r="Y193">
        <f>IF(B193&lt;6,IFERROR(VLOOKUP(E193,'BS Mapping std'!A:N,14,0),VLOOKUP(D193,'BS Mapping std'!A:N,14,0)),0)</f>
        <v/>
      </c>
    </row>
    <row r="194" spans="1:25">
      <c r="A194">
        <f>IF(B194&lt;6,"BS",IF(B194=6,"Exp","Rev"))</f>
        <v/>
      </c>
      <c r="B194">
        <f>_xlfn.NUMBERVALUE(LEFT(F194,1))</f>
        <v/>
      </c>
      <c r="C194">
        <f>Left(F194,2)</f>
        <v/>
      </c>
      <c r="D194">
        <f>Left(F194,3)</f>
        <v/>
      </c>
      <c r="E194">
        <f>IF(F194="121",Left(F194,3)&amp;"0",Left(F194,4))</f>
        <v/>
      </c>
      <c r="F194" t="n">
        <v>60400030</v>
      </c>
      <c r="G194" t="s">
        <v>215</v>
      </c>
      <c r="H194" s="9" t="n">
        <v>42115.75999999999</v>
      </c>
      <c r="I194" s="9" t="n">
        <v>55906.95</v>
      </c>
      <c r="J194" s="9" t="n">
        <v>55906.95</v>
      </c>
      <c r="K194" s="9" t="n">
        <v>55906.95</v>
      </c>
      <c r="L194" s="9">
        <f>K194-H194</f>
        <v/>
      </c>
      <c r="M194" s="32">
        <f>IFERROR(L194/H194," ")</f>
        <v/>
      </c>
      <c r="N194">
        <f>IF(A194="BS",IFERROR(VLOOKUP(TRIM($E194),'BS Mapping std'!$A:$D,4,0),VLOOKUP(TRIM($D194),'BS Mapping std'!$A:$D,4,0)),IFERROR(VLOOKUP(TRIM($E194),'PL mapping Std'!$A:$D,4,0),VLOOKUP(TRIM($D194),'PL mapping Std'!$A:$D,4,0)))</f>
        <v/>
      </c>
      <c r="O194">
        <f>_xlfn.IFERROR(VLOOKUP(E194,'F30 mapping'!A:C,3,0),VLOOKUP(D194,'F30 mapping'!A:C,3,0))</f>
        <v/>
      </c>
      <c r="P194">
        <f>_xlfn.IFERROR(IFERROR(VLOOKUP(E194,'F40 mapping'!A:C,3,0),VLOOKUP(D194,'F40 mapping'!A:C,3,0)),0)</f>
        <v/>
      </c>
      <c r="Q194">
        <f>_xlfn.IFERROR(IFERROR(VLOOKUP(E194,'F40 mapping'!A:D,4,0),VLOOKUP(D194,'F40 mapping'!A:D,4,0)),0)</f>
        <v/>
      </c>
      <c r="R194">
        <f>_xlfn.IFERROR(IFERROR(VLOOKUP(E194,'F40 mapping'!A:E,5,0),VLOOKUP(D194,'F40 mapping'!A:E,5,0)),0)</f>
        <v/>
      </c>
      <c r="S194">
        <f>_xlfn.IF(B194&lt;6,IFERROR(VLOOKUP(E194,'BS Mapping std'!A:E,5,0),VLOOKUP(D194,'BS Mapping std'!A:E,5,0)),IFERROR(VLOOKUP(E194,'PL mapping Std'!A:F,6,0),VLOOKUP(D194,'PL mapping Std'!A:F,6,0)))</f>
        <v/>
      </c>
      <c r="T194">
        <f>_xlfn.IF(B194&lt;6,IFERROR(VLOOKUP(E194,'BS Mapping std'!A:F,6,0),VLOOKUP(D194,'BS Mapping std'!A:F,6,0)),IFERROR(VLOOKUP(E194,'PL mapping Std'!A:G,7,0),VLOOKUP(D194,'PL mapping Std'!A:G,7,0)))</f>
        <v/>
      </c>
      <c r="V194">
        <f>IF(IF(A194="BS",IFERROR(VLOOKUP(TRIM($E194),'BS Mapping std'!$A:$H,8,0),VLOOKUP(TRIM($D194),'BS Mapping std'!$A:$H,8,0)),IFERROR(VLOOKUP(TRIM($E194),'PL mapping Std'!$A:$E,5,0),VLOOKUP(TRIM($D194),'PL mapping Std'!$A:$E,5,0)))=0,"",IF(A194="BS",IFERROR(VLOOKUP(TRIM($E194),'BS Mapping std'!$A:$H,8,0),VLOOKUP(TRIM($D194),'BS Mapping std'!$A:$H,8,0)),IFERROR(VLOOKUP(TRIM($E194),'PL mapping Std'!$A:$E,5,0),VLOOKUP(TRIM($D194),'PL mapping Std'!$A:$E,5,0))))</f>
        <v/>
      </c>
      <c r="W194">
        <f>_xlfn.IFERROR(VLOOKUP(E194,'F30 mapping'!A:D,4,0),VLOOKUP(D194,'F30 mapping'!A:D,4,0))</f>
        <v/>
      </c>
      <c r="X194">
        <f>IF(B194&lt;6,IFERROR(VLOOKUP(E194,'BS Mapping std'!A:M,13,0),VLOOKUP(D194,'BS Mapping std'!A:M,13,0)),0)</f>
        <v/>
      </c>
      <c r="Y194">
        <f>IF(B194&lt;6,IFERROR(VLOOKUP(E194,'BS Mapping std'!A:N,14,0),VLOOKUP(D194,'BS Mapping std'!A:N,14,0)),0)</f>
        <v/>
      </c>
    </row>
    <row r="195" spans="1:25">
      <c r="A195">
        <f>IF(B195&lt;6,"BS",IF(B195=6,"Exp","Rev"))</f>
        <v/>
      </c>
      <c r="B195">
        <f>_xlfn.NUMBERVALUE(LEFT(F195,1))</f>
        <v/>
      </c>
      <c r="C195">
        <f>Left(F195,2)</f>
        <v/>
      </c>
      <c r="D195">
        <f>Left(F195,3)</f>
        <v/>
      </c>
      <c r="E195">
        <f>IF(F195="121",Left(F195,3)&amp;"0",Left(F195,4))</f>
        <v/>
      </c>
      <c r="F195" t="n">
        <v>60400040</v>
      </c>
      <c r="G195" t="s">
        <v>216</v>
      </c>
      <c r="H195" s="9" t="n">
        <v>19584</v>
      </c>
      <c r="I195" s="9" t="n">
        <v>23808</v>
      </c>
      <c r="J195" s="9" t="n">
        <v>23808</v>
      </c>
      <c r="K195" s="9" t="n">
        <v>23808</v>
      </c>
      <c r="L195" s="9">
        <f>K195-H195</f>
        <v/>
      </c>
      <c r="M195" s="32">
        <f>IFERROR(L195/H195," ")</f>
        <v/>
      </c>
      <c r="N195">
        <f>IF(A195="BS",IFERROR(VLOOKUP(TRIM($E195),'BS Mapping std'!$A:$D,4,0),VLOOKUP(TRIM($D195),'BS Mapping std'!$A:$D,4,0)),IFERROR(VLOOKUP(TRIM($E195),'PL mapping Std'!$A:$D,4,0),VLOOKUP(TRIM($D195),'PL mapping Std'!$A:$D,4,0)))</f>
        <v/>
      </c>
      <c r="O195">
        <f>_xlfn.IFERROR(VLOOKUP(E195,'F30 mapping'!A:C,3,0),VLOOKUP(D195,'F30 mapping'!A:C,3,0))</f>
        <v/>
      </c>
      <c r="P195">
        <f>_xlfn.IFERROR(IFERROR(VLOOKUP(E195,'F40 mapping'!A:C,3,0),VLOOKUP(D195,'F40 mapping'!A:C,3,0)),0)</f>
        <v/>
      </c>
      <c r="Q195">
        <f>_xlfn.IFERROR(IFERROR(VLOOKUP(E195,'F40 mapping'!A:D,4,0),VLOOKUP(D195,'F40 mapping'!A:D,4,0)),0)</f>
        <v/>
      </c>
      <c r="R195">
        <f>_xlfn.IFERROR(IFERROR(VLOOKUP(E195,'F40 mapping'!A:E,5,0),VLOOKUP(D195,'F40 mapping'!A:E,5,0)),0)</f>
        <v/>
      </c>
      <c r="S195">
        <f>_xlfn.IF(B195&lt;6,IFERROR(VLOOKUP(E195,'BS Mapping std'!A:E,5,0),VLOOKUP(D195,'BS Mapping std'!A:E,5,0)),IFERROR(VLOOKUP(E195,'PL mapping Std'!A:F,6,0),VLOOKUP(D195,'PL mapping Std'!A:F,6,0)))</f>
        <v/>
      </c>
      <c r="T195">
        <f>_xlfn.IF(B195&lt;6,IFERROR(VLOOKUP(E195,'BS Mapping std'!A:F,6,0),VLOOKUP(D195,'BS Mapping std'!A:F,6,0)),IFERROR(VLOOKUP(E195,'PL mapping Std'!A:G,7,0),VLOOKUP(D195,'PL mapping Std'!A:G,7,0)))</f>
        <v/>
      </c>
      <c r="V195">
        <f>IF(IF(A195="BS",IFERROR(VLOOKUP(TRIM($E195),'BS Mapping std'!$A:$H,8,0),VLOOKUP(TRIM($D195),'BS Mapping std'!$A:$H,8,0)),IFERROR(VLOOKUP(TRIM($E195),'PL mapping Std'!$A:$E,5,0),VLOOKUP(TRIM($D195),'PL mapping Std'!$A:$E,5,0)))=0,"",IF(A195="BS",IFERROR(VLOOKUP(TRIM($E195),'BS Mapping std'!$A:$H,8,0),VLOOKUP(TRIM($D195),'BS Mapping std'!$A:$H,8,0)),IFERROR(VLOOKUP(TRIM($E195),'PL mapping Std'!$A:$E,5,0),VLOOKUP(TRIM($D195),'PL mapping Std'!$A:$E,5,0))))</f>
        <v/>
      </c>
      <c r="W195">
        <f>_xlfn.IFERROR(VLOOKUP(E195,'F30 mapping'!A:D,4,0),VLOOKUP(D195,'F30 mapping'!A:D,4,0))</f>
        <v/>
      </c>
      <c r="X195">
        <f>IF(B195&lt;6,IFERROR(VLOOKUP(E195,'BS Mapping std'!A:M,13,0),VLOOKUP(D195,'BS Mapping std'!A:M,13,0)),0)</f>
        <v/>
      </c>
      <c r="Y195">
        <f>IF(B195&lt;6,IFERROR(VLOOKUP(E195,'BS Mapping std'!A:N,14,0),VLOOKUP(D195,'BS Mapping std'!A:N,14,0)),0)</f>
        <v/>
      </c>
    </row>
    <row r="196" spans="1:25">
      <c r="A196">
        <f>IF(B196&lt;6,"BS",IF(B196=6,"Exp","Rev"))</f>
        <v/>
      </c>
      <c r="B196">
        <f>_xlfn.NUMBERVALUE(LEFT(F196,1))</f>
        <v/>
      </c>
      <c r="C196">
        <f>Left(F196,2)</f>
        <v/>
      </c>
      <c r="D196">
        <f>Left(F196,3)</f>
        <v/>
      </c>
      <c r="E196">
        <f>IF(F196="121",Left(F196,3)&amp;"0",Left(F196,4))</f>
        <v/>
      </c>
      <c r="F196" t="n">
        <v>60400050</v>
      </c>
      <c r="G196" t="s">
        <v>217</v>
      </c>
      <c r="H196" s="9" t="n">
        <v>132132.74</v>
      </c>
      <c r="I196" s="9" t="n">
        <v>168879.98</v>
      </c>
      <c r="J196" s="9" t="n">
        <v>168879.98</v>
      </c>
      <c r="K196" s="9" t="n">
        <v>168879.98</v>
      </c>
      <c r="L196" s="9">
        <f>K196-H196</f>
        <v/>
      </c>
      <c r="M196" s="32">
        <f>IFERROR(L196/H196," ")</f>
        <v/>
      </c>
      <c r="N196">
        <f>IF(A196="BS",IFERROR(VLOOKUP(TRIM($E196),'BS Mapping std'!$A:$D,4,0),VLOOKUP(TRIM($D196),'BS Mapping std'!$A:$D,4,0)),IFERROR(VLOOKUP(TRIM($E196),'PL mapping Std'!$A:$D,4,0),VLOOKUP(TRIM($D196),'PL mapping Std'!$A:$D,4,0)))</f>
        <v/>
      </c>
      <c r="O196">
        <f>_xlfn.IFERROR(VLOOKUP(E196,'F30 mapping'!A:C,3,0),VLOOKUP(D196,'F30 mapping'!A:C,3,0))</f>
        <v/>
      </c>
      <c r="P196">
        <f>_xlfn.IFERROR(IFERROR(VLOOKUP(E196,'F40 mapping'!A:C,3,0),VLOOKUP(D196,'F40 mapping'!A:C,3,0)),0)</f>
        <v/>
      </c>
      <c r="Q196">
        <f>_xlfn.IFERROR(IFERROR(VLOOKUP(E196,'F40 mapping'!A:D,4,0),VLOOKUP(D196,'F40 mapping'!A:D,4,0)),0)</f>
        <v/>
      </c>
      <c r="R196">
        <f>_xlfn.IFERROR(IFERROR(VLOOKUP(E196,'F40 mapping'!A:E,5,0),VLOOKUP(D196,'F40 mapping'!A:E,5,0)),0)</f>
        <v/>
      </c>
      <c r="S196">
        <f>_xlfn.IF(B196&lt;6,IFERROR(VLOOKUP(E196,'BS Mapping std'!A:E,5,0),VLOOKUP(D196,'BS Mapping std'!A:E,5,0)),IFERROR(VLOOKUP(E196,'PL mapping Std'!A:F,6,0),VLOOKUP(D196,'PL mapping Std'!A:F,6,0)))</f>
        <v/>
      </c>
      <c r="T196">
        <f>_xlfn.IF(B196&lt;6,IFERROR(VLOOKUP(E196,'BS Mapping std'!A:F,6,0),VLOOKUP(D196,'BS Mapping std'!A:F,6,0)),IFERROR(VLOOKUP(E196,'PL mapping Std'!A:G,7,0),VLOOKUP(D196,'PL mapping Std'!A:G,7,0)))</f>
        <v/>
      </c>
      <c r="V196">
        <f>IF(IF(A196="BS",IFERROR(VLOOKUP(TRIM($E196),'BS Mapping std'!$A:$H,8,0),VLOOKUP(TRIM($D196),'BS Mapping std'!$A:$H,8,0)),IFERROR(VLOOKUP(TRIM($E196),'PL mapping Std'!$A:$E,5,0),VLOOKUP(TRIM($D196),'PL mapping Std'!$A:$E,5,0)))=0,"",IF(A196="BS",IFERROR(VLOOKUP(TRIM($E196),'BS Mapping std'!$A:$H,8,0),VLOOKUP(TRIM($D196),'BS Mapping std'!$A:$H,8,0)),IFERROR(VLOOKUP(TRIM($E196),'PL mapping Std'!$A:$E,5,0),VLOOKUP(TRIM($D196),'PL mapping Std'!$A:$E,5,0))))</f>
        <v/>
      </c>
      <c r="W196">
        <f>_xlfn.IFERROR(VLOOKUP(E196,'F30 mapping'!A:D,4,0),VLOOKUP(D196,'F30 mapping'!A:D,4,0))</f>
        <v/>
      </c>
      <c r="X196">
        <f>IF(B196&lt;6,IFERROR(VLOOKUP(E196,'BS Mapping std'!A:M,13,0),VLOOKUP(D196,'BS Mapping std'!A:M,13,0)),0)</f>
        <v/>
      </c>
      <c r="Y196">
        <f>IF(B196&lt;6,IFERROR(VLOOKUP(E196,'BS Mapping std'!A:N,14,0),VLOOKUP(D196,'BS Mapping std'!A:N,14,0)),0)</f>
        <v/>
      </c>
    </row>
    <row r="197" spans="1:25">
      <c r="A197">
        <f>IF(B197&lt;6,"BS",IF(B197=6,"Exp","Rev"))</f>
        <v/>
      </c>
      <c r="B197">
        <f>_xlfn.NUMBERVALUE(LEFT(F197,1))</f>
        <v/>
      </c>
      <c r="C197">
        <f>Left(F197,2)</f>
        <v/>
      </c>
      <c r="D197">
        <f>Left(F197,3)</f>
        <v/>
      </c>
      <c r="E197">
        <f>IF(F197="121",Left(F197,3)&amp;"0",Left(F197,4))</f>
        <v/>
      </c>
      <c r="F197" t="n">
        <v>60400060</v>
      </c>
      <c r="G197" t="s">
        <v>218</v>
      </c>
      <c r="H197" s="9" t="n">
        <v>577749.22</v>
      </c>
      <c r="I197" s="9" t="n">
        <v>430908.02</v>
      </c>
      <c r="J197" s="9" t="n">
        <v>430908.02</v>
      </c>
      <c r="K197" s="9" t="n">
        <v>430908.02</v>
      </c>
      <c r="L197" s="9">
        <f>K197-H197</f>
        <v/>
      </c>
      <c r="M197" s="32">
        <f>IFERROR(L197/H197," ")</f>
        <v/>
      </c>
      <c r="N197">
        <f>IF(A197="BS",IFERROR(VLOOKUP(TRIM($E197),'BS Mapping std'!$A:$D,4,0),VLOOKUP(TRIM($D197),'BS Mapping std'!$A:$D,4,0)),IFERROR(VLOOKUP(TRIM($E197),'PL mapping Std'!$A:$D,4,0),VLOOKUP(TRIM($D197),'PL mapping Std'!$A:$D,4,0)))</f>
        <v/>
      </c>
      <c r="O197">
        <f>_xlfn.IFERROR(VLOOKUP(E197,'F30 mapping'!A:C,3,0),VLOOKUP(D197,'F30 mapping'!A:C,3,0))</f>
        <v/>
      </c>
      <c r="P197">
        <f>_xlfn.IFERROR(IFERROR(VLOOKUP(E197,'F40 mapping'!A:C,3,0),VLOOKUP(D197,'F40 mapping'!A:C,3,0)),0)</f>
        <v/>
      </c>
      <c r="Q197">
        <f>_xlfn.IFERROR(IFERROR(VLOOKUP(E197,'F40 mapping'!A:D,4,0),VLOOKUP(D197,'F40 mapping'!A:D,4,0)),0)</f>
        <v/>
      </c>
      <c r="R197">
        <f>_xlfn.IFERROR(IFERROR(VLOOKUP(E197,'F40 mapping'!A:E,5,0),VLOOKUP(D197,'F40 mapping'!A:E,5,0)),0)</f>
        <v/>
      </c>
      <c r="S197">
        <f>_xlfn.IF(B197&lt;6,IFERROR(VLOOKUP(E197,'BS Mapping std'!A:E,5,0),VLOOKUP(D197,'BS Mapping std'!A:E,5,0)),IFERROR(VLOOKUP(E197,'PL mapping Std'!A:F,6,0),VLOOKUP(D197,'PL mapping Std'!A:F,6,0)))</f>
        <v/>
      </c>
      <c r="T197">
        <f>_xlfn.IF(B197&lt;6,IFERROR(VLOOKUP(E197,'BS Mapping std'!A:F,6,0),VLOOKUP(D197,'BS Mapping std'!A:F,6,0)),IFERROR(VLOOKUP(E197,'PL mapping Std'!A:G,7,0),VLOOKUP(D197,'PL mapping Std'!A:G,7,0)))</f>
        <v/>
      </c>
      <c r="V197">
        <f>IF(IF(A197="BS",IFERROR(VLOOKUP(TRIM($E197),'BS Mapping std'!$A:$H,8,0),VLOOKUP(TRIM($D197),'BS Mapping std'!$A:$H,8,0)),IFERROR(VLOOKUP(TRIM($E197),'PL mapping Std'!$A:$E,5,0),VLOOKUP(TRIM($D197),'PL mapping Std'!$A:$E,5,0)))=0,"",IF(A197="BS",IFERROR(VLOOKUP(TRIM($E197),'BS Mapping std'!$A:$H,8,0),VLOOKUP(TRIM($D197),'BS Mapping std'!$A:$H,8,0)),IFERROR(VLOOKUP(TRIM($E197),'PL mapping Std'!$A:$E,5,0),VLOOKUP(TRIM($D197),'PL mapping Std'!$A:$E,5,0))))</f>
        <v/>
      </c>
      <c r="W197">
        <f>_xlfn.IFERROR(VLOOKUP(E197,'F30 mapping'!A:D,4,0),VLOOKUP(D197,'F30 mapping'!A:D,4,0))</f>
        <v/>
      </c>
      <c r="X197">
        <f>IF(B197&lt;6,IFERROR(VLOOKUP(E197,'BS Mapping std'!A:M,13,0),VLOOKUP(D197,'BS Mapping std'!A:M,13,0)),0)</f>
        <v/>
      </c>
      <c r="Y197">
        <f>IF(B197&lt;6,IFERROR(VLOOKUP(E197,'BS Mapping std'!A:N,14,0),VLOOKUP(D197,'BS Mapping std'!A:N,14,0)),0)</f>
        <v/>
      </c>
    </row>
    <row r="198" spans="1:25">
      <c r="A198">
        <f>IF(B198&lt;6,"BS",IF(B198=6,"Exp","Rev"))</f>
        <v/>
      </c>
      <c r="B198">
        <f>_xlfn.NUMBERVALUE(LEFT(F198,1))</f>
        <v/>
      </c>
      <c r="C198">
        <f>Left(F198,2)</f>
        <v/>
      </c>
      <c r="D198">
        <f>Left(F198,3)</f>
        <v/>
      </c>
      <c r="E198">
        <f>IF(F198="121",Left(F198,3)&amp;"0",Left(F198,4))</f>
        <v/>
      </c>
      <c r="F198" t="n">
        <v>60400070</v>
      </c>
      <c r="G198" t="s">
        <v>219</v>
      </c>
      <c r="H198" s="9" t="n">
        <v>254296.32</v>
      </c>
      <c r="I198" s="9" t="n">
        <v>185051.91</v>
      </c>
      <c r="J198" s="9" t="n">
        <v>185051.91</v>
      </c>
      <c r="K198" s="9" t="n">
        <v>185051.91</v>
      </c>
      <c r="L198" s="9">
        <f>K198-H198</f>
        <v/>
      </c>
      <c r="M198" s="32">
        <f>IFERROR(L198/H198," ")</f>
        <v/>
      </c>
      <c r="N198">
        <f>IF(A198="BS",IFERROR(VLOOKUP(TRIM($E198),'BS Mapping std'!$A:$D,4,0),VLOOKUP(TRIM($D198),'BS Mapping std'!$A:$D,4,0)),IFERROR(VLOOKUP(TRIM($E198),'PL mapping Std'!$A:$D,4,0),VLOOKUP(TRIM($D198),'PL mapping Std'!$A:$D,4,0)))</f>
        <v/>
      </c>
      <c r="O198">
        <f>_xlfn.IFERROR(VLOOKUP(E198,'F30 mapping'!A:C,3,0),VLOOKUP(D198,'F30 mapping'!A:C,3,0))</f>
        <v/>
      </c>
      <c r="P198">
        <f>_xlfn.IFERROR(IFERROR(VLOOKUP(E198,'F40 mapping'!A:C,3,0),VLOOKUP(D198,'F40 mapping'!A:C,3,0)),0)</f>
        <v/>
      </c>
      <c r="Q198">
        <f>_xlfn.IFERROR(IFERROR(VLOOKUP(E198,'F40 mapping'!A:D,4,0),VLOOKUP(D198,'F40 mapping'!A:D,4,0)),0)</f>
        <v/>
      </c>
      <c r="R198">
        <f>_xlfn.IFERROR(IFERROR(VLOOKUP(E198,'F40 mapping'!A:E,5,0),VLOOKUP(D198,'F40 mapping'!A:E,5,0)),0)</f>
        <v/>
      </c>
      <c r="S198">
        <f>_xlfn.IF(B198&lt;6,IFERROR(VLOOKUP(E198,'BS Mapping std'!A:E,5,0),VLOOKUP(D198,'BS Mapping std'!A:E,5,0)),IFERROR(VLOOKUP(E198,'PL mapping Std'!A:F,6,0),VLOOKUP(D198,'PL mapping Std'!A:F,6,0)))</f>
        <v/>
      </c>
      <c r="T198">
        <f>_xlfn.IF(B198&lt;6,IFERROR(VLOOKUP(E198,'BS Mapping std'!A:F,6,0),VLOOKUP(D198,'BS Mapping std'!A:F,6,0)),IFERROR(VLOOKUP(E198,'PL mapping Std'!A:G,7,0),VLOOKUP(D198,'PL mapping Std'!A:G,7,0)))</f>
        <v/>
      </c>
      <c r="V198">
        <f>IF(IF(A198="BS",IFERROR(VLOOKUP(TRIM($E198),'BS Mapping std'!$A:$H,8,0),VLOOKUP(TRIM($D198),'BS Mapping std'!$A:$H,8,0)),IFERROR(VLOOKUP(TRIM($E198),'PL mapping Std'!$A:$E,5,0),VLOOKUP(TRIM($D198),'PL mapping Std'!$A:$E,5,0)))=0,"",IF(A198="BS",IFERROR(VLOOKUP(TRIM($E198),'BS Mapping std'!$A:$H,8,0),VLOOKUP(TRIM($D198),'BS Mapping std'!$A:$H,8,0)),IFERROR(VLOOKUP(TRIM($E198),'PL mapping Std'!$A:$E,5,0),VLOOKUP(TRIM($D198),'PL mapping Std'!$A:$E,5,0))))</f>
        <v/>
      </c>
      <c r="W198">
        <f>_xlfn.IFERROR(VLOOKUP(E198,'F30 mapping'!A:D,4,0),VLOOKUP(D198,'F30 mapping'!A:D,4,0))</f>
        <v/>
      </c>
      <c r="X198">
        <f>IF(B198&lt;6,IFERROR(VLOOKUP(E198,'BS Mapping std'!A:M,13,0),VLOOKUP(D198,'BS Mapping std'!A:M,13,0)),0)</f>
        <v/>
      </c>
      <c r="Y198">
        <f>IF(B198&lt;6,IFERROR(VLOOKUP(E198,'BS Mapping std'!A:N,14,0),VLOOKUP(D198,'BS Mapping std'!A:N,14,0)),0)</f>
        <v/>
      </c>
    </row>
    <row r="199" spans="1:25">
      <c r="A199">
        <f>IF(B199&lt;6,"BS",IF(B199=6,"Exp","Rev"))</f>
        <v/>
      </c>
      <c r="B199">
        <f>_xlfn.NUMBERVALUE(LEFT(F199,1))</f>
        <v/>
      </c>
      <c r="C199">
        <f>Left(F199,2)</f>
        <v/>
      </c>
      <c r="D199">
        <f>Left(F199,3)</f>
        <v/>
      </c>
      <c r="E199">
        <f>IF(F199="121",Left(F199,3)&amp;"0",Left(F199,4))</f>
        <v/>
      </c>
      <c r="F199" t="n">
        <v>60400081</v>
      </c>
      <c r="G199" t="s">
        <v>220</v>
      </c>
      <c r="H199" s="9" t="n">
        <v>213036.3</v>
      </c>
      <c r="I199" s="9" t="n">
        <v>262490.27</v>
      </c>
      <c r="J199" s="9" t="n">
        <v>262490.27</v>
      </c>
      <c r="K199" s="9" t="n">
        <v>262490.27</v>
      </c>
      <c r="L199" s="9">
        <f>K199-H199</f>
        <v/>
      </c>
      <c r="M199" s="32">
        <f>IFERROR(L199/H199," ")</f>
        <v/>
      </c>
      <c r="N199">
        <f>IF(A199="BS",IFERROR(VLOOKUP(TRIM($E199),'BS Mapping std'!$A:$D,4,0),VLOOKUP(TRIM($D199),'BS Mapping std'!$A:$D,4,0)),IFERROR(VLOOKUP(TRIM($E199),'PL mapping Std'!$A:$D,4,0),VLOOKUP(TRIM($D199),'PL mapping Std'!$A:$D,4,0)))</f>
        <v/>
      </c>
      <c r="O199">
        <f>_xlfn.IFERROR(VLOOKUP(E199,'F30 mapping'!A:C,3,0),VLOOKUP(D199,'F30 mapping'!A:C,3,0))</f>
        <v/>
      </c>
      <c r="P199">
        <f>_xlfn.IFERROR(IFERROR(VLOOKUP(E199,'F40 mapping'!A:C,3,0),VLOOKUP(D199,'F40 mapping'!A:C,3,0)),0)</f>
        <v/>
      </c>
      <c r="Q199">
        <f>_xlfn.IFERROR(IFERROR(VLOOKUP(E199,'F40 mapping'!A:D,4,0),VLOOKUP(D199,'F40 mapping'!A:D,4,0)),0)</f>
        <v/>
      </c>
      <c r="R199">
        <f>_xlfn.IFERROR(IFERROR(VLOOKUP(E199,'F40 mapping'!A:E,5,0),VLOOKUP(D199,'F40 mapping'!A:E,5,0)),0)</f>
        <v/>
      </c>
      <c r="S199">
        <f>_xlfn.IF(B199&lt;6,IFERROR(VLOOKUP(E199,'BS Mapping std'!A:E,5,0),VLOOKUP(D199,'BS Mapping std'!A:E,5,0)),IFERROR(VLOOKUP(E199,'PL mapping Std'!A:F,6,0),VLOOKUP(D199,'PL mapping Std'!A:F,6,0)))</f>
        <v/>
      </c>
      <c r="T199">
        <f>_xlfn.IF(B199&lt;6,IFERROR(VLOOKUP(E199,'BS Mapping std'!A:F,6,0),VLOOKUP(D199,'BS Mapping std'!A:F,6,0)),IFERROR(VLOOKUP(E199,'PL mapping Std'!A:G,7,0),VLOOKUP(D199,'PL mapping Std'!A:G,7,0)))</f>
        <v/>
      </c>
      <c r="V199">
        <f>IF(IF(A199="BS",IFERROR(VLOOKUP(TRIM($E199),'BS Mapping std'!$A:$H,8,0),VLOOKUP(TRIM($D199),'BS Mapping std'!$A:$H,8,0)),IFERROR(VLOOKUP(TRIM($E199),'PL mapping Std'!$A:$E,5,0),VLOOKUP(TRIM($D199),'PL mapping Std'!$A:$E,5,0)))=0,"",IF(A199="BS",IFERROR(VLOOKUP(TRIM($E199),'BS Mapping std'!$A:$H,8,0),VLOOKUP(TRIM($D199),'BS Mapping std'!$A:$H,8,0)),IFERROR(VLOOKUP(TRIM($E199),'PL mapping Std'!$A:$E,5,0),VLOOKUP(TRIM($D199),'PL mapping Std'!$A:$E,5,0))))</f>
        <v/>
      </c>
      <c r="W199">
        <f>_xlfn.IFERROR(VLOOKUP(E199,'F30 mapping'!A:D,4,0),VLOOKUP(D199,'F30 mapping'!A:D,4,0))</f>
        <v/>
      </c>
      <c r="X199">
        <f>IF(B199&lt;6,IFERROR(VLOOKUP(E199,'BS Mapping std'!A:M,13,0),VLOOKUP(D199,'BS Mapping std'!A:M,13,0)),0)</f>
        <v/>
      </c>
      <c r="Y199">
        <f>IF(B199&lt;6,IFERROR(VLOOKUP(E199,'BS Mapping std'!A:N,14,0),VLOOKUP(D199,'BS Mapping std'!A:N,14,0)),0)</f>
        <v/>
      </c>
    </row>
    <row r="200" spans="1:25">
      <c r="A200">
        <f>IF(B200&lt;6,"BS",IF(B200=6,"Exp","Rev"))</f>
        <v/>
      </c>
      <c r="B200">
        <f>_xlfn.NUMBERVALUE(LEFT(F200,1))</f>
        <v/>
      </c>
      <c r="C200">
        <f>Left(F200,2)</f>
        <v/>
      </c>
      <c r="D200">
        <f>Left(F200,3)</f>
        <v/>
      </c>
      <c r="E200">
        <f>IF(F200="121",Left(F200,3)&amp;"0",Left(F200,4))</f>
        <v/>
      </c>
      <c r="F200" t="n">
        <v>60400090</v>
      </c>
      <c r="G200" t="s">
        <v>221</v>
      </c>
      <c r="H200" s="9" t="n">
        <v>4920.29</v>
      </c>
      <c r="I200" s="9" t="n">
        <v>6555.37</v>
      </c>
      <c r="J200" s="9" t="n">
        <v>6555.37</v>
      </c>
      <c r="K200" s="9" t="n">
        <v>6555.37</v>
      </c>
      <c r="L200" s="9">
        <f>K200-H200</f>
        <v/>
      </c>
      <c r="M200" s="32">
        <f>IFERROR(L200/H200," ")</f>
        <v/>
      </c>
      <c r="N200">
        <f>IF(A200="BS",IFERROR(VLOOKUP(TRIM($E200),'BS Mapping std'!$A:$D,4,0),VLOOKUP(TRIM($D200),'BS Mapping std'!$A:$D,4,0)),IFERROR(VLOOKUP(TRIM($E200),'PL mapping Std'!$A:$D,4,0),VLOOKUP(TRIM($D200),'PL mapping Std'!$A:$D,4,0)))</f>
        <v/>
      </c>
      <c r="O200">
        <f>_xlfn.IFERROR(VLOOKUP(E200,'F30 mapping'!A:C,3,0),VLOOKUP(D200,'F30 mapping'!A:C,3,0))</f>
        <v/>
      </c>
      <c r="P200">
        <f>_xlfn.IFERROR(IFERROR(VLOOKUP(E200,'F40 mapping'!A:C,3,0),VLOOKUP(D200,'F40 mapping'!A:C,3,0)),0)</f>
        <v/>
      </c>
      <c r="Q200">
        <f>_xlfn.IFERROR(IFERROR(VLOOKUP(E200,'F40 mapping'!A:D,4,0),VLOOKUP(D200,'F40 mapping'!A:D,4,0)),0)</f>
        <v/>
      </c>
      <c r="R200">
        <f>_xlfn.IFERROR(IFERROR(VLOOKUP(E200,'F40 mapping'!A:E,5,0),VLOOKUP(D200,'F40 mapping'!A:E,5,0)),0)</f>
        <v/>
      </c>
      <c r="S200">
        <f>_xlfn.IF(B200&lt;6,IFERROR(VLOOKUP(E200,'BS Mapping std'!A:E,5,0),VLOOKUP(D200,'BS Mapping std'!A:E,5,0)),IFERROR(VLOOKUP(E200,'PL mapping Std'!A:F,6,0),VLOOKUP(D200,'PL mapping Std'!A:F,6,0)))</f>
        <v/>
      </c>
      <c r="T200">
        <f>_xlfn.IF(B200&lt;6,IFERROR(VLOOKUP(E200,'BS Mapping std'!A:F,6,0),VLOOKUP(D200,'BS Mapping std'!A:F,6,0)),IFERROR(VLOOKUP(E200,'PL mapping Std'!A:G,7,0),VLOOKUP(D200,'PL mapping Std'!A:G,7,0)))</f>
        <v/>
      </c>
      <c r="V200">
        <f>IF(IF(A200="BS",IFERROR(VLOOKUP(TRIM($E200),'BS Mapping std'!$A:$H,8,0),VLOOKUP(TRIM($D200),'BS Mapping std'!$A:$H,8,0)),IFERROR(VLOOKUP(TRIM($E200),'PL mapping Std'!$A:$E,5,0),VLOOKUP(TRIM($D200),'PL mapping Std'!$A:$E,5,0)))=0,"",IF(A200="BS",IFERROR(VLOOKUP(TRIM($E200),'BS Mapping std'!$A:$H,8,0),VLOOKUP(TRIM($D200),'BS Mapping std'!$A:$H,8,0)),IFERROR(VLOOKUP(TRIM($E200),'PL mapping Std'!$A:$E,5,0),VLOOKUP(TRIM($D200),'PL mapping Std'!$A:$E,5,0))))</f>
        <v/>
      </c>
      <c r="W200">
        <f>_xlfn.IFERROR(VLOOKUP(E200,'F30 mapping'!A:D,4,0),VLOOKUP(D200,'F30 mapping'!A:D,4,0))</f>
        <v/>
      </c>
      <c r="X200">
        <f>IF(B200&lt;6,IFERROR(VLOOKUP(E200,'BS Mapping std'!A:M,13,0),VLOOKUP(D200,'BS Mapping std'!A:M,13,0)),0)</f>
        <v/>
      </c>
      <c r="Y200">
        <f>IF(B200&lt;6,IFERROR(VLOOKUP(E200,'BS Mapping std'!A:N,14,0),VLOOKUP(D200,'BS Mapping std'!A:N,14,0)),0)</f>
        <v/>
      </c>
    </row>
    <row r="201" spans="1:25">
      <c r="A201">
        <f>IF(B201&lt;6,"BS",IF(B201=6,"Exp","Rev"))</f>
        <v/>
      </c>
      <c r="B201">
        <f>_xlfn.NUMBERVALUE(LEFT(F201,1))</f>
        <v/>
      </c>
      <c r="C201">
        <f>Left(F201,2)</f>
        <v/>
      </c>
      <c r="D201">
        <f>Left(F201,3)</f>
        <v/>
      </c>
      <c r="E201">
        <f>IF(F201="121",Left(F201,3)&amp;"0",Left(F201,4))</f>
        <v/>
      </c>
      <c r="F201" t="n">
        <v>60500030</v>
      </c>
      <c r="G201" t="s">
        <v>222</v>
      </c>
      <c r="H201" s="9" t="n">
        <v>1412351.03</v>
      </c>
      <c r="I201" s="9" t="n">
        <v>2993542.08</v>
      </c>
      <c r="J201" s="9" t="n">
        <v>2993542.08</v>
      </c>
      <c r="K201" s="9" t="n">
        <v>2993542.08</v>
      </c>
      <c r="L201" s="9">
        <f>K201-H201</f>
        <v/>
      </c>
      <c r="M201" s="32">
        <f>IFERROR(L201/H201," ")</f>
        <v/>
      </c>
      <c r="N201">
        <f>IF(A201="BS",IFERROR(VLOOKUP(TRIM($E201),'BS Mapping std'!$A:$D,4,0),VLOOKUP(TRIM($D201),'BS Mapping std'!$A:$D,4,0)),IFERROR(VLOOKUP(TRIM($E201),'PL mapping Std'!$A:$D,4,0),VLOOKUP(TRIM($D201),'PL mapping Std'!$A:$D,4,0)))</f>
        <v/>
      </c>
      <c r="O201">
        <f>_xlfn.IFERROR(VLOOKUP(E201,'F30 mapping'!A:C,3,0),VLOOKUP(D201,'F30 mapping'!A:C,3,0))</f>
        <v/>
      </c>
      <c r="P201">
        <f>_xlfn.IFERROR(IFERROR(VLOOKUP(E201,'F40 mapping'!A:C,3,0),VLOOKUP(D201,'F40 mapping'!A:C,3,0)),0)</f>
        <v/>
      </c>
      <c r="Q201">
        <f>_xlfn.IFERROR(IFERROR(VLOOKUP(E201,'F40 mapping'!A:D,4,0),VLOOKUP(D201,'F40 mapping'!A:D,4,0)),0)</f>
        <v/>
      </c>
      <c r="R201">
        <f>_xlfn.IFERROR(IFERROR(VLOOKUP(E201,'F40 mapping'!A:E,5,0),VLOOKUP(D201,'F40 mapping'!A:E,5,0)),0)</f>
        <v/>
      </c>
      <c r="S201">
        <f>_xlfn.IF(B201&lt;6,IFERROR(VLOOKUP(E201,'BS Mapping std'!A:E,5,0),VLOOKUP(D201,'BS Mapping std'!A:E,5,0)),IFERROR(VLOOKUP(E201,'PL mapping Std'!A:F,6,0),VLOOKUP(D201,'PL mapping Std'!A:F,6,0)))</f>
        <v/>
      </c>
      <c r="T201">
        <f>_xlfn.IF(B201&lt;6,IFERROR(VLOOKUP(E201,'BS Mapping std'!A:F,6,0),VLOOKUP(D201,'BS Mapping std'!A:F,6,0)),IFERROR(VLOOKUP(E201,'PL mapping Std'!A:G,7,0),VLOOKUP(D201,'PL mapping Std'!A:G,7,0)))</f>
        <v/>
      </c>
      <c r="V201">
        <f>IF(IF(A201="BS",IFERROR(VLOOKUP(TRIM($E201),'BS Mapping std'!$A:$H,8,0),VLOOKUP(TRIM($D201),'BS Mapping std'!$A:$H,8,0)),IFERROR(VLOOKUP(TRIM($E201),'PL mapping Std'!$A:$E,5,0),VLOOKUP(TRIM($D201),'PL mapping Std'!$A:$E,5,0)))=0,"",IF(A201="BS",IFERROR(VLOOKUP(TRIM($E201),'BS Mapping std'!$A:$H,8,0),VLOOKUP(TRIM($D201),'BS Mapping std'!$A:$H,8,0)),IFERROR(VLOOKUP(TRIM($E201),'PL mapping Std'!$A:$E,5,0),VLOOKUP(TRIM($D201),'PL mapping Std'!$A:$E,5,0))))</f>
        <v/>
      </c>
      <c r="W201">
        <f>_xlfn.IFERROR(VLOOKUP(E201,'F30 mapping'!A:D,4,0),VLOOKUP(D201,'F30 mapping'!A:D,4,0))</f>
        <v/>
      </c>
      <c r="X201">
        <f>IF(B201&lt;6,IFERROR(VLOOKUP(E201,'BS Mapping std'!A:M,13,0),VLOOKUP(D201,'BS Mapping std'!A:M,13,0)),0)</f>
        <v/>
      </c>
      <c r="Y201">
        <f>IF(B201&lt;6,IFERROR(VLOOKUP(E201,'BS Mapping std'!A:N,14,0),VLOOKUP(D201,'BS Mapping std'!A:N,14,0)),0)</f>
        <v/>
      </c>
    </row>
    <row r="202" spans="1:25">
      <c r="A202">
        <f>IF(B202&lt;6,"BS",IF(B202=6,"Exp","Rev"))</f>
        <v/>
      </c>
      <c r="B202">
        <f>_xlfn.NUMBERVALUE(LEFT(F202,1))</f>
        <v/>
      </c>
      <c r="C202">
        <f>Left(F202,2)</f>
        <v/>
      </c>
      <c r="D202">
        <f>Left(F202,3)</f>
        <v/>
      </c>
      <c r="E202">
        <f>IF(F202="121",Left(F202,3)&amp;"0",Left(F202,4))</f>
        <v/>
      </c>
      <c r="F202" t="n">
        <v>60500040</v>
      </c>
      <c r="G202" t="s">
        <v>223</v>
      </c>
      <c r="H202" s="9" t="n">
        <v>3789592.12</v>
      </c>
      <c r="I202" s="9" t="n">
        <v>14840717.75</v>
      </c>
      <c r="J202" s="9" t="n">
        <v>14840717.75</v>
      </c>
      <c r="K202" s="9" t="n">
        <v>14840717.75</v>
      </c>
      <c r="L202" s="9">
        <f>K202-H202</f>
        <v/>
      </c>
      <c r="M202" s="32">
        <f>IFERROR(L202/H202," ")</f>
        <v/>
      </c>
      <c r="N202">
        <f>IF(A202="BS",IFERROR(VLOOKUP(TRIM($E202),'BS Mapping std'!$A:$D,4,0),VLOOKUP(TRIM($D202),'BS Mapping std'!$A:$D,4,0)),IFERROR(VLOOKUP(TRIM($E202),'PL mapping Std'!$A:$D,4,0),VLOOKUP(TRIM($D202),'PL mapping Std'!$A:$D,4,0)))</f>
        <v/>
      </c>
      <c r="O202">
        <f>_xlfn.IFERROR(VLOOKUP(E202,'F30 mapping'!A:C,3,0),VLOOKUP(D202,'F30 mapping'!A:C,3,0))</f>
        <v/>
      </c>
      <c r="P202">
        <f>_xlfn.IFERROR(IFERROR(VLOOKUP(E202,'F40 mapping'!A:C,3,0),VLOOKUP(D202,'F40 mapping'!A:C,3,0)),0)</f>
        <v/>
      </c>
      <c r="Q202">
        <f>_xlfn.IFERROR(IFERROR(VLOOKUP(E202,'F40 mapping'!A:D,4,0),VLOOKUP(D202,'F40 mapping'!A:D,4,0)),0)</f>
        <v/>
      </c>
      <c r="R202">
        <f>_xlfn.IFERROR(IFERROR(VLOOKUP(E202,'F40 mapping'!A:E,5,0),VLOOKUP(D202,'F40 mapping'!A:E,5,0)),0)</f>
        <v/>
      </c>
      <c r="S202">
        <f>_xlfn.IF(B202&lt;6,IFERROR(VLOOKUP(E202,'BS Mapping std'!A:E,5,0),VLOOKUP(D202,'BS Mapping std'!A:E,5,0)),IFERROR(VLOOKUP(E202,'PL mapping Std'!A:F,6,0),VLOOKUP(D202,'PL mapping Std'!A:F,6,0)))</f>
        <v/>
      </c>
      <c r="T202">
        <f>_xlfn.IF(B202&lt;6,IFERROR(VLOOKUP(E202,'BS Mapping std'!A:F,6,0),VLOOKUP(D202,'BS Mapping std'!A:F,6,0)),IFERROR(VLOOKUP(E202,'PL mapping Std'!A:G,7,0),VLOOKUP(D202,'PL mapping Std'!A:G,7,0)))</f>
        <v/>
      </c>
      <c r="V202">
        <f>IF(IF(A202="BS",IFERROR(VLOOKUP(TRIM($E202),'BS Mapping std'!$A:$H,8,0),VLOOKUP(TRIM($D202),'BS Mapping std'!$A:$H,8,0)),IFERROR(VLOOKUP(TRIM($E202),'PL mapping Std'!$A:$E,5,0),VLOOKUP(TRIM($D202),'PL mapping Std'!$A:$E,5,0)))=0,"",IF(A202="BS",IFERROR(VLOOKUP(TRIM($E202),'BS Mapping std'!$A:$H,8,0),VLOOKUP(TRIM($D202),'BS Mapping std'!$A:$H,8,0)),IFERROR(VLOOKUP(TRIM($E202),'PL mapping Std'!$A:$E,5,0),VLOOKUP(TRIM($D202),'PL mapping Std'!$A:$E,5,0))))</f>
        <v/>
      </c>
      <c r="W202">
        <f>_xlfn.IFERROR(VLOOKUP(E202,'F30 mapping'!A:D,4,0),VLOOKUP(D202,'F30 mapping'!A:D,4,0))</f>
        <v/>
      </c>
      <c r="X202">
        <f>IF(B202&lt;6,IFERROR(VLOOKUP(E202,'BS Mapping std'!A:M,13,0),VLOOKUP(D202,'BS Mapping std'!A:M,13,0)),0)</f>
        <v/>
      </c>
      <c r="Y202">
        <f>IF(B202&lt;6,IFERROR(VLOOKUP(E202,'BS Mapping std'!A:N,14,0),VLOOKUP(D202,'BS Mapping std'!A:N,14,0)),0)</f>
        <v/>
      </c>
    </row>
    <row r="203" spans="1:25">
      <c r="A203">
        <f>IF(B203&lt;6,"BS",IF(B203=6,"Exp","Rev"))</f>
        <v/>
      </c>
      <c r="B203">
        <f>_xlfn.NUMBERVALUE(LEFT(F203,1))</f>
        <v/>
      </c>
      <c r="C203">
        <f>Left(F203,2)</f>
        <v/>
      </c>
      <c r="D203">
        <f>Left(F203,3)</f>
        <v/>
      </c>
      <c r="E203">
        <f>IF(F203="121",Left(F203,3)&amp;"0",Left(F203,4))</f>
        <v/>
      </c>
      <c r="F203" t="n">
        <v>60500050</v>
      </c>
      <c r="G203" t="s">
        <v>224</v>
      </c>
      <c r="H203" s="9" t="n">
        <v>463682.92</v>
      </c>
      <c r="I203" s="9" t="n">
        <v>479779.22</v>
      </c>
      <c r="J203" s="9" t="n">
        <v>479779.22</v>
      </c>
      <c r="K203" s="9" t="n">
        <v>479779.22</v>
      </c>
      <c r="L203" s="9">
        <f>K203-H203</f>
        <v/>
      </c>
      <c r="M203" s="32">
        <f>IFERROR(L203/H203," ")</f>
        <v/>
      </c>
      <c r="N203">
        <f>IF(A203="BS",IFERROR(VLOOKUP(TRIM($E203),'BS Mapping std'!$A:$D,4,0),VLOOKUP(TRIM($D203),'BS Mapping std'!$A:$D,4,0)),IFERROR(VLOOKUP(TRIM($E203),'PL mapping Std'!$A:$D,4,0),VLOOKUP(TRIM($D203),'PL mapping Std'!$A:$D,4,0)))</f>
        <v/>
      </c>
      <c r="O203">
        <f>_xlfn.IFERROR(VLOOKUP(E203,'F30 mapping'!A:C,3,0),VLOOKUP(D203,'F30 mapping'!A:C,3,0))</f>
        <v/>
      </c>
      <c r="P203">
        <f>_xlfn.IFERROR(IFERROR(VLOOKUP(E203,'F40 mapping'!A:C,3,0),VLOOKUP(D203,'F40 mapping'!A:C,3,0)),0)</f>
        <v/>
      </c>
      <c r="Q203">
        <f>_xlfn.IFERROR(IFERROR(VLOOKUP(E203,'F40 mapping'!A:D,4,0),VLOOKUP(D203,'F40 mapping'!A:D,4,0)),0)</f>
        <v/>
      </c>
      <c r="R203">
        <f>_xlfn.IFERROR(IFERROR(VLOOKUP(E203,'F40 mapping'!A:E,5,0),VLOOKUP(D203,'F40 mapping'!A:E,5,0)),0)</f>
        <v/>
      </c>
      <c r="S203">
        <f>_xlfn.IF(B203&lt;6,IFERROR(VLOOKUP(E203,'BS Mapping std'!A:E,5,0),VLOOKUP(D203,'BS Mapping std'!A:E,5,0)),IFERROR(VLOOKUP(E203,'PL mapping Std'!A:F,6,0),VLOOKUP(D203,'PL mapping Std'!A:F,6,0)))</f>
        <v/>
      </c>
      <c r="T203">
        <f>_xlfn.IF(B203&lt;6,IFERROR(VLOOKUP(E203,'BS Mapping std'!A:F,6,0),VLOOKUP(D203,'BS Mapping std'!A:F,6,0)),IFERROR(VLOOKUP(E203,'PL mapping Std'!A:G,7,0),VLOOKUP(D203,'PL mapping Std'!A:G,7,0)))</f>
        <v/>
      </c>
      <c r="V203">
        <f>IF(IF(A203="BS",IFERROR(VLOOKUP(TRIM($E203),'BS Mapping std'!$A:$H,8,0),VLOOKUP(TRIM($D203),'BS Mapping std'!$A:$H,8,0)),IFERROR(VLOOKUP(TRIM($E203),'PL mapping Std'!$A:$E,5,0),VLOOKUP(TRIM($D203),'PL mapping Std'!$A:$E,5,0)))=0,"",IF(A203="BS",IFERROR(VLOOKUP(TRIM($E203),'BS Mapping std'!$A:$H,8,0),VLOOKUP(TRIM($D203),'BS Mapping std'!$A:$H,8,0)),IFERROR(VLOOKUP(TRIM($E203),'PL mapping Std'!$A:$E,5,0),VLOOKUP(TRIM($D203),'PL mapping Std'!$A:$E,5,0))))</f>
        <v/>
      </c>
      <c r="W203">
        <f>_xlfn.IFERROR(VLOOKUP(E203,'F30 mapping'!A:D,4,0),VLOOKUP(D203,'F30 mapping'!A:D,4,0))</f>
        <v/>
      </c>
      <c r="X203">
        <f>IF(B203&lt;6,IFERROR(VLOOKUP(E203,'BS Mapping std'!A:M,13,0),VLOOKUP(D203,'BS Mapping std'!A:M,13,0)),0)</f>
        <v/>
      </c>
      <c r="Y203">
        <f>IF(B203&lt;6,IFERROR(VLOOKUP(E203,'BS Mapping std'!A:N,14,0),VLOOKUP(D203,'BS Mapping std'!A:N,14,0)),0)</f>
        <v/>
      </c>
    </row>
    <row r="204" spans="1:25">
      <c r="A204">
        <f>IF(B204&lt;6,"BS",IF(B204=6,"Exp","Rev"))</f>
        <v/>
      </c>
      <c r="B204">
        <f>_xlfn.NUMBERVALUE(LEFT(F204,1))</f>
        <v/>
      </c>
      <c r="C204">
        <f>Left(F204,2)</f>
        <v/>
      </c>
      <c r="D204">
        <f>Left(F204,3)</f>
        <v/>
      </c>
      <c r="E204">
        <f>IF(F204="121",Left(F204,3)&amp;"0",Left(F204,4))</f>
        <v/>
      </c>
      <c r="F204" t="n">
        <v>60700010</v>
      </c>
      <c r="G204" t="s">
        <v>225</v>
      </c>
      <c r="H204" s="9" t="n">
        <v>16613426.99</v>
      </c>
      <c r="I204" s="9" t="n">
        <v>18448497.9</v>
      </c>
      <c r="J204" s="9" t="n">
        <v>18448497.9</v>
      </c>
      <c r="K204" s="9" t="n">
        <v>18448497.9</v>
      </c>
      <c r="L204" s="9">
        <f>K204-H204</f>
        <v/>
      </c>
      <c r="M204" s="32">
        <f>IFERROR(L204/H204," ")</f>
        <v/>
      </c>
      <c r="N204">
        <f>IF(A204="BS",IFERROR(VLOOKUP(TRIM($E204),'BS Mapping std'!$A:$D,4,0),VLOOKUP(TRIM($D204),'BS Mapping std'!$A:$D,4,0)),IFERROR(VLOOKUP(TRIM($E204),'PL mapping Std'!$A:$D,4,0),VLOOKUP(TRIM($D204),'PL mapping Std'!$A:$D,4,0)))</f>
        <v/>
      </c>
      <c r="O204">
        <f>_xlfn.IFERROR(VLOOKUP(E204,'F30 mapping'!A:C,3,0),VLOOKUP(D204,'F30 mapping'!A:C,3,0))</f>
        <v/>
      </c>
      <c r="P204">
        <f>_xlfn.IFERROR(IFERROR(VLOOKUP(E204,'F40 mapping'!A:C,3,0),VLOOKUP(D204,'F40 mapping'!A:C,3,0)),0)</f>
        <v/>
      </c>
      <c r="Q204">
        <f>_xlfn.IFERROR(IFERROR(VLOOKUP(E204,'F40 mapping'!A:D,4,0),VLOOKUP(D204,'F40 mapping'!A:D,4,0)),0)</f>
        <v/>
      </c>
      <c r="R204">
        <f>_xlfn.IFERROR(IFERROR(VLOOKUP(E204,'F40 mapping'!A:E,5,0),VLOOKUP(D204,'F40 mapping'!A:E,5,0)),0)</f>
        <v/>
      </c>
      <c r="S204">
        <f>_xlfn.IF(B204&lt;6,IFERROR(VLOOKUP(E204,'BS Mapping std'!A:E,5,0),VLOOKUP(D204,'BS Mapping std'!A:E,5,0)),IFERROR(VLOOKUP(E204,'PL mapping Std'!A:F,6,0),VLOOKUP(D204,'PL mapping Std'!A:F,6,0)))</f>
        <v/>
      </c>
      <c r="T204">
        <f>_xlfn.IF(B204&lt;6,IFERROR(VLOOKUP(E204,'BS Mapping std'!A:F,6,0),VLOOKUP(D204,'BS Mapping std'!A:F,6,0)),IFERROR(VLOOKUP(E204,'PL mapping Std'!A:G,7,0),VLOOKUP(D204,'PL mapping Std'!A:G,7,0)))</f>
        <v/>
      </c>
      <c r="V204">
        <f>IF(IF(A204="BS",IFERROR(VLOOKUP(TRIM($E204),'BS Mapping std'!$A:$H,8,0),VLOOKUP(TRIM($D204),'BS Mapping std'!$A:$H,8,0)),IFERROR(VLOOKUP(TRIM($E204),'PL mapping Std'!$A:$E,5,0),VLOOKUP(TRIM($D204),'PL mapping Std'!$A:$E,5,0)))=0,"",IF(A204="BS",IFERROR(VLOOKUP(TRIM($E204),'BS Mapping std'!$A:$H,8,0),VLOOKUP(TRIM($D204),'BS Mapping std'!$A:$H,8,0)),IFERROR(VLOOKUP(TRIM($E204),'PL mapping Std'!$A:$E,5,0),VLOOKUP(TRIM($D204),'PL mapping Std'!$A:$E,5,0))))</f>
        <v/>
      </c>
      <c r="W204">
        <f>_xlfn.IFERROR(VLOOKUP(E204,'F30 mapping'!A:D,4,0),VLOOKUP(D204,'F30 mapping'!A:D,4,0))</f>
        <v/>
      </c>
      <c r="X204">
        <f>IF(B204&lt;6,IFERROR(VLOOKUP(E204,'BS Mapping std'!A:M,13,0),VLOOKUP(D204,'BS Mapping std'!A:M,13,0)),0)</f>
        <v/>
      </c>
      <c r="Y204">
        <f>IF(B204&lt;6,IFERROR(VLOOKUP(E204,'BS Mapping std'!A:N,14,0),VLOOKUP(D204,'BS Mapping std'!A:N,14,0)),0)</f>
        <v/>
      </c>
    </row>
    <row r="205" spans="1:25">
      <c r="A205">
        <f>IF(B205&lt;6,"BS",IF(B205=6,"Exp","Rev"))</f>
        <v/>
      </c>
      <c r="B205">
        <f>_xlfn.NUMBERVALUE(LEFT(F205,1))</f>
        <v/>
      </c>
      <c r="C205">
        <f>Left(F205,2)</f>
        <v/>
      </c>
      <c r="D205">
        <f>Left(F205,3)</f>
        <v/>
      </c>
      <c r="E205">
        <f>IF(F205="121",Left(F205,3)&amp;"0",Left(F205,4))</f>
        <v/>
      </c>
      <c r="F205" t="n">
        <v>60700030</v>
      </c>
      <c r="G205" t="s">
        <v>226</v>
      </c>
      <c r="H205" s="9" t="n">
        <v>89263.03999999998</v>
      </c>
      <c r="I205" s="9" t="n">
        <v>39544.67</v>
      </c>
      <c r="J205" s="9" t="n">
        <v>39544.67</v>
      </c>
      <c r="K205" s="9" t="n">
        <v>39544.67</v>
      </c>
      <c r="L205" s="9">
        <f>K205-H205</f>
        <v/>
      </c>
      <c r="M205" s="32">
        <f>IFERROR(L205/H205," ")</f>
        <v/>
      </c>
      <c r="N205">
        <f>IF(A205="BS",IFERROR(VLOOKUP(TRIM($E205),'BS Mapping std'!$A:$D,4,0),VLOOKUP(TRIM($D205),'BS Mapping std'!$A:$D,4,0)),IFERROR(VLOOKUP(TRIM($E205),'PL mapping Std'!$A:$D,4,0),VLOOKUP(TRIM($D205),'PL mapping Std'!$A:$D,4,0)))</f>
        <v/>
      </c>
      <c r="O205">
        <f>_xlfn.IFERROR(VLOOKUP(E205,'F30 mapping'!A:C,3,0),VLOOKUP(D205,'F30 mapping'!A:C,3,0))</f>
        <v/>
      </c>
      <c r="P205">
        <f>_xlfn.IFERROR(IFERROR(VLOOKUP(E205,'F40 mapping'!A:C,3,0),VLOOKUP(D205,'F40 mapping'!A:C,3,0)),0)</f>
        <v/>
      </c>
      <c r="Q205">
        <f>_xlfn.IFERROR(IFERROR(VLOOKUP(E205,'F40 mapping'!A:D,4,0),VLOOKUP(D205,'F40 mapping'!A:D,4,0)),0)</f>
        <v/>
      </c>
      <c r="R205">
        <f>_xlfn.IFERROR(IFERROR(VLOOKUP(E205,'F40 mapping'!A:E,5,0),VLOOKUP(D205,'F40 mapping'!A:E,5,0)),0)</f>
        <v/>
      </c>
      <c r="S205">
        <f>_xlfn.IF(B205&lt;6,IFERROR(VLOOKUP(E205,'BS Mapping std'!A:E,5,0),VLOOKUP(D205,'BS Mapping std'!A:E,5,0)),IFERROR(VLOOKUP(E205,'PL mapping Std'!A:F,6,0),VLOOKUP(D205,'PL mapping Std'!A:F,6,0)))</f>
        <v/>
      </c>
      <c r="T205">
        <f>_xlfn.IF(B205&lt;6,IFERROR(VLOOKUP(E205,'BS Mapping std'!A:F,6,0),VLOOKUP(D205,'BS Mapping std'!A:F,6,0)),IFERROR(VLOOKUP(E205,'PL mapping Std'!A:G,7,0),VLOOKUP(D205,'PL mapping Std'!A:G,7,0)))</f>
        <v/>
      </c>
      <c r="V205">
        <f>IF(IF(A205="BS",IFERROR(VLOOKUP(TRIM($E205),'BS Mapping std'!$A:$H,8,0),VLOOKUP(TRIM($D205),'BS Mapping std'!$A:$H,8,0)),IFERROR(VLOOKUP(TRIM($E205),'PL mapping Std'!$A:$E,5,0),VLOOKUP(TRIM($D205),'PL mapping Std'!$A:$E,5,0)))=0,"",IF(A205="BS",IFERROR(VLOOKUP(TRIM($E205),'BS Mapping std'!$A:$H,8,0),VLOOKUP(TRIM($D205),'BS Mapping std'!$A:$H,8,0)),IFERROR(VLOOKUP(TRIM($E205),'PL mapping Std'!$A:$E,5,0),VLOOKUP(TRIM($D205),'PL mapping Std'!$A:$E,5,0))))</f>
        <v/>
      </c>
      <c r="W205">
        <f>_xlfn.IFERROR(VLOOKUP(E205,'F30 mapping'!A:D,4,0),VLOOKUP(D205,'F30 mapping'!A:D,4,0))</f>
        <v/>
      </c>
      <c r="X205">
        <f>IF(B205&lt;6,IFERROR(VLOOKUP(E205,'BS Mapping std'!A:M,13,0),VLOOKUP(D205,'BS Mapping std'!A:M,13,0)),0)</f>
        <v/>
      </c>
      <c r="Y205">
        <f>IF(B205&lt;6,IFERROR(VLOOKUP(E205,'BS Mapping std'!A:N,14,0),VLOOKUP(D205,'BS Mapping std'!A:N,14,0)),0)</f>
        <v/>
      </c>
    </row>
    <row r="206" spans="1:25">
      <c r="A206">
        <f>IF(B206&lt;6,"BS",IF(B206=6,"Exp","Rev"))</f>
        <v/>
      </c>
      <c r="B206">
        <f>_xlfn.NUMBERVALUE(LEFT(F206,1))</f>
        <v/>
      </c>
      <c r="C206">
        <f>Left(F206,2)</f>
        <v/>
      </c>
      <c r="D206">
        <f>Left(F206,3)</f>
        <v/>
      </c>
      <c r="E206">
        <f>IF(F206="121",Left(F206,3)&amp;"0",Left(F206,4))</f>
        <v/>
      </c>
      <c r="F206" t="n">
        <v>60700040</v>
      </c>
      <c r="G206" t="s">
        <v>227</v>
      </c>
      <c r="H206" s="9" t="n">
        <v>1091024.77</v>
      </c>
      <c r="I206" s="9" t="n">
        <v>2418815.25</v>
      </c>
      <c r="J206" s="9" t="n">
        <v>2418815.25</v>
      </c>
      <c r="K206" s="9" t="n">
        <v>2418815.25</v>
      </c>
      <c r="L206" s="9">
        <f>K206-H206</f>
        <v/>
      </c>
      <c r="M206" s="32">
        <f>IFERROR(L206/H206," ")</f>
        <v/>
      </c>
      <c r="N206">
        <f>IF(A206="BS",IFERROR(VLOOKUP(TRIM($E206),'BS Mapping std'!$A:$D,4,0),VLOOKUP(TRIM($D206),'BS Mapping std'!$A:$D,4,0)),IFERROR(VLOOKUP(TRIM($E206),'PL mapping Std'!$A:$D,4,0),VLOOKUP(TRIM($D206),'PL mapping Std'!$A:$D,4,0)))</f>
        <v/>
      </c>
      <c r="O206">
        <f>_xlfn.IFERROR(VLOOKUP(E206,'F30 mapping'!A:C,3,0),VLOOKUP(D206,'F30 mapping'!A:C,3,0))</f>
        <v/>
      </c>
      <c r="P206">
        <f>_xlfn.IFERROR(IFERROR(VLOOKUP(E206,'F40 mapping'!A:C,3,0),VLOOKUP(D206,'F40 mapping'!A:C,3,0)),0)</f>
        <v/>
      </c>
      <c r="Q206">
        <f>_xlfn.IFERROR(IFERROR(VLOOKUP(E206,'F40 mapping'!A:D,4,0),VLOOKUP(D206,'F40 mapping'!A:D,4,0)),0)</f>
        <v/>
      </c>
      <c r="R206">
        <f>_xlfn.IFERROR(IFERROR(VLOOKUP(E206,'F40 mapping'!A:E,5,0),VLOOKUP(D206,'F40 mapping'!A:E,5,0)),0)</f>
        <v/>
      </c>
      <c r="S206">
        <f>_xlfn.IF(B206&lt;6,IFERROR(VLOOKUP(E206,'BS Mapping std'!A:E,5,0),VLOOKUP(D206,'BS Mapping std'!A:E,5,0)),IFERROR(VLOOKUP(E206,'PL mapping Std'!A:F,6,0),VLOOKUP(D206,'PL mapping Std'!A:F,6,0)))</f>
        <v/>
      </c>
      <c r="T206">
        <f>_xlfn.IF(B206&lt;6,IFERROR(VLOOKUP(E206,'BS Mapping std'!A:F,6,0),VLOOKUP(D206,'BS Mapping std'!A:F,6,0)),IFERROR(VLOOKUP(E206,'PL mapping Std'!A:G,7,0),VLOOKUP(D206,'PL mapping Std'!A:G,7,0)))</f>
        <v/>
      </c>
      <c r="V206">
        <f>IF(IF(A206="BS",IFERROR(VLOOKUP(TRIM($E206),'BS Mapping std'!$A:$H,8,0),VLOOKUP(TRIM($D206),'BS Mapping std'!$A:$H,8,0)),IFERROR(VLOOKUP(TRIM($E206),'PL mapping Std'!$A:$E,5,0),VLOOKUP(TRIM($D206),'PL mapping Std'!$A:$E,5,0)))=0,"",IF(A206="BS",IFERROR(VLOOKUP(TRIM($E206),'BS Mapping std'!$A:$H,8,0),VLOOKUP(TRIM($D206),'BS Mapping std'!$A:$H,8,0)),IFERROR(VLOOKUP(TRIM($E206),'PL mapping Std'!$A:$E,5,0),VLOOKUP(TRIM($D206),'PL mapping Std'!$A:$E,5,0))))</f>
        <v/>
      </c>
      <c r="W206">
        <f>_xlfn.IFERROR(VLOOKUP(E206,'F30 mapping'!A:D,4,0),VLOOKUP(D206,'F30 mapping'!A:D,4,0))</f>
        <v/>
      </c>
      <c r="X206">
        <f>IF(B206&lt;6,IFERROR(VLOOKUP(E206,'BS Mapping std'!A:M,13,0),VLOOKUP(D206,'BS Mapping std'!A:M,13,0)),0)</f>
        <v/>
      </c>
      <c r="Y206">
        <f>IF(B206&lt;6,IFERROR(VLOOKUP(E206,'BS Mapping std'!A:N,14,0),VLOOKUP(D206,'BS Mapping std'!A:N,14,0)),0)</f>
        <v/>
      </c>
    </row>
    <row r="207" spans="1:25">
      <c r="A207">
        <f>IF(B207&lt;6,"BS",IF(B207=6,"Exp","Rev"))</f>
        <v/>
      </c>
      <c r="B207">
        <f>_xlfn.NUMBERVALUE(LEFT(F207,1))</f>
        <v/>
      </c>
      <c r="C207">
        <f>Left(F207,2)</f>
        <v/>
      </c>
      <c r="D207">
        <f>Left(F207,3)</f>
        <v/>
      </c>
      <c r="E207">
        <f>IF(F207="121",Left(F207,3)&amp;"0",Left(F207,4))</f>
        <v/>
      </c>
      <c r="F207" t="n">
        <v>60709990</v>
      </c>
      <c r="G207" t="s">
        <v>228</v>
      </c>
      <c r="H207" s="9" t="n">
        <v>1597.29</v>
      </c>
      <c r="I207" s="9" t="n">
        <v>1257.54</v>
      </c>
      <c r="J207" s="9" t="n">
        <v>1257.54</v>
      </c>
      <c r="K207" s="9" t="n">
        <v>1257.54</v>
      </c>
      <c r="L207" s="9">
        <f>K207-H207</f>
        <v/>
      </c>
      <c r="M207" s="32">
        <f>IFERROR(L207/H207," ")</f>
        <v/>
      </c>
      <c r="N207">
        <f>IF(A207="BS",IFERROR(VLOOKUP(TRIM($E207),'BS Mapping std'!$A:$D,4,0),VLOOKUP(TRIM($D207),'BS Mapping std'!$A:$D,4,0)),IFERROR(VLOOKUP(TRIM($E207),'PL mapping Std'!$A:$D,4,0),VLOOKUP(TRIM($D207),'PL mapping Std'!$A:$D,4,0)))</f>
        <v/>
      </c>
      <c r="O207">
        <f>_xlfn.IFERROR(VLOOKUP(E207,'F30 mapping'!A:C,3,0),VLOOKUP(D207,'F30 mapping'!A:C,3,0))</f>
        <v/>
      </c>
      <c r="P207">
        <f>_xlfn.IFERROR(IFERROR(VLOOKUP(E207,'F40 mapping'!A:C,3,0),VLOOKUP(D207,'F40 mapping'!A:C,3,0)),0)</f>
        <v/>
      </c>
      <c r="Q207">
        <f>_xlfn.IFERROR(IFERROR(VLOOKUP(E207,'F40 mapping'!A:D,4,0),VLOOKUP(D207,'F40 mapping'!A:D,4,0)),0)</f>
        <v/>
      </c>
      <c r="R207">
        <f>_xlfn.IFERROR(IFERROR(VLOOKUP(E207,'F40 mapping'!A:E,5,0),VLOOKUP(D207,'F40 mapping'!A:E,5,0)),0)</f>
        <v/>
      </c>
      <c r="S207">
        <f>_xlfn.IF(B207&lt;6,IFERROR(VLOOKUP(E207,'BS Mapping std'!A:E,5,0),VLOOKUP(D207,'BS Mapping std'!A:E,5,0)),IFERROR(VLOOKUP(E207,'PL mapping Std'!A:F,6,0),VLOOKUP(D207,'PL mapping Std'!A:F,6,0)))</f>
        <v/>
      </c>
      <c r="T207">
        <f>_xlfn.IF(B207&lt;6,IFERROR(VLOOKUP(E207,'BS Mapping std'!A:F,6,0),VLOOKUP(D207,'BS Mapping std'!A:F,6,0)),IFERROR(VLOOKUP(E207,'PL mapping Std'!A:G,7,0),VLOOKUP(D207,'PL mapping Std'!A:G,7,0)))</f>
        <v/>
      </c>
      <c r="V207">
        <f>IF(IF(A207="BS",IFERROR(VLOOKUP(TRIM($E207),'BS Mapping std'!$A:$H,8,0),VLOOKUP(TRIM($D207),'BS Mapping std'!$A:$H,8,0)),IFERROR(VLOOKUP(TRIM($E207),'PL mapping Std'!$A:$E,5,0),VLOOKUP(TRIM($D207),'PL mapping Std'!$A:$E,5,0)))=0,"",IF(A207="BS",IFERROR(VLOOKUP(TRIM($E207),'BS Mapping std'!$A:$H,8,0),VLOOKUP(TRIM($D207),'BS Mapping std'!$A:$H,8,0)),IFERROR(VLOOKUP(TRIM($E207),'PL mapping Std'!$A:$E,5,0),VLOOKUP(TRIM($D207),'PL mapping Std'!$A:$E,5,0))))</f>
        <v/>
      </c>
      <c r="W207">
        <f>_xlfn.IFERROR(VLOOKUP(E207,'F30 mapping'!A:D,4,0),VLOOKUP(D207,'F30 mapping'!A:D,4,0))</f>
        <v/>
      </c>
      <c r="X207">
        <f>IF(B207&lt;6,IFERROR(VLOOKUP(E207,'BS Mapping std'!A:M,13,0),VLOOKUP(D207,'BS Mapping std'!A:M,13,0)),0)</f>
        <v/>
      </c>
      <c r="Y207">
        <f>IF(B207&lt;6,IFERROR(VLOOKUP(E207,'BS Mapping std'!A:N,14,0),VLOOKUP(D207,'BS Mapping std'!A:N,14,0)),0)</f>
        <v/>
      </c>
    </row>
    <row r="208" spans="1:25">
      <c r="A208">
        <f>IF(B208&lt;6,"BS",IF(B208=6,"Exp","Rev"))</f>
        <v/>
      </c>
      <c r="B208">
        <f>_xlfn.NUMBERVALUE(LEFT(F208,1))</f>
        <v/>
      </c>
      <c r="C208">
        <f>Left(F208,2)</f>
        <v/>
      </c>
      <c r="D208">
        <f>Left(F208,3)</f>
        <v/>
      </c>
      <c r="E208">
        <f>IF(F208="121",Left(F208,3)&amp;"0",Left(F208,4))</f>
        <v/>
      </c>
      <c r="F208" t="n">
        <v>60709991</v>
      </c>
      <c r="G208" t="s">
        <v>229</v>
      </c>
      <c r="H208" s="9" t="n">
        <v>-124.39</v>
      </c>
      <c r="I208" s="9" t="n">
        <v>-20.87</v>
      </c>
      <c r="J208" s="9" t="n">
        <v>-20.87</v>
      </c>
      <c r="K208" s="9" t="n">
        <v>-20.87</v>
      </c>
      <c r="L208" s="9">
        <f>K208-H208</f>
        <v/>
      </c>
      <c r="M208" s="32">
        <f>IFERROR(L208/H208," ")</f>
        <v/>
      </c>
      <c r="N208">
        <f>IF(A208="BS",IFERROR(VLOOKUP(TRIM($E208),'BS Mapping std'!$A:$D,4,0),VLOOKUP(TRIM($D208),'BS Mapping std'!$A:$D,4,0)),IFERROR(VLOOKUP(TRIM($E208),'PL mapping Std'!$A:$D,4,0),VLOOKUP(TRIM($D208),'PL mapping Std'!$A:$D,4,0)))</f>
        <v/>
      </c>
      <c r="O208">
        <f>_xlfn.IFERROR(VLOOKUP(E208,'F30 mapping'!A:C,3,0),VLOOKUP(D208,'F30 mapping'!A:C,3,0))</f>
        <v/>
      </c>
      <c r="P208">
        <f>_xlfn.IFERROR(IFERROR(VLOOKUP(E208,'F40 mapping'!A:C,3,0),VLOOKUP(D208,'F40 mapping'!A:C,3,0)),0)</f>
        <v/>
      </c>
      <c r="Q208">
        <f>_xlfn.IFERROR(IFERROR(VLOOKUP(E208,'F40 mapping'!A:D,4,0),VLOOKUP(D208,'F40 mapping'!A:D,4,0)),0)</f>
        <v/>
      </c>
      <c r="R208">
        <f>_xlfn.IFERROR(IFERROR(VLOOKUP(E208,'F40 mapping'!A:E,5,0),VLOOKUP(D208,'F40 mapping'!A:E,5,0)),0)</f>
        <v/>
      </c>
      <c r="S208">
        <f>_xlfn.IF(B208&lt;6,IFERROR(VLOOKUP(E208,'BS Mapping std'!A:E,5,0),VLOOKUP(D208,'BS Mapping std'!A:E,5,0)),IFERROR(VLOOKUP(E208,'PL mapping Std'!A:F,6,0),VLOOKUP(D208,'PL mapping Std'!A:F,6,0)))</f>
        <v/>
      </c>
      <c r="T208">
        <f>_xlfn.IF(B208&lt;6,IFERROR(VLOOKUP(E208,'BS Mapping std'!A:F,6,0),VLOOKUP(D208,'BS Mapping std'!A:F,6,0)),IFERROR(VLOOKUP(E208,'PL mapping Std'!A:G,7,0),VLOOKUP(D208,'PL mapping Std'!A:G,7,0)))</f>
        <v/>
      </c>
      <c r="V208">
        <f>IF(IF(A208="BS",IFERROR(VLOOKUP(TRIM($E208),'BS Mapping std'!$A:$H,8,0),VLOOKUP(TRIM($D208),'BS Mapping std'!$A:$H,8,0)),IFERROR(VLOOKUP(TRIM($E208),'PL mapping Std'!$A:$E,5,0),VLOOKUP(TRIM($D208),'PL mapping Std'!$A:$E,5,0)))=0,"",IF(A208="BS",IFERROR(VLOOKUP(TRIM($E208),'BS Mapping std'!$A:$H,8,0),VLOOKUP(TRIM($D208),'BS Mapping std'!$A:$H,8,0)),IFERROR(VLOOKUP(TRIM($E208),'PL mapping Std'!$A:$E,5,0),VLOOKUP(TRIM($D208),'PL mapping Std'!$A:$E,5,0))))</f>
        <v/>
      </c>
      <c r="W208">
        <f>_xlfn.IFERROR(VLOOKUP(E208,'F30 mapping'!A:D,4,0),VLOOKUP(D208,'F30 mapping'!A:D,4,0))</f>
        <v/>
      </c>
      <c r="X208">
        <f>IF(B208&lt;6,IFERROR(VLOOKUP(E208,'BS Mapping std'!A:M,13,0),VLOOKUP(D208,'BS Mapping std'!A:M,13,0)),0)</f>
        <v/>
      </c>
      <c r="Y208">
        <f>IF(B208&lt;6,IFERROR(VLOOKUP(E208,'BS Mapping std'!A:N,14,0),VLOOKUP(D208,'BS Mapping std'!A:N,14,0)),0)</f>
        <v/>
      </c>
    </row>
    <row r="209" spans="1:25">
      <c r="A209">
        <f>IF(B209&lt;6,"BS",IF(B209=6,"Exp","Rev"))</f>
        <v/>
      </c>
      <c r="B209">
        <f>_xlfn.NUMBERVALUE(LEFT(F209,1))</f>
        <v/>
      </c>
      <c r="C209">
        <f>Left(F209,2)</f>
        <v/>
      </c>
      <c r="D209">
        <f>Left(F209,3)</f>
        <v/>
      </c>
      <c r="E209">
        <f>IF(F209="121",Left(F209,3)&amp;"0",Left(F209,4))</f>
        <v/>
      </c>
      <c r="F209" t="n">
        <v>60709992</v>
      </c>
      <c r="G209" t="s">
        <v>229</v>
      </c>
      <c r="H209" s="9" t="n">
        <v>155.86</v>
      </c>
      <c r="I209" s="9" t="n">
        <v>51.5</v>
      </c>
      <c r="J209" s="9" t="n">
        <v>51.5</v>
      </c>
      <c r="K209" s="9" t="n">
        <v>51.5</v>
      </c>
      <c r="L209" s="9">
        <f>K209-H209</f>
        <v/>
      </c>
      <c r="M209" s="32">
        <f>IFERROR(L209/H209," ")</f>
        <v/>
      </c>
      <c r="N209">
        <f>IF(A209="BS",IFERROR(VLOOKUP(TRIM($E209),'BS Mapping std'!$A:$D,4,0),VLOOKUP(TRIM($D209),'BS Mapping std'!$A:$D,4,0)),IFERROR(VLOOKUP(TRIM($E209),'PL mapping Std'!$A:$D,4,0),VLOOKUP(TRIM($D209),'PL mapping Std'!$A:$D,4,0)))</f>
        <v/>
      </c>
      <c r="O209">
        <f>_xlfn.IFERROR(VLOOKUP(E209,'F30 mapping'!A:C,3,0),VLOOKUP(D209,'F30 mapping'!A:C,3,0))</f>
        <v/>
      </c>
      <c r="P209">
        <f>_xlfn.IFERROR(IFERROR(VLOOKUP(E209,'F40 mapping'!A:C,3,0),VLOOKUP(D209,'F40 mapping'!A:C,3,0)),0)</f>
        <v/>
      </c>
      <c r="Q209">
        <f>_xlfn.IFERROR(IFERROR(VLOOKUP(E209,'F40 mapping'!A:D,4,0),VLOOKUP(D209,'F40 mapping'!A:D,4,0)),0)</f>
        <v/>
      </c>
      <c r="R209">
        <f>_xlfn.IFERROR(IFERROR(VLOOKUP(E209,'F40 mapping'!A:E,5,0),VLOOKUP(D209,'F40 mapping'!A:E,5,0)),0)</f>
        <v/>
      </c>
      <c r="S209">
        <f>_xlfn.IF(B209&lt;6,IFERROR(VLOOKUP(E209,'BS Mapping std'!A:E,5,0),VLOOKUP(D209,'BS Mapping std'!A:E,5,0)),IFERROR(VLOOKUP(E209,'PL mapping Std'!A:F,6,0),VLOOKUP(D209,'PL mapping Std'!A:F,6,0)))</f>
        <v/>
      </c>
      <c r="T209">
        <f>_xlfn.IF(B209&lt;6,IFERROR(VLOOKUP(E209,'BS Mapping std'!A:F,6,0),VLOOKUP(D209,'BS Mapping std'!A:F,6,0)),IFERROR(VLOOKUP(E209,'PL mapping Std'!A:G,7,0),VLOOKUP(D209,'PL mapping Std'!A:G,7,0)))</f>
        <v/>
      </c>
      <c r="V209">
        <f>IF(IF(A209="BS",IFERROR(VLOOKUP(TRIM($E209),'BS Mapping std'!$A:$H,8,0),VLOOKUP(TRIM($D209),'BS Mapping std'!$A:$H,8,0)),IFERROR(VLOOKUP(TRIM($E209),'PL mapping Std'!$A:$E,5,0),VLOOKUP(TRIM($D209),'PL mapping Std'!$A:$E,5,0)))=0,"",IF(A209="BS",IFERROR(VLOOKUP(TRIM($E209),'BS Mapping std'!$A:$H,8,0),VLOOKUP(TRIM($D209),'BS Mapping std'!$A:$H,8,0)),IFERROR(VLOOKUP(TRIM($E209),'PL mapping Std'!$A:$E,5,0),VLOOKUP(TRIM($D209),'PL mapping Std'!$A:$E,5,0))))</f>
        <v/>
      </c>
      <c r="W209">
        <f>_xlfn.IFERROR(VLOOKUP(E209,'F30 mapping'!A:D,4,0),VLOOKUP(D209,'F30 mapping'!A:D,4,0))</f>
        <v/>
      </c>
      <c r="X209">
        <f>IF(B209&lt;6,IFERROR(VLOOKUP(E209,'BS Mapping std'!A:M,13,0),VLOOKUP(D209,'BS Mapping std'!A:M,13,0)),0)</f>
        <v/>
      </c>
      <c r="Y209">
        <f>IF(B209&lt;6,IFERROR(VLOOKUP(E209,'BS Mapping std'!A:N,14,0),VLOOKUP(D209,'BS Mapping std'!A:N,14,0)),0)</f>
        <v/>
      </c>
    </row>
    <row r="210" spans="1:25">
      <c r="A210">
        <f>IF(B210&lt;6,"BS",IF(B210=6,"Exp","Rev"))</f>
        <v/>
      </c>
      <c r="B210">
        <f>_xlfn.NUMBERVALUE(LEFT(F210,1))</f>
        <v/>
      </c>
      <c r="C210">
        <f>Left(F210,2)</f>
        <v/>
      </c>
      <c r="D210">
        <f>Left(F210,3)</f>
        <v/>
      </c>
      <c r="E210">
        <f>IF(F210="121",Left(F210,3)&amp;"0",Left(F210,4))</f>
        <v/>
      </c>
      <c r="F210" t="n">
        <v>60709993</v>
      </c>
      <c r="G210" t="s">
        <v>230</v>
      </c>
      <c r="H210" s="9" t="n">
        <v>0</v>
      </c>
      <c r="I210" s="9" t="n">
        <v>-0.15</v>
      </c>
      <c r="J210" s="9" t="n">
        <v>-0.15</v>
      </c>
      <c r="K210" s="9" t="n">
        <v>-0.15</v>
      </c>
      <c r="L210" s="9">
        <f>K210-H210</f>
        <v/>
      </c>
      <c r="M210" s="32">
        <f>IFERROR(L210/H210," ")</f>
        <v/>
      </c>
      <c r="N210">
        <f>IF(A210="BS",IFERROR(VLOOKUP(TRIM($E210),'BS Mapping std'!$A:$D,4,0),VLOOKUP(TRIM($D210),'BS Mapping std'!$A:$D,4,0)),IFERROR(VLOOKUP(TRIM($E210),'PL mapping Std'!$A:$D,4,0),VLOOKUP(TRIM($D210),'PL mapping Std'!$A:$D,4,0)))</f>
        <v/>
      </c>
      <c r="O210">
        <f>_xlfn.IFERROR(VLOOKUP(E210,'F30 mapping'!A:C,3,0),VLOOKUP(D210,'F30 mapping'!A:C,3,0))</f>
        <v/>
      </c>
      <c r="P210">
        <f>_xlfn.IFERROR(IFERROR(VLOOKUP(E210,'F40 mapping'!A:C,3,0),VLOOKUP(D210,'F40 mapping'!A:C,3,0)),0)</f>
        <v/>
      </c>
      <c r="Q210">
        <f>_xlfn.IFERROR(IFERROR(VLOOKUP(E210,'F40 mapping'!A:D,4,0),VLOOKUP(D210,'F40 mapping'!A:D,4,0)),0)</f>
        <v/>
      </c>
      <c r="R210">
        <f>_xlfn.IFERROR(IFERROR(VLOOKUP(E210,'F40 mapping'!A:E,5,0),VLOOKUP(D210,'F40 mapping'!A:E,5,0)),0)</f>
        <v/>
      </c>
      <c r="S210">
        <f>_xlfn.IF(B210&lt;6,IFERROR(VLOOKUP(E210,'BS Mapping std'!A:E,5,0),VLOOKUP(D210,'BS Mapping std'!A:E,5,0)),IFERROR(VLOOKUP(E210,'PL mapping Std'!A:F,6,0),VLOOKUP(D210,'PL mapping Std'!A:F,6,0)))</f>
        <v/>
      </c>
      <c r="T210">
        <f>_xlfn.IF(B210&lt;6,IFERROR(VLOOKUP(E210,'BS Mapping std'!A:F,6,0),VLOOKUP(D210,'BS Mapping std'!A:F,6,0)),IFERROR(VLOOKUP(E210,'PL mapping Std'!A:G,7,0),VLOOKUP(D210,'PL mapping Std'!A:G,7,0)))</f>
        <v/>
      </c>
      <c r="V210">
        <f>IF(IF(A210="BS",IFERROR(VLOOKUP(TRIM($E210),'BS Mapping std'!$A:$H,8,0),VLOOKUP(TRIM($D210),'BS Mapping std'!$A:$H,8,0)),IFERROR(VLOOKUP(TRIM($E210),'PL mapping Std'!$A:$E,5,0),VLOOKUP(TRIM($D210),'PL mapping Std'!$A:$E,5,0)))=0,"",IF(A210="BS",IFERROR(VLOOKUP(TRIM($E210),'BS Mapping std'!$A:$H,8,0),VLOOKUP(TRIM($D210),'BS Mapping std'!$A:$H,8,0)),IFERROR(VLOOKUP(TRIM($E210),'PL mapping Std'!$A:$E,5,0),VLOOKUP(TRIM($D210),'PL mapping Std'!$A:$E,5,0))))</f>
        <v/>
      </c>
      <c r="W210">
        <f>_xlfn.IFERROR(VLOOKUP(E210,'F30 mapping'!A:D,4,0),VLOOKUP(D210,'F30 mapping'!A:D,4,0))</f>
        <v/>
      </c>
      <c r="X210">
        <f>IF(B210&lt;6,IFERROR(VLOOKUP(E210,'BS Mapping std'!A:M,13,0),VLOOKUP(D210,'BS Mapping std'!A:M,13,0)),0)</f>
        <v/>
      </c>
      <c r="Y210">
        <f>IF(B210&lt;6,IFERROR(VLOOKUP(E210,'BS Mapping std'!A:N,14,0),VLOOKUP(D210,'BS Mapping std'!A:N,14,0)),0)</f>
        <v/>
      </c>
    </row>
    <row r="211" spans="1:25">
      <c r="A211">
        <f>IF(B211&lt;6,"BS",IF(B211=6,"Exp","Rev"))</f>
        <v/>
      </c>
      <c r="B211">
        <f>_xlfn.NUMBERVALUE(LEFT(F211,1))</f>
        <v/>
      </c>
      <c r="C211">
        <f>Left(F211,2)</f>
        <v/>
      </c>
      <c r="D211">
        <f>Left(F211,3)</f>
        <v/>
      </c>
      <c r="E211">
        <f>IF(F211="121",Left(F211,3)&amp;"0",Left(F211,4))</f>
        <v/>
      </c>
      <c r="F211" t="n">
        <v>60709995</v>
      </c>
      <c r="G211" t="s">
        <v>231</v>
      </c>
      <c r="H211" s="9" t="n">
        <v>14237.02</v>
      </c>
      <c r="I211" s="9" t="n">
        <v>21483.53</v>
      </c>
      <c r="J211" s="9" t="n">
        <v>21483.53</v>
      </c>
      <c r="K211" s="9" t="n">
        <v>21483.53</v>
      </c>
      <c r="L211" s="9">
        <f>K211-H211</f>
        <v/>
      </c>
      <c r="M211" s="32">
        <f>IFERROR(L211/H211," ")</f>
        <v/>
      </c>
      <c r="N211">
        <f>IF(A211="BS",IFERROR(VLOOKUP(TRIM($E211),'BS Mapping std'!$A:$D,4,0),VLOOKUP(TRIM($D211),'BS Mapping std'!$A:$D,4,0)),IFERROR(VLOOKUP(TRIM($E211),'PL mapping Std'!$A:$D,4,0),VLOOKUP(TRIM($D211),'PL mapping Std'!$A:$D,4,0)))</f>
        <v/>
      </c>
      <c r="O211">
        <f>_xlfn.IFERROR(VLOOKUP(E211,'F30 mapping'!A:C,3,0),VLOOKUP(D211,'F30 mapping'!A:C,3,0))</f>
        <v/>
      </c>
      <c r="P211">
        <f>_xlfn.IFERROR(IFERROR(VLOOKUP(E211,'F40 mapping'!A:C,3,0),VLOOKUP(D211,'F40 mapping'!A:C,3,0)),0)</f>
        <v/>
      </c>
      <c r="Q211">
        <f>_xlfn.IFERROR(IFERROR(VLOOKUP(E211,'F40 mapping'!A:D,4,0),VLOOKUP(D211,'F40 mapping'!A:D,4,0)),0)</f>
        <v/>
      </c>
      <c r="R211">
        <f>_xlfn.IFERROR(IFERROR(VLOOKUP(E211,'F40 mapping'!A:E,5,0),VLOOKUP(D211,'F40 mapping'!A:E,5,0)),0)</f>
        <v/>
      </c>
      <c r="S211">
        <f>_xlfn.IF(B211&lt;6,IFERROR(VLOOKUP(E211,'BS Mapping std'!A:E,5,0),VLOOKUP(D211,'BS Mapping std'!A:E,5,0)),IFERROR(VLOOKUP(E211,'PL mapping Std'!A:F,6,0),VLOOKUP(D211,'PL mapping Std'!A:F,6,0)))</f>
        <v/>
      </c>
      <c r="T211">
        <f>_xlfn.IF(B211&lt;6,IFERROR(VLOOKUP(E211,'BS Mapping std'!A:F,6,0),VLOOKUP(D211,'BS Mapping std'!A:F,6,0)),IFERROR(VLOOKUP(E211,'PL mapping Std'!A:G,7,0),VLOOKUP(D211,'PL mapping Std'!A:G,7,0)))</f>
        <v/>
      </c>
      <c r="V211">
        <f>IF(IF(A211="BS",IFERROR(VLOOKUP(TRIM($E211),'BS Mapping std'!$A:$H,8,0),VLOOKUP(TRIM($D211),'BS Mapping std'!$A:$H,8,0)),IFERROR(VLOOKUP(TRIM($E211),'PL mapping Std'!$A:$E,5,0),VLOOKUP(TRIM($D211),'PL mapping Std'!$A:$E,5,0)))=0,"",IF(A211="BS",IFERROR(VLOOKUP(TRIM($E211),'BS Mapping std'!$A:$H,8,0),VLOOKUP(TRIM($D211),'BS Mapping std'!$A:$H,8,0)),IFERROR(VLOOKUP(TRIM($E211),'PL mapping Std'!$A:$E,5,0),VLOOKUP(TRIM($D211),'PL mapping Std'!$A:$E,5,0))))</f>
        <v/>
      </c>
      <c r="W211">
        <f>_xlfn.IFERROR(VLOOKUP(E211,'F30 mapping'!A:D,4,0),VLOOKUP(D211,'F30 mapping'!A:D,4,0))</f>
        <v/>
      </c>
      <c r="X211">
        <f>IF(B211&lt;6,IFERROR(VLOOKUP(E211,'BS Mapping std'!A:M,13,0),VLOOKUP(D211,'BS Mapping std'!A:M,13,0)),0)</f>
        <v/>
      </c>
      <c r="Y211">
        <f>IF(B211&lt;6,IFERROR(VLOOKUP(E211,'BS Mapping std'!A:N,14,0),VLOOKUP(D211,'BS Mapping std'!A:N,14,0)),0)</f>
        <v/>
      </c>
    </row>
    <row r="212" spans="1:25">
      <c r="A212">
        <f>IF(B212&lt;6,"BS",IF(B212=6,"Exp","Rev"))</f>
        <v/>
      </c>
      <c r="B212">
        <f>_xlfn.NUMBERVALUE(LEFT(F212,1))</f>
        <v/>
      </c>
      <c r="C212">
        <f>Left(F212,2)</f>
        <v/>
      </c>
      <c r="D212">
        <f>Left(F212,3)</f>
        <v/>
      </c>
      <c r="E212">
        <f>IF(F212="121",Left(F212,3)&amp;"0",Left(F212,4))</f>
        <v/>
      </c>
      <c r="F212" t="n">
        <v>60709998</v>
      </c>
      <c r="G212" t="s">
        <v>232</v>
      </c>
      <c r="H212" s="9" t="n">
        <v>-6043.54</v>
      </c>
      <c r="I212" s="9" t="n">
        <v>-6202.83</v>
      </c>
      <c r="J212" s="9" t="n">
        <v>-6202.83</v>
      </c>
      <c r="K212" s="9" t="n">
        <v>-6202.83</v>
      </c>
      <c r="L212" s="9">
        <f>K212-H212</f>
        <v/>
      </c>
      <c r="M212" s="32">
        <f>IFERROR(L212/H212," ")</f>
        <v/>
      </c>
      <c r="N212">
        <f>IF(A212="BS",IFERROR(VLOOKUP(TRIM($E212),'BS Mapping std'!$A:$D,4,0),VLOOKUP(TRIM($D212),'BS Mapping std'!$A:$D,4,0)),IFERROR(VLOOKUP(TRIM($E212),'PL mapping Std'!$A:$D,4,0),VLOOKUP(TRIM($D212),'PL mapping Std'!$A:$D,4,0)))</f>
        <v/>
      </c>
      <c r="O212">
        <f>_xlfn.IFERROR(VLOOKUP(E212,'F30 mapping'!A:C,3,0),VLOOKUP(D212,'F30 mapping'!A:C,3,0))</f>
        <v/>
      </c>
      <c r="P212">
        <f>_xlfn.IFERROR(IFERROR(VLOOKUP(E212,'F40 mapping'!A:C,3,0),VLOOKUP(D212,'F40 mapping'!A:C,3,0)),0)</f>
        <v/>
      </c>
      <c r="Q212">
        <f>_xlfn.IFERROR(IFERROR(VLOOKUP(E212,'F40 mapping'!A:D,4,0),VLOOKUP(D212,'F40 mapping'!A:D,4,0)),0)</f>
        <v/>
      </c>
      <c r="R212">
        <f>_xlfn.IFERROR(IFERROR(VLOOKUP(E212,'F40 mapping'!A:E,5,0),VLOOKUP(D212,'F40 mapping'!A:E,5,0)),0)</f>
        <v/>
      </c>
      <c r="S212">
        <f>_xlfn.IF(B212&lt;6,IFERROR(VLOOKUP(E212,'BS Mapping std'!A:E,5,0),VLOOKUP(D212,'BS Mapping std'!A:E,5,0)),IFERROR(VLOOKUP(E212,'PL mapping Std'!A:F,6,0),VLOOKUP(D212,'PL mapping Std'!A:F,6,0)))</f>
        <v/>
      </c>
      <c r="T212">
        <f>_xlfn.IF(B212&lt;6,IFERROR(VLOOKUP(E212,'BS Mapping std'!A:F,6,0),VLOOKUP(D212,'BS Mapping std'!A:F,6,0)),IFERROR(VLOOKUP(E212,'PL mapping Std'!A:G,7,0),VLOOKUP(D212,'PL mapping Std'!A:G,7,0)))</f>
        <v/>
      </c>
      <c r="V212">
        <f>IF(IF(A212="BS",IFERROR(VLOOKUP(TRIM($E212),'BS Mapping std'!$A:$H,8,0),VLOOKUP(TRIM($D212),'BS Mapping std'!$A:$H,8,0)),IFERROR(VLOOKUP(TRIM($E212),'PL mapping Std'!$A:$E,5,0),VLOOKUP(TRIM($D212),'PL mapping Std'!$A:$E,5,0)))=0,"",IF(A212="BS",IFERROR(VLOOKUP(TRIM($E212),'BS Mapping std'!$A:$H,8,0),VLOOKUP(TRIM($D212),'BS Mapping std'!$A:$H,8,0)),IFERROR(VLOOKUP(TRIM($E212),'PL mapping Std'!$A:$E,5,0),VLOOKUP(TRIM($D212),'PL mapping Std'!$A:$E,5,0))))</f>
        <v/>
      </c>
      <c r="W212">
        <f>_xlfn.IFERROR(VLOOKUP(E212,'F30 mapping'!A:D,4,0),VLOOKUP(D212,'F30 mapping'!A:D,4,0))</f>
        <v/>
      </c>
      <c r="X212">
        <f>IF(B212&lt;6,IFERROR(VLOOKUP(E212,'BS Mapping std'!A:M,13,0),VLOOKUP(D212,'BS Mapping std'!A:M,13,0)),0)</f>
        <v/>
      </c>
      <c r="Y212">
        <f>IF(B212&lt;6,IFERROR(VLOOKUP(E212,'BS Mapping std'!A:N,14,0),VLOOKUP(D212,'BS Mapping std'!A:N,14,0)),0)</f>
        <v/>
      </c>
    </row>
    <row r="213" spans="1:25">
      <c r="A213">
        <f>IF(B213&lt;6,"BS",IF(B213=6,"Exp","Rev"))</f>
        <v/>
      </c>
      <c r="B213">
        <f>_xlfn.NUMBERVALUE(LEFT(F213,1))</f>
        <v/>
      </c>
      <c r="C213">
        <f>Left(F213,2)</f>
        <v/>
      </c>
      <c r="D213">
        <f>Left(F213,3)</f>
        <v/>
      </c>
      <c r="E213">
        <f>IF(F213="121",Left(F213,3)&amp;"0",Left(F213,4))</f>
        <v/>
      </c>
      <c r="F213" t="n">
        <v>60709999</v>
      </c>
      <c r="G213" t="s">
        <v>233</v>
      </c>
      <c r="H213" s="9" t="n">
        <v>5730.28</v>
      </c>
      <c r="I213" s="9" t="n">
        <v>3480.43</v>
      </c>
      <c r="J213" s="9" t="n">
        <v>3480.43</v>
      </c>
      <c r="K213" s="9" t="n">
        <v>3480.43</v>
      </c>
      <c r="L213" s="9">
        <f>K213-H213</f>
        <v/>
      </c>
      <c r="M213" s="32">
        <f>IFERROR(L213/H213," ")</f>
        <v/>
      </c>
      <c r="N213">
        <f>IF(A213="BS",IFERROR(VLOOKUP(TRIM($E213),'BS Mapping std'!$A:$D,4,0),VLOOKUP(TRIM($D213),'BS Mapping std'!$A:$D,4,0)),IFERROR(VLOOKUP(TRIM($E213),'PL mapping Std'!$A:$D,4,0),VLOOKUP(TRIM($D213),'PL mapping Std'!$A:$D,4,0)))</f>
        <v/>
      </c>
      <c r="O213">
        <f>_xlfn.IFERROR(VLOOKUP(E213,'F30 mapping'!A:C,3,0),VLOOKUP(D213,'F30 mapping'!A:C,3,0))</f>
        <v/>
      </c>
      <c r="P213">
        <f>_xlfn.IFERROR(IFERROR(VLOOKUP(E213,'F40 mapping'!A:C,3,0),VLOOKUP(D213,'F40 mapping'!A:C,3,0)),0)</f>
        <v/>
      </c>
      <c r="Q213">
        <f>_xlfn.IFERROR(IFERROR(VLOOKUP(E213,'F40 mapping'!A:D,4,0),VLOOKUP(D213,'F40 mapping'!A:D,4,0)),0)</f>
        <v/>
      </c>
      <c r="R213">
        <f>_xlfn.IFERROR(IFERROR(VLOOKUP(E213,'F40 mapping'!A:E,5,0),VLOOKUP(D213,'F40 mapping'!A:E,5,0)),0)</f>
        <v/>
      </c>
      <c r="S213">
        <f>_xlfn.IF(B213&lt;6,IFERROR(VLOOKUP(E213,'BS Mapping std'!A:E,5,0),VLOOKUP(D213,'BS Mapping std'!A:E,5,0)),IFERROR(VLOOKUP(E213,'PL mapping Std'!A:F,6,0),VLOOKUP(D213,'PL mapping Std'!A:F,6,0)))</f>
        <v/>
      </c>
      <c r="T213">
        <f>_xlfn.IF(B213&lt;6,IFERROR(VLOOKUP(E213,'BS Mapping std'!A:F,6,0),VLOOKUP(D213,'BS Mapping std'!A:F,6,0)),IFERROR(VLOOKUP(E213,'PL mapping Std'!A:G,7,0),VLOOKUP(D213,'PL mapping Std'!A:G,7,0)))</f>
        <v/>
      </c>
      <c r="V213">
        <f>IF(IF(A213="BS",IFERROR(VLOOKUP(TRIM($E213),'BS Mapping std'!$A:$H,8,0),VLOOKUP(TRIM($D213),'BS Mapping std'!$A:$H,8,0)),IFERROR(VLOOKUP(TRIM($E213),'PL mapping Std'!$A:$E,5,0),VLOOKUP(TRIM($D213),'PL mapping Std'!$A:$E,5,0)))=0,"",IF(A213="BS",IFERROR(VLOOKUP(TRIM($E213),'BS Mapping std'!$A:$H,8,0),VLOOKUP(TRIM($D213),'BS Mapping std'!$A:$H,8,0)),IFERROR(VLOOKUP(TRIM($E213),'PL mapping Std'!$A:$E,5,0),VLOOKUP(TRIM($D213),'PL mapping Std'!$A:$E,5,0))))</f>
        <v/>
      </c>
      <c r="W213">
        <f>_xlfn.IFERROR(VLOOKUP(E213,'F30 mapping'!A:D,4,0),VLOOKUP(D213,'F30 mapping'!A:D,4,0))</f>
        <v/>
      </c>
      <c r="X213">
        <f>IF(B213&lt;6,IFERROR(VLOOKUP(E213,'BS Mapping std'!A:M,13,0),VLOOKUP(D213,'BS Mapping std'!A:M,13,0)),0)</f>
        <v/>
      </c>
      <c r="Y213">
        <f>IF(B213&lt;6,IFERROR(VLOOKUP(E213,'BS Mapping std'!A:N,14,0),VLOOKUP(D213,'BS Mapping std'!A:N,14,0)),0)</f>
        <v/>
      </c>
    </row>
    <row r="214" spans="1:25">
      <c r="A214">
        <f>IF(B214&lt;6,"BS",IF(B214=6,"Exp","Rev"))</f>
        <v/>
      </c>
      <c r="B214">
        <f>_xlfn.NUMBERVALUE(LEFT(F214,1))</f>
        <v/>
      </c>
      <c r="C214">
        <f>Left(F214,2)</f>
        <v/>
      </c>
      <c r="D214">
        <f>Left(F214,3)</f>
        <v/>
      </c>
      <c r="E214">
        <f>IF(F214="121",Left(F214,3)&amp;"0",Left(F214,4))</f>
        <v/>
      </c>
      <c r="F214" t="n">
        <v>60900010</v>
      </c>
      <c r="G214" t="s">
        <v>234</v>
      </c>
      <c r="H214" s="9" t="n">
        <v>-2714.43</v>
      </c>
      <c r="I214" s="9" t="n">
        <v>-4934.22</v>
      </c>
      <c r="J214" s="9" t="n">
        <v>-4934.22</v>
      </c>
      <c r="K214" s="9" t="n">
        <v>-4934.22</v>
      </c>
      <c r="L214" s="9">
        <f>K214-H214</f>
        <v/>
      </c>
      <c r="M214" s="32">
        <f>IFERROR(L214/H214," ")</f>
        <v/>
      </c>
      <c r="N214">
        <f>IF(A214="BS",IFERROR(VLOOKUP(TRIM($E214),'BS Mapping std'!$A:$D,4,0),VLOOKUP(TRIM($D214),'BS Mapping std'!$A:$D,4,0)),IFERROR(VLOOKUP(TRIM($E214),'PL mapping Std'!$A:$D,4,0),VLOOKUP(TRIM($D214),'PL mapping Std'!$A:$D,4,0)))</f>
        <v/>
      </c>
      <c r="O214">
        <f>_xlfn.IFERROR(VLOOKUP(E214,'F30 mapping'!A:C,3,0),VLOOKUP(D214,'F30 mapping'!A:C,3,0))</f>
        <v/>
      </c>
      <c r="P214">
        <f>_xlfn.IFERROR(IFERROR(VLOOKUP(E214,'F40 mapping'!A:C,3,0),VLOOKUP(D214,'F40 mapping'!A:C,3,0)),0)</f>
        <v/>
      </c>
      <c r="Q214">
        <f>_xlfn.IFERROR(IFERROR(VLOOKUP(E214,'F40 mapping'!A:D,4,0),VLOOKUP(D214,'F40 mapping'!A:D,4,0)),0)</f>
        <v/>
      </c>
      <c r="R214">
        <f>_xlfn.IFERROR(IFERROR(VLOOKUP(E214,'F40 mapping'!A:E,5,0),VLOOKUP(D214,'F40 mapping'!A:E,5,0)),0)</f>
        <v/>
      </c>
      <c r="S214">
        <f>_xlfn.IF(B214&lt;6,IFERROR(VLOOKUP(E214,'BS Mapping std'!A:E,5,0),VLOOKUP(D214,'BS Mapping std'!A:E,5,0)),IFERROR(VLOOKUP(E214,'PL mapping Std'!A:F,6,0),VLOOKUP(D214,'PL mapping Std'!A:F,6,0)))</f>
        <v/>
      </c>
      <c r="T214">
        <f>_xlfn.IF(B214&lt;6,IFERROR(VLOOKUP(E214,'BS Mapping std'!A:F,6,0),VLOOKUP(D214,'BS Mapping std'!A:F,6,0)),IFERROR(VLOOKUP(E214,'PL mapping Std'!A:G,7,0),VLOOKUP(D214,'PL mapping Std'!A:G,7,0)))</f>
        <v/>
      </c>
      <c r="V214">
        <f>IF(IF(A214="BS",IFERROR(VLOOKUP(TRIM($E214),'BS Mapping std'!$A:$H,8,0),VLOOKUP(TRIM($D214),'BS Mapping std'!$A:$H,8,0)),IFERROR(VLOOKUP(TRIM($E214),'PL mapping Std'!$A:$E,5,0),VLOOKUP(TRIM($D214),'PL mapping Std'!$A:$E,5,0)))=0,"",IF(A214="BS",IFERROR(VLOOKUP(TRIM($E214),'BS Mapping std'!$A:$H,8,0),VLOOKUP(TRIM($D214),'BS Mapping std'!$A:$H,8,0)),IFERROR(VLOOKUP(TRIM($E214),'PL mapping Std'!$A:$E,5,0),VLOOKUP(TRIM($D214),'PL mapping Std'!$A:$E,5,0))))</f>
        <v/>
      </c>
      <c r="W214">
        <f>_xlfn.IFERROR(VLOOKUP(E214,'F30 mapping'!A:D,4,0),VLOOKUP(D214,'F30 mapping'!A:D,4,0))</f>
        <v/>
      </c>
      <c r="X214">
        <f>IF(B214&lt;6,IFERROR(VLOOKUP(E214,'BS Mapping std'!A:M,13,0),VLOOKUP(D214,'BS Mapping std'!A:M,13,0)),0)</f>
        <v/>
      </c>
      <c r="Y214">
        <f>IF(B214&lt;6,IFERROR(VLOOKUP(E214,'BS Mapping std'!A:N,14,0),VLOOKUP(D214,'BS Mapping std'!A:N,14,0)),0)</f>
        <v/>
      </c>
    </row>
    <row r="215" spans="1:25">
      <c r="A215">
        <f>IF(B215&lt;6,"BS",IF(B215=6,"Exp","Rev"))</f>
        <v/>
      </c>
      <c r="B215">
        <f>_xlfn.NUMBERVALUE(LEFT(F215,1))</f>
        <v/>
      </c>
      <c r="C215">
        <f>Left(F215,2)</f>
        <v/>
      </c>
      <c r="D215">
        <f>Left(F215,3)</f>
        <v/>
      </c>
      <c r="E215">
        <f>IF(F215="121",Left(F215,3)&amp;"0",Left(F215,4))</f>
        <v/>
      </c>
      <c r="F215" t="n">
        <v>61100010</v>
      </c>
      <c r="G215" t="s">
        <v>235</v>
      </c>
      <c r="H215" s="9" t="n">
        <v>868044.9300000001</v>
      </c>
      <c r="I215" s="9" t="n">
        <v>1023100.02</v>
      </c>
      <c r="J215" s="9" t="n">
        <v>1023100.02</v>
      </c>
      <c r="K215" s="9" t="n">
        <v>1023100.02</v>
      </c>
      <c r="L215" s="9">
        <f>K215-H215</f>
        <v/>
      </c>
      <c r="M215" s="32">
        <f>IFERROR(L215/H215," ")</f>
        <v/>
      </c>
      <c r="N215">
        <f>IF(A215="BS",IFERROR(VLOOKUP(TRIM($E215),'BS Mapping std'!$A:$D,4,0),VLOOKUP(TRIM($D215),'BS Mapping std'!$A:$D,4,0)),IFERROR(VLOOKUP(TRIM($E215),'PL mapping Std'!$A:$D,4,0),VLOOKUP(TRIM($D215),'PL mapping Std'!$A:$D,4,0)))</f>
        <v/>
      </c>
      <c r="O215">
        <f>_xlfn.IFERROR(VLOOKUP(E215,'F30 mapping'!A:C,3,0),VLOOKUP(D215,'F30 mapping'!A:C,3,0))</f>
        <v/>
      </c>
      <c r="P215">
        <f>_xlfn.IFERROR(IFERROR(VLOOKUP(E215,'F40 mapping'!A:C,3,0),VLOOKUP(D215,'F40 mapping'!A:C,3,0)),0)</f>
        <v/>
      </c>
      <c r="Q215">
        <f>_xlfn.IFERROR(IFERROR(VLOOKUP(E215,'F40 mapping'!A:D,4,0),VLOOKUP(D215,'F40 mapping'!A:D,4,0)),0)</f>
        <v/>
      </c>
      <c r="R215">
        <f>_xlfn.IFERROR(IFERROR(VLOOKUP(E215,'F40 mapping'!A:E,5,0),VLOOKUP(D215,'F40 mapping'!A:E,5,0)),0)</f>
        <v/>
      </c>
      <c r="S215">
        <f>_xlfn.IF(B215&lt;6,IFERROR(VLOOKUP(E215,'BS Mapping std'!A:E,5,0),VLOOKUP(D215,'BS Mapping std'!A:E,5,0)),IFERROR(VLOOKUP(E215,'PL mapping Std'!A:F,6,0),VLOOKUP(D215,'PL mapping Std'!A:F,6,0)))</f>
        <v/>
      </c>
      <c r="T215">
        <f>_xlfn.IF(B215&lt;6,IFERROR(VLOOKUP(E215,'BS Mapping std'!A:F,6,0),VLOOKUP(D215,'BS Mapping std'!A:F,6,0)),IFERROR(VLOOKUP(E215,'PL mapping Std'!A:G,7,0),VLOOKUP(D215,'PL mapping Std'!A:G,7,0)))</f>
        <v/>
      </c>
      <c r="V215">
        <f>IF(IF(A215="BS",IFERROR(VLOOKUP(TRIM($E215),'BS Mapping std'!$A:$H,8,0),VLOOKUP(TRIM($D215),'BS Mapping std'!$A:$H,8,0)),IFERROR(VLOOKUP(TRIM($E215),'PL mapping Std'!$A:$E,5,0),VLOOKUP(TRIM($D215),'PL mapping Std'!$A:$E,5,0)))=0,"",IF(A215="BS",IFERROR(VLOOKUP(TRIM($E215),'BS Mapping std'!$A:$H,8,0),VLOOKUP(TRIM($D215),'BS Mapping std'!$A:$H,8,0)),IFERROR(VLOOKUP(TRIM($E215),'PL mapping Std'!$A:$E,5,0),VLOOKUP(TRIM($D215),'PL mapping Std'!$A:$E,5,0))))</f>
        <v/>
      </c>
      <c r="W215">
        <f>_xlfn.IFERROR(VLOOKUP(E215,'F30 mapping'!A:D,4,0),VLOOKUP(D215,'F30 mapping'!A:D,4,0))</f>
        <v/>
      </c>
      <c r="X215">
        <f>IF(B215&lt;6,IFERROR(VLOOKUP(E215,'BS Mapping std'!A:M,13,0),VLOOKUP(D215,'BS Mapping std'!A:M,13,0)),0)</f>
        <v/>
      </c>
      <c r="Y215">
        <f>IF(B215&lt;6,IFERROR(VLOOKUP(E215,'BS Mapping std'!A:N,14,0),VLOOKUP(D215,'BS Mapping std'!A:N,14,0)),0)</f>
        <v/>
      </c>
    </row>
    <row r="216" spans="1:25">
      <c r="A216">
        <f>IF(B216&lt;6,"BS",IF(B216=6,"Exp","Rev"))</f>
        <v/>
      </c>
      <c r="B216">
        <f>_xlfn.NUMBERVALUE(LEFT(F216,1))</f>
        <v/>
      </c>
      <c r="C216">
        <f>Left(F216,2)</f>
        <v/>
      </c>
      <c r="D216">
        <f>Left(F216,3)</f>
        <v/>
      </c>
      <c r="E216">
        <f>IF(F216="121",Left(F216,3)&amp;"0",Left(F216,4))</f>
        <v/>
      </c>
      <c r="F216" t="n">
        <v>61100020</v>
      </c>
      <c r="G216" t="s">
        <v>236</v>
      </c>
      <c r="H216" s="9" t="n">
        <v>334826.38</v>
      </c>
      <c r="I216" s="9" t="n">
        <v>488771.54</v>
      </c>
      <c r="J216" s="9" t="n">
        <v>488771.54</v>
      </c>
      <c r="K216" s="9" t="n">
        <v>488771.54</v>
      </c>
      <c r="L216" s="9">
        <f>K216-H216</f>
        <v/>
      </c>
      <c r="M216" s="32">
        <f>IFERROR(L216/H216," ")</f>
        <v/>
      </c>
      <c r="N216">
        <f>IF(A216="BS",IFERROR(VLOOKUP(TRIM($E216),'BS Mapping std'!$A:$D,4,0),VLOOKUP(TRIM($D216),'BS Mapping std'!$A:$D,4,0)),IFERROR(VLOOKUP(TRIM($E216),'PL mapping Std'!$A:$D,4,0),VLOOKUP(TRIM($D216),'PL mapping Std'!$A:$D,4,0)))</f>
        <v/>
      </c>
      <c r="O216">
        <f>_xlfn.IFERROR(VLOOKUP(E216,'F30 mapping'!A:C,3,0),VLOOKUP(D216,'F30 mapping'!A:C,3,0))</f>
        <v/>
      </c>
      <c r="P216">
        <f>_xlfn.IFERROR(IFERROR(VLOOKUP(E216,'F40 mapping'!A:C,3,0),VLOOKUP(D216,'F40 mapping'!A:C,3,0)),0)</f>
        <v/>
      </c>
      <c r="Q216">
        <f>_xlfn.IFERROR(IFERROR(VLOOKUP(E216,'F40 mapping'!A:D,4,0),VLOOKUP(D216,'F40 mapping'!A:D,4,0)),0)</f>
        <v/>
      </c>
      <c r="R216">
        <f>_xlfn.IFERROR(IFERROR(VLOOKUP(E216,'F40 mapping'!A:E,5,0),VLOOKUP(D216,'F40 mapping'!A:E,5,0)),0)</f>
        <v/>
      </c>
      <c r="S216">
        <f>_xlfn.IF(B216&lt;6,IFERROR(VLOOKUP(E216,'BS Mapping std'!A:E,5,0),VLOOKUP(D216,'BS Mapping std'!A:E,5,0)),IFERROR(VLOOKUP(E216,'PL mapping Std'!A:F,6,0),VLOOKUP(D216,'PL mapping Std'!A:F,6,0)))</f>
        <v/>
      </c>
      <c r="T216">
        <f>_xlfn.IF(B216&lt;6,IFERROR(VLOOKUP(E216,'BS Mapping std'!A:F,6,0),VLOOKUP(D216,'BS Mapping std'!A:F,6,0)),IFERROR(VLOOKUP(E216,'PL mapping Std'!A:G,7,0),VLOOKUP(D216,'PL mapping Std'!A:G,7,0)))</f>
        <v/>
      </c>
      <c r="V216">
        <f>IF(IF(A216="BS",IFERROR(VLOOKUP(TRIM($E216),'BS Mapping std'!$A:$H,8,0),VLOOKUP(TRIM($D216),'BS Mapping std'!$A:$H,8,0)),IFERROR(VLOOKUP(TRIM($E216),'PL mapping Std'!$A:$E,5,0),VLOOKUP(TRIM($D216),'PL mapping Std'!$A:$E,5,0)))=0,"",IF(A216="BS",IFERROR(VLOOKUP(TRIM($E216),'BS Mapping std'!$A:$H,8,0),VLOOKUP(TRIM($D216),'BS Mapping std'!$A:$H,8,0)),IFERROR(VLOOKUP(TRIM($E216),'PL mapping Std'!$A:$E,5,0),VLOOKUP(TRIM($D216),'PL mapping Std'!$A:$E,5,0))))</f>
        <v/>
      </c>
      <c r="W216">
        <f>_xlfn.IFERROR(VLOOKUP(E216,'F30 mapping'!A:D,4,0),VLOOKUP(D216,'F30 mapping'!A:D,4,0))</f>
        <v/>
      </c>
      <c r="X216">
        <f>IF(B216&lt;6,IFERROR(VLOOKUP(E216,'BS Mapping std'!A:M,13,0),VLOOKUP(D216,'BS Mapping std'!A:M,13,0)),0)</f>
        <v/>
      </c>
      <c r="Y216">
        <f>IF(B216&lt;6,IFERROR(VLOOKUP(E216,'BS Mapping std'!A:N,14,0),VLOOKUP(D216,'BS Mapping std'!A:N,14,0)),0)</f>
        <v/>
      </c>
    </row>
    <row r="217" spans="1:25">
      <c r="A217">
        <f>IF(B217&lt;6,"BS",IF(B217=6,"Exp","Rev"))</f>
        <v/>
      </c>
      <c r="B217">
        <f>_xlfn.NUMBERVALUE(LEFT(F217,1))</f>
        <v/>
      </c>
      <c r="C217">
        <f>Left(F217,2)</f>
        <v/>
      </c>
      <c r="D217">
        <f>Left(F217,3)</f>
        <v/>
      </c>
      <c r="E217">
        <f>IF(F217="121",Left(F217,3)&amp;"0",Left(F217,4))</f>
        <v/>
      </c>
      <c r="F217" t="n">
        <v>61101000</v>
      </c>
      <c r="G217" t="s">
        <v>237</v>
      </c>
      <c r="H217" s="9" t="n">
        <v>91969.59</v>
      </c>
      <c r="I217" s="9" t="n">
        <v>104124.06</v>
      </c>
      <c r="J217" s="9" t="n">
        <v>104124.06</v>
      </c>
      <c r="K217" s="9" t="n">
        <v>104124.06</v>
      </c>
      <c r="L217" s="9">
        <f>K217-H217</f>
        <v/>
      </c>
      <c r="M217" s="32">
        <f>IFERROR(L217/H217," ")</f>
        <v/>
      </c>
      <c r="N217">
        <f>IF(A217="BS",IFERROR(VLOOKUP(TRIM($E217),'BS Mapping std'!$A:$D,4,0),VLOOKUP(TRIM($D217),'BS Mapping std'!$A:$D,4,0)),IFERROR(VLOOKUP(TRIM($E217),'PL mapping Std'!$A:$D,4,0),VLOOKUP(TRIM($D217),'PL mapping Std'!$A:$D,4,0)))</f>
        <v/>
      </c>
      <c r="O217">
        <f>_xlfn.IFERROR(VLOOKUP(E217,'F30 mapping'!A:C,3,0),VLOOKUP(D217,'F30 mapping'!A:C,3,0))</f>
        <v/>
      </c>
      <c r="P217">
        <f>_xlfn.IFERROR(IFERROR(VLOOKUP(E217,'F40 mapping'!A:C,3,0),VLOOKUP(D217,'F40 mapping'!A:C,3,0)),0)</f>
        <v/>
      </c>
      <c r="Q217">
        <f>_xlfn.IFERROR(IFERROR(VLOOKUP(E217,'F40 mapping'!A:D,4,0),VLOOKUP(D217,'F40 mapping'!A:D,4,0)),0)</f>
        <v/>
      </c>
      <c r="R217">
        <f>_xlfn.IFERROR(IFERROR(VLOOKUP(E217,'F40 mapping'!A:E,5,0),VLOOKUP(D217,'F40 mapping'!A:E,5,0)),0)</f>
        <v/>
      </c>
      <c r="S217">
        <f>_xlfn.IF(B217&lt;6,IFERROR(VLOOKUP(E217,'BS Mapping std'!A:E,5,0),VLOOKUP(D217,'BS Mapping std'!A:E,5,0)),IFERROR(VLOOKUP(E217,'PL mapping Std'!A:F,6,0),VLOOKUP(D217,'PL mapping Std'!A:F,6,0)))</f>
        <v/>
      </c>
      <c r="T217">
        <f>_xlfn.IF(B217&lt;6,IFERROR(VLOOKUP(E217,'BS Mapping std'!A:F,6,0),VLOOKUP(D217,'BS Mapping std'!A:F,6,0)),IFERROR(VLOOKUP(E217,'PL mapping Std'!A:G,7,0),VLOOKUP(D217,'PL mapping Std'!A:G,7,0)))</f>
        <v/>
      </c>
      <c r="V217">
        <f>IF(IF(A217="BS",IFERROR(VLOOKUP(TRIM($E217),'BS Mapping std'!$A:$H,8,0),VLOOKUP(TRIM($D217),'BS Mapping std'!$A:$H,8,0)),IFERROR(VLOOKUP(TRIM($E217),'PL mapping Std'!$A:$E,5,0),VLOOKUP(TRIM($D217),'PL mapping Std'!$A:$E,5,0)))=0,"",IF(A217="BS",IFERROR(VLOOKUP(TRIM($E217),'BS Mapping std'!$A:$H,8,0),VLOOKUP(TRIM($D217),'BS Mapping std'!$A:$H,8,0)),IFERROR(VLOOKUP(TRIM($E217),'PL mapping Std'!$A:$E,5,0),VLOOKUP(TRIM($D217),'PL mapping Std'!$A:$E,5,0))))</f>
        <v/>
      </c>
      <c r="W217">
        <f>_xlfn.IFERROR(VLOOKUP(E217,'F30 mapping'!A:D,4,0),VLOOKUP(D217,'F30 mapping'!A:D,4,0))</f>
        <v/>
      </c>
      <c r="X217">
        <f>IF(B217&lt;6,IFERROR(VLOOKUP(E217,'BS Mapping std'!A:M,13,0),VLOOKUP(D217,'BS Mapping std'!A:M,13,0)),0)</f>
        <v/>
      </c>
      <c r="Y217">
        <f>IF(B217&lt;6,IFERROR(VLOOKUP(E217,'BS Mapping std'!A:N,14,0),VLOOKUP(D217,'BS Mapping std'!A:N,14,0)),0)</f>
        <v/>
      </c>
    </row>
    <row r="218" spans="1:25">
      <c r="A218">
        <f>IF(B218&lt;6,"BS",IF(B218=6,"Exp","Rev"))</f>
        <v/>
      </c>
      <c r="B218">
        <f>_xlfn.NUMBERVALUE(LEFT(F218,1))</f>
        <v/>
      </c>
      <c r="C218">
        <f>Left(F218,2)</f>
        <v/>
      </c>
      <c r="D218">
        <f>Left(F218,3)</f>
        <v/>
      </c>
      <c r="E218">
        <f>IF(F218="121",Left(F218,3)&amp;"0",Left(F218,4))</f>
        <v/>
      </c>
      <c r="F218" t="n">
        <v>61200010</v>
      </c>
      <c r="G218" t="s">
        <v>238</v>
      </c>
      <c r="H218" s="9" t="n">
        <v>14179.29</v>
      </c>
      <c r="I218" s="9" t="n">
        <v>71622.84</v>
      </c>
      <c r="J218" s="9" t="n">
        <v>71622.84</v>
      </c>
      <c r="K218" s="9" t="n">
        <v>71622.84</v>
      </c>
      <c r="L218" s="9">
        <f>K218-H218</f>
        <v/>
      </c>
      <c r="M218" s="32">
        <f>IFERROR(L218/H218," ")</f>
        <v/>
      </c>
      <c r="N218">
        <f>IF(A218="BS",IFERROR(VLOOKUP(TRIM($E218),'BS Mapping std'!$A:$D,4,0),VLOOKUP(TRIM($D218),'BS Mapping std'!$A:$D,4,0)),IFERROR(VLOOKUP(TRIM($E218),'PL mapping Std'!$A:$D,4,0),VLOOKUP(TRIM($D218),'PL mapping Std'!$A:$D,4,0)))</f>
        <v/>
      </c>
      <c r="O218">
        <f>_xlfn.IFERROR(VLOOKUP(E218,'F30 mapping'!A:C,3,0),VLOOKUP(D218,'F30 mapping'!A:C,3,0))</f>
        <v/>
      </c>
      <c r="P218">
        <f>_xlfn.IFERROR(IFERROR(VLOOKUP(E218,'F40 mapping'!A:C,3,0),VLOOKUP(D218,'F40 mapping'!A:C,3,0)),0)</f>
        <v/>
      </c>
      <c r="Q218">
        <f>_xlfn.IFERROR(IFERROR(VLOOKUP(E218,'F40 mapping'!A:D,4,0),VLOOKUP(D218,'F40 mapping'!A:D,4,0)),0)</f>
        <v/>
      </c>
      <c r="R218">
        <f>_xlfn.IFERROR(IFERROR(VLOOKUP(E218,'F40 mapping'!A:E,5,0),VLOOKUP(D218,'F40 mapping'!A:E,5,0)),0)</f>
        <v/>
      </c>
      <c r="S218">
        <f>_xlfn.IF(B218&lt;6,IFERROR(VLOOKUP(E218,'BS Mapping std'!A:E,5,0),VLOOKUP(D218,'BS Mapping std'!A:E,5,0)),IFERROR(VLOOKUP(E218,'PL mapping Std'!A:F,6,0),VLOOKUP(D218,'PL mapping Std'!A:F,6,0)))</f>
        <v/>
      </c>
      <c r="T218">
        <f>_xlfn.IF(B218&lt;6,IFERROR(VLOOKUP(E218,'BS Mapping std'!A:F,6,0),VLOOKUP(D218,'BS Mapping std'!A:F,6,0)),IFERROR(VLOOKUP(E218,'PL mapping Std'!A:G,7,0),VLOOKUP(D218,'PL mapping Std'!A:G,7,0)))</f>
        <v/>
      </c>
      <c r="V218">
        <f>IF(IF(A218="BS",IFERROR(VLOOKUP(TRIM($E218),'BS Mapping std'!$A:$H,8,0),VLOOKUP(TRIM($D218),'BS Mapping std'!$A:$H,8,0)),IFERROR(VLOOKUP(TRIM($E218),'PL mapping Std'!$A:$E,5,0),VLOOKUP(TRIM($D218),'PL mapping Std'!$A:$E,5,0)))=0,"",IF(A218="BS",IFERROR(VLOOKUP(TRIM($E218),'BS Mapping std'!$A:$H,8,0),VLOOKUP(TRIM($D218),'BS Mapping std'!$A:$H,8,0)),IFERROR(VLOOKUP(TRIM($E218),'PL mapping Std'!$A:$E,5,0),VLOOKUP(TRIM($D218),'PL mapping Std'!$A:$E,5,0))))</f>
        <v/>
      </c>
      <c r="W218">
        <f>_xlfn.IFERROR(VLOOKUP(E218,'F30 mapping'!A:D,4,0),VLOOKUP(D218,'F30 mapping'!A:D,4,0))</f>
        <v/>
      </c>
      <c r="X218">
        <f>IF(B218&lt;6,IFERROR(VLOOKUP(E218,'BS Mapping std'!A:M,13,0),VLOOKUP(D218,'BS Mapping std'!A:M,13,0)),0)</f>
        <v/>
      </c>
      <c r="Y218">
        <f>IF(B218&lt;6,IFERROR(VLOOKUP(E218,'BS Mapping std'!A:N,14,0),VLOOKUP(D218,'BS Mapping std'!A:N,14,0)),0)</f>
        <v/>
      </c>
    </row>
    <row r="219" spans="1:25">
      <c r="A219">
        <f>IF(B219&lt;6,"BS",IF(B219=6,"Exp","Rev"))</f>
        <v/>
      </c>
      <c r="B219">
        <f>_xlfn.NUMBERVALUE(LEFT(F219,1))</f>
        <v/>
      </c>
      <c r="C219">
        <f>Left(F219,2)</f>
        <v/>
      </c>
      <c r="D219">
        <f>Left(F219,3)</f>
        <v/>
      </c>
      <c r="E219">
        <f>IF(F219="121",Left(F219,3)&amp;"0",Left(F219,4))</f>
        <v/>
      </c>
      <c r="F219" t="n">
        <v>61200020</v>
      </c>
      <c r="G219" t="s">
        <v>238</v>
      </c>
      <c r="H219" s="9" t="n">
        <v>15380.2</v>
      </c>
      <c r="I219" s="9" t="n">
        <v>28673.47</v>
      </c>
      <c r="J219" s="9" t="n">
        <v>28673.47</v>
      </c>
      <c r="K219" s="9" t="n">
        <v>28673.47</v>
      </c>
      <c r="L219" s="9">
        <f>K219-H219</f>
        <v/>
      </c>
      <c r="M219" s="32">
        <f>IFERROR(L219/H219," ")</f>
        <v/>
      </c>
      <c r="N219">
        <f>IF(A219="BS",IFERROR(VLOOKUP(TRIM($E219),'BS Mapping std'!$A:$D,4,0),VLOOKUP(TRIM($D219),'BS Mapping std'!$A:$D,4,0)),IFERROR(VLOOKUP(TRIM($E219),'PL mapping Std'!$A:$D,4,0),VLOOKUP(TRIM($D219),'PL mapping Std'!$A:$D,4,0)))</f>
        <v/>
      </c>
      <c r="O219">
        <f>_xlfn.IFERROR(VLOOKUP(E219,'F30 mapping'!A:C,3,0),VLOOKUP(D219,'F30 mapping'!A:C,3,0))</f>
        <v/>
      </c>
      <c r="P219">
        <f>_xlfn.IFERROR(IFERROR(VLOOKUP(E219,'F40 mapping'!A:C,3,0),VLOOKUP(D219,'F40 mapping'!A:C,3,0)),0)</f>
        <v/>
      </c>
      <c r="Q219">
        <f>_xlfn.IFERROR(IFERROR(VLOOKUP(E219,'F40 mapping'!A:D,4,0),VLOOKUP(D219,'F40 mapping'!A:D,4,0)),0)</f>
        <v/>
      </c>
      <c r="R219">
        <f>_xlfn.IFERROR(IFERROR(VLOOKUP(E219,'F40 mapping'!A:E,5,0),VLOOKUP(D219,'F40 mapping'!A:E,5,0)),0)</f>
        <v/>
      </c>
      <c r="S219">
        <f>_xlfn.IF(B219&lt;6,IFERROR(VLOOKUP(E219,'BS Mapping std'!A:E,5,0),VLOOKUP(D219,'BS Mapping std'!A:E,5,0)),IFERROR(VLOOKUP(E219,'PL mapping Std'!A:F,6,0),VLOOKUP(D219,'PL mapping Std'!A:F,6,0)))</f>
        <v/>
      </c>
      <c r="T219">
        <f>_xlfn.IF(B219&lt;6,IFERROR(VLOOKUP(E219,'BS Mapping std'!A:F,6,0),VLOOKUP(D219,'BS Mapping std'!A:F,6,0)),IFERROR(VLOOKUP(E219,'PL mapping Std'!A:G,7,0),VLOOKUP(D219,'PL mapping Std'!A:G,7,0)))</f>
        <v/>
      </c>
      <c r="V219">
        <f>IF(IF(A219="BS",IFERROR(VLOOKUP(TRIM($E219),'BS Mapping std'!$A:$H,8,0),VLOOKUP(TRIM($D219),'BS Mapping std'!$A:$H,8,0)),IFERROR(VLOOKUP(TRIM($E219),'PL mapping Std'!$A:$E,5,0),VLOOKUP(TRIM($D219),'PL mapping Std'!$A:$E,5,0)))=0,"",IF(A219="BS",IFERROR(VLOOKUP(TRIM($E219),'BS Mapping std'!$A:$H,8,0),VLOOKUP(TRIM($D219),'BS Mapping std'!$A:$H,8,0)),IFERROR(VLOOKUP(TRIM($E219),'PL mapping Std'!$A:$E,5,0),VLOOKUP(TRIM($D219),'PL mapping Std'!$A:$E,5,0))))</f>
        <v/>
      </c>
      <c r="W219">
        <f>_xlfn.IFERROR(VLOOKUP(E219,'F30 mapping'!A:D,4,0),VLOOKUP(D219,'F30 mapping'!A:D,4,0))</f>
        <v/>
      </c>
      <c r="X219">
        <f>IF(B219&lt;6,IFERROR(VLOOKUP(E219,'BS Mapping std'!A:M,13,0),VLOOKUP(D219,'BS Mapping std'!A:M,13,0)),0)</f>
        <v/>
      </c>
      <c r="Y219">
        <f>IF(B219&lt;6,IFERROR(VLOOKUP(E219,'BS Mapping std'!A:N,14,0),VLOOKUP(D219,'BS Mapping std'!A:N,14,0)),0)</f>
        <v/>
      </c>
    </row>
    <row r="220" spans="1:25">
      <c r="A220">
        <f>IF(B220&lt;6,"BS",IF(B220=6,"Exp","Rev"))</f>
        <v/>
      </c>
      <c r="B220">
        <f>_xlfn.NUMBERVALUE(LEFT(F220,1))</f>
        <v/>
      </c>
      <c r="C220">
        <f>Left(F220,2)</f>
        <v/>
      </c>
      <c r="D220">
        <f>Left(F220,3)</f>
        <v/>
      </c>
      <c r="E220">
        <f>IF(F220="121",Left(F220,3)&amp;"0",Left(F220,4))</f>
        <v/>
      </c>
      <c r="F220" t="n">
        <v>61200030</v>
      </c>
      <c r="G220" t="s">
        <v>239</v>
      </c>
      <c r="H220" s="9" t="n">
        <v>267091.23</v>
      </c>
      <c r="I220" s="9" t="n">
        <v>229834.72</v>
      </c>
      <c r="J220" s="9" t="n">
        <v>229834.72</v>
      </c>
      <c r="K220" s="9" t="n">
        <v>229834.72</v>
      </c>
      <c r="L220" s="9">
        <f>K220-H220</f>
        <v/>
      </c>
      <c r="M220" s="32">
        <f>IFERROR(L220/H220," ")</f>
        <v/>
      </c>
      <c r="N220">
        <f>IF(A220="BS",IFERROR(VLOOKUP(TRIM($E220),'BS Mapping std'!$A:$D,4,0),VLOOKUP(TRIM($D220),'BS Mapping std'!$A:$D,4,0)),IFERROR(VLOOKUP(TRIM($E220),'PL mapping Std'!$A:$D,4,0),VLOOKUP(TRIM($D220),'PL mapping Std'!$A:$D,4,0)))</f>
        <v/>
      </c>
      <c r="O220">
        <f>_xlfn.IFERROR(VLOOKUP(E220,'F30 mapping'!A:C,3,0),VLOOKUP(D220,'F30 mapping'!A:C,3,0))</f>
        <v/>
      </c>
      <c r="P220">
        <f>_xlfn.IFERROR(IFERROR(VLOOKUP(E220,'F40 mapping'!A:C,3,0),VLOOKUP(D220,'F40 mapping'!A:C,3,0)),0)</f>
        <v/>
      </c>
      <c r="Q220">
        <f>_xlfn.IFERROR(IFERROR(VLOOKUP(E220,'F40 mapping'!A:D,4,0),VLOOKUP(D220,'F40 mapping'!A:D,4,0)),0)</f>
        <v/>
      </c>
      <c r="R220">
        <f>_xlfn.IFERROR(IFERROR(VLOOKUP(E220,'F40 mapping'!A:E,5,0),VLOOKUP(D220,'F40 mapping'!A:E,5,0)),0)</f>
        <v/>
      </c>
      <c r="S220">
        <f>_xlfn.IF(B220&lt;6,IFERROR(VLOOKUP(E220,'BS Mapping std'!A:E,5,0),VLOOKUP(D220,'BS Mapping std'!A:E,5,0)),IFERROR(VLOOKUP(E220,'PL mapping Std'!A:F,6,0),VLOOKUP(D220,'PL mapping Std'!A:F,6,0)))</f>
        <v/>
      </c>
      <c r="T220">
        <f>_xlfn.IF(B220&lt;6,IFERROR(VLOOKUP(E220,'BS Mapping std'!A:F,6,0),VLOOKUP(D220,'BS Mapping std'!A:F,6,0)),IFERROR(VLOOKUP(E220,'PL mapping Std'!A:G,7,0),VLOOKUP(D220,'PL mapping Std'!A:G,7,0)))</f>
        <v/>
      </c>
      <c r="V220">
        <f>IF(IF(A220="BS",IFERROR(VLOOKUP(TRIM($E220),'BS Mapping std'!$A:$H,8,0),VLOOKUP(TRIM($D220),'BS Mapping std'!$A:$H,8,0)),IFERROR(VLOOKUP(TRIM($E220),'PL mapping Std'!$A:$E,5,0),VLOOKUP(TRIM($D220),'PL mapping Std'!$A:$E,5,0)))=0,"",IF(A220="BS",IFERROR(VLOOKUP(TRIM($E220),'BS Mapping std'!$A:$H,8,0),VLOOKUP(TRIM($D220),'BS Mapping std'!$A:$H,8,0)),IFERROR(VLOOKUP(TRIM($E220),'PL mapping Std'!$A:$E,5,0),VLOOKUP(TRIM($D220),'PL mapping Std'!$A:$E,5,0))))</f>
        <v/>
      </c>
      <c r="W220">
        <f>_xlfn.IFERROR(VLOOKUP(E220,'F30 mapping'!A:D,4,0),VLOOKUP(D220,'F30 mapping'!A:D,4,0))</f>
        <v/>
      </c>
      <c r="X220">
        <f>IF(B220&lt;6,IFERROR(VLOOKUP(E220,'BS Mapping std'!A:M,13,0),VLOOKUP(D220,'BS Mapping std'!A:M,13,0)),0)</f>
        <v/>
      </c>
      <c r="Y220">
        <f>IF(B220&lt;6,IFERROR(VLOOKUP(E220,'BS Mapping std'!A:N,14,0),VLOOKUP(D220,'BS Mapping std'!A:N,14,0)),0)</f>
        <v/>
      </c>
    </row>
    <row r="221" spans="1:25">
      <c r="A221">
        <f>IF(B221&lt;6,"BS",IF(B221=6,"Exp","Rev"))</f>
        <v/>
      </c>
      <c r="B221">
        <f>_xlfn.NUMBERVALUE(LEFT(F221,1))</f>
        <v/>
      </c>
      <c r="C221">
        <f>Left(F221,2)</f>
        <v/>
      </c>
      <c r="D221">
        <f>Left(F221,3)</f>
        <v/>
      </c>
      <c r="E221">
        <f>IF(F221="121",Left(F221,3)&amp;"0",Left(F221,4))</f>
        <v/>
      </c>
      <c r="F221" t="n">
        <v>61200040</v>
      </c>
      <c r="G221" t="s">
        <v>240</v>
      </c>
      <c r="H221" s="9" t="n">
        <v>27827.75</v>
      </c>
      <c r="I221" s="9" t="n">
        <v>27935.53</v>
      </c>
      <c r="J221" s="9" t="n">
        <v>27935.53</v>
      </c>
      <c r="K221" s="9" t="n">
        <v>27935.53</v>
      </c>
      <c r="L221" s="9">
        <f>K221-H221</f>
        <v/>
      </c>
      <c r="M221" s="32">
        <f>IFERROR(L221/H221," ")</f>
        <v/>
      </c>
      <c r="N221">
        <f>IF(A221="BS",IFERROR(VLOOKUP(TRIM($E221),'BS Mapping std'!$A:$D,4,0),VLOOKUP(TRIM($D221),'BS Mapping std'!$A:$D,4,0)),IFERROR(VLOOKUP(TRIM($E221),'PL mapping Std'!$A:$D,4,0),VLOOKUP(TRIM($D221),'PL mapping Std'!$A:$D,4,0)))</f>
        <v/>
      </c>
      <c r="O221">
        <f>_xlfn.IFERROR(VLOOKUP(E221,'F30 mapping'!A:C,3,0),VLOOKUP(D221,'F30 mapping'!A:C,3,0))</f>
        <v/>
      </c>
      <c r="P221">
        <f>_xlfn.IFERROR(IFERROR(VLOOKUP(E221,'F40 mapping'!A:C,3,0),VLOOKUP(D221,'F40 mapping'!A:C,3,0)),0)</f>
        <v/>
      </c>
      <c r="Q221">
        <f>_xlfn.IFERROR(IFERROR(VLOOKUP(E221,'F40 mapping'!A:D,4,0),VLOOKUP(D221,'F40 mapping'!A:D,4,0)),0)</f>
        <v/>
      </c>
      <c r="R221">
        <f>_xlfn.IFERROR(IFERROR(VLOOKUP(E221,'F40 mapping'!A:E,5,0),VLOOKUP(D221,'F40 mapping'!A:E,5,0)),0)</f>
        <v/>
      </c>
      <c r="S221">
        <f>_xlfn.IF(B221&lt;6,IFERROR(VLOOKUP(E221,'BS Mapping std'!A:E,5,0),VLOOKUP(D221,'BS Mapping std'!A:E,5,0)),IFERROR(VLOOKUP(E221,'PL mapping Std'!A:F,6,0),VLOOKUP(D221,'PL mapping Std'!A:F,6,0)))</f>
        <v/>
      </c>
      <c r="T221">
        <f>_xlfn.IF(B221&lt;6,IFERROR(VLOOKUP(E221,'BS Mapping std'!A:F,6,0),VLOOKUP(D221,'BS Mapping std'!A:F,6,0)),IFERROR(VLOOKUP(E221,'PL mapping Std'!A:G,7,0),VLOOKUP(D221,'PL mapping Std'!A:G,7,0)))</f>
        <v/>
      </c>
      <c r="V221">
        <f>IF(IF(A221="BS",IFERROR(VLOOKUP(TRIM($E221),'BS Mapping std'!$A:$H,8,0),VLOOKUP(TRIM($D221),'BS Mapping std'!$A:$H,8,0)),IFERROR(VLOOKUP(TRIM($E221),'PL mapping Std'!$A:$E,5,0),VLOOKUP(TRIM($D221),'PL mapping Std'!$A:$E,5,0)))=0,"",IF(A221="BS",IFERROR(VLOOKUP(TRIM($E221),'BS Mapping std'!$A:$H,8,0),VLOOKUP(TRIM($D221),'BS Mapping std'!$A:$H,8,0)),IFERROR(VLOOKUP(TRIM($E221),'PL mapping Std'!$A:$E,5,0),VLOOKUP(TRIM($D221),'PL mapping Std'!$A:$E,5,0))))</f>
        <v/>
      </c>
      <c r="W221">
        <f>_xlfn.IFERROR(VLOOKUP(E221,'F30 mapping'!A:D,4,0),VLOOKUP(D221,'F30 mapping'!A:D,4,0))</f>
        <v/>
      </c>
      <c r="X221">
        <f>IF(B221&lt;6,IFERROR(VLOOKUP(E221,'BS Mapping std'!A:M,13,0),VLOOKUP(D221,'BS Mapping std'!A:M,13,0)),0)</f>
        <v/>
      </c>
      <c r="Y221">
        <f>IF(B221&lt;6,IFERROR(VLOOKUP(E221,'BS Mapping std'!A:N,14,0),VLOOKUP(D221,'BS Mapping std'!A:N,14,0)),0)</f>
        <v/>
      </c>
    </row>
    <row r="222" spans="1:25">
      <c r="A222">
        <f>IF(B222&lt;6,"BS",IF(B222=6,"Exp","Rev"))</f>
        <v/>
      </c>
      <c r="B222">
        <f>_xlfn.NUMBERVALUE(LEFT(F222,1))</f>
        <v/>
      </c>
      <c r="C222">
        <f>Left(F222,2)</f>
        <v/>
      </c>
      <c r="D222">
        <f>Left(F222,3)</f>
        <v/>
      </c>
      <c r="E222">
        <f>IF(F222="121",Left(F222,3)&amp;"0",Left(F222,4))</f>
        <v/>
      </c>
      <c r="F222" t="n">
        <v>61300010</v>
      </c>
      <c r="G222" t="s">
        <v>241</v>
      </c>
      <c r="H222" s="9" t="n">
        <v>149014.59</v>
      </c>
      <c r="I222" s="9" t="n">
        <v>178307.76</v>
      </c>
      <c r="J222" s="9" t="n">
        <v>178307.76</v>
      </c>
      <c r="K222" s="9" t="n">
        <v>178307.76</v>
      </c>
      <c r="L222" s="9">
        <f>K222-H222</f>
        <v/>
      </c>
      <c r="M222" s="32">
        <f>IFERROR(L222/H222," ")</f>
        <v/>
      </c>
      <c r="N222">
        <f>IF(A222="BS",IFERROR(VLOOKUP(TRIM($E222),'BS Mapping std'!$A:$D,4,0),VLOOKUP(TRIM($D222),'BS Mapping std'!$A:$D,4,0)),IFERROR(VLOOKUP(TRIM($E222),'PL mapping Std'!$A:$D,4,0),VLOOKUP(TRIM($D222),'PL mapping Std'!$A:$D,4,0)))</f>
        <v/>
      </c>
      <c r="O222">
        <f>_xlfn.IFERROR(VLOOKUP(E222,'F30 mapping'!A:C,3,0),VLOOKUP(D222,'F30 mapping'!A:C,3,0))</f>
        <v/>
      </c>
      <c r="P222">
        <f>_xlfn.IFERROR(IFERROR(VLOOKUP(E222,'F40 mapping'!A:C,3,0),VLOOKUP(D222,'F40 mapping'!A:C,3,0)),0)</f>
        <v/>
      </c>
      <c r="Q222">
        <f>_xlfn.IFERROR(IFERROR(VLOOKUP(E222,'F40 mapping'!A:D,4,0),VLOOKUP(D222,'F40 mapping'!A:D,4,0)),0)</f>
        <v/>
      </c>
      <c r="R222">
        <f>_xlfn.IFERROR(IFERROR(VLOOKUP(E222,'F40 mapping'!A:E,5,0),VLOOKUP(D222,'F40 mapping'!A:E,5,0)),0)</f>
        <v/>
      </c>
      <c r="S222">
        <f>_xlfn.IF(B222&lt;6,IFERROR(VLOOKUP(E222,'BS Mapping std'!A:E,5,0),VLOOKUP(D222,'BS Mapping std'!A:E,5,0)),IFERROR(VLOOKUP(E222,'PL mapping Std'!A:F,6,0),VLOOKUP(D222,'PL mapping Std'!A:F,6,0)))</f>
        <v/>
      </c>
      <c r="T222">
        <f>_xlfn.IF(B222&lt;6,IFERROR(VLOOKUP(E222,'BS Mapping std'!A:F,6,0),VLOOKUP(D222,'BS Mapping std'!A:F,6,0)),IFERROR(VLOOKUP(E222,'PL mapping Std'!A:G,7,0),VLOOKUP(D222,'PL mapping Std'!A:G,7,0)))</f>
        <v/>
      </c>
      <c r="V222">
        <f>IF(IF(A222="BS",IFERROR(VLOOKUP(TRIM($E222),'BS Mapping std'!$A:$H,8,0),VLOOKUP(TRIM($D222),'BS Mapping std'!$A:$H,8,0)),IFERROR(VLOOKUP(TRIM($E222),'PL mapping Std'!$A:$E,5,0),VLOOKUP(TRIM($D222),'PL mapping Std'!$A:$E,5,0)))=0,"",IF(A222="BS",IFERROR(VLOOKUP(TRIM($E222),'BS Mapping std'!$A:$H,8,0),VLOOKUP(TRIM($D222),'BS Mapping std'!$A:$H,8,0)),IFERROR(VLOOKUP(TRIM($E222),'PL mapping Std'!$A:$E,5,0),VLOOKUP(TRIM($D222),'PL mapping Std'!$A:$E,5,0))))</f>
        <v/>
      </c>
      <c r="W222">
        <f>_xlfn.IFERROR(VLOOKUP(E222,'F30 mapping'!A:D,4,0),VLOOKUP(D222,'F30 mapping'!A:D,4,0))</f>
        <v/>
      </c>
      <c r="X222">
        <f>IF(B222&lt;6,IFERROR(VLOOKUP(E222,'BS Mapping std'!A:M,13,0),VLOOKUP(D222,'BS Mapping std'!A:M,13,0)),0)</f>
        <v/>
      </c>
      <c r="Y222">
        <f>IF(B222&lt;6,IFERROR(VLOOKUP(E222,'BS Mapping std'!A:N,14,0),VLOOKUP(D222,'BS Mapping std'!A:N,14,0)),0)</f>
        <v/>
      </c>
    </row>
    <row r="223" spans="1:25">
      <c r="A223">
        <f>IF(B223&lt;6,"BS",IF(B223=6,"Exp","Rev"))</f>
        <v/>
      </c>
      <c r="B223">
        <f>_xlfn.NUMBERVALUE(LEFT(F223,1))</f>
        <v/>
      </c>
      <c r="C223">
        <f>Left(F223,2)</f>
        <v/>
      </c>
      <c r="D223">
        <f>Left(F223,3)</f>
        <v/>
      </c>
      <c r="E223">
        <f>IF(F223="121",Left(F223,3)&amp;"0",Left(F223,4))</f>
        <v/>
      </c>
      <c r="F223" t="n">
        <v>61300020</v>
      </c>
      <c r="G223" t="s">
        <v>242</v>
      </c>
      <c r="H223" s="9" t="n">
        <v>7410.1</v>
      </c>
      <c r="I223" s="9" t="n">
        <v>8509.629999999999</v>
      </c>
      <c r="J223" s="9" t="n">
        <v>8509.629999999999</v>
      </c>
      <c r="K223" s="9" t="n">
        <v>8509.629999999999</v>
      </c>
      <c r="L223" s="9">
        <f>K223-H223</f>
        <v/>
      </c>
      <c r="M223" s="32">
        <f>IFERROR(L223/H223," ")</f>
        <v/>
      </c>
      <c r="N223">
        <f>IF(A223="BS",IFERROR(VLOOKUP(TRIM($E223),'BS Mapping std'!$A:$D,4,0),VLOOKUP(TRIM($D223),'BS Mapping std'!$A:$D,4,0)),IFERROR(VLOOKUP(TRIM($E223),'PL mapping Std'!$A:$D,4,0),VLOOKUP(TRIM($D223),'PL mapping Std'!$A:$D,4,0)))</f>
        <v/>
      </c>
      <c r="O223">
        <f>_xlfn.IFERROR(VLOOKUP(E223,'F30 mapping'!A:C,3,0),VLOOKUP(D223,'F30 mapping'!A:C,3,0))</f>
        <v/>
      </c>
      <c r="P223">
        <f>_xlfn.IFERROR(IFERROR(VLOOKUP(E223,'F40 mapping'!A:C,3,0),VLOOKUP(D223,'F40 mapping'!A:C,3,0)),0)</f>
        <v/>
      </c>
      <c r="Q223">
        <f>_xlfn.IFERROR(IFERROR(VLOOKUP(E223,'F40 mapping'!A:D,4,0),VLOOKUP(D223,'F40 mapping'!A:D,4,0)),0)</f>
        <v/>
      </c>
      <c r="R223">
        <f>_xlfn.IFERROR(IFERROR(VLOOKUP(E223,'F40 mapping'!A:E,5,0),VLOOKUP(D223,'F40 mapping'!A:E,5,0)),0)</f>
        <v/>
      </c>
      <c r="S223">
        <f>_xlfn.IF(B223&lt;6,IFERROR(VLOOKUP(E223,'BS Mapping std'!A:E,5,0),VLOOKUP(D223,'BS Mapping std'!A:E,5,0)),IFERROR(VLOOKUP(E223,'PL mapping Std'!A:F,6,0),VLOOKUP(D223,'PL mapping Std'!A:F,6,0)))</f>
        <v/>
      </c>
      <c r="T223">
        <f>_xlfn.IF(B223&lt;6,IFERROR(VLOOKUP(E223,'BS Mapping std'!A:F,6,0),VLOOKUP(D223,'BS Mapping std'!A:F,6,0)),IFERROR(VLOOKUP(E223,'PL mapping Std'!A:G,7,0),VLOOKUP(D223,'PL mapping Std'!A:G,7,0)))</f>
        <v/>
      </c>
      <c r="V223">
        <f>IF(IF(A223="BS",IFERROR(VLOOKUP(TRIM($E223),'BS Mapping std'!$A:$H,8,0),VLOOKUP(TRIM($D223),'BS Mapping std'!$A:$H,8,0)),IFERROR(VLOOKUP(TRIM($E223),'PL mapping Std'!$A:$E,5,0),VLOOKUP(TRIM($D223),'PL mapping Std'!$A:$E,5,0)))=0,"",IF(A223="BS",IFERROR(VLOOKUP(TRIM($E223),'BS Mapping std'!$A:$H,8,0),VLOOKUP(TRIM($D223),'BS Mapping std'!$A:$H,8,0)),IFERROR(VLOOKUP(TRIM($E223),'PL mapping Std'!$A:$E,5,0),VLOOKUP(TRIM($D223),'PL mapping Std'!$A:$E,5,0))))</f>
        <v/>
      </c>
      <c r="W223">
        <f>_xlfn.IFERROR(VLOOKUP(E223,'F30 mapping'!A:D,4,0),VLOOKUP(D223,'F30 mapping'!A:D,4,0))</f>
        <v/>
      </c>
      <c r="X223">
        <f>IF(B223&lt;6,IFERROR(VLOOKUP(E223,'BS Mapping std'!A:M,13,0),VLOOKUP(D223,'BS Mapping std'!A:M,13,0)),0)</f>
        <v/>
      </c>
      <c r="Y223">
        <f>IF(B223&lt;6,IFERROR(VLOOKUP(E223,'BS Mapping std'!A:N,14,0),VLOOKUP(D223,'BS Mapping std'!A:N,14,0)),0)</f>
        <v/>
      </c>
    </row>
    <row r="224" spans="1:25">
      <c r="A224">
        <f>IF(B224&lt;6,"BS",IF(B224=6,"Exp","Rev"))</f>
        <v/>
      </c>
      <c r="B224">
        <f>_xlfn.NUMBERVALUE(LEFT(F224,1))</f>
        <v/>
      </c>
      <c r="C224">
        <f>Left(F224,2)</f>
        <v/>
      </c>
      <c r="D224">
        <f>Left(F224,3)</f>
        <v/>
      </c>
      <c r="E224">
        <f>IF(F224="121",Left(F224,3)&amp;"0",Left(F224,4))</f>
        <v/>
      </c>
      <c r="F224" t="n">
        <v>61300030</v>
      </c>
      <c r="G224" t="s">
        <v>243</v>
      </c>
      <c r="H224" s="9" t="n">
        <v>41432.09</v>
      </c>
      <c r="I224" s="9" t="n">
        <v>41153.02</v>
      </c>
      <c r="J224" s="9" t="n">
        <v>41153.02</v>
      </c>
      <c r="K224" s="9" t="n">
        <v>41153.02</v>
      </c>
      <c r="L224" s="9">
        <f>K224-H224</f>
        <v/>
      </c>
      <c r="M224" s="32">
        <f>IFERROR(L224/H224," ")</f>
        <v/>
      </c>
      <c r="N224">
        <f>IF(A224="BS",IFERROR(VLOOKUP(TRIM($E224),'BS Mapping std'!$A:$D,4,0),VLOOKUP(TRIM($D224),'BS Mapping std'!$A:$D,4,0)),IFERROR(VLOOKUP(TRIM($E224),'PL mapping Std'!$A:$D,4,0),VLOOKUP(TRIM($D224),'PL mapping Std'!$A:$D,4,0)))</f>
        <v/>
      </c>
      <c r="O224">
        <f>_xlfn.IFERROR(VLOOKUP(E224,'F30 mapping'!A:C,3,0),VLOOKUP(D224,'F30 mapping'!A:C,3,0))</f>
        <v/>
      </c>
      <c r="P224">
        <f>_xlfn.IFERROR(IFERROR(VLOOKUP(E224,'F40 mapping'!A:C,3,0),VLOOKUP(D224,'F40 mapping'!A:C,3,0)),0)</f>
        <v/>
      </c>
      <c r="Q224">
        <f>_xlfn.IFERROR(IFERROR(VLOOKUP(E224,'F40 mapping'!A:D,4,0),VLOOKUP(D224,'F40 mapping'!A:D,4,0)),0)</f>
        <v/>
      </c>
      <c r="R224">
        <f>_xlfn.IFERROR(IFERROR(VLOOKUP(E224,'F40 mapping'!A:E,5,0),VLOOKUP(D224,'F40 mapping'!A:E,5,0)),0)</f>
        <v/>
      </c>
      <c r="S224">
        <f>_xlfn.IF(B224&lt;6,IFERROR(VLOOKUP(E224,'BS Mapping std'!A:E,5,0),VLOOKUP(D224,'BS Mapping std'!A:E,5,0)),IFERROR(VLOOKUP(E224,'PL mapping Std'!A:F,6,0),VLOOKUP(D224,'PL mapping Std'!A:F,6,0)))</f>
        <v/>
      </c>
      <c r="T224">
        <f>_xlfn.IF(B224&lt;6,IFERROR(VLOOKUP(E224,'BS Mapping std'!A:F,6,0),VLOOKUP(D224,'BS Mapping std'!A:F,6,0)),IFERROR(VLOOKUP(E224,'PL mapping Std'!A:G,7,0),VLOOKUP(D224,'PL mapping Std'!A:G,7,0)))</f>
        <v/>
      </c>
      <c r="V224">
        <f>IF(IF(A224="BS",IFERROR(VLOOKUP(TRIM($E224),'BS Mapping std'!$A:$H,8,0),VLOOKUP(TRIM($D224),'BS Mapping std'!$A:$H,8,0)),IFERROR(VLOOKUP(TRIM($E224),'PL mapping Std'!$A:$E,5,0),VLOOKUP(TRIM($D224),'PL mapping Std'!$A:$E,5,0)))=0,"",IF(A224="BS",IFERROR(VLOOKUP(TRIM($E224),'BS Mapping std'!$A:$H,8,0),VLOOKUP(TRIM($D224),'BS Mapping std'!$A:$H,8,0)),IFERROR(VLOOKUP(TRIM($E224),'PL mapping Std'!$A:$E,5,0),VLOOKUP(TRIM($D224),'PL mapping Std'!$A:$E,5,0))))</f>
        <v/>
      </c>
      <c r="W224">
        <f>_xlfn.IFERROR(VLOOKUP(E224,'F30 mapping'!A:D,4,0),VLOOKUP(D224,'F30 mapping'!A:D,4,0))</f>
        <v/>
      </c>
      <c r="X224">
        <f>IF(B224&lt;6,IFERROR(VLOOKUP(E224,'BS Mapping std'!A:M,13,0),VLOOKUP(D224,'BS Mapping std'!A:M,13,0)),0)</f>
        <v/>
      </c>
      <c r="Y224">
        <f>IF(B224&lt;6,IFERROR(VLOOKUP(E224,'BS Mapping std'!A:N,14,0),VLOOKUP(D224,'BS Mapping std'!A:N,14,0)),0)</f>
        <v/>
      </c>
    </row>
    <row r="225" spans="1:25">
      <c r="A225">
        <f>IF(B225&lt;6,"BS",IF(B225=6,"Exp","Rev"))</f>
        <v/>
      </c>
      <c r="B225">
        <f>_xlfn.NUMBERVALUE(LEFT(F225,1))</f>
        <v/>
      </c>
      <c r="C225">
        <f>Left(F225,2)</f>
        <v/>
      </c>
      <c r="D225">
        <f>Left(F225,3)</f>
        <v/>
      </c>
      <c r="E225">
        <f>IF(F225="121",Left(F225,3)&amp;"0",Left(F225,4))</f>
        <v/>
      </c>
      <c r="F225" t="n">
        <v>61300041</v>
      </c>
      <c r="G225" t="s">
        <v>244</v>
      </c>
      <c r="H225" s="9" t="n">
        <v>0</v>
      </c>
      <c r="I225" s="9" t="n">
        <v>94</v>
      </c>
      <c r="J225" s="9" t="n">
        <v>94</v>
      </c>
      <c r="K225" s="9" t="n">
        <v>94</v>
      </c>
      <c r="L225" s="9">
        <f>K225-H225</f>
        <v/>
      </c>
      <c r="M225" s="32">
        <f>IFERROR(L225/H225," ")</f>
        <v/>
      </c>
      <c r="N225">
        <f>IF(A225="BS",IFERROR(VLOOKUP(TRIM($E225),'BS Mapping std'!$A:$D,4,0),VLOOKUP(TRIM($D225),'BS Mapping std'!$A:$D,4,0)),IFERROR(VLOOKUP(TRIM($E225),'PL mapping Std'!$A:$D,4,0),VLOOKUP(TRIM($D225),'PL mapping Std'!$A:$D,4,0)))</f>
        <v/>
      </c>
      <c r="O225">
        <f>_xlfn.IFERROR(VLOOKUP(E225,'F30 mapping'!A:C,3,0),VLOOKUP(D225,'F30 mapping'!A:C,3,0))</f>
        <v/>
      </c>
      <c r="P225">
        <f>_xlfn.IFERROR(IFERROR(VLOOKUP(E225,'F40 mapping'!A:C,3,0),VLOOKUP(D225,'F40 mapping'!A:C,3,0)),0)</f>
        <v/>
      </c>
      <c r="Q225">
        <f>_xlfn.IFERROR(IFERROR(VLOOKUP(E225,'F40 mapping'!A:D,4,0),VLOOKUP(D225,'F40 mapping'!A:D,4,0)),0)</f>
        <v/>
      </c>
      <c r="R225">
        <f>_xlfn.IFERROR(IFERROR(VLOOKUP(E225,'F40 mapping'!A:E,5,0),VLOOKUP(D225,'F40 mapping'!A:E,5,0)),0)</f>
        <v/>
      </c>
      <c r="S225">
        <f>_xlfn.IF(B225&lt;6,IFERROR(VLOOKUP(E225,'BS Mapping std'!A:E,5,0),VLOOKUP(D225,'BS Mapping std'!A:E,5,0)),IFERROR(VLOOKUP(E225,'PL mapping Std'!A:F,6,0),VLOOKUP(D225,'PL mapping Std'!A:F,6,0)))</f>
        <v/>
      </c>
      <c r="T225">
        <f>_xlfn.IF(B225&lt;6,IFERROR(VLOOKUP(E225,'BS Mapping std'!A:F,6,0),VLOOKUP(D225,'BS Mapping std'!A:F,6,0)),IFERROR(VLOOKUP(E225,'PL mapping Std'!A:G,7,0),VLOOKUP(D225,'PL mapping Std'!A:G,7,0)))</f>
        <v/>
      </c>
      <c r="V225">
        <f>IF(IF(A225="BS",IFERROR(VLOOKUP(TRIM($E225),'BS Mapping std'!$A:$H,8,0),VLOOKUP(TRIM($D225),'BS Mapping std'!$A:$H,8,0)),IFERROR(VLOOKUP(TRIM($E225),'PL mapping Std'!$A:$E,5,0),VLOOKUP(TRIM($D225),'PL mapping Std'!$A:$E,5,0)))=0,"",IF(A225="BS",IFERROR(VLOOKUP(TRIM($E225),'BS Mapping std'!$A:$H,8,0),VLOOKUP(TRIM($D225),'BS Mapping std'!$A:$H,8,0)),IFERROR(VLOOKUP(TRIM($E225),'PL mapping Std'!$A:$E,5,0),VLOOKUP(TRIM($D225),'PL mapping Std'!$A:$E,5,0))))</f>
        <v/>
      </c>
      <c r="W225">
        <f>_xlfn.IFERROR(VLOOKUP(E225,'F30 mapping'!A:D,4,0),VLOOKUP(D225,'F30 mapping'!A:D,4,0))</f>
        <v/>
      </c>
      <c r="X225">
        <f>IF(B225&lt;6,IFERROR(VLOOKUP(E225,'BS Mapping std'!A:M,13,0),VLOOKUP(D225,'BS Mapping std'!A:M,13,0)),0)</f>
        <v/>
      </c>
      <c r="Y225">
        <f>IF(B225&lt;6,IFERROR(VLOOKUP(E225,'BS Mapping std'!A:N,14,0),VLOOKUP(D225,'BS Mapping std'!A:N,14,0)),0)</f>
        <v/>
      </c>
    </row>
    <row r="226" spans="1:25">
      <c r="A226">
        <f>IF(B226&lt;6,"BS",IF(B226=6,"Exp","Rev"))</f>
        <v/>
      </c>
      <c r="B226">
        <f>_xlfn.NUMBERVALUE(LEFT(F226,1))</f>
        <v/>
      </c>
      <c r="C226">
        <f>Left(F226,2)</f>
        <v/>
      </c>
      <c r="D226">
        <f>Left(F226,3)</f>
        <v/>
      </c>
      <c r="E226">
        <f>IF(F226="121",Left(F226,3)&amp;"0",Left(F226,4))</f>
        <v/>
      </c>
      <c r="F226" t="n">
        <v>61301000</v>
      </c>
      <c r="G226" t="s">
        <v>245</v>
      </c>
      <c r="H226" s="9" t="n">
        <v>56237.27</v>
      </c>
      <c r="I226" s="9" t="n">
        <v>52369.6</v>
      </c>
      <c r="J226" s="9" t="n">
        <v>52369.6</v>
      </c>
      <c r="K226" s="9" t="n">
        <v>52369.6</v>
      </c>
      <c r="L226" s="9">
        <f>K226-H226</f>
        <v/>
      </c>
      <c r="M226" s="32">
        <f>IFERROR(L226/H226," ")</f>
        <v/>
      </c>
      <c r="N226">
        <f>IF(A226="BS",IFERROR(VLOOKUP(TRIM($E226),'BS Mapping std'!$A:$D,4,0),VLOOKUP(TRIM($D226),'BS Mapping std'!$A:$D,4,0)),IFERROR(VLOOKUP(TRIM($E226),'PL mapping Std'!$A:$D,4,0),VLOOKUP(TRIM($D226),'PL mapping Std'!$A:$D,4,0)))</f>
        <v/>
      </c>
      <c r="O226">
        <f>_xlfn.IFERROR(VLOOKUP(E226,'F30 mapping'!A:C,3,0),VLOOKUP(D226,'F30 mapping'!A:C,3,0))</f>
        <v/>
      </c>
      <c r="P226">
        <f>_xlfn.IFERROR(IFERROR(VLOOKUP(E226,'F40 mapping'!A:C,3,0),VLOOKUP(D226,'F40 mapping'!A:C,3,0)),0)</f>
        <v/>
      </c>
      <c r="Q226">
        <f>_xlfn.IFERROR(IFERROR(VLOOKUP(E226,'F40 mapping'!A:D,4,0),VLOOKUP(D226,'F40 mapping'!A:D,4,0)),0)</f>
        <v/>
      </c>
      <c r="R226">
        <f>_xlfn.IFERROR(IFERROR(VLOOKUP(E226,'F40 mapping'!A:E,5,0),VLOOKUP(D226,'F40 mapping'!A:E,5,0)),0)</f>
        <v/>
      </c>
      <c r="S226">
        <f>_xlfn.IF(B226&lt;6,IFERROR(VLOOKUP(E226,'BS Mapping std'!A:E,5,0),VLOOKUP(D226,'BS Mapping std'!A:E,5,0)),IFERROR(VLOOKUP(E226,'PL mapping Std'!A:F,6,0),VLOOKUP(D226,'PL mapping Std'!A:F,6,0)))</f>
        <v/>
      </c>
      <c r="T226">
        <f>_xlfn.IF(B226&lt;6,IFERROR(VLOOKUP(E226,'BS Mapping std'!A:F,6,0),VLOOKUP(D226,'BS Mapping std'!A:F,6,0)),IFERROR(VLOOKUP(E226,'PL mapping Std'!A:G,7,0),VLOOKUP(D226,'PL mapping Std'!A:G,7,0)))</f>
        <v/>
      </c>
      <c r="V226">
        <f>IF(IF(A226="BS",IFERROR(VLOOKUP(TRIM($E226),'BS Mapping std'!$A:$H,8,0),VLOOKUP(TRIM($D226),'BS Mapping std'!$A:$H,8,0)),IFERROR(VLOOKUP(TRIM($E226),'PL mapping Std'!$A:$E,5,0),VLOOKUP(TRIM($D226),'PL mapping Std'!$A:$E,5,0)))=0,"",IF(A226="BS",IFERROR(VLOOKUP(TRIM($E226),'BS Mapping std'!$A:$H,8,0),VLOOKUP(TRIM($D226),'BS Mapping std'!$A:$H,8,0)),IFERROR(VLOOKUP(TRIM($E226),'PL mapping Std'!$A:$E,5,0),VLOOKUP(TRIM($D226),'PL mapping Std'!$A:$E,5,0))))</f>
        <v/>
      </c>
      <c r="W226">
        <f>_xlfn.IFERROR(VLOOKUP(E226,'F30 mapping'!A:D,4,0),VLOOKUP(D226,'F30 mapping'!A:D,4,0))</f>
        <v/>
      </c>
      <c r="X226">
        <f>IF(B226&lt;6,IFERROR(VLOOKUP(E226,'BS Mapping std'!A:M,13,0),VLOOKUP(D226,'BS Mapping std'!A:M,13,0)),0)</f>
        <v/>
      </c>
      <c r="Y226">
        <f>IF(B226&lt;6,IFERROR(VLOOKUP(E226,'BS Mapping std'!A:N,14,0),VLOOKUP(D226,'BS Mapping std'!A:N,14,0)),0)</f>
        <v/>
      </c>
    </row>
    <row r="227" spans="1:25">
      <c r="A227">
        <f>IF(B227&lt;6,"BS",IF(B227=6,"Exp","Rev"))</f>
        <v/>
      </c>
      <c r="B227">
        <f>_xlfn.NUMBERVALUE(LEFT(F227,1))</f>
        <v/>
      </c>
      <c r="C227">
        <f>Left(F227,2)</f>
        <v/>
      </c>
      <c r="D227">
        <f>Left(F227,3)</f>
        <v/>
      </c>
      <c r="E227">
        <f>IF(F227="121",Left(F227,3)&amp;"0",Left(F227,4))</f>
        <v/>
      </c>
      <c r="F227" t="n">
        <v>62200010</v>
      </c>
      <c r="G227" t="s">
        <v>246</v>
      </c>
      <c r="H227" s="9" t="n">
        <v>129074.2</v>
      </c>
      <c r="I227" s="9" t="n">
        <v>142827.6</v>
      </c>
      <c r="J227" s="9" t="n">
        <v>142827.6</v>
      </c>
      <c r="K227" s="9" t="n">
        <v>142827.6</v>
      </c>
      <c r="L227" s="9">
        <f>K227-H227</f>
        <v/>
      </c>
      <c r="M227" s="32">
        <f>IFERROR(L227/H227," ")</f>
        <v/>
      </c>
      <c r="N227">
        <f>IF(A227="BS",IFERROR(VLOOKUP(TRIM($E227),'BS Mapping std'!$A:$D,4,0),VLOOKUP(TRIM($D227),'BS Mapping std'!$A:$D,4,0)),IFERROR(VLOOKUP(TRIM($E227),'PL mapping Std'!$A:$D,4,0),VLOOKUP(TRIM($D227),'PL mapping Std'!$A:$D,4,0)))</f>
        <v/>
      </c>
      <c r="O227">
        <f>_xlfn.IFERROR(VLOOKUP(E227,'F30 mapping'!A:C,3,0),VLOOKUP(D227,'F30 mapping'!A:C,3,0))</f>
        <v/>
      </c>
      <c r="P227">
        <f>_xlfn.IFERROR(IFERROR(VLOOKUP(E227,'F40 mapping'!A:C,3,0),VLOOKUP(D227,'F40 mapping'!A:C,3,0)),0)</f>
        <v/>
      </c>
      <c r="Q227">
        <f>_xlfn.IFERROR(IFERROR(VLOOKUP(E227,'F40 mapping'!A:D,4,0),VLOOKUP(D227,'F40 mapping'!A:D,4,0)),0)</f>
        <v/>
      </c>
      <c r="R227">
        <f>_xlfn.IFERROR(IFERROR(VLOOKUP(E227,'F40 mapping'!A:E,5,0),VLOOKUP(D227,'F40 mapping'!A:E,5,0)),0)</f>
        <v/>
      </c>
      <c r="S227">
        <f>_xlfn.IF(B227&lt;6,IFERROR(VLOOKUP(E227,'BS Mapping std'!A:E,5,0),VLOOKUP(D227,'BS Mapping std'!A:E,5,0)),IFERROR(VLOOKUP(E227,'PL mapping Std'!A:F,6,0),VLOOKUP(D227,'PL mapping Std'!A:F,6,0)))</f>
        <v/>
      </c>
      <c r="T227">
        <f>_xlfn.IF(B227&lt;6,IFERROR(VLOOKUP(E227,'BS Mapping std'!A:F,6,0),VLOOKUP(D227,'BS Mapping std'!A:F,6,0)),IFERROR(VLOOKUP(E227,'PL mapping Std'!A:G,7,0),VLOOKUP(D227,'PL mapping Std'!A:G,7,0)))</f>
        <v/>
      </c>
      <c r="V227">
        <f>IF(IF(A227="BS",IFERROR(VLOOKUP(TRIM($E227),'BS Mapping std'!$A:$H,8,0),VLOOKUP(TRIM($D227),'BS Mapping std'!$A:$H,8,0)),IFERROR(VLOOKUP(TRIM($E227),'PL mapping Std'!$A:$E,5,0),VLOOKUP(TRIM($D227),'PL mapping Std'!$A:$E,5,0)))=0,"",IF(A227="BS",IFERROR(VLOOKUP(TRIM($E227),'BS Mapping std'!$A:$H,8,0),VLOOKUP(TRIM($D227),'BS Mapping std'!$A:$H,8,0)),IFERROR(VLOOKUP(TRIM($E227),'PL mapping Std'!$A:$E,5,0),VLOOKUP(TRIM($D227),'PL mapping Std'!$A:$E,5,0))))</f>
        <v/>
      </c>
      <c r="W227">
        <f>_xlfn.IFERROR(VLOOKUP(E227,'F30 mapping'!A:D,4,0),VLOOKUP(D227,'F30 mapping'!A:D,4,0))</f>
        <v/>
      </c>
      <c r="X227">
        <f>IF(B227&lt;6,IFERROR(VLOOKUP(E227,'BS Mapping std'!A:M,13,0),VLOOKUP(D227,'BS Mapping std'!A:M,13,0)),0)</f>
        <v/>
      </c>
      <c r="Y227">
        <f>IF(B227&lt;6,IFERROR(VLOOKUP(E227,'BS Mapping std'!A:N,14,0),VLOOKUP(D227,'BS Mapping std'!A:N,14,0)),0)</f>
        <v/>
      </c>
    </row>
    <row r="228" spans="1:25">
      <c r="A228">
        <f>IF(B228&lt;6,"BS",IF(B228=6,"Exp","Rev"))</f>
        <v/>
      </c>
      <c r="B228">
        <f>_xlfn.NUMBERVALUE(LEFT(F228,1))</f>
        <v/>
      </c>
      <c r="C228">
        <f>Left(F228,2)</f>
        <v/>
      </c>
      <c r="D228">
        <f>Left(F228,3)</f>
        <v/>
      </c>
      <c r="E228">
        <f>IF(F228="121",Left(F228,3)&amp;"0",Left(F228,4))</f>
        <v/>
      </c>
      <c r="F228" t="n">
        <v>62300010</v>
      </c>
      <c r="G228" t="s">
        <v>247</v>
      </c>
      <c r="H228" s="9" t="n">
        <v>3396.22</v>
      </c>
      <c r="I228" s="9" t="n">
        <v>992</v>
      </c>
      <c r="J228" s="9" t="n">
        <v>992</v>
      </c>
      <c r="K228" s="9" t="n">
        <v>992</v>
      </c>
      <c r="L228" s="9">
        <f>K228-H228</f>
        <v/>
      </c>
      <c r="M228" s="32">
        <f>IFERROR(L228/H228," ")</f>
        <v/>
      </c>
      <c r="N228">
        <f>IF(A228="BS",IFERROR(VLOOKUP(TRIM($E228),'BS Mapping std'!$A:$D,4,0),VLOOKUP(TRIM($D228),'BS Mapping std'!$A:$D,4,0)),IFERROR(VLOOKUP(TRIM($E228),'PL mapping Std'!$A:$D,4,0),VLOOKUP(TRIM($D228),'PL mapping Std'!$A:$D,4,0)))</f>
        <v/>
      </c>
      <c r="O228">
        <f>_xlfn.IFERROR(VLOOKUP(E228,'F30 mapping'!A:C,3,0),VLOOKUP(D228,'F30 mapping'!A:C,3,0))</f>
        <v/>
      </c>
      <c r="P228">
        <f>_xlfn.IFERROR(IFERROR(VLOOKUP(E228,'F40 mapping'!A:C,3,0),VLOOKUP(D228,'F40 mapping'!A:C,3,0)),0)</f>
        <v/>
      </c>
      <c r="Q228">
        <f>_xlfn.IFERROR(IFERROR(VLOOKUP(E228,'F40 mapping'!A:D,4,0),VLOOKUP(D228,'F40 mapping'!A:D,4,0)),0)</f>
        <v/>
      </c>
      <c r="R228">
        <f>_xlfn.IFERROR(IFERROR(VLOOKUP(E228,'F40 mapping'!A:E,5,0),VLOOKUP(D228,'F40 mapping'!A:E,5,0)),0)</f>
        <v/>
      </c>
      <c r="S228">
        <f>_xlfn.IF(B228&lt;6,IFERROR(VLOOKUP(E228,'BS Mapping std'!A:E,5,0),VLOOKUP(D228,'BS Mapping std'!A:E,5,0)),IFERROR(VLOOKUP(E228,'PL mapping Std'!A:F,6,0),VLOOKUP(D228,'PL mapping Std'!A:F,6,0)))</f>
        <v/>
      </c>
      <c r="T228">
        <f>_xlfn.IF(B228&lt;6,IFERROR(VLOOKUP(E228,'BS Mapping std'!A:F,6,0),VLOOKUP(D228,'BS Mapping std'!A:F,6,0)),IFERROR(VLOOKUP(E228,'PL mapping Std'!A:G,7,0),VLOOKUP(D228,'PL mapping Std'!A:G,7,0)))</f>
        <v/>
      </c>
      <c r="V228">
        <f>IF(IF(A228="BS",IFERROR(VLOOKUP(TRIM($E228),'BS Mapping std'!$A:$H,8,0),VLOOKUP(TRIM($D228),'BS Mapping std'!$A:$H,8,0)),IFERROR(VLOOKUP(TRIM($E228),'PL mapping Std'!$A:$E,5,0),VLOOKUP(TRIM($D228),'PL mapping Std'!$A:$E,5,0)))=0,"",IF(A228="BS",IFERROR(VLOOKUP(TRIM($E228),'BS Mapping std'!$A:$H,8,0),VLOOKUP(TRIM($D228),'BS Mapping std'!$A:$H,8,0)),IFERROR(VLOOKUP(TRIM($E228),'PL mapping Std'!$A:$E,5,0),VLOOKUP(TRIM($D228),'PL mapping Std'!$A:$E,5,0))))</f>
        <v/>
      </c>
      <c r="W228">
        <f>_xlfn.IFERROR(VLOOKUP(E228,'F30 mapping'!A:D,4,0),VLOOKUP(D228,'F30 mapping'!A:D,4,0))</f>
        <v/>
      </c>
      <c r="X228">
        <f>IF(B228&lt;6,IFERROR(VLOOKUP(E228,'BS Mapping std'!A:M,13,0),VLOOKUP(D228,'BS Mapping std'!A:M,13,0)),0)</f>
        <v/>
      </c>
      <c r="Y228">
        <f>IF(B228&lt;6,IFERROR(VLOOKUP(E228,'BS Mapping std'!A:N,14,0),VLOOKUP(D228,'BS Mapping std'!A:N,14,0)),0)</f>
        <v/>
      </c>
    </row>
    <row r="229" spans="1:25">
      <c r="A229">
        <f>IF(B229&lt;6,"BS",IF(B229=6,"Exp","Rev"))</f>
        <v/>
      </c>
      <c r="B229">
        <f>_xlfn.NUMBERVALUE(LEFT(F229,1))</f>
        <v/>
      </c>
      <c r="C229">
        <f>Left(F229,2)</f>
        <v/>
      </c>
      <c r="D229">
        <f>Left(F229,3)</f>
        <v/>
      </c>
      <c r="E229">
        <f>IF(F229="121",Left(F229,3)&amp;"0",Left(F229,4))</f>
        <v/>
      </c>
      <c r="F229" t="n">
        <v>62300030</v>
      </c>
      <c r="G229" t="s">
        <v>248</v>
      </c>
      <c r="H229" s="9" t="n">
        <v>32110.38</v>
      </c>
      <c r="I229" s="9" t="n">
        <v>53128.89</v>
      </c>
      <c r="J229" s="9" t="n">
        <v>53128.89</v>
      </c>
      <c r="K229" s="9" t="n">
        <v>53128.89</v>
      </c>
      <c r="L229" s="9">
        <f>K229-H229</f>
        <v/>
      </c>
      <c r="M229" s="32">
        <f>IFERROR(L229/H229," ")</f>
        <v/>
      </c>
      <c r="N229">
        <f>IF(A229="BS",IFERROR(VLOOKUP(TRIM($E229),'BS Mapping std'!$A:$D,4,0),VLOOKUP(TRIM($D229),'BS Mapping std'!$A:$D,4,0)),IFERROR(VLOOKUP(TRIM($E229),'PL mapping Std'!$A:$D,4,0),VLOOKUP(TRIM($D229),'PL mapping Std'!$A:$D,4,0)))</f>
        <v/>
      </c>
      <c r="O229">
        <f>_xlfn.IFERROR(VLOOKUP(E229,'F30 mapping'!A:C,3,0),VLOOKUP(D229,'F30 mapping'!A:C,3,0))</f>
        <v/>
      </c>
      <c r="P229">
        <f>_xlfn.IFERROR(IFERROR(VLOOKUP(E229,'F40 mapping'!A:C,3,0),VLOOKUP(D229,'F40 mapping'!A:C,3,0)),0)</f>
        <v/>
      </c>
      <c r="Q229">
        <f>_xlfn.IFERROR(IFERROR(VLOOKUP(E229,'F40 mapping'!A:D,4,0),VLOOKUP(D229,'F40 mapping'!A:D,4,0)),0)</f>
        <v/>
      </c>
      <c r="R229">
        <f>_xlfn.IFERROR(IFERROR(VLOOKUP(E229,'F40 mapping'!A:E,5,0),VLOOKUP(D229,'F40 mapping'!A:E,5,0)),0)</f>
        <v/>
      </c>
      <c r="S229">
        <f>_xlfn.IF(B229&lt;6,IFERROR(VLOOKUP(E229,'BS Mapping std'!A:E,5,0),VLOOKUP(D229,'BS Mapping std'!A:E,5,0)),IFERROR(VLOOKUP(E229,'PL mapping Std'!A:F,6,0),VLOOKUP(D229,'PL mapping Std'!A:F,6,0)))</f>
        <v/>
      </c>
      <c r="T229">
        <f>_xlfn.IF(B229&lt;6,IFERROR(VLOOKUP(E229,'BS Mapping std'!A:F,6,0),VLOOKUP(D229,'BS Mapping std'!A:F,6,0)),IFERROR(VLOOKUP(E229,'PL mapping Std'!A:G,7,0),VLOOKUP(D229,'PL mapping Std'!A:G,7,0)))</f>
        <v/>
      </c>
      <c r="V229">
        <f>IF(IF(A229="BS",IFERROR(VLOOKUP(TRIM($E229),'BS Mapping std'!$A:$H,8,0),VLOOKUP(TRIM($D229),'BS Mapping std'!$A:$H,8,0)),IFERROR(VLOOKUP(TRIM($E229),'PL mapping Std'!$A:$E,5,0),VLOOKUP(TRIM($D229),'PL mapping Std'!$A:$E,5,0)))=0,"",IF(A229="BS",IFERROR(VLOOKUP(TRIM($E229),'BS Mapping std'!$A:$H,8,0),VLOOKUP(TRIM($D229),'BS Mapping std'!$A:$H,8,0)),IFERROR(VLOOKUP(TRIM($E229),'PL mapping Std'!$A:$E,5,0),VLOOKUP(TRIM($D229),'PL mapping Std'!$A:$E,5,0))))</f>
        <v/>
      </c>
      <c r="W229">
        <f>_xlfn.IFERROR(VLOOKUP(E229,'F30 mapping'!A:D,4,0),VLOOKUP(D229,'F30 mapping'!A:D,4,0))</f>
        <v/>
      </c>
      <c r="X229">
        <f>IF(B229&lt;6,IFERROR(VLOOKUP(E229,'BS Mapping std'!A:M,13,0),VLOOKUP(D229,'BS Mapping std'!A:M,13,0)),0)</f>
        <v/>
      </c>
      <c r="Y229">
        <f>IF(B229&lt;6,IFERROR(VLOOKUP(E229,'BS Mapping std'!A:N,14,0),VLOOKUP(D229,'BS Mapping std'!A:N,14,0)),0)</f>
        <v/>
      </c>
    </row>
    <row r="230" spans="1:25">
      <c r="A230">
        <f>IF(B230&lt;6,"BS",IF(B230=6,"Exp","Rev"))</f>
        <v/>
      </c>
      <c r="B230">
        <f>_xlfn.NUMBERVALUE(LEFT(F230,1))</f>
        <v/>
      </c>
      <c r="C230">
        <f>Left(F230,2)</f>
        <v/>
      </c>
      <c r="D230">
        <f>Left(F230,3)</f>
        <v/>
      </c>
      <c r="E230">
        <f>IF(F230="121",Left(F230,3)&amp;"0",Left(F230,4))</f>
        <v/>
      </c>
      <c r="F230" t="n">
        <v>62300040</v>
      </c>
      <c r="G230" t="s">
        <v>249</v>
      </c>
      <c r="H230" s="9" t="n">
        <v>26250.23</v>
      </c>
      <c r="I230" s="9" t="n">
        <v>24467.56</v>
      </c>
      <c r="J230" s="9" t="n">
        <v>24467.56</v>
      </c>
      <c r="K230" s="9" t="n">
        <v>24467.56</v>
      </c>
      <c r="L230" s="9">
        <f>K230-H230</f>
        <v/>
      </c>
      <c r="M230" s="32">
        <f>IFERROR(L230/H230," ")</f>
        <v/>
      </c>
      <c r="N230">
        <f>IF(A230="BS",IFERROR(VLOOKUP(TRIM($E230),'BS Mapping std'!$A:$D,4,0),VLOOKUP(TRIM($D230),'BS Mapping std'!$A:$D,4,0)),IFERROR(VLOOKUP(TRIM($E230),'PL mapping Std'!$A:$D,4,0),VLOOKUP(TRIM($D230),'PL mapping Std'!$A:$D,4,0)))</f>
        <v/>
      </c>
      <c r="O230">
        <f>_xlfn.IFERROR(VLOOKUP(E230,'F30 mapping'!A:C,3,0),VLOOKUP(D230,'F30 mapping'!A:C,3,0))</f>
        <v/>
      </c>
      <c r="P230">
        <f>_xlfn.IFERROR(IFERROR(VLOOKUP(E230,'F40 mapping'!A:C,3,0),VLOOKUP(D230,'F40 mapping'!A:C,3,0)),0)</f>
        <v/>
      </c>
      <c r="Q230">
        <f>_xlfn.IFERROR(IFERROR(VLOOKUP(E230,'F40 mapping'!A:D,4,0),VLOOKUP(D230,'F40 mapping'!A:D,4,0)),0)</f>
        <v/>
      </c>
      <c r="R230">
        <f>_xlfn.IFERROR(IFERROR(VLOOKUP(E230,'F40 mapping'!A:E,5,0),VLOOKUP(D230,'F40 mapping'!A:E,5,0)),0)</f>
        <v/>
      </c>
      <c r="S230">
        <f>_xlfn.IF(B230&lt;6,IFERROR(VLOOKUP(E230,'BS Mapping std'!A:E,5,0),VLOOKUP(D230,'BS Mapping std'!A:E,5,0)),IFERROR(VLOOKUP(E230,'PL mapping Std'!A:F,6,0),VLOOKUP(D230,'PL mapping Std'!A:F,6,0)))</f>
        <v/>
      </c>
      <c r="T230">
        <f>_xlfn.IF(B230&lt;6,IFERROR(VLOOKUP(E230,'BS Mapping std'!A:F,6,0),VLOOKUP(D230,'BS Mapping std'!A:F,6,0)),IFERROR(VLOOKUP(E230,'PL mapping Std'!A:G,7,0),VLOOKUP(D230,'PL mapping Std'!A:G,7,0)))</f>
        <v/>
      </c>
      <c r="V230">
        <f>IF(IF(A230="BS",IFERROR(VLOOKUP(TRIM($E230),'BS Mapping std'!$A:$H,8,0),VLOOKUP(TRIM($D230),'BS Mapping std'!$A:$H,8,0)),IFERROR(VLOOKUP(TRIM($E230),'PL mapping Std'!$A:$E,5,0),VLOOKUP(TRIM($D230),'PL mapping Std'!$A:$E,5,0)))=0,"",IF(A230="BS",IFERROR(VLOOKUP(TRIM($E230),'BS Mapping std'!$A:$H,8,0),VLOOKUP(TRIM($D230),'BS Mapping std'!$A:$H,8,0)),IFERROR(VLOOKUP(TRIM($E230),'PL mapping Std'!$A:$E,5,0),VLOOKUP(TRIM($D230),'PL mapping Std'!$A:$E,5,0))))</f>
        <v/>
      </c>
      <c r="W230">
        <f>_xlfn.IFERROR(VLOOKUP(E230,'F30 mapping'!A:D,4,0),VLOOKUP(D230,'F30 mapping'!A:D,4,0))</f>
        <v/>
      </c>
      <c r="X230">
        <f>IF(B230&lt;6,IFERROR(VLOOKUP(E230,'BS Mapping std'!A:M,13,0),VLOOKUP(D230,'BS Mapping std'!A:M,13,0)),0)</f>
        <v/>
      </c>
      <c r="Y230">
        <f>IF(B230&lt;6,IFERROR(VLOOKUP(E230,'BS Mapping std'!A:N,14,0),VLOOKUP(D230,'BS Mapping std'!A:N,14,0)),0)</f>
        <v/>
      </c>
    </row>
    <row r="231" spans="1:25">
      <c r="A231">
        <f>IF(B231&lt;6,"BS",IF(B231=6,"Exp","Rev"))</f>
        <v/>
      </c>
      <c r="B231">
        <f>_xlfn.NUMBERVALUE(LEFT(F231,1))</f>
        <v/>
      </c>
      <c r="C231">
        <f>Left(F231,2)</f>
        <v/>
      </c>
      <c r="D231">
        <f>Left(F231,3)</f>
        <v/>
      </c>
      <c r="E231">
        <f>IF(F231="121",Left(F231,3)&amp;"0",Left(F231,4))</f>
        <v/>
      </c>
      <c r="F231" t="n">
        <v>62300050</v>
      </c>
      <c r="G231" t="s">
        <v>250</v>
      </c>
      <c r="H231" s="9" t="n">
        <v>23838.3</v>
      </c>
      <c r="I231" s="9" t="n">
        <v>21579.85</v>
      </c>
      <c r="J231" s="9" t="n">
        <v>21579.85</v>
      </c>
      <c r="K231" s="9" t="n">
        <v>21579.85</v>
      </c>
      <c r="L231" s="9">
        <f>K231-H231</f>
        <v/>
      </c>
      <c r="M231" s="32">
        <f>IFERROR(L231/H231," ")</f>
        <v/>
      </c>
      <c r="N231">
        <f>IF(A231="BS",IFERROR(VLOOKUP(TRIM($E231),'BS Mapping std'!$A:$D,4,0),VLOOKUP(TRIM($D231),'BS Mapping std'!$A:$D,4,0)),IFERROR(VLOOKUP(TRIM($E231),'PL mapping Std'!$A:$D,4,0),VLOOKUP(TRIM($D231),'PL mapping Std'!$A:$D,4,0)))</f>
        <v/>
      </c>
      <c r="O231">
        <f>_xlfn.IFERROR(VLOOKUP(E231,'F30 mapping'!A:C,3,0),VLOOKUP(D231,'F30 mapping'!A:C,3,0))</f>
        <v/>
      </c>
      <c r="P231">
        <f>_xlfn.IFERROR(IFERROR(VLOOKUP(E231,'F40 mapping'!A:C,3,0),VLOOKUP(D231,'F40 mapping'!A:C,3,0)),0)</f>
        <v/>
      </c>
      <c r="Q231">
        <f>_xlfn.IFERROR(IFERROR(VLOOKUP(E231,'F40 mapping'!A:D,4,0),VLOOKUP(D231,'F40 mapping'!A:D,4,0)),0)</f>
        <v/>
      </c>
      <c r="R231">
        <f>_xlfn.IFERROR(IFERROR(VLOOKUP(E231,'F40 mapping'!A:E,5,0),VLOOKUP(D231,'F40 mapping'!A:E,5,0)),0)</f>
        <v/>
      </c>
      <c r="S231">
        <f>_xlfn.IF(B231&lt;6,IFERROR(VLOOKUP(E231,'BS Mapping std'!A:E,5,0),VLOOKUP(D231,'BS Mapping std'!A:E,5,0)),IFERROR(VLOOKUP(E231,'PL mapping Std'!A:F,6,0),VLOOKUP(D231,'PL mapping Std'!A:F,6,0)))</f>
        <v/>
      </c>
      <c r="T231">
        <f>_xlfn.IF(B231&lt;6,IFERROR(VLOOKUP(E231,'BS Mapping std'!A:F,6,0),VLOOKUP(D231,'BS Mapping std'!A:F,6,0)),IFERROR(VLOOKUP(E231,'PL mapping Std'!A:G,7,0),VLOOKUP(D231,'PL mapping Std'!A:G,7,0)))</f>
        <v/>
      </c>
      <c r="V231">
        <f>IF(IF(A231="BS",IFERROR(VLOOKUP(TRIM($E231),'BS Mapping std'!$A:$H,8,0),VLOOKUP(TRIM($D231),'BS Mapping std'!$A:$H,8,0)),IFERROR(VLOOKUP(TRIM($E231),'PL mapping Std'!$A:$E,5,0),VLOOKUP(TRIM($D231),'PL mapping Std'!$A:$E,5,0)))=0,"",IF(A231="BS",IFERROR(VLOOKUP(TRIM($E231),'BS Mapping std'!$A:$H,8,0),VLOOKUP(TRIM($D231),'BS Mapping std'!$A:$H,8,0)),IFERROR(VLOOKUP(TRIM($E231),'PL mapping Std'!$A:$E,5,0),VLOOKUP(TRIM($D231),'PL mapping Std'!$A:$E,5,0))))</f>
        <v/>
      </c>
      <c r="W231">
        <f>_xlfn.IFERROR(VLOOKUP(E231,'F30 mapping'!A:D,4,0),VLOOKUP(D231,'F30 mapping'!A:D,4,0))</f>
        <v/>
      </c>
      <c r="X231">
        <f>IF(B231&lt;6,IFERROR(VLOOKUP(E231,'BS Mapping std'!A:M,13,0),VLOOKUP(D231,'BS Mapping std'!A:M,13,0)),0)</f>
        <v/>
      </c>
      <c r="Y231">
        <f>IF(B231&lt;6,IFERROR(VLOOKUP(E231,'BS Mapping std'!A:N,14,0),VLOOKUP(D231,'BS Mapping std'!A:N,14,0)),0)</f>
        <v/>
      </c>
    </row>
    <row r="232" spans="1:25">
      <c r="A232">
        <f>IF(B232&lt;6,"BS",IF(B232=6,"Exp","Rev"))</f>
        <v/>
      </c>
      <c r="B232">
        <f>_xlfn.NUMBERVALUE(LEFT(F232,1))</f>
        <v/>
      </c>
      <c r="C232">
        <f>Left(F232,2)</f>
        <v/>
      </c>
      <c r="D232">
        <f>Left(F232,3)</f>
        <v/>
      </c>
      <c r="E232">
        <f>IF(F232="121",Left(F232,3)&amp;"0",Left(F232,4))</f>
        <v/>
      </c>
      <c r="F232" t="n">
        <v>62300060</v>
      </c>
      <c r="G232" t="s">
        <v>251</v>
      </c>
      <c r="H232" s="9" t="n">
        <v>23315.64</v>
      </c>
      <c r="I232" s="9" t="n">
        <v>27636.52</v>
      </c>
      <c r="J232" s="9" t="n">
        <v>27636.52</v>
      </c>
      <c r="K232" s="9" t="n">
        <v>27636.52</v>
      </c>
      <c r="L232" s="9">
        <f>K232-H232</f>
        <v/>
      </c>
      <c r="M232" s="32">
        <f>IFERROR(L232/H232," ")</f>
        <v/>
      </c>
      <c r="N232">
        <f>IF(A232="BS",IFERROR(VLOOKUP(TRIM($E232),'BS Mapping std'!$A:$D,4,0),VLOOKUP(TRIM($D232),'BS Mapping std'!$A:$D,4,0)),IFERROR(VLOOKUP(TRIM($E232),'PL mapping Std'!$A:$D,4,0),VLOOKUP(TRIM($D232),'PL mapping Std'!$A:$D,4,0)))</f>
        <v/>
      </c>
      <c r="O232">
        <f>_xlfn.IFERROR(VLOOKUP(E232,'F30 mapping'!A:C,3,0),VLOOKUP(D232,'F30 mapping'!A:C,3,0))</f>
        <v/>
      </c>
      <c r="P232">
        <f>_xlfn.IFERROR(IFERROR(VLOOKUP(E232,'F40 mapping'!A:C,3,0),VLOOKUP(D232,'F40 mapping'!A:C,3,0)),0)</f>
        <v/>
      </c>
      <c r="Q232">
        <f>_xlfn.IFERROR(IFERROR(VLOOKUP(E232,'F40 mapping'!A:D,4,0),VLOOKUP(D232,'F40 mapping'!A:D,4,0)),0)</f>
        <v/>
      </c>
      <c r="R232">
        <f>_xlfn.IFERROR(IFERROR(VLOOKUP(E232,'F40 mapping'!A:E,5,0),VLOOKUP(D232,'F40 mapping'!A:E,5,0)),0)</f>
        <v/>
      </c>
      <c r="S232">
        <f>_xlfn.IF(B232&lt;6,IFERROR(VLOOKUP(E232,'BS Mapping std'!A:E,5,0),VLOOKUP(D232,'BS Mapping std'!A:E,5,0)),IFERROR(VLOOKUP(E232,'PL mapping Std'!A:F,6,0),VLOOKUP(D232,'PL mapping Std'!A:F,6,0)))</f>
        <v/>
      </c>
      <c r="T232">
        <f>_xlfn.IF(B232&lt;6,IFERROR(VLOOKUP(E232,'BS Mapping std'!A:F,6,0),VLOOKUP(D232,'BS Mapping std'!A:F,6,0)),IFERROR(VLOOKUP(E232,'PL mapping Std'!A:G,7,0),VLOOKUP(D232,'PL mapping Std'!A:G,7,0)))</f>
        <v/>
      </c>
      <c r="V232">
        <f>IF(IF(A232="BS",IFERROR(VLOOKUP(TRIM($E232),'BS Mapping std'!$A:$H,8,0),VLOOKUP(TRIM($D232),'BS Mapping std'!$A:$H,8,0)),IFERROR(VLOOKUP(TRIM($E232),'PL mapping Std'!$A:$E,5,0),VLOOKUP(TRIM($D232),'PL mapping Std'!$A:$E,5,0)))=0,"",IF(A232="BS",IFERROR(VLOOKUP(TRIM($E232),'BS Mapping std'!$A:$H,8,0),VLOOKUP(TRIM($D232),'BS Mapping std'!$A:$H,8,0)),IFERROR(VLOOKUP(TRIM($E232),'PL mapping Std'!$A:$E,5,0),VLOOKUP(TRIM($D232),'PL mapping Std'!$A:$E,5,0))))</f>
        <v/>
      </c>
      <c r="W232">
        <f>_xlfn.IFERROR(VLOOKUP(E232,'F30 mapping'!A:D,4,0),VLOOKUP(D232,'F30 mapping'!A:D,4,0))</f>
        <v/>
      </c>
      <c r="X232">
        <f>IF(B232&lt;6,IFERROR(VLOOKUP(E232,'BS Mapping std'!A:M,13,0),VLOOKUP(D232,'BS Mapping std'!A:M,13,0)),0)</f>
        <v/>
      </c>
      <c r="Y232">
        <f>IF(B232&lt;6,IFERROR(VLOOKUP(E232,'BS Mapping std'!A:N,14,0),VLOOKUP(D232,'BS Mapping std'!A:N,14,0)),0)</f>
        <v/>
      </c>
    </row>
    <row r="233" spans="1:25">
      <c r="A233">
        <f>IF(B233&lt;6,"BS",IF(B233=6,"Exp","Rev"))</f>
        <v/>
      </c>
      <c r="B233">
        <f>_xlfn.NUMBERVALUE(LEFT(F233,1))</f>
        <v/>
      </c>
      <c r="C233">
        <f>Left(F233,2)</f>
        <v/>
      </c>
      <c r="D233">
        <f>Left(F233,3)</f>
        <v/>
      </c>
      <c r="E233">
        <f>IF(F233="121",Left(F233,3)&amp;"0",Left(F233,4))</f>
        <v/>
      </c>
      <c r="F233" t="n">
        <v>62309999</v>
      </c>
      <c r="G233" t="s">
        <v>252</v>
      </c>
      <c r="H233" s="9" t="n">
        <v>1749.43</v>
      </c>
      <c r="I233" s="9" t="n">
        <v>4927.29</v>
      </c>
      <c r="J233" s="9" t="n">
        <v>4927.29</v>
      </c>
      <c r="K233" s="9" t="n">
        <v>4927.29</v>
      </c>
      <c r="L233" s="9">
        <f>K233-H233</f>
        <v/>
      </c>
      <c r="M233" s="32">
        <f>IFERROR(L233/H233," ")</f>
        <v/>
      </c>
      <c r="N233">
        <f>IF(A233="BS",IFERROR(VLOOKUP(TRIM($E233),'BS Mapping std'!$A:$D,4,0),VLOOKUP(TRIM($D233),'BS Mapping std'!$A:$D,4,0)),IFERROR(VLOOKUP(TRIM($E233),'PL mapping Std'!$A:$D,4,0),VLOOKUP(TRIM($D233),'PL mapping Std'!$A:$D,4,0)))</f>
        <v/>
      </c>
      <c r="O233">
        <f>_xlfn.IFERROR(VLOOKUP(E233,'F30 mapping'!A:C,3,0),VLOOKUP(D233,'F30 mapping'!A:C,3,0))</f>
        <v/>
      </c>
      <c r="P233">
        <f>_xlfn.IFERROR(IFERROR(VLOOKUP(E233,'F40 mapping'!A:C,3,0),VLOOKUP(D233,'F40 mapping'!A:C,3,0)),0)</f>
        <v/>
      </c>
      <c r="Q233">
        <f>_xlfn.IFERROR(IFERROR(VLOOKUP(E233,'F40 mapping'!A:D,4,0),VLOOKUP(D233,'F40 mapping'!A:D,4,0)),0)</f>
        <v/>
      </c>
      <c r="R233">
        <f>_xlfn.IFERROR(IFERROR(VLOOKUP(E233,'F40 mapping'!A:E,5,0),VLOOKUP(D233,'F40 mapping'!A:E,5,0)),0)</f>
        <v/>
      </c>
      <c r="S233">
        <f>_xlfn.IF(B233&lt;6,IFERROR(VLOOKUP(E233,'BS Mapping std'!A:E,5,0),VLOOKUP(D233,'BS Mapping std'!A:E,5,0)),IFERROR(VLOOKUP(E233,'PL mapping Std'!A:F,6,0),VLOOKUP(D233,'PL mapping Std'!A:F,6,0)))</f>
        <v/>
      </c>
      <c r="T233">
        <f>_xlfn.IF(B233&lt;6,IFERROR(VLOOKUP(E233,'BS Mapping std'!A:F,6,0),VLOOKUP(D233,'BS Mapping std'!A:F,6,0)),IFERROR(VLOOKUP(E233,'PL mapping Std'!A:G,7,0),VLOOKUP(D233,'PL mapping Std'!A:G,7,0)))</f>
        <v/>
      </c>
      <c r="V233">
        <f>IF(IF(A233="BS",IFERROR(VLOOKUP(TRIM($E233),'BS Mapping std'!$A:$H,8,0),VLOOKUP(TRIM($D233),'BS Mapping std'!$A:$H,8,0)),IFERROR(VLOOKUP(TRIM($E233),'PL mapping Std'!$A:$E,5,0),VLOOKUP(TRIM($D233),'PL mapping Std'!$A:$E,5,0)))=0,"",IF(A233="BS",IFERROR(VLOOKUP(TRIM($E233),'BS Mapping std'!$A:$H,8,0),VLOOKUP(TRIM($D233),'BS Mapping std'!$A:$H,8,0)),IFERROR(VLOOKUP(TRIM($E233),'PL mapping Std'!$A:$E,5,0),VLOOKUP(TRIM($D233),'PL mapping Std'!$A:$E,5,0))))</f>
        <v/>
      </c>
      <c r="W233">
        <f>_xlfn.IFERROR(VLOOKUP(E233,'F30 mapping'!A:D,4,0),VLOOKUP(D233,'F30 mapping'!A:D,4,0))</f>
        <v/>
      </c>
      <c r="X233">
        <f>IF(B233&lt;6,IFERROR(VLOOKUP(E233,'BS Mapping std'!A:M,13,0),VLOOKUP(D233,'BS Mapping std'!A:M,13,0)),0)</f>
        <v/>
      </c>
      <c r="Y233">
        <f>IF(B233&lt;6,IFERROR(VLOOKUP(E233,'BS Mapping std'!A:N,14,0),VLOOKUP(D233,'BS Mapping std'!A:N,14,0)),0)</f>
        <v/>
      </c>
    </row>
    <row r="234" spans="1:25">
      <c r="A234">
        <f>IF(B234&lt;6,"BS",IF(B234=6,"Exp","Rev"))</f>
        <v/>
      </c>
      <c r="B234">
        <f>_xlfn.NUMBERVALUE(LEFT(F234,1))</f>
        <v/>
      </c>
      <c r="C234">
        <f>Left(F234,2)</f>
        <v/>
      </c>
      <c r="D234">
        <f>Left(F234,3)</f>
        <v/>
      </c>
      <c r="E234">
        <f>IF(F234="121",Left(F234,3)&amp;"0",Left(F234,4))</f>
        <v/>
      </c>
      <c r="F234" t="n">
        <v>62400020</v>
      </c>
      <c r="G234" t="s">
        <v>253</v>
      </c>
      <c r="H234" s="9" t="n">
        <v>132026.92</v>
      </c>
      <c r="I234" s="9" t="n">
        <v>116612.03</v>
      </c>
      <c r="J234" s="9" t="n">
        <v>116612.03</v>
      </c>
      <c r="K234" s="9" t="n">
        <v>116612.03</v>
      </c>
      <c r="L234" s="9">
        <f>K234-H234</f>
        <v/>
      </c>
      <c r="M234" s="32">
        <f>IFERROR(L234/H234," ")</f>
        <v/>
      </c>
      <c r="N234">
        <f>IF(A234="BS",IFERROR(VLOOKUP(TRIM($E234),'BS Mapping std'!$A:$D,4,0),VLOOKUP(TRIM($D234),'BS Mapping std'!$A:$D,4,0)),IFERROR(VLOOKUP(TRIM($E234),'PL mapping Std'!$A:$D,4,0),VLOOKUP(TRIM($D234),'PL mapping Std'!$A:$D,4,0)))</f>
        <v/>
      </c>
      <c r="O234">
        <f>_xlfn.IFERROR(VLOOKUP(E234,'F30 mapping'!A:C,3,0),VLOOKUP(D234,'F30 mapping'!A:C,3,0))</f>
        <v/>
      </c>
      <c r="P234">
        <f>_xlfn.IFERROR(IFERROR(VLOOKUP(E234,'F40 mapping'!A:C,3,0),VLOOKUP(D234,'F40 mapping'!A:C,3,0)),0)</f>
        <v/>
      </c>
      <c r="Q234">
        <f>_xlfn.IFERROR(IFERROR(VLOOKUP(E234,'F40 mapping'!A:D,4,0),VLOOKUP(D234,'F40 mapping'!A:D,4,0)),0)</f>
        <v/>
      </c>
      <c r="R234">
        <f>_xlfn.IFERROR(IFERROR(VLOOKUP(E234,'F40 mapping'!A:E,5,0),VLOOKUP(D234,'F40 mapping'!A:E,5,0)),0)</f>
        <v/>
      </c>
      <c r="S234">
        <f>_xlfn.IF(B234&lt;6,IFERROR(VLOOKUP(E234,'BS Mapping std'!A:E,5,0),VLOOKUP(D234,'BS Mapping std'!A:E,5,0)),IFERROR(VLOOKUP(E234,'PL mapping Std'!A:F,6,0),VLOOKUP(D234,'PL mapping Std'!A:F,6,0)))</f>
        <v/>
      </c>
      <c r="T234">
        <f>_xlfn.IF(B234&lt;6,IFERROR(VLOOKUP(E234,'BS Mapping std'!A:F,6,0),VLOOKUP(D234,'BS Mapping std'!A:F,6,0)),IFERROR(VLOOKUP(E234,'PL mapping Std'!A:G,7,0),VLOOKUP(D234,'PL mapping Std'!A:G,7,0)))</f>
        <v/>
      </c>
      <c r="V234">
        <f>IF(IF(A234="BS",IFERROR(VLOOKUP(TRIM($E234),'BS Mapping std'!$A:$H,8,0),VLOOKUP(TRIM($D234),'BS Mapping std'!$A:$H,8,0)),IFERROR(VLOOKUP(TRIM($E234),'PL mapping Std'!$A:$E,5,0),VLOOKUP(TRIM($D234),'PL mapping Std'!$A:$E,5,0)))=0,"",IF(A234="BS",IFERROR(VLOOKUP(TRIM($E234),'BS Mapping std'!$A:$H,8,0),VLOOKUP(TRIM($D234),'BS Mapping std'!$A:$H,8,0)),IFERROR(VLOOKUP(TRIM($E234),'PL mapping Std'!$A:$E,5,0),VLOOKUP(TRIM($D234),'PL mapping Std'!$A:$E,5,0))))</f>
        <v/>
      </c>
      <c r="W234">
        <f>_xlfn.IFERROR(VLOOKUP(E234,'F30 mapping'!A:D,4,0),VLOOKUP(D234,'F30 mapping'!A:D,4,0))</f>
        <v/>
      </c>
      <c r="X234">
        <f>IF(B234&lt;6,IFERROR(VLOOKUP(E234,'BS Mapping std'!A:M,13,0),VLOOKUP(D234,'BS Mapping std'!A:M,13,0)),0)</f>
        <v/>
      </c>
      <c r="Y234">
        <f>IF(B234&lt;6,IFERROR(VLOOKUP(E234,'BS Mapping std'!A:N,14,0),VLOOKUP(D234,'BS Mapping std'!A:N,14,0)),0)</f>
        <v/>
      </c>
    </row>
    <row r="235" spans="1:25">
      <c r="A235">
        <f>IF(B235&lt;6,"BS",IF(B235=6,"Exp","Rev"))</f>
        <v/>
      </c>
      <c r="B235">
        <f>_xlfn.NUMBERVALUE(LEFT(F235,1))</f>
        <v/>
      </c>
      <c r="C235">
        <f>Left(F235,2)</f>
        <v/>
      </c>
      <c r="D235">
        <f>Left(F235,3)</f>
        <v/>
      </c>
      <c r="E235">
        <f>IF(F235="121",Left(F235,3)&amp;"0",Left(F235,4))</f>
        <v/>
      </c>
      <c r="F235" t="n">
        <v>62400021</v>
      </c>
      <c r="G235" t="s">
        <v>254</v>
      </c>
      <c r="H235" s="9" t="n">
        <v>1316660.72</v>
      </c>
      <c r="I235" s="9" t="n">
        <v>1436585.61</v>
      </c>
      <c r="J235" s="9" t="n">
        <v>1436585.61</v>
      </c>
      <c r="K235" s="9" t="n">
        <v>1436585.61</v>
      </c>
      <c r="L235" s="9">
        <f>K235-H235</f>
        <v/>
      </c>
      <c r="M235" s="32">
        <f>IFERROR(L235/H235," ")</f>
        <v/>
      </c>
      <c r="N235">
        <f>IF(A235="BS",IFERROR(VLOOKUP(TRIM($E235),'BS Mapping std'!$A:$D,4,0),VLOOKUP(TRIM($D235),'BS Mapping std'!$A:$D,4,0)),IFERROR(VLOOKUP(TRIM($E235),'PL mapping Std'!$A:$D,4,0),VLOOKUP(TRIM($D235),'PL mapping Std'!$A:$D,4,0)))</f>
        <v/>
      </c>
      <c r="O235">
        <f>_xlfn.IFERROR(VLOOKUP(E235,'F30 mapping'!A:C,3,0),VLOOKUP(D235,'F30 mapping'!A:C,3,0))</f>
        <v/>
      </c>
      <c r="P235">
        <f>_xlfn.IFERROR(IFERROR(VLOOKUP(E235,'F40 mapping'!A:C,3,0),VLOOKUP(D235,'F40 mapping'!A:C,3,0)),0)</f>
        <v/>
      </c>
      <c r="Q235">
        <f>_xlfn.IFERROR(IFERROR(VLOOKUP(E235,'F40 mapping'!A:D,4,0),VLOOKUP(D235,'F40 mapping'!A:D,4,0)),0)</f>
        <v/>
      </c>
      <c r="R235">
        <f>_xlfn.IFERROR(IFERROR(VLOOKUP(E235,'F40 mapping'!A:E,5,0),VLOOKUP(D235,'F40 mapping'!A:E,5,0)),0)</f>
        <v/>
      </c>
      <c r="S235">
        <f>_xlfn.IF(B235&lt;6,IFERROR(VLOOKUP(E235,'BS Mapping std'!A:E,5,0),VLOOKUP(D235,'BS Mapping std'!A:E,5,0)),IFERROR(VLOOKUP(E235,'PL mapping Std'!A:F,6,0),VLOOKUP(D235,'PL mapping Std'!A:F,6,0)))</f>
        <v/>
      </c>
      <c r="T235">
        <f>_xlfn.IF(B235&lt;6,IFERROR(VLOOKUP(E235,'BS Mapping std'!A:F,6,0),VLOOKUP(D235,'BS Mapping std'!A:F,6,0)),IFERROR(VLOOKUP(E235,'PL mapping Std'!A:G,7,0),VLOOKUP(D235,'PL mapping Std'!A:G,7,0)))</f>
        <v/>
      </c>
      <c r="V235">
        <f>IF(IF(A235="BS",IFERROR(VLOOKUP(TRIM($E235),'BS Mapping std'!$A:$H,8,0),VLOOKUP(TRIM($D235),'BS Mapping std'!$A:$H,8,0)),IFERROR(VLOOKUP(TRIM($E235),'PL mapping Std'!$A:$E,5,0),VLOOKUP(TRIM($D235),'PL mapping Std'!$A:$E,5,0)))=0,"",IF(A235="BS",IFERROR(VLOOKUP(TRIM($E235),'BS Mapping std'!$A:$H,8,0),VLOOKUP(TRIM($D235),'BS Mapping std'!$A:$H,8,0)),IFERROR(VLOOKUP(TRIM($E235),'PL mapping Std'!$A:$E,5,0),VLOOKUP(TRIM($D235),'PL mapping Std'!$A:$E,5,0))))</f>
        <v/>
      </c>
      <c r="W235">
        <f>_xlfn.IFERROR(VLOOKUP(E235,'F30 mapping'!A:D,4,0),VLOOKUP(D235,'F30 mapping'!A:D,4,0))</f>
        <v/>
      </c>
      <c r="X235">
        <f>IF(B235&lt;6,IFERROR(VLOOKUP(E235,'BS Mapping std'!A:M,13,0),VLOOKUP(D235,'BS Mapping std'!A:M,13,0)),0)</f>
        <v/>
      </c>
      <c r="Y235">
        <f>IF(B235&lt;6,IFERROR(VLOOKUP(E235,'BS Mapping std'!A:N,14,0),VLOOKUP(D235,'BS Mapping std'!A:N,14,0)),0)</f>
        <v/>
      </c>
    </row>
    <row r="236" spans="1:25">
      <c r="A236">
        <f>IF(B236&lt;6,"BS",IF(B236=6,"Exp","Rev"))</f>
        <v/>
      </c>
      <c r="B236">
        <f>_xlfn.NUMBERVALUE(LEFT(F236,1))</f>
        <v/>
      </c>
      <c r="C236">
        <f>Left(F236,2)</f>
        <v/>
      </c>
      <c r="D236">
        <f>Left(F236,3)</f>
        <v/>
      </c>
      <c r="E236">
        <f>IF(F236="121",Left(F236,3)&amp;"0",Left(F236,4))</f>
        <v/>
      </c>
      <c r="F236" t="n">
        <v>62400022</v>
      </c>
      <c r="G236" t="s">
        <v>255</v>
      </c>
      <c r="H236" s="9" t="n">
        <v>437228.62</v>
      </c>
      <c r="I236" s="9" t="n">
        <v>473953.61</v>
      </c>
      <c r="J236" s="9" t="n">
        <v>473953.61</v>
      </c>
      <c r="K236" s="9" t="n">
        <v>473953.61</v>
      </c>
      <c r="L236" s="9">
        <f>K236-H236</f>
        <v/>
      </c>
      <c r="M236" s="32">
        <f>IFERROR(L236/H236," ")</f>
        <v/>
      </c>
      <c r="N236">
        <f>IF(A236="BS",IFERROR(VLOOKUP(TRIM($E236),'BS Mapping std'!$A:$D,4,0),VLOOKUP(TRIM($D236),'BS Mapping std'!$A:$D,4,0)),IFERROR(VLOOKUP(TRIM($E236),'PL mapping Std'!$A:$D,4,0),VLOOKUP(TRIM($D236),'PL mapping Std'!$A:$D,4,0)))</f>
        <v/>
      </c>
      <c r="O236">
        <f>_xlfn.IFERROR(VLOOKUP(E236,'F30 mapping'!A:C,3,0),VLOOKUP(D236,'F30 mapping'!A:C,3,0))</f>
        <v/>
      </c>
      <c r="P236">
        <f>_xlfn.IFERROR(IFERROR(VLOOKUP(E236,'F40 mapping'!A:C,3,0),VLOOKUP(D236,'F40 mapping'!A:C,3,0)),0)</f>
        <v/>
      </c>
      <c r="Q236">
        <f>_xlfn.IFERROR(IFERROR(VLOOKUP(E236,'F40 mapping'!A:D,4,0),VLOOKUP(D236,'F40 mapping'!A:D,4,0)),0)</f>
        <v/>
      </c>
      <c r="R236">
        <f>_xlfn.IFERROR(IFERROR(VLOOKUP(E236,'F40 mapping'!A:E,5,0),VLOOKUP(D236,'F40 mapping'!A:E,5,0)),0)</f>
        <v/>
      </c>
      <c r="S236">
        <f>_xlfn.IF(B236&lt;6,IFERROR(VLOOKUP(E236,'BS Mapping std'!A:E,5,0),VLOOKUP(D236,'BS Mapping std'!A:E,5,0)),IFERROR(VLOOKUP(E236,'PL mapping Std'!A:F,6,0),VLOOKUP(D236,'PL mapping Std'!A:F,6,0)))</f>
        <v/>
      </c>
      <c r="T236">
        <f>_xlfn.IF(B236&lt;6,IFERROR(VLOOKUP(E236,'BS Mapping std'!A:F,6,0),VLOOKUP(D236,'BS Mapping std'!A:F,6,0)),IFERROR(VLOOKUP(E236,'PL mapping Std'!A:G,7,0),VLOOKUP(D236,'PL mapping Std'!A:G,7,0)))</f>
        <v/>
      </c>
      <c r="V236">
        <f>IF(IF(A236="BS",IFERROR(VLOOKUP(TRIM($E236),'BS Mapping std'!$A:$H,8,0),VLOOKUP(TRIM($D236),'BS Mapping std'!$A:$H,8,0)),IFERROR(VLOOKUP(TRIM($E236),'PL mapping Std'!$A:$E,5,0),VLOOKUP(TRIM($D236),'PL mapping Std'!$A:$E,5,0)))=0,"",IF(A236="BS",IFERROR(VLOOKUP(TRIM($E236),'BS Mapping std'!$A:$H,8,0),VLOOKUP(TRIM($D236),'BS Mapping std'!$A:$H,8,0)),IFERROR(VLOOKUP(TRIM($E236),'PL mapping Std'!$A:$E,5,0),VLOOKUP(TRIM($D236),'PL mapping Std'!$A:$E,5,0))))</f>
        <v/>
      </c>
      <c r="W236">
        <f>_xlfn.IFERROR(VLOOKUP(E236,'F30 mapping'!A:D,4,0),VLOOKUP(D236,'F30 mapping'!A:D,4,0))</f>
        <v/>
      </c>
      <c r="X236">
        <f>IF(B236&lt;6,IFERROR(VLOOKUP(E236,'BS Mapping std'!A:M,13,0),VLOOKUP(D236,'BS Mapping std'!A:M,13,0)),0)</f>
        <v/>
      </c>
      <c r="Y236">
        <f>IF(B236&lt;6,IFERROR(VLOOKUP(E236,'BS Mapping std'!A:N,14,0),VLOOKUP(D236,'BS Mapping std'!A:N,14,0)),0)</f>
        <v/>
      </c>
    </row>
    <row r="237" spans="1:25">
      <c r="A237">
        <f>IF(B237&lt;6,"BS",IF(B237=6,"Exp","Rev"))</f>
        <v/>
      </c>
      <c r="B237">
        <f>_xlfn.NUMBERVALUE(LEFT(F237,1))</f>
        <v/>
      </c>
      <c r="C237">
        <f>Left(F237,2)</f>
        <v/>
      </c>
      <c r="D237">
        <f>Left(F237,3)</f>
        <v/>
      </c>
      <c r="E237">
        <f>IF(F237="121",Left(F237,3)&amp;"0",Left(F237,4))</f>
        <v/>
      </c>
      <c r="F237" t="n">
        <v>62400024</v>
      </c>
      <c r="G237" t="s">
        <v>256</v>
      </c>
      <c r="H237" s="9" t="n">
        <v>0</v>
      </c>
      <c r="I237" s="9" t="n">
        <v>3956.72</v>
      </c>
      <c r="J237" s="9" t="n">
        <v>3956.72</v>
      </c>
      <c r="K237" s="9" t="n">
        <v>3956.72</v>
      </c>
      <c r="L237" s="9">
        <f>K237-H237</f>
        <v/>
      </c>
      <c r="M237" s="32">
        <f>IFERROR(L237/H237," ")</f>
        <v/>
      </c>
      <c r="N237">
        <f>IF(A237="BS",IFERROR(VLOOKUP(TRIM($E237),'BS Mapping std'!$A:$D,4,0),VLOOKUP(TRIM($D237),'BS Mapping std'!$A:$D,4,0)),IFERROR(VLOOKUP(TRIM($E237),'PL mapping Std'!$A:$D,4,0),VLOOKUP(TRIM($D237),'PL mapping Std'!$A:$D,4,0)))</f>
        <v/>
      </c>
      <c r="O237">
        <f>_xlfn.IFERROR(VLOOKUP(E237,'F30 mapping'!A:C,3,0),VLOOKUP(D237,'F30 mapping'!A:C,3,0))</f>
        <v/>
      </c>
      <c r="P237">
        <f>_xlfn.IFERROR(IFERROR(VLOOKUP(E237,'F40 mapping'!A:C,3,0),VLOOKUP(D237,'F40 mapping'!A:C,3,0)),0)</f>
        <v/>
      </c>
      <c r="Q237">
        <f>_xlfn.IFERROR(IFERROR(VLOOKUP(E237,'F40 mapping'!A:D,4,0),VLOOKUP(D237,'F40 mapping'!A:D,4,0)),0)</f>
        <v/>
      </c>
      <c r="R237">
        <f>_xlfn.IFERROR(IFERROR(VLOOKUP(E237,'F40 mapping'!A:E,5,0),VLOOKUP(D237,'F40 mapping'!A:E,5,0)),0)</f>
        <v/>
      </c>
      <c r="S237">
        <f>_xlfn.IF(B237&lt;6,IFERROR(VLOOKUP(E237,'BS Mapping std'!A:E,5,0),VLOOKUP(D237,'BS Mapping std'!A:E,5,0)),IFERROR(VLOOKUP(E237,'PL mapping Std'!A:F,6,0),VLOOKUP(D237,'PL mapping Std'!A:F,6,0)))</f>
        <v/>
      </c>
      <c r="T237">
        <f>_xlfn.IF(B237&lt;6,IFERROR(VLOOKUP(E237,'BS Mapping std'!A:F,6,0),VLOOKUP(D237,'BS Mapping std'!A:F,6,0)),IFERROR(VLOOKUP(E237,'PL mapping Std'!A:G,7,0),VLOOKUP(D237,'PL mapping Std'!A:G,7,0)))</f>
        <v/>
      </c>
      <c r="V237">
        <f>IF(IF(A237="BS",IFERROR(VLOOKUP(TRIM($E237),'BS Mapping std'!$A:$H,8,0),VLOOKUP(TRIM($D237),'BS Mapping std'!$A:$H,8,0)),IFERROR(VLOOKUP(TRIM($E237),'PL mapping Std'!$A:$E,5,0),VLOOKUP(TRIM($D237),'PL mapping Std'!$A:$E,5,0)))=0,"",IF(A237="BS",IFERROR(VLOOKUP(TRIM($E237),'BS Mapping std'!$A:$H,8,0),VLOOKUP(TRIM($D237),'BS Mapping std'!$A:$H,8,0)),IFERROR(VLOOKUP(TRIM($E237),'PL mapping Std'!$A:$E,5,0),VLOOKUP(TRIM($D237),'PL mapping Std'!$A:$E,5,0))))</f>
        <v/>
      </c>
      <c r="W237">
        <f>_xlfn.IFERROR(VLOOKUP(E237,'F30 mapping'!A:D,4,0),VLOOKUP(D237,'F30 mapping'!A:D,4,0))</f>
        <v/>
      </c>
      <c r="X237">
        <f>IF(B237&lt;6,IFERROR(VLOOKUP(E237,'BS Mapping std'!A:M,13,0),VLOOKUP(D237,'BS Mapping std'!A:M,13,0)),0)</f>
        <v/>
      </c>
      <c r="Y237">
        <f>IF(B237&lt;6,IFERROR(VLOOKUP(E237,'BS Mapping std'!A:N,14,0),VLOOKUP(D237,'BS Mapping std'!A:N,14,0)),0)</f>
        <v/>
      </c>
    </row>
    <row r="238" spans="1:25">
      <c r="A238">
        <f>IF(B238&lt;6,"BS",IF(B238=6,"Exp","Rev"))</f>
        <v/>
      </c>
      <c r="B238">
        <f>_xlfn.NUMBERVALUE(LEFT(F238,1))</f>
        <v/>
      </c>
      <c r="C238">
        <f>Left(F238,2)</f>
        <v/>
      </c>
      <c r="D238">
        <f>Left(F238,3)</f>
        <v/>
      </c>
      <c r="E238">
        <f>IF(F238="121",Left(F238,3)&amp;"0",Left(F238,4))</f>
        <v/>
      </c>
      <c r="F238" t="n">
        <v>62400060</v>
      </c>
      <c r="G238" t="s">
        <v>257</v>
      </c>
      <c r="H238" s="9" t="n">
        <v>1185592.91</v>
      </c>
      <c r="I238" s="9" t="n">
        <v>1634629.23</v>
      </c>
      <c r="J238" s="9" t="n">
        <v>1634629.23</v>
      </c>
      <c r="K238" s="9" t="n">
        <v>1634629.23</v>
      </c>
      <c r="L238" s="9">
        <f>K238-H238</f>
        <v/>
      </c>
      <c r="M238" s="32">
        <f>IFERROR(L238/H238," ")</f>
        <v/>
      </c>
      <c r="N238">
        <f>IF(A238="BS",IFERROR(VLOOKUP(TRIM($E238),'BS Mapping std'!$A:$D,4,0),VLOOKUP(TRIM($D238),'BS Mapping std'!$A:$D,4,0)),IFERROR(VLOOKUP(TRIM($E238),'PL mapping Std'!$A:$D,4,0),VLOOKUP(TRIM($D238),'PL mapping Std'!$A:$D,4,0)))</f>
        <v/>
      </c>
      <c r="O238">
        <f>_xlfn.IFERROR(VLOOKUP(E238,'F30 mapping'!A:C,3,0),VLOOKUP(D238,'F30 mapping'!A:C,3,0))</f>
        <v/>
      </c>
      <c r="P238">
        <f>_xlfn.IFERROR(IFERROR(VLOOKUP(E238,'F40 mapping'!A:C,3,0),VLOOKUP(D238,'F40 mapping'!A:C,3,0)),0)</f>
        <v/>
      </c>
      <c r="Q238">
        <f>_xlfn.IFERROR(IFERROR(VLOOKUP(E238,'F40 mapping'!A:D,4,0),VLOOKUP(D238,'F40 mapping'!A:D,4,0)),0)</f>
        <v/>
      </c>
      <c r="R238">
        <f>_xlfn.IFERROR(IFERROR(VLOOKUP(E238,'F40 mapping'!A:E,5,0),VLOOKUP(D238,'F40 mapping'!A:E,5,0)),0)</f>
        <v/>
      </c>
      <c r="S238">
        <f>_xlfn.IF(B238&lt;6,IFERROR(VLOOKUP(E238,'BS Mapping std'!A:E,5,0),VLOOKUP(D238,'BS Mapping std'!A:E,5,0)),IFERROR(VLOOKUP(E238,'PL mapping Std'!A:F,6,0),VLOOKUP(D238,'PL mapping Std'!A:F,6,0)))</f>
        <v/>
      </c>
      <c r="T238">
        <f>_xlfn.IF(B238&lt;6,IFERROR(VLOOKUP(E238,'BS Mapping std'!A:F,6,0),VLOOKUP(D238,'BS Mapping std'!A:F,6,0)),IFERROR(VLOOKUP(E238,'PL mapping Std'!A:G,7,0),VLOOKUP(D238,'PL mapping Std'!A:G,7,0)))</f>
        <v/>
      </c>
      <c r="V238">
        <f>IF(IF(A238="BS",IFERROR(VLOOKUP(TRIM($E238),'BS Mapping std'!$A:$H,8,0),VLOOKUP(TRIM($D238),'BS Mapping std'!$A:$H,8,0)),IFERROR(VLOOKUP(TRIM($E238),'PL mapping Std'!$A:$E,5,0),VLOOKUP(TRIM($D238),'PL mapping Std'!$A:$E,5,0)))=0,"",IF(A238="BS",IFERROR(VLOOKUP(TRIM($E238),'BS Mapping std'!$A:$H,8,0),VLOOKUP(TRIM($D238),'BS Mapping std'!$A:$H,8,0)),IFERROR(VLOOKUP(TRIM($E238),'PL mapping Std'!$A:$E,5,0),VLOOKUP(TRIM($D238),'PL mapping Std'!$A:$E,5,0))))</f>
        <v/>
      </c>
      <c r="W238">
        <f>_xlfn.IFERROR(VLOOKUP(E238,'F30 mapping'!A:D,4,0),VLOOKUP(D238,'F30 mapping'!A:D,4,0))</f>
        <v/>
      </c>
      <c r="X238">
        <f>IF(B238&lt;6,IFERROR(VLOOKUP(E238,'BS Mapping std'!A:M,13,0),VLOOKUP(D238,'BS Mapping std'!A:M,13,0)),0)</f>
        <v/>
      </c>
      <c r="Y238">
        <f>IF(B238&lt;6,IFERROR(VLOOKUP(E238,'BS Mapping std'!A:N,14,0),VLOOKUP(D238,'BS Mapping std'!A:N,14,0)),0)</f>
        <v/>
      </c>
    </row>
    <row r="239" spans="1:25">
      <c r="A239">
        <f>IF(B239&lt;6,"BS",IF(B239=6,"Exp","Rev"))</f>
        <v/>
      </c>
      <c r="B239">
        <f>_xlfn.NUMBERVALUE(LEFT(F239,1))</f>
        <v/>
      </c>
      <c r="C239">
        <f>Left(F239,2)</f>
        <v/>
      </c>
      <c r="D239">
        <f>Left(F239,3)</f>
        <v/>
      </c>
      <c r="E239">
        <f>IF(F239="121",Left(F239,3)&amp;"0",Left(F239,4))</f>
        <v/>
      </c>
      <c r="F239" t="n">
        <v>62500010</v>
      </c>
      <c r="G239" t="s">
        <v>258</v>
      </c>
      <c r="H239" s="9" t="n">
        <v>25939.1</v>
      </c>
      <c r="I239" s="9" t="n">
        <v>33163.56</v>
      </c>
      <c r="J239" s="9" t="n">
        <v>33163.56</v>
      </c>
      <c r="K239" s="9" t="n">
        <v>33163.56</v>
      </c>
      <c r="L239" s="9">
        <f>K239-H239</f>
        <v/>
      </c>
      <c r="M239" s="32">
        <f>IFERROR(L239/H239," ")</f>
        <v/>
      </c>
      <c r="N239">
        <f>IF(A239="BS",IFERROR(VLOOKUP(TRIM($E239),'BS Mapping std'!$A:$D,4,0),VLOOKUP(TRIM($D239),'BS Mapping std'!$A:$D,4,0)),IFERROR(VLOOKUP(TRIM($E239),'PL mapping Std'!$A:$D,4,0),VLOOKUP(TRIM($D239),'PL mapping Std'!$A:$D,4,0)))</f>
        <v/>
      </c>
      <c r="O239">
        <f>_xlfn.IFERROR(VLOOKUP(E239,'F30 mapping'!A:C,3,0),VLOOKUP(D239,'F30 mapping'!A:C,3,0))</f>
        <v/>
      </c>
      <c r="P239">
        <f>_xlfn.IFERROR(IFERROR(VLOOKUP(E239,'F40 mapping'!A:C,3,0),VLOOKUP(D239,'F40 mapping'!A:C,3,0)),0)</f>
        <v/>
      </c>
      <c r="Q239">
        <f>_xlfn.IFERROR(IFERROR(VLOOKUP(E239,'F40 mapping'!A:D,4,0),VLOOKUP(D239,'F40 mapping'!A:D,4,0)),0)</f>
        <v/>
      </c>
      <c r="R239">
        <f>_xlfn.IFERROR(IFERROR(VLOOKUP(E239,'F40 mapping'!A:E,5,0),VLOOKUP(D239,'F40 mapping'!A:E,5,0)),0)</f>
        <v/>
      </c>
      <c r="S239">
        <f>_xlfn.IF(B239&lt;6,IFERROR(VLOOKUP(E239,'BS Mapping std'!A:E,5,0),VLOOKUP(D239,'BS Mapping std'!A:E,5,0)),IFERROR(VLOOKUP(E239,'PL mapping Std'!A:F,6,0),VLOOKUP(D239,'PL mapping Std'!A:F,6,0)))</f>
        <v/>
      </c>
      <c r="T239">
        <f>_xlfn.IF(B239&lt;6,IFERROR(VLOOKUP(E239,'BS Mapping std'!A:F,6,0),VLOOKUP(D239,'BS Mapping std'!A:F,6,0)),IFERROR(VLOOKUP(E239,'PL mapping Std'!A:G,7,0),VLOOKUP(D239,'PL mapping Std'!A:G,7,0)))</f>
        <v/>
      </c>
      <c r="V239">
        <f>IF(IF(A239="BS",IFERROR(VLOOKUP(TRIM($E239),'BS Mapping std'!$A:$H,8,0),VLOOKUP(TRIM($D239),'BS Mapping std'!$A:$H,8,0)),IFERROR(VLOOKUP(TRIM($E239),'PL mapping Std'!$A:$E,5,0),VLOOKUP(TRIM($D239),'PL mapping Std'!$A:$E,5,0)))=0,"",IF(A239="BS",IFERROR(VLOOKUP(TRIM($E239),'BS Mapping std'!$A:$H,8,0),VLOOKUP(TRIM($D239),'BS Mapping std'!$A:$H,8,0)),IFERROR(VLOOKUP(TRIM($E239),'PL mapping Std'!$A:$E,5,0),VLOOKUP(TRIM($D239),'PL mapping Std'!$A:$E,5,0))))</f>
        <v/>
      </c>
      <c r="W239">
        <f>_xlfn.IFERROR(VLOOKUP(E239,'F30 mapping'!A:D,4,0),VLOOKUP(D239,'F30 mapping'!A:D,4,0))</f>
        <v/>
      </c>
      <c r="X239">
        <f>IF(B239&lt;6,IFERROR(VLOOKUP(E239,'BS Mapping std'!A:M,13,0),VLOOKUP(D239,'BS Mapping std'!A:M,13,0)),0)</f>
        <v/>
      </c>
      <c r="Y239">
        <f>IF(B239&lt;6,IFERROR(VLOOKUP(E239,'BS Mapping std'!A:N,14,0),VLOOKUP(D239,'BS Mapping std'!A:N,14,0)),0)</f>
        <v/>
      </c>
    </row>
    <row r="240" spans="1:25">
      <c r="A240">
        <f>IF(B240&lt;6,"BS",IF(B240=6,"Exp","Rev"))</f>
        <v/>
      </c>
      <c r="B240">
        <f>_xlfn.NUMBERVALUE(LEFT(F240,1))</f>
        <v/>
      </c>
      <c r="C240">
        <f>Left(F240,2)</f>
        <v/>
      </c>
      <c r="D240">
        <f>Left(F240,3)</f>
        <v/>
      </c>
      <c r="E240">
        <f>IF(F240="121",Left(F240,3)&amp;"0",Left(F240,4))</f>
        <v/>
      </c>
      <c r="F240" t="n">
        <v>62500020</v>
      </c>
      <c r="G240" t="s">
        <v>259</v>
      </c>
      <c r="H240" s="9" t="n">
        <v>31616.56</v>
      </c>
      <c r="I240" s="9" t="n">
        <v>59168.21</v>
      </c>
      <c r="J240" s="9" t="n">
        <v>59168.21</v>
      </c>
      <c r="K240" s="9" t="n">
        <v>59168.21</v>
      </c>
      <c r="L240" s="9">
        <f>K240-H240</f>
        <v/>
      </c>
      <c r="M240" s="32">
        <f>IFERROR(L240/H240," ")</f>
        <v/>
      </c>
      <c r="N240">
        <f>IF(A240="BS",IFERROR(VLOOKUP(TRIM($E240),'BS Mapping std'!$A:$D,4,0),VLOOKUP(TRIM($D240),'BS Mapping std'!$A:$D,4,0)),IFERROR(VLOOKUP(TRIM($E240),'PL mapping Std'!$A:$D,4,0),VLOOKUP(TRIM($D240),'PL mapping Std'!$A:$D,4,0)))</f>
        <v/>
      </c>
      <c r="O240">
        <f>_xlfn.IFERROR(VLOOKUP(E240,'F30 mapping'!A:C,3,0),VLOOKUP(D240,'F30 mapping'!A:C,3,0))</f>
        <v/>
      </c>
      <c r="P240">
        <f>_xlfn.IFERROR(IFERROR(VLOOKUP(E240,'F40 mapping'!A:C,3,0),VLOOKUP(D240,'F40 mapping'!A:C,3,0)),0)</f>
        <v/>
      </c>
      <c r="Q240">
        <f>_xlfn.IFERROR(IFERROR(VLOOKUP(E240,'F40 mapping'!A:D,4,0),VLOOKUP(D240,'F40 mapping'!A:D,4,0)),0)</f>
        <v/>
      </c>
      <c r="R240">
        <f>_xlfn.IFERROR(IFERROR(VLOOKUP(E240,'F40 mapping'!A:E,5,0),VLOOKUP(D240,'F40 mapping'!A:E,5,0)),0)</f>
        <v/>
      </c>
      <c r="S240">
        <f>_xlfn.IF(B240&lt;6,IFERROR(VLOOKUP(E240,'BS Mapping std'!A:E,5,0),VLOOKUP(D240,'BS Mapping std'!A:E,5,0)),IFERROR(VLOOKUP(E240,'PL mapping Std'!A:F,6,0),VLOOKUP(D240,'PL mapping Std'!A:F,6,0)))</f>
        <v/>
      </c>
      <c r="T240">
        <f>_xlfn.IF(B240&lt;6,IFERROR(VLOOKUP(E240,'BS Mapping std'!A:F,6,0),VLOOKUP(D240,'BS Mapping std'!A:F,6,0)),IFERROR(VLOOKUP(E240,'PL mapping Std'!A:G,7,0),VLOOKUP(D240,'PL mapping Std'!A:G,7,0)))</f>
        <v/>
      </c>
      <c r="V240">
        <f>IF(IF(A240="BS",IFERROR(VLOOKUP(TRIM($E240),'BS Mapping std'!$A:$H,8,0),VLOOKUP(TRIM($D240),'BS Mapping std'!$A:$H,8,0)),IFERROR(VLOOKUP(TRIM($E240),'PL mapping Std'!$A:$E,5,0),VLOOKUP(TRIM($D240),'PL mapping Std'!$A:$E,5,0)))=0,"",IF(A240="BS",IFERROR(VLOOKUP(TRIM($E240),'BS Mapping std'!$A:$H,8,0),VLOOKUP(TRIM($D240),'BS Mapping std'!$A:$H,8,0)),IFERROR(VLOOKUP(TRIM($E240),'PL mapping Std'!$A:$E,5,0),VLOOKUP(TRIM($D240),'PL mapping Std'!$A:$E,5,0))))</f>
        <v/>
      </c>
      <c r="W240">
        <f>_xlfn.IFERROR(VLOOKUP(E240,'F30 mapping'!A:D,4,0),VLOOKUP(D240,'F30 mapping'!A:D,4,0))</f>
        <v/>
      </c>
      <c r="X240">
        <f>IF(B240&lt;6,IFERROR(VLOOKUP(E240,'BS Mapping std'!A:M,13,0),VLOOKUP(D240,'BS Mapping std'!A:M,13,0)),0)</f>
        <v/>
      </c>
      <c r="Y240">
        <f>IF(B240&lt;6,IFERROR(VLOOKUP(E240,'BS Mapping std'!A:N,14,0),VLOOKUP(D240,'BS Mapping std'!A:N,14,0)),0)</f>
        <v/>
      </c>
    </row>
    <row r="241" spans="1:25">
      <c r="A241">
        <f>IF(B241&lt;6,"BS",IF(B241=6,"Exp","Rev"))</f>
        <v/>
      </c>
      <c r="B241">
        <f>_xlfn.NUMBERVALUE(LEFT(F241,1))</f>
        <v/>
      </c>
      <c r="C241">
        <f>Left(F241,2)</f>
        <v/>
      </c>
      <c r="D241">
        <f>Left(F241,3)</f>
        <v/>
      </c>
      <c r="E241">
        <f>IF(F241="121",Left(F241,3)&amp;"0",Left(F241,4))</f>
        <v/>
      </c>
      <c r="F241" t="n">
        <v>62500040</v>
      </c>
      <c r="G241" t="s">
        <v>260</v>
      </c>
      <c r="H241" s="9" t="n">
        <v>858</v>
      </c>
      <c r="I241" s="9" t="n">
        <v>16186.42</v>
      </c>
      <c r="J241" s="9" t="n">
        <v>16186.42</v>
      </c>
      <c r="K241" s="9" t="n">
        <v>16186.42</v>
      </c>
      <c r="L241" s="9">
        <f>K241-H241</f>
        <v/>
      </c>
      <c r="M241" s="32">
        <f>IFERROR(L241/H241," ")</f>
        <v/>
      </c>
      <c r="N241">
        <f>IF(A241="BS",IFERROR(VLOOKUP(TRIM($E241),'BS Mapping std'!$A:$D,4,0),VLOOKUP(TRIM($D241),'BS Mapping std'!$A:$D,4,0)),IFERROR(VLOOKUP(TRIM($E241),'PL mapping Std'!$A:$D,4,0),VLOOKUP(TRIM($D241),'PL mapping Std'!$A:$D,4,0)))</f>
        <v/>
      </c>
      <c r="O241">
        <f>_xlfn.IFERROR(VLOOKUP(E241,'F30 mapping'!A:C,3,0),VLOOKUP(D241,'F30 mapping'!A:C,3,0))</f>
        <v/>
      </c>
      <c r="P241">
        <f>_xlfn.IFERROR(IFERROR(VLOOKUP(E241,'F40 mapping'!A:C,3,0),VLOOKUP(D241,'F40 mapping'!A:C,3,0)),0)</f>
        <v/>
      </c>
      <c r="Q241">
        <f>_xlfn.IFERROR(IFERROR(VLOOKUP(E241,'F40 mapping'!A:D,4,0),VLOOKUP(D241,'F40 mapping'!A:D,4,0)),0)</f>
        <v/>
      </c>
      <c r="R241">
        <f>_xlfn.IFERROR(IFERROR(VLOOKUP(E241,'F40 mapping'!A:E,5,0),VLOOKUP(D241,'F40 mapping'!A:E,5,0)),0)</f>
        <v/>
      </c>
      <c r="S241">
        <f>_xlfn.IF(B241&lt;6,IFERROR(VLOOKUP(E241,'BS Mapping std'!A:E,5,0),VLOOKUP(D241,'BS Mapping std'!A:E,5,0)),IFERROR(VLOOKUP(E241,'PL mapping Std'!A:F,6,0),VLOOKUP(D241,'PL mapping Std'!A:F,6,0)))</f>
        <v/>
      </c>
      <c r="T241">
        <f>_xlfn.IF(B241&lt;6,IFERROR(VLOOKUP(E241,'BS Mapping std'!A:F,6,0),VLOOKUP(D241,'BS Mapping std'!A:F,6,0)),IFERROR(VLOOKUP(E241,'PL mapping Std'!A:G,7,0),VLOOKUP(D241,'PL mapping Std'!A:G,7,0)))</f>
        <v/>
      </c>
      <c r="V241">
        <f>IF(IF(A241="BS",IFERROR(VLOOKUP(TRIM($E241),'BS Mapping std'!$A:$H,8,0),VLOOKUP(TRIM($D241),'BS Mapping std'!$A:$H,8,0)),IFERROR(VLOOKUP(TRIM($E241),'PL mapping Std'!$A:$E,5,0),VLOOKUP(TRIM($D241),'PL mapping Std'!$A:$E,5,0)))=0,"",IF(A241="BS",IFERROR(VLOOKUP(TRIM($E241),'BS Mapping std'!$A:$H,8,0),VLOOKUP(TRIM($D241),'BS Mapping std'!$A:$H,8,0)),IFERROR(VLOOKUP(TRIM($E241),'PL mapping Std'!$A:$E,5,0),VLOOKUP(TRIM($D241),'PL mapping Std'!$A:$E,5,0))))</f>
        <v/>
      </c>
      <c r="W241">
        <f>_xlfn.IFERROR(VLOOKUP(E241,'F30 mapping'!A:D,4,0),VLOOKUP(D241,'F30 mapping'!A:D,4,0))</f>
        <v/>
      </c>
      <c r="X241">
        <f>IF(B241&lt;6,IFERROR(VLOOKUP(E241,'BS Mapping std'!A:M,13,0),VLOOKUP(D241,'BS Mapping std'!A:M,13,0)),0)</f>
        <v/>
      </c>
      <c r="Y241">
        <f>IF(B241&lt;6,IFERROR(VLOOKUP(E241,'BS Mapping std'!A:N,14,0),VLOOKUP(D241,'BS Mapping std'!A:N,14,0)),0)</f>
        <v/>
      </c>
    </row>
    <row r="242" spans="1:25">
      <c r="A242">
        <f>IF(B242&lt;6,"BS",IF(B242=6,"Exp","Rev"))</f>
        <v/>
      </c>
      <c r="B242">
        <f>_xlfn.NUMBERVALUE(LEFT(F242,1))</f>
        <v/>
      </c>
      <c r="C242">
        <f>Left(F242,2)</f>
        <v/>
      </c>
      <c r="D242">
        <f>Left(F242,3)</f>
        <v/>
      </c>
      <c r="E242">
        <f>IF(F242="121",Left(F242,3)&amp;"0",Left(F242,4))</f>
        <v/>
      </c>
      <c r="F242" t="n">
        <v>62500050</v>
      </c>
      <c r="G242" t="s">
        <v>259</v>
      </c>
      <c r="H242" s="9" t="n">
        <v>640</v>
      </c>
      <c r="I242" s="9" t="n">
        <v>15634.6</v>
      </c>
      <c r="J242" s="9" t="n">
        <v>15634.6</v>
      </c>
      <c r="K242" s="9" t="n">
        <v>15634.6</v>
      </c>
      <c r="L242" s="9">
        <f>K242-H242</f>
        <v/>
      </c>
      <c r="M242" s="32">
        <f>IFERROR(L242/H242," ")</f>
        <v/>
      </c>
      <c r="N242">
        <f>IF(A242="BS",IFERROR(VLOOKUP(TRIM($E242),'BS Mapping std'!$A:$D,4,0),VLOOKUP(TRIM($D242),'BS Mapping std'!$A:$D,4,0)),IFERROR(VLOOKUP(TRIM($E242),'PL mapping Std'!$A:$D,4,0),VLOOKUP(TRIM($D242),'PL mapping Std'!$A:$D,4,0)))</f>
        <v/>
      </c>
      <c r="O242">
        <f>_xlfn.IFERROR(VLOOKUP(E242,'F30 mapping'!A:C,3,0),VLOOKUP(D242,'F30 mapping'!A:C,3,0))</f>
        <v/>
      </c>
      <c r="P242">
        <f>_xlfn.IFERROR(IFERROR(VLOOKUP(E242,'F40 mapping'!A:C,3,0),VLOOKUP(D242,'F40 mapping'!A:C,3,0)),0)</f>
        <v/>
      </c>
      <c r="Q242">
        <f>_xlfn.IFERROR(IFERROR(VLOOKUP(E242,'F40 mapping'!A:D,4,0),VLOOKUP(D242,'F40 mapping'!A:D,4,0)),0)</f>
        <v/>
      </c>
      <c r="R242">
        <f>_xlfn.IFERROR(IFERROR(VLOOKUP(E242,'F40 mapping'!A:E,5,0),VLOOKUP(D242,'F40 mapping'!A:E,5,0)),0)</f>
        <v/>
      </c>
      <c r="S242">
        <f>_xlfn.IF(B242&lt;6,IFERROR(VLOOKUP(E242,'BS Mapping std'!A:E,5,0),VLOOKUP(D242,'BS Mapping std'!A:E,5,0)),IFERROR(VLOOKUP(E242,'PL mapping Std'!A:F,6,0),VLOOKUP(D242,'PL mapping Std'!A:F,6,0)))</f>
        <v/>
      </c>
      <c r="T242">
        <f>_xlfn.IF(B242&lt;6,IFERROR(VLOOKUP(E242,'BS Mapping std'!A:F,6,0),VLOOKUP(D242,'BS Mapping std'!A:F,6,0)),IFERROR(VLOOKUP(E242,'PL mapping Std'!A:G,7,0),VLOOKUP(D242,'PL mapping Std'!A:G,7,0)))</f>
        <v/>
      </c>
      <c r="V242">
        <f>IF(IF(A242="BS",IFERROR(VLOOKUP(TRIM($E242),'BS Mapping std'!$A:$H,8,0),VLOOKUP(TRIM($D242),'BS Mapping std'!$A:$H,8,0)),IFERROR(VLOOKUP(TRIM($E242),'PL mapping Std'!$A:$E,5,0),VLOOKUP(TRIM($D242),'PL mapping Std'!$A:$E,5,0)))=0,"",IF(A242="BS",IFERROR(VLOOKUP(TRIM($E242),'BS Mapping std'!$A:$H,8,0),VLOOKUP(TRIM($D242),'BS Mapping std'!$A:$H,8,0)),IFERROR(VLOOKUP(TRIM($E242),'PL mapping Std'!$A:$E,5,0),VLOOKUP(TRIM($D242),'PL mapping Std'!$A:$E,5,0))))</f>
        <v/>
      </c>
      <c r="W242">
        <f>_xlfn.IFERROR(VLOOKUP(E242,'F30 mapping'!A:D,4,0),VLOOKUP(D242,'F30 mapping'!A:D,4,0))</f>
        <v/>
      </c>
      <c r="X242">
        <f>IF(B242&lt;6,IFERROR(VLOOKUP(E242,'BS Mapping std'!A:M,13,0),VLOOKUP(D242,'BS Mapping std'!A:M,13,0)),0)</f>
        <v/>
      </c>
      <c r="Y242">
        <f>IF(B242&lt;6,IFERROR(VLOOKUP(E242,'BS Mapping std'!A:N,14,0),VLOOKUP(D242,'BS Mapping std'!A:N,14,0)),0)</f>
        <v/>
      </c>
    </row>
    <row r="243" spans="1:25">
      <c r="A243">
        <f>IF(B243&lt;6,"BS",IF(B243=6,"Exp","Rev"))</f>
        <v/>
      </c>
      <c r="B243">
        <f>_xlfn.NUMBERVALUE(LEFT(F243,1))</f>
        <v/>
      </c>
      <c r="C243">
        <f>Left(F243,2)</f>
        <v/>
      </c>
      <c r="D243">
        <f>Left(F243,3)</f>
        <v/>
      </c>
      <c r="E243">
        <f>IF(F243="121",Left(F243,3)&amp;"0",Left(F243,4))</f>
        <v/>
      </c>
      <c r="F243" t="n">
        <v>62600020</v>
      </c>
      <c r="G243" t="s">
        <v>261</v>
      </c>
      <c r="H243" s="9" t="n">
        <v>72775.25999999999</v>
      </c>
      <c r="I243" s="9" t="n">
        <v>70059.64</v>
      </c>
      <c r="J243" s="9" t="n">
        <v>70059.64</v>
      </c>
      <c r="K243" s="9" t="n">
        <v>70059.64</v>
      </c>
      <c r="L243" s="9">
        <f>K243-H243</f>
        <v/>
      </c>
      <c r="M243" s="32">
        <f>IFERROR(L243/H243," ")</f>
        <v/>
      </c>
      <c r="N243">
        <f>IF(A243="BS",IFERROR(VLOOKUP(TRIM($E243),'BS Mapping std'!$A:$D,4,0),VLOOKUP(TRIM($D243),'BS Mapping std'!$A:$D,4,0)),IFERROR(VLOOKUP(TRIM($E243),'PL mapping Std'!$A:$D,4,0),VLOOKUP(TRIM($D243),'PL mapping Std'!$A:$D,4,0)))</f>
        <v/>
      </c>
      <c r="O243">
        <f>_xlfn.IFERROR(VLOOKUP(E243,'F30 mapping'!A:C,3,0),VLOOKUP(D243,'F30 mapping'!A:C,3,0))</f>
        <v/>
      </c>
      <c r="P243">
        <f>_xlfn.IFERROR(IFERROR(VLOOKUP(E243,'F40 mapping'!A:C,3,0),VLOOKUP(D243,'F40 mapping'!A:C,3,0)),0)</f>
        <v/>
      </c>
      <c r="Q243">
        <f>_xlfn.IFERROR(IFERROR(VLOOKUP(E243,'F40 mapping'!A:D,4,0),VLOOKUP(D243,'F40 mapping'!A:D,4,0)),0)</f>
        <v/>
      </c>
      <c r="R243">
        <f>_xlfn.IFERROR(IFERROR(VLOOKUP(E243,'F40 mapping'!A:E,5,0),VLOOKUP(D243,'F40 mapping'!A:E,5,0)),0)</f>
        <v/>
      </c>
      <c r="S243">
        <f>_xlfn.IF(B243&lt;6,IFERROR(VLOOKUP(E243,'BS Mapping std'!A:E,5,0),VLOOKUP(D243,'BS Mapping std'!A:E,5,0)),IFERROR(VLOOKUP(E243,'PL mapping Std'!A:F,6,0),VLOOKUP(D243,'PL mapping Std'!A:F,6,0)))</f>
        <v/>
      </c>
      <c r="T243">
        <f>_xlfn.IF(B243&lt;6,IFERROR(VLOOKUP(E243,'BS Mapping std'!A:F,6,0),VLOOKUP(D243,'BS Mapping std'!A:F,6,0)),IFERROR(VLOOKUP(E243,'PL mapping Std'!A:G,7,0),VLOOKUP(D243,'PL mapping Std'!A:G,7,0)))</f>
        <v/>
      </c>
      <c r="V243">
        <f>IF(IF(A243="BS",IFERROR(VLOOKUP(TRIM($E243),'BS Mapping std'!$A:$H,8,0),VLOOKUP(TRIM($D243),'BS Mapping std'!$A:$H,8,0)),IFERROR(VLOOKUP(TRIM($E243),'PL mapping Std'!$A:$E,5,0),VLOOKUP(TRIM($D243),'PL mapping Std'!$A:$E,5,0)))=0,"",IF(A243="BS",IFERROR(VLOOKUP(TRIM($E243),'BS Mapping std'!$A:$H,8,0),VLOOKUP(TRIM($D243),'BS Mapping std'!$A:$H,8,0)),IFERROR(VLOOKUP(TRIM($E243),'PL mapping Std'!$A:$E,5,0),VLOOKUP(TRIM($D243),'PL mapping Std'!$A:$E,5,0))))</f>
        <v/>
      </c>
      <c r="W243">
        <f>_xlfn.IFERROR(VLOOKUP(E243,'F30 mapping'!A:D,4,0),VLOOKUP(D243,'F30 mapping'!A:D,4,0))</f>
        <v/>
      </c>
      <c r="X243">
        <f>IF(B243&lt;6,IFERROR(VLOOKUP(E243,'BS Mapping std'!A:M,13,0),VLOOKUP(D243,'BS Mapping std'!A:M,13,0)),0)</f>
        <v/>
      </c>
      <c r="Y243">
        <f>IF(B243&lt;6,IFERROR(VLOOKUP(E243,'BS Mapping std'!A:N,14,0),VLOOKUP(D243,'BS Mapping std'!A:N,14,0)),0)</f>
        <v/>
      </c>
    </row>
    <row r="244" spans="1:25">
      <c r="A244">
        <f>IF(B244&lt;6,"BS",IF(B244=6,"Exp","Rev"))</f>
        <v/>
      </c>
      <c r="B244">
        <f>_xlfn.NUMBERVALUE(LEFT(F244,1))</f>
        <v/>
      </c>
      <c r="C244">
        <f>Left(F244,2)</f>
        <v/>
      </c>
      <c r="D244">
        <f>Left(F244,3)</f>
        <v/>
      </c>
      <c r="E244">
        <f>IF(F244="121",Left(F244,3)&amp;"0",Left(F244,4))</f>
        <v/>
      </c>
      <c r="F244" t="n">
        <v>62700010</v>
      </c>
      <c r="G244" t="s">
        <v>262</v>
      </c>
      <c r="H244" s="9" t="n">
        <v>22151.15</v>
      </c>
      <c r="I244" s="9" t="n">
        <v>22854.26</v>
      </c>
      <c r="J244" s="9" t="n">
        <v>22854.26</v>
      </c>
      <c r="K244" s="9" t="n">
        <v>22854.26</v>
      </c>
      <c r="L244" s="9">
        <f>K244-H244</f>
        <v/>
      </c>
      <c r="M244" s="32">
        <f>IFERROR(L244/H244," ")</f>
        <v/>
      </c>
      <c r="N244">
        <f>IF(A244="BS",IFERROR(VLOOKUP(TRIM($E244),'BS Mapping std'!$A:$D,4,0),VLOOKUP(TRIM($D244),'BS Mapping std'!$A:$D,4,0)),IFERROR(VLOOKUP(TRIM($E244),'PL mapping Std'!$A:$D,4,0),VLOOKUP(TRIM($D244),'PL mapping Std'!$A:$D,4,0)))</f>
        <v/>
      </c>
      <c r="O244">
        <f>_xlfn.IFERROR(VLOOKUP(E244,'F30 mapping'!A:C,3,0),VLOOKUP(D244,'F30 mapping'!A:C,3,0))</f>
        <v/>
      </c>
      <c r="P244">
        <f>_xlfn.IFERROR(IFERROR(VLOOKUP(E244,'F40 mapping'!A:C,3,0),VLOOKUP(D244,'F40 mapping'!A:C,3,0)),0)</f>
        <v/>
      </c>
      <c r="Q244">
        <f>_xlfn.IFERROR(IFERROR(VLOOKUP(E244,'F40 mapping'!A:D,4,0),VLOOKUP(D244,'F40 mapping'!A:D,4,0)),0)</f>
        <v/>
      </c>
      <c r="R244">
        <f>_xlfn.IFERROR(IFERROR(VLOOKUP(E244,'F40 mapping'!A:E,5,0),VLOOKUP(D244,'F40 mapping'!A:E,5,0)),0)</f>
        <v/>
      </c>
      <c r="S244">
        <f>_xlfn.IF(B244&lt;6,IFERROR(VLOOKUP(E244,'BS Mapping std'!A:E,5,0),VLOOKUP(D244,'BS Mapping std'!A:E,5,0)),IFERROR(VLOOKUP(E244,'PL mapping Std'!A:F,6,0),VLOOKUP(D244,'PL mapping Std'!A:F,6,0)))</f>
        <v/>
      </c>
      <c r="T244">
        <f>_xlfn.IF(B244&lt;6,IFERROR(VLOOKUP(E244,'BS Mapping std'!A:F,6,0),VLOOKUP(D244,'BS Mapping std'!A:F,6,0)),IFERROR(VLOOKUP(E244,'PL mapping Std'!A:G,7,0),VLOOKUP(D244,'PL mapping Std'!A:G,7,0)))</f>
        <v/>
      </c>
      <c r="V244">
        <f>IF(IF(A244="BS",IFERROR(VLOOKUP(TRIM($E244),'BS Mapping std'!$A:$H,8,0),VLOOKUP(TRIM($D244),'BS Mapping std'!$A:$H,8,0)),IFERROR(VLOOKUP(TRIM($E244),'PL mapping Std'!$A:$E,5,0),VLOOKUP(TRIM($D244),'PL mapping Std'!$A:$E,5,0)))=0,"",IF(A244="BS",IFERROR(VLOOKUP(TRIM($E244),'BS Mapping std'!$A:$H,8,0),VLOOKUP(TRIM($D244),'BS Mapping std'!$A:$H,8,0)),IFERROR(VLOOKUP(TRIM($E244),'PL mapping Std'!$A:$E,5,0),VLOOKUP(TRIM($D244),'PL mapping Std'!$A:$E,5,0))))</f>
        <v/>
      </c>
      <c r="W244">
        <f>_xlfn.IFERROR(VLOOKUP(E244,'F30 mapping'!A:D,4,0),VLOOKUP(D244,'F30 mapping'!A:D,4,0))</f>
        <v/>
      </c>
      <c r="X244">
        <f>IF(B244&lt;6,IFERROR(VLOOKUP(E244,'BS Mapping std'!A:M,13,0),VLOOKUP(D244,'BS Mapping std'!A:M,13,0)),0)</f>
        <v/>
      </c>
      <c r="Y244">
        <f>IF(B244&lt;6,IFERROR(VLOOKUP(E244,'BS Mapping std'!A:N,14,0),VLOOKUP(D244,'BS Mapping std'!A:N,14,0)),0)</f>
        <v/>
      </c>
    </row>
    <row r="245" spans="1:25">
      <c r="A245">
        <f>IF(B245&lt;6,"BS",IF(B245=6,"Exp","Rev"))</f>
        <v/>
      </c>
      <c r="B245">
        <f>_xlfn.NUMBERVALUE(LEFT(F245,1))</f>
        <v/>
      </c>
      <c r="C245">
        <f>Left(F245,2)</f>
        <v/>
      </c>
      <c r="D245">
        <f>Left(F245,3)</f>
        <v/>
      </c>
      <c r="E245">
        <f>IF(F245="121",Left(F245,3)&amp;"0",Left(F245,4))</f>
        <v/>
      </c>
      <c r="F245" t="n">
        <v>62800011</v>
      </c>
      <c r="G245" t="s">
        <v>263</v>
      </c>
      <c r="H245" s="9" t="n">
        <v>41299.33</v>
      </c>
      <c r="I245" s="9" t="n">
        <v>107818.35</v>
      </c>
      <c r="J245" s="9" t="n">
        <v>107818.35</v>
      </c>
      <c r="K245" s="9" t="n">
        <v>107818.35</v>
      </c>
      <c r="L245" s="9">
        <f>K245-H245</f>
        <v/>
      </c>
      <c r="M245" s="32">
        <f>IFERROR(L245/H245," ")</f>
        <v/>
      </c>
      <c r="N245">
        <f>IF(A245="BS",IFERROR(VLOOKUP(TRIM($E245),'BS Mapping std'!$A:$D,4,0),VLOOKUP(TRIM($D245),'BS Mapping std'!$A:$D,4,0)),IFERROR(VLOOKUP(TRIM($E245),'PL mapping Std'!$A:$D,4,0),VLOOKUP(TRIM($D245),'PL mapping Std'!$A:$D,4,0)))</f>
        <v/>
      </c>
      <c r="O245">
        <f>_xlfn.IFERROR(VLOOKUP(E245,'F30 mapping'!A:C,3,0),VLOOKUP(D245,'F30 mapping'!A:C,3,0))</f>
        <v/>
      </c>
      <c r="P245">
        <f>_xlfn.IFERROR(IFERROR(VLOOKUP(E245,'F40 mapping'!A:C,3,0),VLOOKUP(D245,'F40 mapping'!A:C,3,0)),0)</f>
        <v/>
      </c>
      <c r="Q245">
        <f>_xlfn.IFERROR(IFERROR(VLOOKUP(E245,'F40 mapping'!A:D,4,0),VLOOKUP(D245,'F40 mapping'!A:D,4,0)),0)</f>
        <v/>
      </c>
      <c r="R245">
        <f>_xlfn.IFERROR(IFERROR(VLOOKUP(E245,'F40 mapping'!A:E,5,0),VLOOKUP(D245,'F40 mapping'!A:E,5,0)),0)</f>
        <v/>
      </c>
      <c r="S245">
        <f>_xlfn.IF(B245&lt;6,IFERROR(VLOOKUP(E245,'BS Mapping std'!A:E,5,0),VLOOKUP(D245,'BS Mapping std'!A:E,5,0)),IFERROR(VLOOKUP(E245,'PL mapping Std'!A:F,6,0),VLOOKUP(D245,'PL mapping Std'!A:F,6,0)))</f>
        <v/>
      </c>
      <c r="T245">
        <f>_xlfn.IF(B245&lt;6,IFERROR(VLOOKUP(E245,'BS Mapping std'!A:F,6,0),VLOOKUP(D245,'BS Mapping std'!A:F,6,0)),IFERROR(VLOOKUP(E245,'PL mapping Std'!A:G,7,0),VLOOKUP(D245,'PL mapping Std'!A:G,7,0)))</f>
        <v/>
      </c>
      <c r="V245">
        <f>IF(IF(A245="BS",IFERROR(VLOOKUP(TRIM($E245),'BS Mapping std'!$A:$H,8,0),VLOOKUP(TRIM($D245),'BS Mapping std'!$A:$H,8,0)),IFERROR(VLOOKUP(TRIM($E245),'PL mapping Std'!$A:$E,5,0),VLOOKUP(TRIM($D245),'PL mapping Std'!$A:$E,5,0)))=0,"",IF(A245="BS",IFERROR(VLOOKUP(TRIM($E245),'BS Mapping std'!$A:$H,8,0),VLOOKUP(TRIM($D245),'BS Mapping std'!$A:$H,8,0)),IFERROR(VLOOKUP(TRIM($E245),'PL mapping Std'!$A:$E,5,0),VLOOKUP(TRIM($D245),'PL mapping Std'!$A:$E,5,0))))</f>
        <v/>
      </c>
      <c r="W245">
        <f>_xlfn.IFERROR(VLOOKUP(E245,'F30 mapping'!A:D,4,0),VLOOKUP(D245,'F30 mapping'!A:D,4,0))</f>
        <v/>
      </c>
      <c r="X245">
        <f>IF(B245&lt;6,IFERROR(VLOOKUP(E245,'BS Mapping std'!A:M,13,0),VLOOKUP(D245,'BS Mapping std'!A:M,13,0)),0)</f>
        <v/>
      </c>
      <c r="Y245">
        <f>IF(B245&lt;6,IFERROR(VLOOKUP(E245,'BS Mapping std'!A:N,14,0),VLOOKUP(D245,'BS Mapping std'!A:N,14,0)),0)</f>
        <v/>
      </c>
    </row>
    <row r="246" spans="1:25">
      <c r="A246">
        <f>IF(B246&lt;6,"BS",IF(B246=6,"Exp","Rev"))</f>
        <v/>
      </c>
      <c r="B246">
        <f>_xlfn.NUMBERVALUE(LEFT(F246,1))</f>
        <v/>
      </c>
      <c r="C246">
        <f>Left(F246,2)</f>
        <v/>
      </c>
      <c r="D246">
        <f>Left(F246,3)</f>
        <v/>
      </c>
      <c r="E246">
        <f>IF(F246="121",Left(F246,3)&amp;"0",Left(F246,4))</f>
        <v/>
      </c>
      <c r="F246" t="n">
        <v>62800021</v>
      </c>
      <c r="G246" t="s">
        <v>264</v>
      </c>
      <c r="H246" s="9" t="n">
        <v>40737.64</v>
      </c>
      <c r="I246" s="9" t="n">
        <v>24778.09</v>
      </c>
      <c r="J246" s="9" t="n">
        <v>24778.09</v>
      </c>
      <c r="K246" s="9" t="n">
        <v>24778.09</v>
      </c>
      <c r="L246" s="9">
        <f>K246-H246</f>
        <v/>
      </c>
      <c r="M246" s="32">
        <f>IFERROR(L246/H246," ")</f>
        <v/>
      </c>
      <c r="N246">
        <f>IF(A246="BS",IFERROR(VLOOKUP(TRIM($E246),'BS Mapping std'!$A:$D,4,0),VLOOKUP(TRIM($D246),'BS Mapping std'!$A:$D,4,0)),IFERROR(VLOOKUP(TRIM($E246),'PL mapping Std'!$A:$D,4,0),VLOOKUP(TRIM($D246),'PL mapping Std'!$A:$D,4,0)))</f>
        <v/>
      </c>
      <c r="O246">
        <f>_xlfn.IFERROR(VLOOKUP(E246,'F30 mapping'!A:C,3,0),VLOOKUP(D246,'F30 mapping'!A:C,3,0))</f>
        <v/>
      </c>
      <c r="P246">
        <f>_xlfn.IFERROR(IFERROR(VLOOKUP(E246,'F40 mapping'!A:C,3,0),VLOOKUP(D246,'F40 mapping'!A:C,3,0)),0)</f>
        <v/>
      </c>
      <c r="Q246">
        <f>_xlfn.IFERROR(IFERROR(VLOOKUP(E246,'F40 mapping'!A:D,4,0),VLOOKUP(D246,'F40 mapping'!A:D,4,0)),0)</f>
        <v/>
      </c>
      <c r="R246">
        <f>_xlfn.IFERROR(IFERROR(VLOOKUP(E246,'F40 mapping'!A:E,5,0),VLOOKUP(D246,'F40 mapping'!A:E,5,0)),0)</f>
        <v/>
      </c>
      <c r="S246">
        <f>_xlfn.IF(B246&lt;6,IFERROR(VLOOKUP(E246,'BS Mapping std'!A:E,5,0),VLOOKUP(D246,'BS Mapping std'!A:E,5,0)),IFERROR(VLOOKUP(E246,'PL mapping Std'!A:F,6,0),VLOOKUP(D246,'PL mapping Std'!A:F,6,0)))</f>
        <v/>
      </c>
      <c r="T246">
        <f>_xlfn.IF(B246&lt;6,IFERROR(VLOOKUP(E246,'BS Mapping std'!A:F,6,0),VLOOKUP(D246,'BS Mapping std'!A:F,6,0)),IFERROR(VLOOKUP(E246,'PL mapping Std'!A:G,7,0),VLOOKUP(D246,'PL mapping Std'!A:G,7,0)))</f>
        <v/>
      </c>
      <c r="V246">
        <f>IF(IF(A246="BS",IFERROR(VLOOKUP(TRIM($E246),'BS Mapping std'!$A:$H,8,0),VLOOKUP(TRIM($D246),'BS Mapping std'!$A:$H,8,0)),IFERROR(VLOOKUP(TRIM($E246),'PL mapping Std'!$A:$E,5,0),VLOOKUP(TRIM($D246),'PL mapping Std'!$A:$E,5,0)))=0,"",IF(A246="BS",IFERROR(VLOOKUP(TRIM($E246),'BS Mapping std'!$A:$H,8,0),VLOOKUP(TRIM($D246),'BS Mapping std'!$A:$H,8,0)),IFERROR(VLOOKUP(TRIM($E246),'PL mapping Std'!$A:$E,5,0),VLOOKUP(TRIM($D246),'PL mapping Std'!$A:$E,5,0))))</f>
        <v/>
      </c>
      <c r="W246">
        <f>_xlfn.IFERROR(VLOOKUP(E246,'F30 mapping'!A:D,4,0),VLOOKUP(D246,'F30 mapping'!A:D,4,0))</f>
        <v/>
      </c>
      <c r="X246">
        <f>IF(B246&lt;6,IFERROR(VLOOKUP(E246,'BS Mapping std'!A:M,13,0),VLOOKUP(D246,'BS Mapping std'!A:M,13,0)),0)</f>
        <v/>
      </c>
      <c r="Y246">
        <f>IF(B246&lt;6,IFERROR(VLOOKUP(E246,'BS Mapping std'!A:N,14,0),VLOOKUP(D246,'BS Mapping std'!A:N,14,0)),0)</f>
        <v/>
      </c>
    </row>
    <row r="247" spans="1:25">
      <c r="A247">
        <f>IF(B247&lt;6,"BS",IF(B247=6,"Exp","Rev"))</f>
        <v/>
      </c>
      <c r="B247">
        <f>_xlfn.NUMBERVALUE(LEFT(F247,1))</f>
        <v/>
      </c>
      <c r="C247">
        <f>Left(F247,2)</f>
        <v/>
      </c>
      <c r="D247">
        <f>Left(F247,3)</f>
        <v/>
      </c>
      <c r="E247">
        <f>IF(F247="121",Left(F247,3)&amp;"0",Left(F247,4))</f>
        <v/>
      </c>
      <c r="F247" t="n">
        <v>62800040</v>
      </c>
      <c r="G247" t="s">
        <v>265</v>
      </c>
      <c r="H247" s="9" t="n">
        <v>39396.69</v>
      </c>
      <c r="I247" s="9" t="n">
        <v>61198.31</v>
      </c>
      <c r="J247" s="9" t="n">
        <v>61198.31</v>
      </c>
      <c r="K247" s="9" t="n">
        <v>61198.31</v>
      </c>
      <c r="L247" s="9">
        <f>K247-H247</f>
        <v/>
      </c>
      <c r="M247" s="32">
        <f>IFERROR(L247/H247," ")</f>
        <v/>
      </c>
      <c r="N247">
        <f>IF(A247="BS",IFERROR(VLOOKUP(TRIM($E247),'BS Mapping std'!$A:$D,4,0),VLOOKUP(TRIM($D247),'BS Mapping std'!$A:$D,4,0)),IFERROR(VLOOKUP(TRIM($E247),'PL mapping Std'!$A:$D,4,0),VLOOKUP(TRIM($D247),'PL mapping Std'!$A:$D,4,0)))</f>
        <v/>
      </c>
      <c r="O247">
        <f>_xlfn.IFERROR(VLOOKUP(E247,'F30 mapping'!A:C,3,0),VLOOKUP(D247,'F30 mapping'!A:C,3,0))</f>
        <v/>
      </c>
      <c r="P247">
        <f>_xlfn.IFERROR(IFERROR(VLOOKUP(E247,'F40 mapping'!A:C,3,0),VLOOKUP(D247,'F40 mapping'!A:C,3,0)),0)</f>
        <v/>
      </c>
      <c r="Q247">
        <f>_xlfn.IFERROR(IFERROR(VLOOKUP(E247,'F40 mapping'!A:D,4,0),VLOOKUP(D247,'F40 mapping'!A:D,4,0)),0)</f>
        <v/>
      </c>
      <c r="R247">
        <f>_xlfn.IFERROR(IFERROR(VLOOKUP(E247,'F40 mapping'!A:E,5,0),VLOOKUP(D247,'F40 mapping'!A:E,5,0)),0)</f>
        <v/>
      </c>
      <c r="S247">
        <f>_xlfn.IF(B247&lt;6,IFERROR(VLOOKUP(E247,'BS Mapping std'!A:E,5,0),VLOOKUP(D247,'BS Mapping std'!A:E,5,0)),IFERROR(VLOOKUP(E247,'PL mapping Std'!A:F,6,0),VLOOKUP(D247,'PL mapping Std'!A:F,6,0)))</f>
        <v/>
      </c>
      <c r="T247">
        <f>_xlfn.IF(B247&lt;6,IFERROR(VLOOKUP(E247,'BS Mapping std'!A:F,6,0),VLOOKUP(D247,'BS Mapping std'!A:F,6,0)),IFERROR(VLOOKUP(E247,'PL mapping Std'!A:G,7,0),VLOOKUP(D247,'PL mapping Std'!A:G,7,0)))</f>
        <v/>
      </c>
      <c r="V247">
        <f>IF(IF(A247="BS",IFERROR(VLOOKUP(TRIM($E247),'BS Mapping std'!$A:$H,8,0),VLOOKUP(TRIM($D247),'BS Mapping std'!$A:$H,8,0)),IFERROR(VLOOKUP(TRIM($E247),'PL mapping Std'!$A:$E,5,0),VLOOKUP(TRIM($D247),'PL mapping Std'!$A:$E,5,0)))=0,"",IF(A247="BS",IFERROR(VLOOKUP(TRIM($E247),'BS Mapping std'!$A:$H,8,0),VLOOKUP(TRIM($D247),'BS Mapping std'!$A:$H,8,0)),IFERROR(VLOOKUP(TRIM($E247),'PL mapping Std'!$A:$E,5,0),VLOOKUP(TRIM($D247),'PL mapping Std'!$A:$E,5,0))))</f>
        <v/>
      </c>
      <c r="W247">
        <f>_xlfn.IFERROR(VLOOKUP(E247,'F30 mapping'!A:D,4,0),VLOOKUP(D247,'F30 mapping'!A:D,4,0))</f>
        <v/>
      </c>
      <c r="X247">
        <f>IF(B247&lt;6,IFERROR(VLOOKUP(E247,'BS Mapping std'!A:M,13,0),VLOOKUP(D247,'BS Mapping std'!A:M,13,0)),0)</f>
        <v/>
      </c>
      <c r="Y247">
        <f>IF(B247&lt;6,IFERROR(VLOOKUP(E247,'BS Mapping std'!A:N,14,0),VLOOKUP(D247,'BS Mapping std'!A:N,14,0)),0)</f>
        <v/>
      </c>
    </row>
    <row r="248" spans="1:25">
      <c r="A248">
        <f>IF(B248&lt;6,"BS",IF(B248=6,"Exp","Rev"))</f>
        <v/>
      </c>
      <c r="B248">
        <f>_xlfn.NUMBERVALUE(LEFT(F248,1))</f>
        <v/>
      </c>
      <c r="C248">
        <f>Left(F248,2)</f>
        <v/>
      </c>
      <c r="D248">
        <f>Left(F248,3)</f>
        <v/>
      </c>
      <c r="E248">
        <f>IF(F248="121",Left(F248,3)&amp;"0",Left(F248,4))</f>
        <v/>
      </c>
      <c r="F248" t="n">
        <v>62800041</v>
      </c>
      <c r="G248" t="s">
        <v>266</v>
      </c>
      <c r="H248" s="9" t="n">
        <v>115762.61</v>
      </c>
      <c r="I248" s="9" t="n">
        <v>95260.13</v>
      </c>
      <c r="J248" s="9" t="n">
        <v>95260.13</v>
      </c>
      <c r="K248" s="9" t="n">
        <v>95260.13</v>
      </c>
      <c r="L248" s="9">
        <f>K248-H248</f>
        <v/>
      </c>
      <c r="M248" s="32">
        <f>IFERROR(L248/H248," ")</f>
        <v/>
      </c>
      <c r="N248">
        <f>IF(A248="BS",IFERROR(VLOOKUP(TRIM($E248),'BS Mapping std'!$A:$D,4,0),VLOOKUP(TRIM($D248),'BS Mapping std'!$A:$D,4,0)),IFERROR(VLOOKUP(TRIM($E248),'PL mapping Std'!$A:$D,4,0),VLOOKUP(TRIM($D248),'PL mapping Std'!$A:$D,4,0)))</f>
        <v/>
      </c>
      <c r="O248">
        <f>_xlfn.IFERROR(VLOOKUP(E248,'F30 mapping'!A:C,3,0),VLOOKUP(D248,'F30 mapping'!A:C,3,0))</f>
        <v/>
      </c>
      <c r="P248">
        <f>_xlfn.IFERROR(IFERROR(VLOOKUP(E248,'F40 mapping'!A:C,3,0),VLOOKUP(D248,'F40 mapping'!A:C,3,0)),0)</f>
        <v/>
      </c>
      <c r="Q248">
        <f>_xlfn.IFERROR(IFERROR(VLOOKUP(E248,'F40 mapping'!A:D,4,0),VLOOKUP(D248,'F40 mapping'!A:D,4,0)),0)</f>
        <v/>
      </c>
      <c r="R248">
        <f>_xlfn.IFERROR(IFERROR(VLOOKUP(E248,'F40 mapping'!A:E,5,0),VLOOKUP(D248,'F40 mapping'!A:E,5,0)),0)</f>
        <v/>
      </c>
      <c r="S248">
        <f>_xlfn.IF(B248&lt;6,IFERROR(VLOOKUP(E248,'BS Mapping std'!A:E,5,0),VLOOKUP(D248,'BS Mapping std'!A:E,5,0)),IFERROR(VLOOKUP(E248,'PL mapping Std'!A:F,6,0),VLOOKUP(D248,'PL mapping Std'!A:F,6,0)))</f>
        <v/>
      </c>
      <c r="T248">
        <f>_xlfn.IF(B248&lt;6,IFERROR(VLOOKUP(E248,'BS Mapping std'!A:F,6,0),VLOOKUP(D248,'BS Mapping std'!A:F,6,0)),IFERROR(VLOOKUP(E248,'PL mapping Std'!A:G,7,0),VLOOKUP(D248,'PL mapping Std'!A:G,7,0)))</f>
        <v/>
      </c>
      <c r="V248">
        <f>IF(IF(A248="BS",IFERROR(VLOOKUP(TRIM($E248),'BS Mapping std'!$A:$H,8,0),VLOOKUP(TRIM($D248),'BS Mapping std'!$A:$H,8,0)),IFERROR(VLOOKUP(TRIM($E248),'PL mapping Std'!$A:$E,5,0),VLOOKUP(TRIM($D248),'PL mapping Std'!$A:$E,5,0)))=0,"",IF(A248="BS",IFERROR(VLOOKUP(TRIM($E248),'BS Mapping std'!$A:$H,8,0),VLOOKUP(TRIM($D248),'BS Mapping std'!$A:$H,8,0)),IFERROR(VLOOKUP(TRIM($E248),'PL mapping Std'!$A:$E,5,0),VLOOKUP(TRIM($D248),'PL mapping Std'!$A:$E,5,0))))</f>
        <v/>
      </c>
      <c r="W248">
        <f>_xlfn.IFERROR(VLOOKUP(E248,'F30 mapping'!A:D,4,0),VLOOKUP(D248,'F30 mapping'!A:D,4,0))</f>
        <v/>
      </c>
      <c r="X248">
        <f>IF(B248&lt;6,IFERROR(VLOOKUP(E248,'BS Mapping std'!A:M,13,0),VLOOKUP(D248,'BS Mapping std'!A:M,13,0)),0)</f>
        <v/>
      </c>
      <c r="Y248">
        <f>IF(B248&lt;6,IFERROR(VLOOKUP(E248,'BS Mapping std'!A:N,14,0),VLOOKUP(D248,'BS Mapping std'!A:N,14,0)),0)</f>
        <v/>
      </c>
    </row>
    <row r="249" spans="1:25">
      <c r="A249">
        <f>IF(B249&lt;6,"BS",IF(B249=6,"Exp","Rev"))</f>
        <v/>
      </c>
      <c r="B249">
        <f>_xlfn.NUMBERVALUE(LEFT(F249,1))</f>
        <v/>
      </c>
      <c r="C249">
        <f>Left(F249,2)</f>
        <v/>
      </c>
      <c r="D249">
        <f>Left(F249,3)</f>
        <v/>
      </c>
      <c r="E249">
        <f>IF(F249="121",Left(F249,3)&amp;"0",Left(F249,4))</f>
        <v/>
      </c>
      <c r="F249" t="n">
        <v>62800042</v>
      </c>
      <c r="G249" t="s">
        <v>267</v>
      </c>
      <c r="H249" s="9" t="n">
        <v>49639.34</v>
      </c>
      <c r="I249" s="9" t="n">
        <v>40579.44</v>
      </c>
      <c r="J249" s="9" t="n">
        <v>40579.44</v>
      </c>
      <c r="K249" s="9" t="n">
        <v>40579.44</v>
      </c>
      <c r="L249" s="9">
        <f>K249-H249</f>
        <v/>
      </c>
      <c r="M249" s="32">
        <f>IFERROR(L249/H249," ")</f>
        <v/>
      </c>
      <c r="N249">
        <f>IF(A249="BS",IFERROR(VLOOKUP(TRIM($E249),'BS Mapping std'!$A:$D,4,0),VLOOKUP(TRIM($D249),'BS Mapping std'!$A:$D,4,0)),IFERROR(VLOOKUP(TRIM($E249),'PL mapping Std'!$A:$D,4,0),VLOOKUP(TRIM($D249),'PL mapping Std'!$A:$D,4,0)))</f>
        <v/>
      </c>
      <c r="O249">
        <f>_xlfn.IFERROR(VLOOKUP(E249,'F30 mapping'!A:C,3,0),VLOOKUP(D249,'F30 mapping'!A:C,3,0))</f>
        <v/>
      </c>
      <c r="P249">
        <f>_xlfn.IFERROR(IFERROR(VLOOKUP(E249,'F40 mapping'!A:C,3,0),VLOOKUP(D249,'F40 mapping'!A:C,3,0)),0)</f>
        <v/>
      </c>
      <c r="Q249">
        <f>_xlfn.IFERROR(IFERROR(VLOOKUP(E249,'F40 mapping'!A:D,4,0),VLOOKUP(D249,'F40 mapping'!A:D,4,0)),0)</f>
        <v/>
      </c>
      <c r="R249">
        <f>_xlfn.IFERROR(IFERROR(VLOOKUP(E249,'F40 mapping'!A:E,5,0),VLOOKUP(D249,'F40 mapping'!A:E,5,0)),0)</f>
        <v/>
      </c>
      <c r="S249">
        <f>_xlfn.IF(B249&lt;6,IFERROR(VLOOKUP(E249,'BS Mapping std'!A:E,5,0),VLOOKUP(D249,'BS Mapping std'!A:E,5,0)),IFERROR(VLOOKUP(E249,'PL mapping Std'!A:F,6,0),VLOOKUP(D249,'PL mapping Std'!A:F,6,0)))</f>
        <v/>
      </c>
      <c r="T249">
        <f>_xlfn.IF(B249&lt;6,IFERROR(VLOOKUP(E249,'BS Mapping std'!A:F,6,0),VLOOKUP(D249,'BS Mapping std'!A:F,6,0)),IFERROR(VLOOKUP(E249,'PL mapping Std'!A:G,7,0),VLOOKUP(D249,'PL mapping Std'!A:G,7,0)))</f>
        <v/>
      </c>
      <c r="V249">
        <f>IF(IF(A249="BS",IFERROR(VLOOKUP(TRIM($E249),'BS Mapping std'!$A:$H,8,0),VLOOKUP(TRIM($D249),'BS Mapping std'!$A:$H,8,0)),IFERROR(VLOOKUP(TRIM($E249),'PL mapping Std'!$A:$E,5,0),VLOOKUP(TRIM($D249),'PL mapping Std'!$A:$E,5,0)))=0,"",IF(A249="BS",IFERROR(VLOOKUP(TRIM($E249),'BS Mapping std'!$A:$H,8,0),VLOOKUP(TRIM($D249),'BS Mapping std'!$A:$H,8,0)),IFERROR(VLOOKUP(TRIM($E249),'PL mapping Std'!$A:$E,5,0),VLOOKUP(TRIM($D249),'PL mapping Std'!$A:$E,5,0))))</f>
        <v/>
      </c>
      <c r="W249">
        <f>_xlfn.IFERROR(VLOOKUP(E249,'F30 mapping'!A:D,4,0),VLOOKUP(D249,'F30 mapping'!A:D,4,0))</f>
        <v/>
      </c>
      <c r="X249">
        <f>IF(B249&lt;6,IFERROR(VLOOKUP(E249,'BS Mapping std'!A:M,13,0),VLOOKUP(D249,'BS Mapping std'!A:M,13,0)),0)</f>
        <v/>
      </c>
      <c r="Y249">
        <f>IF(B249&lt;6,IFERROR(VLOOKUP(E249,'BS Mapping std'!A:N,14,0),VLOOKUP(D249,'BS Mapping std'!A:N,14,0)),0)</f>
        <v/>
      </c>
    </row>
    <row r="250" spans="1:25">
      <c r="A250">
        <f>IF(B250&lt;6,"BS",IF(B250=6,"Exp","Rev"))</f>
        <v/>
      </c>
      <c r="B250">
        <f>_xlfn.NUMBERVALUE(LEFT(F250,1))</f>
        <v/>
      </c>
      <c r="C250">
        <f>Left(F250,2)</f>
        <v/>
      </c>
      <c r="D250">
        <f>Left(F250,3)</f>
        <v/>
      </c>
      <c r="E250">
        <f>IF(F250="121",Left(F250,3)&amp;"0",Left(F250,4))</f>
        <v/>
      </c>
      <c r="F250" t="n">
        <v>62800050</v>
      </c>
      <c r="G250" t="s">
        <v>268</v>
      </c>
      <c r="H250" s="9" t="n">
        <v>30257.74</v>
      </c>
      <c r="I250" s="9" t="n">
        <v>134360.15</v>
      </c>
      <c r="J250" s="9" t="n">
        <v>134360.15</v>
      </c>
      <c r="K250" s="9" t="n">
        <v>134360.15</v>
      </c>
      <c r="L250" s="9">
        <f>K250-H250</f>
        <v/>
      </c>
      <c r="M250" s="32">
        <f>IFERROR(L250/H250," ")</f>
        <v/>
      </c>
      <c r="N250">
        <f>IF(A250="BS",IFERROR(VLOOKUP(TRIM($E250),'BS Mapping std'!$A:$D,4,0),VLOOKUP(TRIM($D250),'BS Mapping std'!$A:$D,4,0)),IFERROR(VLOOKUP(TRIM($E250),'PL mapping Std'!$A:$D,4,0),VLOOKUP(TRIM($D250),'PL mapping Std'!$A:$D,4,0)))</f>
        <v/>
      </c>
      <c r="O250">
        <f>_xlfn.IFERROR(VLOOKUP(E250,'F30 mapping'!A:C,3,0),VLOOKUP(D250,'F30 mapping'!A:C,3,0))</f>
        <v/>
      </c>
      <c r="P250">
        <f>_xlfn.IFERROR(IFERROR(VLOOKUP(E250,'F40 mapping'!A:C,3,0),VLOOKUP(D250,'F40 mapping'!A:C,3,0)),0)</f>
        <v/>
      </c>
      <c r="Q250">
        <f>_xlfn.IFERROR(IFERROR(VLOOKUP(E250,'F40 mapping'!A:D,4,0),VLOOKUP(D250,'F40 mapping'!A:D,4,0)),0)</f>
        <v/>
      </c>
      <c r="R250">
        <f>_xlfn.IFERROR(IFERROR(VLOOKUP(E250,'F40 mapping'!A:E,5,0),VLOOKUP(D250,'F40 mapping'!A:E,5,0)),0)</f>
        <v/>
      </c>
      <c r="S250">
        <f>_xlfn.IF(B250&lt;6,IFERROR(VLOOKUP(E250,'BS Mapping std'!A:E,5,0),VLOOKUP(D250,'BS Mapping std'!A:E,5,0)),IFERROR(VLOOKUP(E250,'PL mapping Std'!A:F,6,0),VLOOKUP(D250,'PL mapping Std'!A:F,6,0)))</f>
        <v/>
      </c>
      <c r="T250">
        <f>_xlfn.IF(B250&lt;6,IFERROR(VLOOKUP(E250,'BS Mapping std'!A:F,6,0),VLOOKUP(D250,'BS Mapping std'!A:F,6,0)),IFERROR(VLOOKUP(E250,'PL mapping Std'!A:G,7,0),VLOOKUP(D250,'PL mapping Std'!A:G,7,0)))</f>
        <v/>
      </c>
      <c r="V250">
        <f>IF(IF(A250="BS",IFERROR(VLOOKUP(TRIM($E250),'BS Mapping std'!$A:$H,8,0),VLOOKUP(TRIM($D250),'BS Mapping std'!$A:$H,8,0)),IFERROR(VLOOKUP(TRIM($E250),'PL mapping Std'!$A:$E,5,0),VLOOKUP(TRIM($D250),'PL mapping Std'!$A:$E,5,0)))=0,"",IF(A250="BS",IFERROR(VLOOKUP(TRIM($E250),'BS Mapping std'!$A:$H,8,0),VLOOKUP(TRIM($D250),'BS Mapping std'!$A:$H,8,0)),IFERROR(VLOOKUP(TRIM($E250),'PL mapping Std'!$A:$E,5,0),VLOOKUP(TRIM($D250),'PL mapping Std'!$A:$E,5,0))))</f>
        <v/>
      </c>
      <c r="W250">
        <f>_xlfn.IFERROR(VLOOKUP(E250,'F30 mapping'!A:D,4,0),VLOOKUP(D250,'F30 mapping'!A:D,4,0))</f>
        <v/>
      </c>
      <c r="X250">
        <f>IF(B250&lt;6,IFERROR(VLOOKUP(E250,'BS Mapping std'!A:M,13,0),VLOOKUP(D250,'BS Mapping std'!A:M,13,0)),0)</f>
        <v/>
      </c>
      <c r="Y250">
        <f>IF(B250&lt;6,IFERROR(VLOOKUP(E250,'BS Mapping std'!A:N,14,0),VLOOKUP(D250,'BS Mapping std'!A:N,14,0)),0)</f>
        <v/>
      </c>
    </row>
    <row r="251" spans="1:25">
      <c r="A251">
        <f>IF(B251&lt;6,"BS",IF(B251=6,"Exp","Rev"))</f>
        <v/>
      </c>
      <c r="B251">
        <f>_xlfn.NUMBERVALUE(LEFT(F251,1))</f>
        <v/>
      </c>
      <c r="C251">
        <f>Left(F251,2)</f>
        <v/>
      </c>
      <c r="D251">
        <f>Left(F251,3)</f>
        <v/>
      </c>
      <c r="E251">
        <f>IF(F251="121",Left(F251,3)&amp;"0",Left(F251,4))</f>
        <v/>
      </c>
      <c r="F251" t="n">
        <v>62800060</v>
      </c>
      <c r="G251" t="s">
        <v>269</v>
      </c>
      <c r="H251" s="9" t="n">
        <v>469588.08</v>
      </c>
      <c r="I251" s="9" t="n">
        <v>594065.49</v>
      </c>
      <c r="J251" s="9" t="n">
        <v>594065.49</v>
      </c>
      <c r="K251" s="9" t="n">
        <v>594065.49</v>
      </c>
      <c r="L251" s="9">
        <f>K251-H251</f>
        <v/>
      </c>
      <c r="M251" s="32">
        <f>IFERROR(L251/H251," ")</f>
        <v/>
      </c>
      <c r="N251">
        <f>IF(A251="BS",IFERROR(VLOOKUP(TRIM($E251),'BS Mapping std'!$A:$D,4,0),VLOOKUP(TRIM($D251),'BS Mapping std'!$A:$D,4,0)),IFERROR(VLOOKUP(TRIM($E251),'PL mapping Std'!$A:$D,4,0),VLOOKUP(TRIM($D251),'PL mapping Std'!$A:$D,4,0)))</f>
        <v/>
      </c>
      <c r="O251">
        <f>_xlfn.IFERROR(VLOOKUP(E251,'F30 mapping'!A:C,3,0),VLOOKUP(D251,'F30 mapping'!A:C,3,0))</f>
        <v/>
      </c>
      <c r="P251">
        <f>_xlfn.IFERROR(IFERROR(VLOOKUP(E251,'F40 mapping'!A:C,3,0),VLOOKUP(D251,'F40 mapping'!A:C,3,0)),0)</f>
        <v/>
      </c>
      <c r="Q251">
        <f>_xlfn.IFERROR(IFERROR(VLOOKUP(E251,'F40 mapping'!A:D,4,0),VLOOKUP(D251,'F40 mapping'!A:D,4,0)),0)</f>
        <v/>
      </c>
      <c r="R251">
        <f>_xlfn.IFERROR(IFERROR(VLOOKUP(E251,'F40 mapping'!A:E,5,0),VLOOKUP(D251,'F40 mapping'!A:E,5,0)),0)</f>
        <v/>
      </c>
      <c r="S251">
        <f>_xlfn.IF(B251&lt;6,IFERROR(VLOOKUP(E251,'BS Mapping std'!A:E,5,0),VLOOKUP(D251,'BS Mapping std'!A:E,5,0)),IFERROR(VLOOKUP(E251,'PL mapping Std'!A:F,6,0),VLOOKUP(D251,'PL mapping Std'!A:F,6,0)))</f>
        <v/>
      </c>
      <c r="T251">
        <f>_xlfn.IF(B251&lt;6,IFERROR(VLOOKUP(E251,'BS Mapping std'!A:F,6,0),VLOOKUP(D251,'BS Mapping std'!A:F,6,0)),IFERROR(VLOOKUP(E251,'PL mapping Std'!A:G,7,0),VLOOKUP(D251,'PL mapping Std'!A:G,7,0)))</f>
        <v/>
      </c>
      <c r="V251">
        <f>IF(IF(A251="BS",IFERROR(VLOOKUP(TRIM($E251),'BS Mapping std'!$A:$H,8,0),VLOOKUP(TRIM($D251),'BS Mapping std'!$A:$H,8,0)),IFERROR(VLOOKUP(TRIM($E251),'PL mapping Std'!$A:$E,5,0),VLOOKUP(TRIM($D251),'PL mapping Std'!$A:$E,5,0)))=0,"",IF(A251="BS",IFERROR(VLOOKUP(TRIM($E251),'BS Mapping std'!$A:$H,8,0),VLOOKUP(TRIM($D251),'BS Mapping std'!$A:$H,8,0)),IFERROR(VLOOKUP(TRIM($E251),'PL mapping Std'!$A:$E,5,0),VLOOKUP(TRIM($D251),'PL mapping Std'!$A:$E,5,0))))</f>
        <v/>
      </c>
      <c r="W251">
        <f>_xlfn.IFERROR(VLOOKUP(E251,'F30 mapping'!A:D,4,0),VLOOKUP(D251,'F30 mapping'!A:D,4,0))</f>
        <v/>
      </c>
      <c r="X251">
        <f>IF(B251&lt;6,IFERROR(VLOOKUP(E251,'BS Mapping std'!A:M,13,0),VLOOKUP(D251,'BS Mapping std'!A:M,13,0)),0)</f>
        <v/>
      </c>
      <c r="Y251">
        <f>IF(B251&lt;6,IFERROR(VLOOKUP(E251,'BS Mapping std'!A:N,14,0),VLOOKUP(D251,'BS Mapping std'!A:N,14,0)),0)</f>
        <v/>
      </c>
    </row>
    <row r="252" spans="1:25">
      <c r="A252">
        <f>IF(B252&lt;6,"BS",IF(B252=6,"Exp","Rev"))</f>
        <v/>
      </c>
      <c r="B252">
        <f>_xlfn.NUMBERVALUE(LEFT(F252,1))</f>
        <v/>
      </c>
      <c r="C252">
        <f>Left(F252,2)</f>
        <v/>
      </c>
      <c r="D252">
        <f>Left(F252,3)</f>
        <v/>
      </c>
      <c r="E252">
        <f>IF(F252="121",Left(F252,3)&amp;"0",Left(F252,4))</f>
        <v/>
      </c>
      <c r="F252" t="n">
        <v>62800071</v>
      </c>
      <c r="G252" t="s">
        <v>270</v>
      </c>
      <c r="H252" s="9" t="n">
        <v>168417.04</v>
      </c>
      <c r="I252" s="9" t="n">
        <v>182302.66</v>
      </c>
      <c r="J252" s="9" t="n">
        <v>182302.66</v>
      </c>
      <c r="K252" s="9" t="n">
        <v>182302.66</v>
      </c>
      <c r="L252" s="9">
        <f>K252-H252</f>
        <v/>
      </c>
      <c r="M252" s="32">
        <f>IFERROR(L252/H252," ")</f>
        <v/>
      </c>
      <c r="N252">
        <f>IF(A252="BS",IFERROR(VLOOKUP(TRIM($E252),'BS Mapping std'!$A:$D,4,0),VLOOKUP(TRIM($D252),'BS Mapping std'!$A:$D,4,0)),IFERROR(VLOOKUP(TRIM($E252),'PL mapping Std'!$A:$D,4,0),VLOOKUP(TRIM($D252),'PL mapping Std'!$A:$D,4,0)))</f>
        <v/>
      </c>
      <c r="O252">
        <f>_xlfn.IFERROR(VLOOKUP(E252,'F30 mapping'!A:C,3,0),VLOOKUP(D252,'F30 mapping'!A:C,3,0))</f>
        <v/>
      </c>
      <c r="P252">
        <f>_xlfn.IFERROR(IFERROR(VLOOKUP(E252,'F40 mapping'!A:C,3,0),VLOOKUP(D252,'F40 mapping'!A:C,3,0)),0)</f>
        <v/>
      </c>
      <c r="Q252">
        <f>_xlfn.IFERROR(IFERROR(VLOOKUP(E252,'F40 mapping'!A:D,4,0),VLOOKUP(D252,'F40 mapping'!A:D,4,0)),0)</f>
        <v/>
      </c>
      <c r="R252">
        <f>_xlfn.IFERROR(IFERROR(VLOOKUP(E252,'F40 mapping'!A:E,5,0),VLOOKUP(D252,'F40 mapping'!A:E,5,0)),0)</f>
        <v/>
      </c>
      <c r="S252">
        <f>_xlfn.IF(B252&lt;6,IFERROR(VLOOKUP(E252,'BS Mapping std'!A:E,5,0),VLOOKUP(D252,'BS Mapping std'!A:E,5,0)),IFERROR(VLOOKUP(E252,'PL mapping Std'!A:F,6,0),VLOOKUP(D252,'PL mapping Std'!A:F,6,0)))</f>
        <v/>
      </c>
      <c r="T252">
        <f>_xlfn.IF(B252&lt;6,IFERROR(VLOOKUP(E252,'BS Mapping std'!A:F,6,0),VLOOKUP(D252,'BS Mapping std'!A:F,6,0)),IFERROR(VLOOKUP(E252,'PL mapping Std'!A:G,7,0),VLOOKUP(D252,'PL mapping Std'!A:G,7,0)))</f>
        <v/>
      </c>
      <c r="V252">
        <f>IF(IF(A252="BS",IFERROR(VLOOKUP(TRIM($E252),'BS Mapping std'!$A:$H,8,0),VLOOKUP(TRIM($D252),'BS Mapping std'!$A:$H,8,0)),IFERROR(VLOOKUP(TRIM($E252),'PL mapping Std'!$A:$E,5,0),VLOOKUP(TRIM($D252),'PL mapping Std'!$A:$E,5,0)))=0,"",IF(A252="BS",IFERROR(VLOOKUP(TRIM($E252),'BS Mapping std'!$A:$H,8,0),VLOOKUP(TRIM($D252),'BS Mapping std'!$A:$H,8,0)),IFERROR(VLOOKUP(TRIM($E252),'PL mapping Std'!$A:$E,5,0),VLOOKUP(TRIM($D252),'PL mapping Std'!$A:$E,5,0))))</f>
        <v/>
      </c>
      <c r="W252">
        <f>_xlfn.IFERROR(VLOOKUP(E252,'F30 mapping'!A:D,4,0),VLOOKUP(D252,'F30 mapping'!A:D,4,0))</f>
        <v/>
      </c>
      <c r="X252">
        <f>IF(B252&lt;6,IFERROR(VLOOKUP(E252,'BS Mapping std'!A:M,13,0),VLOOKUP(D252,'BS Mapping std'!A:M,13,0)),0)</f>
        <v/>
      </c>
      <c r="Y252">
        <f>IF(B252&lt;6,IFERROR(VLOOKUP(E252,'BS Mapping std'!A:N,14,0),VLOOKUP(D252,'BS Mapping std'!A:N,14,0)),0)</f>
        <v/>
      </c>
    </row>
    <row r="253" spans="1:25">
      <c r="A253">
        <f>IF(B253&lt;6,"BS",IF(B253=6,"Exp","Rev"))</f>
        <v/>
      </c>
      <c r="B253">
        <f>_xlfn.NUMBERVALUE(LEFT(F253,1))</f>
        <v/>
      </c>
      <c r="C253">
        <f>Left(F253,2)</f>
        <v/>
      </c>
      <c r="D253">
        <f>Left(F253,3)</f>
        <v/>
      </c>
      <c r="E253">
        <f>IF(F253="121",Left(F253,3)&amp;"0",Left(F253,4))</f>
        <v/>
      </c>
      <c r="F253" t="n">
        <v>62800080</v>
      </c>
      <c r="G253" t="s">
        <v>271</v>
      </c>
      <c r="H253" s="9" t="n">
        <v>1951032.79</v>
      </c>
      <c r="I253" s="9" t="n">
        <v>2635012.02</v>
      </c>
      <c r="J253" s="9" t="n">
        <v>2635012.02</v>
      </c>
      <c r="K253" s="9" t="n">
        <v>2635012.02</v>
      </c>
      <c r="L253" s="9">
        <f>K253-H253</f>
        <v/>
      </c>
      <c r="M253" s="32">
        <f>IFERROR(L253/H253," ")</f>
        <v/>
      </c>
      <c r="N253">
        <f>IF(A253="BS",IFERROR(VLOOKUP(TRIM($E253),'BS Mapping std'!$A:$D,4,0),VLOOKUP(TRIM($D253),'BS Mapping std'!$A:$D,4,0)),IFERROR(VLOOKUP(TRIM($E253),'PL mapping Std'!$A:$D,4,0),VLOOKUP(TRIM($D253),'PL mapping Std'!$A:$D,4,0)))</f>
        <v/>
      </c>
      <c r="O253">
        <f>_xlfn.IFERROR(VLOOKUP(E253,'F30 mapping'!A:C,3,0),VLOOKUP(D253,'F30 mapping'!A:C,3,0))</f>
        <v/>
      </c>
      <c r="P253">
        <f>_xlfn.IFERROR(IFERROR(VLOOKUP(E253,'F40 mapping'!A:C,3,0),VLOOKUP(D253,'F40 mapping'!A:C,3,0)),0)</f>
        <v/>
      </c>
      <c r="Q253">
        <f>_xlfn.IFERROR(IFERROR(VLOOKUP(E253,'F40 mapping'!A:D,4,0),VLOOKUP(D253,'F40 mapping'!A:D,4,0)),0)</f>
        <v/>
      </c>
      <c r="R253">
        <f>_xlfn.IFERROR(IFERROR(VLOOKUP(E253,'F40 mapping'!A:E,5,0),VLOOKUP(D253,'F40 mapping'!A:E,5,0)),0)</f>
        <v/>
      </c>
      <c r="S253">
        <f>_xlfn.IF(B253&lt;6,IFERROR(VLOOKUP(E253,'BS Mapping std'!A:E,5,0),VLOOKUP(D253,'BS Mapping std'!A:E,5,0)),IFERROR(VLOOKUP(E253,'PL mapping Std'!A:F,6,0),VLOOKUP(D253,'PL mapping Std'!A:F,6,0)))</f>
        <v/>
      </c>
      <c r="T253">
        <f>_xlfn.IF(B253&lt;6,IFERROR(VLOOKUP(E253,'BS Mapping std'!A:F,6,0),VLOOKUP(D253,'BS Mapping std'!A:F,6,0)),IFERROR(VLOOKUP(E253,'PL mapping Std'!A:G,7,0),VLOOKUP(D253,'PL mapping Std'!A:G,7,0)))</f>
        <v/>
      </c>
      <c r="V253">
        <f>IF(IF(A253="BS",IFERROR(VLOOKUP(TRIM($E253),'BS Mapping std'!$A:$H,8,0),VLOOKUP(TRIM($D253),'BS Mapping std'!$A:$H,8,0)),IFERROR(VLOOKUP(TRIM($E253),'PL mapping Std'!$A:$E,5,0),VLOOKUP(TRIM($D253),'PL mapping Std'!$A:$E,5,0)))=0,"",IF(A253="BS",IFERROR(VLOOKUP(TRIM($E253),'BS Mapping std'!$A:$H,8,0),VLOOKUP(TRIM($D253),'BS Mapping std'!$A:$H,8,0)),IFERROR(VLOOKUP(TRIM($E253),'PL mapping Std'!$A:$E,5,0),VLOOKUP(TRIM($D253),'PL mapping Std'!$A:$E,5,0))))</f>
        <v/>
      </c>
      <c r="W253">
        <f>_xlfn.IFERROR(VLOOKUP(E253,'F30 mapping'!A:D,4,0),VLOOKUP(D253,'F30 mapping'!A:D,4,0))</f>
        <v/>
      </c>
      <c r="X253">
        <f>IF(B253&lt;6,IFERROR(VLOOKUP(E253,'BS Mapping std'!A:M,13,0),VLOOKUP(D253,'BS Mapping std'!A:M,13,0)),0)</f>
        <v/>
      </c>
      <c r="Y253">
        <f>IF(B253&lt;6,IFERROR(VLOOKUP(E253,'BS Mapping std'!A:N,14,0),VLOOKUP(D253,'BS Mapping std'!A:N,14,0)),0)</f>
        <v/>
      </c>
    </row>
    <row r="254" spans="1:25">
      <c r="A254">
        <f>IF(B254&lt;6,"BS",IF(B254=6,"Exp","Rev"))</f>
        <v/>
      </c>
      <c r="B254">
        <f>_xlfn.NUMBERVALUE(LEFT(F254,1))</f>
        <v/>
      </c>
      <c r="C254">
        <f>Left(F254,2)</f>
        <v/>
      </c>
      <c r="D254">
        <f>Left(F254,3)</f>
        <v/>
      </c>
      <c r="E254">
        <f>IF(F254="121",Left(F254,3)&amp;"0",Left(F254,4))</f>
        <v/>
      </c>
      <c r="F254" t="n">
        <v>62800090</v>
      </c>
      <c r="G254" t="s">
        <v>272</v>
      </c>
      <c r="H254" s="9" t="n">
        <v>2643.75</v>
      </c>
      <c r="I254" s="9" t="n">
        <v>2543.99</v>
      </c>
      <c r="J254" s="9" t="n">
        <v>2543.99</v>
      </c>
      <c r="K254" s="9" t="n">
        <v>2543.99</v>
      </c>
      <c r="L254" s="9">
        <f>K254-H254</f>
        <v/>
      </c>
      <c r="M254" s="32">
        <f>IFERROR(L254/H254," ")</f>
        <v/>
      </c>
      <c r="N254">
        <f>IF(A254="BS",IFERROR(VLOOKUP(TRIM($E254),'BS Mapping std'!$A:$D,4,0),VLOOKUP(TRIM($D254),'BS Mapping std'!$A:$D,4,0)),IFERROR(VLOOKUP(TRIM($E254),'PL mapping Std'!$A:$D,4,0),VLOOKUP(TRIM($D254),'PL mapping Std'!$A:$D,4,0)))</f>
        <v/>
      </c>
      <c r="O254">
        <f>_xlfn.IFERROR(VLOOKUP(E254,'F30 mapping'!A:C,3,0),VLOOKUP(D254,'F30 mapping'!A:C,3,0))</f>
        <v/>
      </c>
      <c r="P254">
        <f>_xlfn.IFERROR(IFERROR(VLOOKUP(E254,'F40 mapping'!A:C,3,0),VLOOKUP(D254,'F40 mapping'!A:C,3,0)),0)</f>
        <v/>
      </c>
      <c r="Q254">
        <f>_xlfn.IFERROR(IFERROR(VLOOKUP(E254,'F40 mapping'!A:D,4,0),VLOOKUP(D254,'F40 mapping'!A:D,4,0)),0)</f>
        <v/>
      </c>
      <c r="R254">
        <f>_xlfn.IFERROR(IFERROR(VLOOKUP(E254,'F40 mapping'!A:E,5,0),VLOOKUP(D254,'F40 mapping'!A:E,5,0)),0)</f>
        <v/>
      </c>
      <c r="S254">
        <f>_xlfn.IF(B254&lt;6,IFERROR(VLOOKUP(E254,'BS Mapping std'!A:E,5,0),VLOOKUP(D254,'BS Mapping std'!A:E,5,0)),IFERROR(VLOOKUP(E254,'PL mapping Std'!A:F,6,0),VLOOKUP(D254,'PL mapping Std'!A:F,6,0)))</f>
        <v/>
      </c>
      <c r="T254">
        <f>_xlfn.IF(B254&lt;6,IFERROR(VLOOKUP(E254,'BS Mapping std'!A:F,6,0),VLOOKUP(D254,'BS Mapping std'!A:F,6,0)),IFERROR(VLOOKUP(E254,'PL mapping Std'!A:G,7,0),VLOOKUP(D254,'PL mapping Std'!A:G,7,0)))</f>
        <v/>
      </c>
      <c r="V254">
        <f>IF(IF(A254="BS",IFERROR(VLOOKUP(TRIM($E254),'BS Mapping std'!$A:$H,8,0),VLOOKUP(TRIM($D254),'BS Mapping std'!$A:$H,8,0)),IFERROR(VLOOKUP(TRIM($E254),'PL mapping Std'!$A:$E,5,0),VLOOKUP(TRIM($D254),'PL mapping Std'!$A:$E,5,0)))=0,"",IF(A254="BS",IFERROR(VLOOKUP(TRIM($E254),'BS Mapping std'!$A:$H,8,0),VLOOKUP(TRIM($D254),'BS Mapping std'!$A:$H,8,0)),IFERROR(VLOOKUP(TRIM($E254),'PL mapping Std'!$A:$E,5,0),VLOOKUP(TRIM($D254),'PL mapping Std'!$A:$E,5,0))))</f>
        <v/>
      </c>
      <c r="W254">
        <f>_xlfn.IFERROR(VLOOKUP(E254,'F30 mapping'!A:D,4,0),VLOOKUP(D254,'F30 mapping'!A:D,4,0))</f>
        <v/>
      </c>
      <c r="X254">
        <f>IF(B254&lt;6,IFERROR(VLOOKUP(E254,'BS Mapping std'!A:M,13,0),VLOOKUP(D254,'BS Mapping std'!A:M,13,0)),0)</f>
        <v/>
      </c>
      <c r="Y254">
        <f>IF(B254&lt;6,IFERROR(VLOOKUP(E254,'BS Mapping std'!A:N,14,0),VLOOKUP(D254,'BS Mapping std'!A:N,14,0)),0)</f>
        <v/>
      </c>
    </row>
    <row r="255" spans="1:25">
      <c r="A255">
        <f>IF(B255&lt;6,"BS",IF(B255=6,"Exp","Rev"))</f>
        <v/>
      </c>
      <c r="B255">
        <f>_xlfn.NUMBERVALUE(LEFT(F255,1))</f>
        <v/>
      </c>
      <c r="C255">
        <f>Left(F255,2)</f>
        <v/>
      </c>
      <c r="D255">
        <f>Left(F255,3)</f>
        <v/>
      </c>
      <c r="E255">
        <f>IF(F255="121",Left(F255,3)&amp;"0",Left(F255,4))</f>
        <v/>
      </c>
      <c r="F255" t="n">
        <v>62800100</v>
      </c>
      <c r="G255" t="s">
        <v>273</v>
      </c>
      <c r="H255" s="9" t="n">
        <v>474570.74</v>
      </c>
      <c r="I255" s="9" t="n">
        <v>492107.1</v>
      </c>
      <c r="J255" s="9" t="n">
        <v>492107.1</v>
      </c>
      <c r="K255" s="9" t="n">
        <v>492107.1</v>
      </c>
      <c r="L255" s="9">
        <f>K255-H255</f>
        <v/>
      </c>
      <c r="M255" s="32">
        <f>IFERROR(L255/H255," ")</f>
        <v/>
      </c>
      <c r="N255">
        <f>IF(A255="BS",IFERROR(VLOOKUP(TRIM($E255),'BS Mapping std'!$A:$D,4,0),VLOOKUP(TRIM($D255),'BS Mapping std'!$A:$D,4,0)),IFERROR(VLOOKUP(TRIM($E255),'PL mapping Std'!$A:$D,4,0),VLOOKUP(TRIM($D255),'PL mapping Std'!$A:$D,4,0)))</f>
        <v/>
      </c>
      <c r="O255">
        <f>_xlfn.IFERROR(VLOOKUP(E255,'F30 mapping'!A:C,3,0),VLOOKUP(D255,'F30 mapping'!A:C,3,0))</f>
        <v/>
      </c>
      <c r="P255">
        <f>_xlfn.IFERROR(IFERROR(VLOOKUP(E255,'F40 mapping'!A:C,3,0),VLOOKUP(D255,'F40 mapping'!A:C,3,0)),0)</f>
        <v/>
      </c>
      <c r="Q255">
        <f>_xlfn.IFERROR(IFERROR(VLOOKUP(E255,'F40 mapping'!A:D,4,0),VLOOKUP(D255,'F40 mapping'!A:D,4,0)),0)</f>
        <v/>
      </c>
      <c r="R255">
        <f>_xlfn.IFERROR(IFERROR(VLOOKUP(E255,'F40 mapping'!A:E,5,0),VLOOKUP(D255,'F40 mapping'!A:E,5,0)),0)</f>
        <v/>
      </c>
      <c r="S255">
        <f>_xlfn.IF(B255&lt;6,IFERROR(VLOOKUP(E255,'BS Mapping std'!A:E,5,0),VLOOKUP(D255,'BS Mapping std'!A:E,5,0)),IFERROR(VLOOKUP(E255,'PL mapping Std'!A:F,6,0),VLOOKUP(D255,'PL mapping Std'!A:F,6,0)))</f>
        <v/>
      </c>
      <c r="T255">
        <f>_xlfn.IF(B255&lt;6,IFERROR(VLOOKUP(E255,'BS Mapping std'!A:F,6,0),VLOOKUP(D255,'BS Mapping std'!A:F,6,0)),IFERROR(VLOOKUP(E255,'PL mapping Std'!A:G,7,0),VLOOKUP(D255,'PL mapping Std'!A:G,7,0)))</f>
        <v/>
      </c>
      <c r="V255">
        <f>IF(IF(A255="BS",IFERROR(VLOOKUP(TRIM($E255),'BS Mapping std'!$A:$H,8,0),VLOOKUP(TRIM($D255),'BS Mapping std'!$A:$H,8,0)),IFERROR(VLOOKUP(TRIM($E255),'PL mapping Std'!$A:$E,5,0),VLOOKUP(TRIM($D255),'PL mapping Std'!$A:$E,5,0)))=0,"",IF(A255="BS",IFERROR(VLOOKUP(TRIM($E255),'BS Mapping std'!$A:$H,8,0),VLOOKUP(TRIM($D255),'BS Mapping std'!$A:$H,8,0)),IFERROR(VLOOKUP(TRIM($E255),'PL mapping Std'!$A:$E,5,0),VLOOKUP(TRIM($D255),'PL mapping Std'!$A:$E,5,0))))</f>
        <v/>
      </c>
      <c r="W255">
        <f>_xlfn.IFERROR(VLOOKUP(E255,'F30 mapping'!A:D,4,0),VLOOKUP(D255,'F30 mapping'!A:D,4,0))</f>
        <v/>
      </c>
      <c r="X255">
        <f>IF(B255&lt;6,IFERROR(VLOOKUP(E255,'BS Mapping std'!A:M,13,0),VLOOKUP(D255,'BS Mapping std'!A:M,13,0)),0)</f>
        <v/>
      </c>
      <c r="Y255">
        <f>IF(B255&lt;6,IFERROR(VLOOKUP(E255,'BS Mapping std'!A:N,14,0),VLOOKUP(D255,'BS Mapping std'!A:N,14,0)),0)</f>
        <v/>
      </c>
    </row>
    <row r="256" spans="1:25">
      <c r="A256">
        <f>IF(B256&lt;6,"BS",IF(B256=6,"Exp","Rev"))</f>
        <v/>
      </c>
      <c r="B256">
        <f>_xlfn.NUMBERVALUE(LEFT(F256,1))</f>
        <v/>
      </c>
      <c r="C256">
        <f>Left(F256,2)</f>
        <v/>
      </c>
      <c r="D256">
        <f>Left(F256,3)</f>
        <v/>
      </c>
      <c r="E256">
        <f>IF(F256="121",Left(F256,3)&amp;"0",Left(F256,4))</f>
        <v/>
      </c>
      <c r="F256" t="n">
        <v>62800110</v>
      </c>
      <c r="G256" t="s">
        <v>274</v>
      </c>
      <c r="H256" s="9" t="n">
        <v>1006639.75</v>
      </c>
      <c r="I256" s="9" t="n">
        <v>3493191.14</v>
      </c>
      <c r="J256" s="9" t="n">
        <v>3493191.14</v>
      </c>
      <c r="K256" s="9" t="n">
        <v>3493191.14</v>
      </c>
      <c r="L256" s="9">
        <f>K256-H256</f>
        <v/>
      </c>
      <c r="M256" s="32">
        <f>IFERROR(L256/H256," ")</f>
        <v/>
      </c>
      <c r="N256">
        <f>IF(A256="BS",IFERROR(VLOOKUP(TRIM($E256),'BS Mapping std'!$A:$D,4,0),VLOOKUP(TRIM($D256),'BS Mapping std'!$A:$D,4,0)),IFERROR(VLOOKUP(TRIM($E256),'PL mapping Std'!$A:$D,4,0),VLOOKUP(TRIM($D256),'PL mapping Std'!$A:$D,4,0)))</f>
        <v/>
      </c>
      <c r="O256">
        <f>_xlfn.IFERROR(VLOOKUP(E256,'F30 mapping'!A:C,3,0),VLOOKUP(D256,'F30 mapping'!A:C,3,0))</f>
        <v/>
      </c>
      <c r="P256">
        <f>_xlfn.IFERROR(IFERROR(VLOOKUP(E256,'F40 mapping'!A:C,3,0),VLOOKUP(D256,'F40 mapping'!A:C,3,0)),0)</f>
        <v/>
      </c>
      <c r="Q256">
        <f>_xlfn.IFERROR(IFERROR(VLOOKUP(E256,'F40 mapping'!A:D,4,0),VLOOKUP(D256,'F40 mapping'!A:D,4,0)),0)</f>
        <v/>
      </c>
      <c r="R256">
        <f>_xlfn.IFERROR(IFERROR(VLOOKUP(E256,'F40 mapping'!A:E,5,0),VLOOKUP(D256,'F40 mapping'!A:E,5,0)),0)</f>
        <v/>
      </c>
      <c r="S256">
        <f>_xlfn.IF(B256&lt;6,IFERROR(VLOOKUP(E256,'BS Mapping std'!A:E,5,0),VLOOKUP(D256,'BS Mapping std'!A:E,5,0)),IFERROR(VLOOKUP(E256,'PL mapping Std'!A:F,6,0),VLOOKUP(D256,'PL mapping Std'!A:F,6,0)))</f>
        <v/>
      </c>
      <c r="T256">
        <f>_xlfn.IF(B256&lt;6,IFERROR(VLOOKUP(E256,'BS Mapping std'!A:F,6,0),VLOOKUP(D256,'BS Mapping std'!A:F,6,0)),IFERROR(VLOOKUP(E256,'PL mapping Std'!A:G,7,0),VLOOKUP(D256,'PL mapping Std'!A:G,7,0)))</f>
        <v/>
      </c>
      <c r="V256">
        <f>IF(IF(A256="BS",IFERROR(VLOOKUP(TRIM($E256),'BS Mapping std'!$A:$H,8,0),VLOOKUP(TRIM($D256),'BS Mapping std'!$A:$H,8,0)),IFERROR(VLOOKUP(TRIM($E256),'PL mapping Std'!$A:$E,5,0),VLOOKUP(TRIM($D256),'PL mapping Std'!$A:$E,5,0)))=0,"",IF(A256="BS",IFERROR(VLOOKUP(TRIM($E256),'BS Mapping std'!$A:$H,8,0),VLOOKUP(TRIM($D256),'BS Mapping std'!$A:$H,8,0)),IFERROR(VLOOKUP(TRIM($E256),'PL mapping Std'!$A:$E,5,0),VLOOKUP(TRIM($D256),'PL mapping Std'!$A:$E,5,0))))</f>
        <v/>
      </c>
      <c r="W256">
        <f>_xlfn.IFERROR(VLOOKUP(E256,'F30 mapping'!A:D,4,0),VLOOKUP(D256,'F30 mapping'!A:D,4,0))</f>
        <v/>
      </c>
      <c r="X256">
        <f>IF(B256&lt;6,IFERROR(VLOOKUP(E256,'BS Mapping std'!A:M,13,0),VLOOKUP(D256,'BS Mapping std'!A:M,13,0)),0)</f>
        <v/>
      </c>
      <c r="Y256">
        <f>IF(B256&lt;6,IFERROR(VLOOKUP(E256,'BS Mapping std'!A:N,14,0),VLOOKUP(D256,'BS Mapping std'!A:N,14,0)),0)</f>
        <v/>
      </c>
    </row>
    <row r="257" spans="1:25">
      <c r="A257">
        <f>IF(B257&lt;6,"BS",IF(B257=6,"Exp","Rev"))</f>
        <v/>
      </c>
      <c r="B257">
        <f>_xlfn.NUMBERVALUE(LEFT(F257,1))</f>
        <v/>
      </c>
      <c r="C257">
        <f>Left(F257,2)</f>
        <v/>
      </c>
      <c r="D257">
        <f>Left(F257,3)</f>
        <v/>
      </c>
      <c r="E257">
        <f>IF(F257="121",Left(F257,3)&amp;"0",Left(F257,4))</f>
        <v/>
      </c>
      <c r="F257" t="n">
        <v>62800130</v>
      </c>
      <c r="G257" t="s">
        <v>275</v>
      </c>
      <c r="H257" s="9" t="n">
        <v>333573.59</v>
      </c>
      <c r="I257" s="9" t="n">
        <v>395443.96</v>
      </c>
      <c r="J257" s="9" t="n">
        <v>395443.96</v>
      </c>
      <c r="K257" s="9" t="n">
        <v>395443.96</v>
      </c>
      <c r="L257" s="9">
        <f>K257-H257</f>
        <v/>
      </c>
      <c r="M257" s="32">
        <f>IFERROR(L257/H257," ")</f>
        <v/>
      </c>
      <c r="N257">
        <f>IF(A257="BS",IFERROR(VLOOKUP(TRIM($E257),'BS Mapping std'!$A:$D,4,0),VLOOKUP(TRIM($D257),'BS Mapping std'!$A:$D,4,0)),IFERROR(VLOOKUP(TRIM($E257),'PL mapping Std'!$A:$D,4,0),VLOOKUP(TRIM($D257),'PL mapping Std'!$A:$D,4,0)))</f>
        <v/>
      </c>
      <c r="O257">
        <f>_xlfn.IFERROR(VLOOKUP(E257,'F30 mapping'!A:C,3,0),VLOOKUP(D257,'F30 mapping'!A:C,3,0))</f>
        <v/>
      </c>
      <c r="P257">
        <f>_xlfn.IFERROR(IFERROR(VLOOKUP(E257,'F40 mapping'!A:C,3,0),VLOOKUP(D257,'F40 mapping'!A:C,3,0)),0)</f>
        <v/>
      </c>
      <c r="Q257">
        <f>_xlfn.IFERROR(IFERROR(VLOOKUP(E257,'F40 mapping'!A:D,4,0),VLOOKUP(D257,'F40 mapping'!A:D,4,0)),0)</f>
        <v/>
      </c>
      <c r="R257">
        <f>_xlfn.IFERROR(IFERROR(VLOOKUP(E257,'F40 mapping'!A:E,5,0),VLOOKUP(D257,'F40 mapping'!A:E,5,0)),0)</f>
        <v/>
      </c>
      <c r="S257">
        <f>_xlfn.IF(B257&lt;6,IFERROR(VLOOKUP(E257,'BS Mapping std'!A:E,5,0),VLOOKUP(D257,'BS Mapping std'!A:E,5,0)),IFERROR(VLOOKUP(E257,'PL mapping Std'!A:F,6,0),VLOOKUP(D257,'PL mapping Std'!A:F,6,0)))</f>
        <v/>
      </c>
      <c r="T257">
        <f>_xlfn.IF(B257&lt;6,IFERROR(VLOOKUP(E257,'BS Mapping std'!A:F,6,0),VLOOKUP(D257,'BS Mapping std'!A:F,6,0)),IFERROR(VLOOKUP(E257,'PL mapping Std'!A:G,7,0),VLOOKUP(D257,'PL mapping Std'!A:G,7,0)))</f>
        <v/>
      </c>
      <c r="V257">
        <f>IF(IF(A257="BS",IFERROR(VLOOKUP(TRIM($E257),'BS Mapping std'!$A:$H,8,0),VLOOKUP(TRIM($D257),'BS Mapping std'!$A:$H,8,0)),IFERROR(VLOOKUP(TRIM($E257),'PL mapping Std'!$A:$E,5,0),VLOOKUP(TRIM($D257),'PL mapping Std'!$A:$E,5,0)))=0,"",IF(A257="BS",IFERROR(VLOOKUP(TRIM($E257),'BS Mapping std'!$A:$H,8,0),VLOOKUP(TRIM($D257),'BS Mapping std'!$A:$H,8,0)),IFERROR(VLOOKUP(TRIM($E257),'PL mapping Std'!$A:$E,5,0),VLOOKUP(TRIM($D257),'PL mapping Std'!$A:$E,5,0))))</f>
        <v/>
      </c>
      <c r="W257">
        <f>_xlfn.IFERROR(VLOOKUP(E257,'F30 mapping'!A:D,4,0),VLOOKUP(D257,'F30 mapping'!A:D,4,0))</f>
        <v/>
      </c>
      <c r="X257">
        <f>IF(B257&lt;6,IFERROR(VLOOKUP(E257,'BS Mapping std'!A:M,13,0),VLOOKUP(D257,'BS Mapping std'!A:M,13,0)),0)</f>
        <v/>
      </c>
      <c r="Y257">
        <f>IF(B257&lt;6,IFERROR(VLOOKUP(E257,'BS Mapping std'!A:N,14,0),VLOOKUP(D257,'BS Mapping std'!A:N,14,0)),0)</f>
        <v/>
      </c>
    </row>
    <row r="258" spans="1:25">
      <c r="A258">
        <f>IF(B258&lt;6,"BS",IF(B258=6,"Exp","Rev"))</f>
        <v/>
      </c>
      <c r="B258">
        <f>_xlfn.NUMBERVALUE(LEFT(F258,1))</f>
        <v/>
      </c>
      <c r="C258">
        <f>Left(F258,2)</f>
        <v/>
      </c>
      <c r="D258">
        <f>Left(F258,3)</f>
        <v/>
      </c>
      <c r="E258">
        <f>IF(F258="121",Left(F258,3)&amp;"0",Left(F258,4))</f>
        <v/>
      </c>
      <c r="F258" t="n">
        <v>63500001</v>
      </c>
      <c r="G258" t="s">
        <v>276</v>
      </c>
      <c r="H258" s="9" t="n">
        <v>2465.22</v>
      </c>
      <c r="I258" s="9" t="n">
        <v>4080.46</v>
      </c>
      <c r="J258" s="9" t="n">
        <v>4080.46</v>
      </c>
      <c r="K258" s="9" t="n">
        <v>4080.46</v>
      </c>
      <c r="L258" s="9">
        <f>K258-H258</f>
        <v/>
      </c>
      <c r="M258" s="32">
        <f>IFERROR(L258/H258," ")</f>
        <v/>
      </c>
      <c r="N258">
        <f>IF(A258="BS",IFERROR(VLOOKUP(TRIM($E258),'BS Mapping std'!$A:$D,4,0),VLOOKUP(TRIM($D258),'BS Mapping std'!$A:$D,4,0)),IFERROR(VLOOKUP(TRIM($E258),'PL mapping Std'!$A:$D,4,0),VLOOKUP(TRIM($D258),'PL mapping Std'!$A:$D,4,0)))</f>
        <v/>
      </c>
      <c r="O258">
        <f>_xlfn.IFERROR(VLOOKUP(E258,'F30 mapping'!A:C,3,0),VLOOKUP(D258,'F30 mapping'!A:C,3,0))</f>
        <v/>
      </c>
      <c r="P258">
        <f>_xlfn.IFERROR(IFERROR(VLOOKUP(E258,'F40 mapping'!A:C,3,0),VLOOKUP(D258,'F40 mapping'!A:C,3,0)),0)</f>
        <v/>
      </c>
      <c r="Q258">
        <f>_xlfn.IFERROR(IFERROR(VLOOKUP(E258,'F40 mapping'!A:D,4,0),VLOOKUP(D258,'F40 mapping'!A:D,4,0)),0)</f>
        <v/>
      </c>
      <c r="R258">
        <f>_xlfn.IFERROR(IFERROR(VLOOKUP(E258,'F40 mapping'!A:E,5,0),VLOOKUP(D258,'F40 mapping'!A:E,5,0)),0)</f>
        <v/>
      </c>
      <c r="S258">
        <f>_xlfn.IF(B258&lt;6,IFERROR(VLOOKUP(E258,'BS Mapping std'!A:E,5,0),VLOOKUP(D258,'BS Mapping std'!A:E,5,0)),IFERROR(VLOOKUP(E258,'PL mapping Std'!A:F,6,0),VLOOKUP(D258,'PL mapping Std'!A:F,6,0)))</f>
        <v/>
      </c>
      <c r="T258">
        <f>_xlfn.IF(B258&lt;6,IFERROR(VLOOKUP(E258,'BS Mapping std'!A:F,6,0),VLOOKUP(D258,'BS Mapping std'!A:F,6,0)),IFERROR(VLOOKUP(E258,'PL mapping Std'!A:G,7,0),VLOOKUP(D258,'PL mapping Std'!A:G,7,0)))</f>
        <v/>
      </c>
      <c r="V258">
        <f>IF(IF(A258="BS",IFERROR(VLOOKUP(TRIM($E258),'BS Mapping std'!$A:$H,8,0),VLOOKUP(TRIM($D258),'BS Mapping std'!$A:$H,8,0)),IFERROR(VLOOKUP(TRIM($E258),'PL mapping Std'!$A:$E,5,0),VLOOKUP(TRIM($D258),'PL mapping Std'!$A:$E,5,0)))=0,"",IF(A258="BS",IFERROR(VLOOKUP(TRIM($E258),'BS Mapping std'!$A:$H,8,0),VLOOKUP(TRIM($D258),'BS Mapping std'!$A:$H,8,0)),IFERROR(VLOOKUP(TRIM($E258),'PL mapping Std'!$A:$E,5,0),VLOOKUP(TRIM($D258),'PL mapping Std'!$A:$E,5,0))))</f>
        <v/>
      </c>
      <c r="W258">
        <f>_xlfn.IFERROR(VLOOKUP(E258,'F30 mapping'!A:D,4,0),VLOOKUP(D258,'F30 mapping'!A:D,4,0))</f>
        <v/>
      </c>
      <c r="X258">
        <f>IF(B258&lt;6,IFERROR(VLOOKUP(E258,'BS Mapping std'!A:M,13,0),VLOOKUP(D258,'BS Mapping std'!A:M,13,0)),0)</f>
        <v/>
      </c>
      <c r="Y258">
        <f>IF(B258&lt;6,IFERROR(VLOOKUP(E258,'BS Mapping std'!A:N,14,0),VLOOKUP(D258,'BS Mapping std'!A:N,14,0)),0)</f>
        <v/>
      </c>
    </row>
    <row r="259" spans="1:25">
      <c r="A259">
        <f>IF(B259&lt;6,"BS",IF(B259=6,"Exp","Rev"))</f>
        <v/>
      </c>
      <c r="B259">
        <f>_xlfn.NUMBERVALUE(LEFT(F259,1))</f>
        <v/>
      </c>
      <c r="C259">
        <f>Left(F259,2)</f>
        <v/>
      </c>
      <c r="D259">
        <f>Left(F259,3)</f>
        <v/>
      </c>
      <c r="E259">
        <f>IF(F259="121",Left(F259,3)&amp;"0",Left(F259,4))</f>
        <v/>
      </c>
      <c r="F259" t="n">
        <v>63500030</v>
      </c>
      <c r="G259" t="s">
        <v>277</v>
      </c>
      <c r="H259" s="9" t="n">
        <v>0</v>
      </c>
      <c r="I259" s="9" t="n">
        <v>26.27</v>
      </c>
      <c r="J259" s="9" t="n">
        <v>26.27</v>
      </c>
      <c r="K259" s="9" t="n">
        <v>26.27</v>
      </c>
      <c r="L259" s="9">
        <f>K259-H259</f>
        <v/>
      </c>
      <c r="M259" s="32">
        <f>IFERROR(L259/H259," ")</f>
        <v/>
      </c>
      <c r="N259">
        <f>IF(A259="BS",IFERROR(VLOOKUP(TRIM($E259),'BS Mapping std'!$A:$D,4,0),VLOOKUP(TRIM($D259),'BS Mapping std'!$A:$D,4,0)),IFERROR(VLOOKUP(TRIM($E259),'PL mapping Std'!$A:$D,4,0),VLOOKUP(TRIM($D259),'PL mapping Std'!$A:$D,4,0)))</f>
        <v/>
      </c>
      <c r="O259">
        <f>_xlfn.IFERROR(VLOOKUP(E259,'F30 mapping'!A:C,3,0),VLOOKUP(D259,'F30 mapping'!A:C,3,0))</f>
        <v/>
      </c>
      <c r="P259">
        <f>_xlfn.IFERROR(IFERROR(VLOOKUP(E259,'F40 mapping'!A:C,3,0),VLOOKUP(D259,'F40 mapping'!A:C,3,0)),0)</f>
        <v/>
      </c>
      <c r="Q259">
        <f>_xlfn.IFERROR(IFERROR(VLOOKUP(E259,'F40 mapping'!A:D,4,0),VLOOKUP(D259,'F40 mapping'!A:D,4,0)),0)</f>
        <v/>
      </c>
      <c r="R259">
        <f>_xlfn.IFERROR(IFERROR(VLOOKUP(E259,'F40 mapping'!A:E,5,0),VLOOKUP(D259,'F40 mapping'!A:E,5,0)),0)</f>
        <v/>
      </c>
      <c r="S259">
        <f>_xlfn.IF(B259&lt;6,IFERROR(VLOOKUP(E259,'BS Mapping std'!A:E,5,0),VLOOKUP(D259,'BS Mapping std'!A:E,5,0)),IFERROR(VLOOKUP(E259,'PL mapping Std'!A:F,6,0),VLOOKUP(D259,'PL mapping Std'!A:F,6,0)))</f>
        <v/>
      </c>
      <c r="T259">
        <f>_xlfn.IF(B259&lt;6,IFERROR(VLOOKUP(E259,'BS Mapping std'!A:F,6,0),VLOOKUP(D259,'BS Mapping std'!A:F,6,0)),IFERROR(VLOOKUP(E259,'PL mapping Std'!A:G,7,0),VLOOKUP(D259,'PL mapping Std'!A:G,7,0)))</f>
        <v/>
      </c>
      <c r="V259">
        <f>IF(IF(A259="BS",IFERROR(VLOOKUP(TRIM($E259),'BS Mapping std'!$A:$H,8,0),VLOOKUP(TRIM($D259),'BS Mapping std'!$A:$H,8,0)),IFERROR(VLOOKUP(TRIM($E259),'PL mapping Std'!$A:$E,5,0),VLOOKUP(TRIM($D259),'PL mapping Std'!$A:$E,5,0)))=0,"",IF(A259="BS",IFERROR(VLOOKUP(TRIM($E259),'BS Mapping std'!$A:$H,8,0),VLOOKUP(TRIM($D259),'BS Mapping std'!$A:$H,8,0)),IFERROR(VLOOKUP(TRIM($E259),'PL mapping Std'!$A:$E,5,0),VLOOKUP(TRIM($D259),'PL mapping Std'!$A:$E,5,0))))</f>
        <v/>
      </c>
      <c r="W259">
        <f>_xlfn.IFERROR(VLOOKUP(E259,'F30 mapping'!A:D,4,0),VLOOKUP(D259,'F30 mapping'!A:D,4,0))</f>
        <v/>
      </c>
      <c r="X259">
        <f>IF(B259&lt;6,IFERROR(VLOOKUP(E259,'BS Mapping std'!A:M,13,0),VLOOKUP(D259,'BS Mapping std'!A:M,13,0)),0)</f>
        <v/>
      </c>
      <c r="Y259">
        <f>IF(B259&lt;6,IFERROR(VLOOKUP(E259,'BS Mapping std'!A:N,14,0),VLOOKUP(D259,'BS Mapping std'!A:N,14,0)),0)</f>
        <v/>
      </c>
    </row>
    <row r="260" spans="1:25">
      <c r="A260">
        <f>IF(B260&lt;6,"BS",IF(B260=6,"Exp","Rev"))</f>
        <v/>
      </c>
      <c r="B260">
        <f>_xlfn.NUMBERVALUE(LEFT(F260,1))</f>
        <v/>
      </c>
      <c r="C260">
        <f>Left(F260,2)</f>
        <v/>
      </c>
      <c r="D260">
        <f>Left(F260,3)</f>
        <v/>
      </c>
      <c r="E260">
        <f>IF(F260="121",Left(F260,3)&amp;"0",Left(F260,4))</f>
        <v/>
      </c>
      <c r="F260" t="n">
        <v>63500100</v>
      </c>
      <c r="G260" t="s">
        <v>278</v>
      </c>
      <c r="H260" s="9" t="n">
        <v>288385.6</v>
      </c>
      <c r="I260" s="9" t="n">
        <v>352311.32</v>
      </c>
      <c r="J260" s="9" t="n">
        <v>352311.32</v>
      </c>
      <c r="K260" s="9" t="n">
        <v>352311.32</v>
      </c>
      <c r="L260" s="9">
        <f>K260-H260</f>
        <v/>
      </c>
      <c r="M260" s="32">
        <f>IFERROR(L260/H260," ")</f>
        <v/>
      </c>
      <c r="N260">
        <f>IF(A260="BS",IFERROR(VLOOKUP(TRIM($E260),'BS Mapping std'!$A:$D,4,0),VLOOKUP(TRIM($D260),'BS Mapping std'!$A:$D,4,0)),IFERROR(VLOOKUP(TRIM($E260),'PL mapping Std'!$A:$D,4,0),VLOOKUP(TRIM($D260),'PL mapping Std'!$A:$D,4,0)))</f>
        <v/>
      </c>
      <c r="O260">
        <f>_xlfn.IFERROR(VLOOKUP(E260,'F30 mapping'!A:C,3,0),VLOOKUP(D260,'F30 mapping'!A:C,3,0))</f>
        <v/>
      </c>
      <c r="P260">
        <f>_xlfn.IFERROR(IFERROR(VLOOKUP(E260,'F40 mapping'!A:C,3,0),VLOOKUP(D260,'F40 mapping'!A:C,3,0)),0)</f>
        <v/>
      </c>
      <c r="Q260">
        <f>_xlfn.IFERROR(IFERROR(VLOOKUP(E260,'F40 mapping'!A:D,4,0),VLOOKUP(D260,'F40 mapping'!A:D,4,0)),0)</f>
        <v/>
      </c>
      <c r="R260">
        <f>_xlfn.IFERROR(IFERROR(VLOOKUP(E260,'F40 mapping'!A:E,5,0),VLOOKUP(D260,'F40 mapping'!A:E,5,0)),0)</f>
        <v/>
      </c>
      <c r="S260">
        <f>_xlfn.IF(B260&lt;6,IFERROR(VLOOKUP(E260,'BS Mapping std'!A:E,5,0),VLOOKUP(D260,'BS Mapping std'!A:E,5,0)),IFERROR(VLOOKUP(E260,'PL mapping Std'!A:F,6,0),VLOOKUP(D260,'PL mapping Std'!A:F,6,0)))</f>
        <v/>
      </c>
      <c r="T260">
        <f>_xlfn.IF(B260&lt;6,IFERROR(VLOOKUP(E260,'BS Mapping std'!A:F,6,0),VLOOKUP(D260,'BS Mapping std'!A:F,6,0)),IFERROR(VLOOKUP(E260,'PL mapping Std'!A:G,7,0),VLOOKUP(D260,'PL mapping Std'!A:G,7,0)))</f>
        <v/>
      </c>
      <c r="V260">
        <f>IF(IF(A260="BS",IFERROR(VLOOKUP(TRIM($E260),'BS Mapping std'!$A:$H,8,0),VLOOKUP(TRIM($D260),'BS Mapping std'!$A:$H,8,0)),IFERROR(VLOOKUP(TRIM($E260),'PL mapping Std'!$A:$E,5,0),VLOOKUP(TRIM($D260),'PL mapping Std'!$A:$E,5,0)))=0,"",IF(A260="BS",IFERROR(VLOOKUP(TRIM($E260),'BS Mapping std'!$A:$H,8,0),VLOOKUP(TRIM($D260),'BS Mapping std'!$A:$H,8,0)),IFERROR(VLOOKUP(TRIM($E260),'PL mapping Std'!$A:$E,5,0),VLOOKUP(TRIM($D260),'PL mapping Std'!$A:$E,5,0))))</f>
        <v/>
      </c>
      <c r="W260">
        <f>_xlfn.IFERROR(VLOOKUP(E260,'F30 mapping'!A:D,4,0),VLOOKUP(D260,'F30 mapping'!A:D,4,0))</f>
        <v/>
      </c>
      <c r="X260">
        <f>IF(B260&lt;6,IFERROR(VLOOKUP(E260,'BS Mapping std'!A:M,13,0),VLOOKUP(D260,'BS Mapping std'!A:M,13,0)),0)</f>
        <v/>
      </c>
      <c r="Y260">
        <f>IF(B260&lt;6,IFERROR(VLOOKUP(E260,'BS Mapping std'!A:N,14,0),VLOOKUP(D260,'BS Mapping std'!A:N,14,0)),0)</f>
        <v/>
      </c>
    </row>
    <row r="261" spans="1:25">
      <c r="A261">
        <f>IF(B261&lt;6,"BS",IF(B261=6,"Exp","Rev"))</f>
        <v/>
      </c>
      <c r="B261">
        <f>_xlfn.NUMBERVALUE(LEFT(F261,1))</f>
        <v/>
      </c>
      <c r="C261">
        <f>Left(F261,2)</f>
        <v/>
      </c>
      <c r="D261">
        <f>Left(F261,3)</f>
        <v/>
      </c>
      <c r="E261">
        <f>IF(F261="121",Left(F261,3)&amp;"0",Left(F261,4))</f>
        <v/>
      </c>
      <c r="F261" t="n">
        <v>63500200</v>
      </c>
      <c r="G261" t="s">
        <v>279</v>
      </c>
      <c r="H261" s="9" t="n">
        <v>21493.4</v>
      </c>
      <c r="I261" s="9" t="n">
        <v>25856.68</v>
      </c>
      <c r="J261" s="9" t="n">
        <v>25856.68</v>
      </c>
      <c r="K261" s="9" t="n">
        <v>25856.68</v>
      </c>
      <c r="L261" s="9">
        <f>K261-H261</f>
        <v/>
      </c>
      <c r="M261" s="32">
        <f>IFERROR(L261/H261," ")</f>
        <v/>
      </c>
      <c r="N261">
        <f>IF(A261="BS",IFERROR(VLOOKUP(TRIM($E261),'BS Mapping std'!$A:$D,4,0),VLOOKUP(TRIM($D261),'BS Mapping std'!$A:$D,4,0)),IFERROR(VLOOKUP(TRIM($E261),'PL mapping Std'!$A:$D,4,0),VLOOKUP(TRIM($D261),'PL mapping Std'!$A:$D,4,0)))</f>
        <v/>
      </c>
      <c r="O261">
        <f>_xlfn.IFERROR(VLOOKUP(E261,'F30 mapping'!A:C,3,0),VLOOKUP(D261,'F30 mapping'!A:C,3,0))</f>
        <v/>
      </c>
      <c r="P261">
        <f>_xlfn.IFERROR(IFERROR(VLOOKUP(E261,'F40 mapping'!A:C,3,0),VLOOKUP(D261,'F40 mapping'!A:C,3,0)),0)</f>
        <v/>
      </c>
      <c r="Q261">
        <f>_xlfn.IFERROR(IFERROR(VLOOKUP(E261,'F40 mapping'!A:D,4,0),VLOOKUP(D261,'F40 mapping'!A:D,4,0)),0)</f>
        <v/>
      </c>
      <c r="R261">
        <f>_xlfn.IFERROR(IFERROR(VLOOKUP(E261,'F40 mapping'!A:E,5,0),VLOOKUP(D261,'F40 mapping'!A:E,5,0)),0)</f>
        <v/>
      </c>
      <c r="S261">
        <f>_xlfn.IF(B261&lt;6,IFERROR(VLOOKUP(E261,'BS Mapping std'!A:E,5,0),VLOOKUP(D261,'BS Mapping std'!A:E,5,0)),IFERROR(VLOOKUP(E261,'PL mapping Std'!A:F,6,0),VLOOKUP(D261,'PL mapping Std'!A:F,6,0)))</f>
        <v/>
      </c>
      <c r="T261">
        <f>_xlfn.IF(B261&lt;6,IFERROR(VLOOKUP(E261,'BS Mapping std'!A:F,6,0),VLOOKUP(D261,'BS Mapping std'!A:F,6,0)),IFERROR(VLOOKUP(E261,'PL mapping Std'!A:G,7,0),VLOOKUP(D261,'PL mapping Std'!A:G,7,0)))</f>
        <v/>
      </c>
      <c r="V261">
        <f>IF(IF(A261="BS",IFERROR(VLOOKUP(TRIM($E261),'BS Mapping std'!$A:$H,8,0),VLOOKUP(TRIM($D261),'BS Mapping std'!$A:$H,8,0)),IFERROR(VLOOKUP(TRIM($E261),'PL mapping Std'!$A:$E,5,0),VLOOKUP(TRIM($D261),'PL mapping Std'!$A:$E,5,0)))=0,"",IF(A261="BS",IFERROR(VLOOKUP(TRIM($E261),'BS Mapping std'!$A:$H,8,0),VLOOKUP(TRIM($D261),'BS Mapping std'!$A:$H,8,0)),IFERROR(VLOOKUP(TRIM($E261),'PL mapping Std'!$A:$E,5,0),VLOOKUP(TRIM($D261),'PL mapping Std'!$A:$E,5,0))))</f>
        <v/>
      </c>
      <c r="W261">
        <f>_xlfn.IFERROR(VLOOKUP(E261,'F30 mapping'!A:D,4,0),VLOOKUP(D261,'F30 mapping'!A:D,4,0))</f>
        <v/>
      </c>
      <c r="X261">
        <f>IF(B261&lt;6,IFERROR(VLOOKUP(E261,'BS Mapping std'!A:M,13,0),VLOOKUP(D261,'BS Mapping std'!A:M,13,0)),0)</f>
        <v/>
      </c>
      <c r="Y261">
        <f>IF(B261&lt;6,IFERROR(VLOOKUP(E261,'BS Mapping std'!A:N,14,0),VLOOKUP(D261,'BS Mapping std'!A:N,14,0)),0)</f>
        <v/>
      </c>
    </row>
    <row r="262" spans="1:25">
      <c r="A262">
        <f>IF(B262&lt;6,"BS",IF(B262=6,"Exp","Rev"))</f>
        <v/>
      </c>
      <c r="B262">
        <f>_xlfn.NUMBERVALUE(LEFT(F262,1))</f>
        <v/>
      </c>
      <c r="C262">
        <f>Left(F262,2)</f>
        <v/>
      </c>
      <c r="D262">
        <f>Left(F262,3)</f>
        <v/>
      </c>
      <c r="E262">
        <f>IF(F262="121",Left(F262,3)&amp;"0",Left(F262,4))</f>
        <v/>
      </c>
      <c r="F262" t="n">
        <v>63500300</v>
      </c>
      <c r="G262" t="s">
        <v>280</v>
      </c>
      <c r="H262" s="9" t="n">
        <v>301306</v>
      </c>
      <c r="I262" s="9" t="n">
        <v>301495</v>
      </c>
      <c r="J262" s="9" t="n">
        <v>301495</v>
      </c>
      <c r="K262" s="9" t="n">
        <v>301495</v>
      </c>
      <c r="L262" s="9">
        <f>K262-H262</f>
        <v/>
      </c>
      <c r="M262" s="32">
        <f>IFERROR(L262/H262," ")</f>
        <v/>
      </c>
      <c r="N262">
        <f>IF(A262="BS",IFERROR(VLOOKUP(TRIM($E262),'BS Mapping std'!$A:$D,4,0),VLOOKUP(TRIM($D262),'BS Mapping std'!$A:$D,4,0)),IFERROR(VLOOKUP(TRIM($E262),'PL mapping Std'!$A:$D,4,0),VLOOKUP(TRIM($D262),'PL mapping Std'!$A:$D,4,0)))</f>
        <v/>
      </c>
      <c r="O262">
        <f>_xlfn.IFERROR(VLOOKUP(E262,'F30 mapping'!A:C,3,0),VLOOKUP(D262,'F30 mapping'!A:C,3,0))</f>
        <v/>
      </c>
      <c r="P262">
        <f>_xlfn.IFERROR(IFERROR(VLOOKUP(E262,'F40 mapping'!A:C,3,0),VLOOKUP(D262,'F40 mapping'!A:C,3,0)),0)</f>
        <v/>
      </c>
      <c r="Q262">
        <f>_xlfn.IFERROR(IFERROR(VLOOKUP(E262,'F40 mapping'!A:D,4,0),VLOOKUP(D262,'F40 mapping'!A:D,4,0)),0)</f>
        <v/>
      </c>
      <c r="R262">
        <f>_xlfn.IFERROR(IFERROR(VLOOKUP(E262,'F40 mapping'!A:E,5,0),VLOOKUP(D262,'F40 mapping'!A:E,5,0)),0)</f>
        <v/>
      </c>
      <c r="S262">
        <f>_xlfn.IF(B262&lt;6,IFERROR(VLOOKUP(E262,'BS Mapping std'!A:E,5,0),VLOOKUP(D262,'BS Mapping std'!A:E,5,0)),IFERROR(VLOOKUP(E262,'PL mapping Std'!A:F,6,0),VLOOKUP(D262,'PL mapping Std'!A:F,6,0)))</f>
        <v/>
      </c>
      <c r="T262">
        <f>_xlfn.IF(B262&lt;6,IFERROR(VLOOKUP(E262,'BS Mapping std'!A:F,6,0),VLOOKUP(D262,'BS Mapping std'!A:F,6,0)),IFERROR(VLOOKUP(E262,'PL mapping Std'!A:G,7,0),VLOOKUP(D262,'PL mapping Std'!A:G,7,0)))</f>
        <v/>
      </c>
      <c r="V262">
        <f>IF(IF(A262="BS",IFERROR(VLOOKUP(TRIM($E262),'BS Mapping std'!$A:$H,8,0),VLOOKUP(TRIM($D262),'BS Mapping std'!$A:$H,8,0)),IFERROR(VLOOKUP(TRIM($E262),'PL mapping Std'!$A:$E,5,0),VLOOKUP(TRIM($D262),'PL mapping Std'!$A:$E,5,0)))=0,"",IF(A262="BS",IFERROR(VLOOKUP(TRIM($E262),'BS Mapping std'!$A:$H,8,0),VLOOKUP(TRIM($D262),'BS Mapping std'!$A:$H,8,0)),IFERROR(VLOOKUP(TRIM($E262),'PL mapping Std'!$A:$E,5,0),VLOOKUP(TRIM($D262),'PL mapping Std'!$A:$E,5,0))))</f>
        <v/>
      </c>
      <c r="W262">
        <f>_xlfn.IFERROR(VLOOKUP(E262,'F30 mapping'!A:D,4,0),VLOOKUP(D262,'F30 mapping'!A:D,4,0))</f>
        <v/>
      </c>
      <c r="X262">
        <f>IF(B262&lt;6,IFERROR(VLOOKUP(E262,'BS Mapping std'!A:M,13,0),VLOOKUP(D262,'BS Mapping std'!A:M,13,0)),0)</f>
        <v/>
      </c>
      <c r="Y262">
        <f>IF(B262&lt;6,IFERROR(VLOOKUP(E262,'BS Mapping std'!A:N,14,0),VLOOKUP(D262,'BS Mapping std'!A:N,14,0)),0)</f>
        <v/>
      </c>
    </row>
    <row r="263" spans="1:25">
      <c r="A263">
        <f>IF(B263&lt;6,"BS",IF(B263=6,"Exp","Rev"))</f>
        <v/>
      </c>
      <c r="B263">
        <f>_xlfn.NUMBERVALUE(LEFT(F263,1))</f>
        <v/>
      </c>
      <c r="C263">
        <f>Left(F263,2)</f>
        <v/>
      </c>
      <c r="D263">
        <f>Left(F263,3)</f>
        <v/>
      </c>
      <c r="E263">
        <f>IF(F263="121",Left(F263,3)&amp;"0",Left(F263,4))</f>
        <v/>
      </c>
      <c r="F263" t="n">
        <v>63509998</v>
      </c>
      <c r="G263" t="s">
        <v>281</v>
      </c>
      <c r="H263" s="9" t="n">
        <v>6897.76</v>
      </c>
      <c r="I263" s="9" t="n">
        <v>5957.45</v>
      </c>
      <c r="J263" s="9" t="n">
        <v>5957.45</v>
      </c>
      <c r="K263" s="9" t="n">
        <v>5957.45</v>
      </c>
      <c r="L263" s="9">
        <f>K263-H263</f>
        <v/>
      </c>
      <c r="M263" s="32">
        <f>IFERROR(L263/H263," ")</f>
        <v/>
      </c>
      <c r="N263">
        <f>IF(A263="BS",IFERROR(VLOOKUP(TRIM($E263),'BS Mapping std'!$A:$D,4,0),VLOOKUP(TRIM($D263),'BS Mapping std'!$A:$D,4,0)),IFERROR(VLOOKUP(TRIM($E263),'PL mapping Std'!$A:$D,4,0),VLOOKUP(TRIM($D263),'PL mapping Std'!$A:$D,4,0)))</f>
        <v/>
      </c>
      <c r="O263">
        <f>_xlfn.IFERROR(VLOOKUP(E263,'F30 mapping'!A:C,3,0),VLOOKUP(D263,'F30 mapping'!A:C,3,0))</f>
        <v/>
      </c>
      <c r="P263">
        <f>_xlfn.IFERROR(IFERROR(VLOOKUP(E263,'F40 mapping'!A:C,3,0),VLOOKUP(D263,'F40 mapping'!A:C,3,0)),0)</f>
        <v/>
      </c>
      <c r="Q263">
        <f>_xlfn.IFERROR(IFERROR(VLOOKUP(E263,'F40 mapping'!A:D,4,0),VLOOKUP(D263,'F40 mapping'!A:D,4,0)),0)</f>
        <v/>
      </c>
      <c r="R263">
        <f>_xlfn.IFERROR(IFERROR(VLOOKUP(E263,'F40 mapping'!A:E,5,0),VLOOKUP(D263,'F40 mapping'!A:E,5,0)),0)</f>
        <v/>
      </c>
      <c r="S263">
        <f>_xlfn.IF(B263&lt;6,IFERROR(VLOOKUP(E263,'BS Mapping std'!A:E,5,0),VLOOKUP(D263,'BS Mapping std'!A:E,5,0)),IFERROR(VLOOKUP(E263,'PL mapping Std'!A:F,6,0),VLOOKUP(D263,'PL mapping Std'!A:F,6,0)))</f>
        <v/>
      </c>
      <c r="T263">
        <f>_xlfn.IF(B263&lt;6,IFERROR(VLOOKUP(E263,'BS Mapping std'!A:F,6,0),VLOOKUP(D263,'BS Mapping std'!A:F,6,0)),IFERROR(VLOOKUP(E263,'PL mapping Std'!A:G,7,0),VLOOKUP(D263,'PL mapping Std'!A:G,7,0)))</f>
        <v/>
      </c>
      <c r="V263">
        <f>IF(IF(A263="BS",IFERROR(VLOOKUP(TRIM($E263),'BS Mapping std'!$A:$H,8,0),VLOOKUP(TRIM($D263),'BS Mapping std'!$A:$H,8,0)),IFERROR(VLOOKUP(TRIM($E263),'PL mapping Std'!$A:$E,5,0),VLOOKUP(TRIM($D263),'PL mapping Std'!$A:$E,5,0)))=0,"",IF(A263="BS",IFERROR(VLOOKUP(TRIM($E263),'BS Mapping std'!$A:$H,8,0),VLOOKUP(TRIM($D263),'BS Mapping std'!$A:$H,8,0)),IFERROR(VLOOKUP(TRIM($E263),'PL mapping Std'!$A:$E,5,0),VLOOKUP(TRIM($D263),'PL mapping Std'!$A:$E,5,0))))</f>
        <v/>
      </c>
      <c r="W263">
        <f>_xlfn.IFERROR(VLOOKUP(E263,'F30 mapping'!A:D,4,0),VLOOKUP(D263,'F30 mapping'!A:D,4,0))</f>
        <v/>
      </c>
      <c r="X263">
        <f>IF(B263&lt;6,IFERROR(VLOOKUP(E263,'BS Mapping std'!A:M,13,0),VLOOKUP(D263,'BS Mapping std'!A:M,13,0)),0)</f>
        <v/>
      </c>
      <c r="Y263">
        <f>IF(B263&lt;6,IFERROR(VLOOKUP(E263,'BS Mapping std'!A:N,14,0),VLOOKUP(D263,'BS Mapping std'!A:N,14,0)),0)</f>
        <v/>
      </c>
    </row>
    <row r="264" spans="1:25">
      <c r="A264">
        <f>IF(B264&lt;6,"BS",IF(B264=6,"Exp","Rev"))</f>
        <v/>
      </c>
      <c r="B264">
        <f>_xlfn.NUMBERVALUE(LEFT(F264,1))</f>
        <v/>
      </c>
      <c r="C264">
        <f>Left(F264,2)</f>
        <v/>
      </c>
      <c r="D264">
        <f>Left(F264,3)</f>
        <v/>
      </c>
      <c r="E264">
        <f>IF(F264="121",Left(F264,3)&amp;"0",Left(F264,4))</f>
        <v/>
      </c>
      <c r="F264" t="n">
        <v>64100100</v>
      </c>
      <c r="G264" t="s">
        <v>282</v>
      </c>
      <c r="H264" s="9" t="n">
        <v>12500519</v>
      </c>
      <c r="I264" s="9" t="n">
        <v>15615980</v>
      </c>
      <c r="J264" s="9" t="n">
        <v>15615980</v>
      </c>
      <c r="K264" s="9" t="n">
        <v>15615980</v>
      </c>
      <c r="L264" s="9">
        <f>K264-H264</f>
        <v/>
      </c>
      <c r="M264" s="32">
        <f>IFERROR(L264/H264," ")</f>
        <v/>
      </c>
      <c r="N264">
        <f>IF(A264="BS",IFERROR(VLOOKUP(TRIM($E264),'BS Mapping std'!$A:$D,4,0),VLOOKUP(TRIM($D264),'BS Mapping std'!$A:$D,4,0)),IFERROR(VLOOKUP(TRIM($E264),'PL mapping Std'!$A:$D,4,0),VLOOKUP(TRIM($D264),'PL mapping Std'!$A:$D,4,0)))</f>
        <v/>
      </c>
      <c r="O264">
        <f>_xlfn.IFERROR(VLOOKUP(E264,'F30 mapping'!A:C,3,0),VLOOKUP(D264,'F30 mapping'!A:C,3,0))</f>
        <v/>
      </c>
      <c r="P264">
        <f>_xlfn.IFERROR(IFERROR(VLOOKUP(E264,'F40 mapping'!A:C,3,0),VLOOKUP(D264,'F40 mapping'!A:C,3,0)),0)</f>
        <v/>
      </c>
      <c r="Q264">
        <f>_xlfn.IFERROR(IFERROR(VLOOKUP(E264,'F40 mapping'!A:D,4,0),VLOOKUP(D264,'F40 mapping'!A:D,4,0)),0)</f>
        <v/>
      </c>
      <c r="R264">
        <f>_xlfn.IFERROR(IFERROR(VLOOKUP(E264,'F40 mapping'!A:E,5,0),VLOOKUP(D264,'F40 mapping'!A:E,5,0)),0)</f>
        <v/>
      </c>
      <c r="S264">
        <f>_xlfn.IF(B264&lt;6,IFERROR(VLOOKUP(E264,'BS Mapping std'!A:E,5,0),VLOOKUP(D264,'BS Mapping std'!A:E,5,0)),IFERROR(VLOOKUP(E264,'PL mapping Std'!A:F,6,0),VLOOKUP(D264,'PL mapping Std'!A:F,6,0)))</f>
        <v/>
      </c>
      <c r="T264">
        <f>_xlfn.IF(B264&lt;6,IFERROR(VLOOKUP(E264,'BS Mapping std'!A:F,6,0),VLOOKUP(D264,'BS Mapping std'!A:F,6,0)),IFERROR(VLOOKUP(E264,'PL mapping Std'!A:G,7,0),VLOOKUP(D264,'PL mapping Std'!A:G,7,0)))</f>
        <v/>
      </c>
      <c r="V264">
        <f>IF(IF(A264="BS",IFERROR(VLOOKUP(TRIM($E264),'BS Mapping std'!$A:$H,8,0),VLOOKUP(TRIM($D264),'BS Mapping std'!$A:$H,8,0)),IFERROR(VLOOKUP(TRIM($E264),'PL mapping Std'!$A:$E,5,0),VLOOKUP(TRIM($D264),'PL mapping Std'!$A:$E,5,0)))=0,"",IF(A264="BS",IFERROR(VLOOKUP(TRIM($E264),'BS Mapping std'!$A:$H,8,0),VLOOKUP(TRIM($D264),'BS Mapping std'!$A:$H,8,0)),IFERROR(VLOOKUP(TRIM($E264),'PL mapping Std'!$A:$E,5,0),VLOOKUP(TRIM($D264),'PL mapping Std'!$A:$E,5,0))))</f>
        <v/>
      </c>
      <c r="W264">
        <f>_xlfn.IFERROR(VLOOKUP(E264,'F30 mapping'!A:D,4,0),VLOOKUP(D264,'F30 mapping'!A:D,4,0))</f>
        <v/>
      </c>
      <c r="X264">
        <f>IF(B264&lt;6,IFERROR(VLOOKUP(E264,'BS Mapping std'!A:M,13,0),VLOOKUP(D264,'BS Mapping std'!A:M,13,0)),0)</f>
        <v/>
      </c>
      <c r="Y264">
        <f>IF(B264&lt;6,IFERROR(VLOOKUP(E264,'BS Mapping std'!A:N,14,0),VLOOKUP(D264,'BS Mapping std'!A:N,14,0)),0)</f>
        <v/>
      </c>
    </row>
    <row r="265" spans="1:25">
      <c r="A265">
        <f>IF(B265&lt;6,"BS",IF(B265=6,"Exp","Rev"))</f>
        <v/>
      </c>
      <c r="B265">
        <f>_xlfn.NUMBERVALUE(LEFT(F265,1))</f>
        <v/>
      </c>
      <c r="C265">
        <f>Left(F265,2)</f>
        <v/>
      </c>
      <c r="D265">
        <f>Left(F265,3)</f>
        <v/>
      </c>
      <c r="E265">
        <f>IF(F265="121",Left(F265,3)&amp;"0",Left(F265,4))</f>
        <v/>
      </c>
      <c r="F265" t="n">
        <v>64100101</v>
      </c>
      <c r="G265" t="s">
        <v>283</v>
      </c>
      <c r="H265" s="9" t="n">
        <v>1007691</v>
      </c>
      <c r="I265" s="9" t="n">
        <v>966695</v>
      </c>
      <c r="J265" s="9" t="n">
        <v>966695</v>
      </c>
      <c r="K265" s="9" t="n">
        <v>966695</v>
      </c>
      <c r="L265" s="9">
        <f>K265-H265</f>
        <v/>
      </c>
      <c r="M265" s="32">
        <f>IFERROR(L265/H265," ")</f>
        <v/>
      </c>
      <c r="N265">
        <f>IF(A265="BS",IFERROR(VLOOKUP(TRIM($E265),'BS Mapping std'!$A:$D,4,0),VLOOKUP(TRIM($D265),'BS Mapping std'!$A:$D,4,0)),IFERROR(VLOOKUP(TRIM($E265),'PL mapping Std'!$A:$D,4,0),VLOOKUP(TRIM($D265),'PL mapping Std'!$A:$D,4,0)))</f>
        <v/>
      </c>
      <c r="O265">
        <f>_xlfn.IFERROR(VLOOKUP(E265,'F30 mapping'!A:C,3,0),VLOOKUP(D265,'F30 mapping'!A:C,3,0))</f>
        <v/>
      </c>
      <c r="P265">
        <f>_xlfn.IFERROR(IFERROR(VLOOKUP(E265,'F40 mapping'!A:C,3,0),VLOOKUP(D265,'F40 mapping'!A:C,3,0)),0)</f>
        <v/>
      </c>
      <c r="Q265">
        <f>_xlfn.IFERROR(IFERROR(VLOOKUP(E265,'F40 mapping'!A:D,4,0),VLOOKUP(D265,'F40 mapping'!A:D,4,0)),0)</f>
        <v/>
      </c>
      <c r="R265">
        <f>_xlfn.IFERROR(IFERROR(VLOOKUP(E265,'F40 mapping'!A:E,5,0),VLOOKUP(D265,'F40 mapping'!A:E,5,0)),0)</f>
        <v/>
      </c>
      <c r="S265">
        <f>_xlfn.IF(B265&lt;6,IFERROR(VLOOKUP(E265,'BS Mapping std'!A:E,5,0),VLOOKUP(D265,'BS Mapping std'!A:E,5,0)),IFERROR(VLOOKUP(E265,'PL mapping Std'!A:F,6,0),VLOOKUP(D265,'PL mapping Std'!A:F,6,0)))</f>
        <v/>
      </c>
      <c r="T265">
        <f>_xlfn.IF(B265&lt;6,IFERROR(VLOOKUP(E265,'BS Mapping std'!A:F,6,0),VLOOKUP(D265,'BS Mapping std'!A:F,6,0)),IFERROR(VLOOKUP(E265,'PL mapping Std'!A:G,7,0),VLOOKUP(D265,'PL mapping Std'!A:G,7,0)))</f>
        <v/>
      </c>
      <c r="V265">
        <f>IF(IF(A265="BS",IFERROR(VLOOKUP(TRIM($E265),'BS Mapping std'!$A:$H,8,0),VLOOKUP(TRIM($D265),'BS Mapping std'!$A:$H,8,0)),IFERROR(VLOOKUP(TRIM($E265),'PL mapping Std'!$A:$E,5,0),VLOOKUP(TRIM($D265),'PL mapping Std'!$A:$E,5,0)))=0,"",IF(A265="BS",IFERROR(VLOOKUP(TRIM($E265),'BS Mapping std'!$A:$H,8,0),VLOOKUP(TRIM($D265),'BS Mapping std'!$A:$H,8,0)),IFERROR(VLOOKUP(TRIM($E265),'PL mapping Std'!$A:$E,5,0),VLOOKUP(TRIM($D265),'PL mapping Std'!$A:$E,5,0))))</f>
        <v/>
      </c>
      <c r="W265">
        <f>_xlfn.IFERROR(VLOOKUP(E265,'F30 mapping'!A:D,4,0),VLOOKUP(D265,'F30 mapping'!A:D,4,0))</f>
        <v/>
      </c>
      <c r="X265">
        <f>IF(B265&lt;6,IFERROR(VLOOKUP(E265,'BS Mapping std'!A:M,13,0),VLOOKUP(D265,'BS Mapping std'!A:M,13,0)),0)</f>
        <v/>
      </c>
      <c r="Y265">
        <f>IF(B265&lt;6,IFERROR(VLOOKUP(E265,'BS Mapping std'!A:N,14,0),VLOOKUP(D265,'BS Mapping std'!A:N,14,0)),0)</f>
        <v/>
      </c>
    </row>
    <row r="266" spans="1:25">
      <c r="A266">
        <f>IF(B266&lt;6,"BS",IF(B266=6,"Exp","Rev"))</f>
        <v/>
      </c>
      <c r="B266">
        <f>_xlfn.NUMBERVALUE(LEFT(F266,1))</f>
        <v/>
      </c>
      <c r="C266">
        <f>Left(F266,2)</f>
        <v/>
      </c>
      <c r="D266">
        <f>Left(F266,3)</f>
        <v/>
      </c>
      <c r="E266">
        <f>IF(F266="121",Left(F266,3)&amp;"0",Left(F266,4))</f>
        <v/>
      </c>
      <c r="F266" t="n">
        <v>64100102</v>
      </c>
      <c r="G266" t="s">
        <v>284</v>
      </c>
      <c r="H266" s="9" t="n">
        <v>656545</v>
      </c>
      <c r="I266" s="9" t="n">
        <v>797540</v>
      </c>
      <c r="J266" s="9" t="n">
        <v>797540</v>
      </c>
      <c r="K266" s="9" t="n">
        <v>797540</v>
      </c>
      <c r="L266" s="9">
        <f>K266-H266</f>
        <v/>
      </c>
      <c r="M266" s="32">
        <f>IFERROR(L266/H266," ")</f>
        <v/>
      </c>
      <c r="N266">
        <f>IF(A266="BS",IFERROR(VLOOKUP(TRIM($E266),'BS Mapping std'!$A:$D,4,0),VLOOKUP(TRIM($D266),'BS Mapping std'!$A:$D,4,0)),IFERROR(VLOOKUP(TRIM($E266),'PL mapping Std'!$A:$D,4,0),VLOOKUP(TRIM($D266),'PL mapping Std'!$A:$D,4,0)))</f>
        <v/>
      </c>
      <c r="O266">
        <f>_xlfn.IFERROR(VLOOKUP(E266,'F30 mapping'!A:C,3,0),VLOOKUP(D266,'F30 mapping'!A:C,3,0))</f>
        <v/>
      </c>
      <c r="P266">
        <f>_xlfn.IFERROR(IFERROR(VLOOKUP(E266,'F40 mapping'!A:C,3,0),VLOOKUP(D266,'F40 mapping'!A:C,3,0)),0)</f>
        <v/>
      </c>
      <c r="Q266">
        <f>_xlfn.IFERROR(IFERROR(VLOOKUP(E266,'F40 mapping'!A:D,4,0),VLOOKUP(D266,'F40 mapping'!A:D,4,0)),0)</f>
        <v/>
      </c>
      <c r="R266">
        <f>_xlfn.IFERROR(IFERROR(VLOOKUP(E266,'F40 mapping'!A:E,5,0),VLOOKUP(D266,'F40 mapping'!A:E,5,0)),0)</f>
        <v/>
      </c>
      <c r="S266">
        <f>_xlfn.IF(B266&lt;6,IFERROR(VLOOKUP(E266,'BS Mapping std'!A:E,5,0),VLOOKUP(D266,'BS Mapping std'!A:E,5,0)),IFERROR(VLOOKUP(E266,'PL mapping Std'!A:F,6,0),VLOOKUP(D266,'PL mapping Std'!A:F,6,0)))</f>
        <v/>
      </c>
      <c r="T266">
        <f>_xlfn.IF(B266&lt;6,IFERROR(VLOOKUP(E266,'BS Mapping std'!A:F,6,0),VLOOKUP(D266,'BS Mapping std'!A:F,6,0)),IFERROR(VLOOKUP(E266,'PL mapping Std'!A:G,7,0),VLOOKUP(D266,'PL mapping Std'!A:G,7,0)))</f>
        <v/>
      </c>
      <c r="V266">
        <f>IF(IF(A266="BS",IFERROR(VLOOKUP(TRIM($E266),'BS Mapping std'!$A:$H,8,0),VLOOKUP(TRIM($D266),'BS Mapping std'!$A:$H,8,0)),IFERROR(VLOOKUP(TRIM($E266),'PL mapping Std'!$A:$E,5,0),VLOOKUP(TRIM($D266),'PL mapping Std'!$A:$E,5,0)))=0,"",IF(A266="BS",IFERROR(VLOOKUP(TRIM($E266),'BS Mapping std'!$A:$H,8,0),VLOOKUP(TRIM($D266),'BS Mapping std'!$A:$H,8,0)),IFERROR(VLOOKUP(TRIM($E266),'PL mapping Std'!$A:$E,5,0),VLOOKUP(TRIM($D266),'PL mapping Std'!$A:$E,5,0))))</f>
        <v/>
      </c>
      <c r="W266">
        <f>_xlfn.IFERROR(VLOOKUP(E266,'F30 mapping'!A:D,4,0),VLOOKUP(D266,'F30 mapping'!A:D,4,0))</f>
        <v/>
      </c>
      <c r="X266">
        <f>IF(B266&lt;6,IFERROR(VLOOKUP(E266,'BS Mapping std'!A:M,13,0),VLOOKUP(D266,'BS Mapping std'!A:M,13,0)),0)</f>
        <v/>
      </c>
      <c r="Y266">
        <f>IF(B266&lt;6,IFERROR(VLOOKUP(E266,'BS Mapping std'!A:N,14,0),VLOOKUP(D266,'BS Mapping std'!A:N,14,0)),0)</f>
        <v/>
      </c>
    </row>
    <row r="267" spans="1:25">
      <c r="A267">
        <f>IF(B267&lt;6,"BS",IF(B267=6,"Exp","Rev"))</f>
        <v/>
      </c>
      <c r="B267">
        <f>_xlfn.NUMBERVALUE(LEFT(F267,1))</f>
        <v/>
      </c>
      <c r="C267">
        <f>Left(F267,2)</f>
        <v/>
      </c>
      <c r="D267">
        <f>Left(F267,3)</f>
        <v/>
      </c>
      <c r="E267">
        <f>IF(F267="121",Left(F267,3)&amp;"0",Left(F267,4))</f>
        <v/>
      </c>
      <c r="F267" t="n">
        <v>64100120</v>
      </c>
      <c r="G267" t="s">
        <v>285</v>
      </c>
      <c r="H267" s="9" t="n">
        <v>1331596</v>
      </c>
      <c r="I267" s="9" t="n">
        <v>1538125</v>
      </c>
      <c r="J267" s="9" t="n">
        <v>1538125</v>
      </c>
      <c r="K267" s="9" t="n">
        <v>1538125</v>
      </c>
      <c r="L267" s="9">
        <f>K267-H267</f>
        <v/>
      </c>
      <c r="M267" s="32">
        <f>IFERROR(L267/H267," ")</f>
        <v/>
      </c>
      <c r="N267">
        <f>IF(A267="BS",IFERROR(VLOOKUP(TRIM($E267),'BS Mapping std'!$A:$D,4,0),VLOOKUP(TRIM($D267),'BS Mapping std'!$A:$D,4,0)),IFERROR(VLOOKUP(TRIM($E267),'PL mapping Std'!$A:$D,4,0),VLOOKUP(TRIM($D267),'PL mapping Std'!$A:$D,4,0)))</f>
        <v/>
      </c>
      <c r="O267">
        <f>_xlfn.IFERROR(VLOOKUP(E267,'F30 mapping'!A:C,3,0),VLOOKUP(D267,'F30 mapping'!A:C,3,0))</f>
        <v/>
      </c>
      <c r="P267">
        <f>_xlfn.IFERROR(IFERROR(VLOOKUP(E267,'F40 mapping'!A:C,3,0),VLOOKUP(D267,'F40 mapping'!A:C,3,0)),0)</f>
        <v/>
      </c>
      <c r="Q267">
        <f>_xlfn.IFERROR(IFERROR(VLOOKUP(E267,'F40 mapping'!A:D,4,0),VLOOKUP(D267,'F40 mapping'!A:D,4,0)),0)</f>
        <v/>
      </c>
      <c r="R267">
        <f>_xlfn.IFERROR(IFERROR(VLOOKUP(E267,'F40 mapping'!A:E,5,0),VLOOKUP(D267,'F40 mapping'!A:E,5,0)),0)</f>
        <v/>
      </c>
      <c r="S267">
        <f>_xlfn.IF(B267&lt;6,IFERROR(VLOOKUP(E267,'BS Mapping std'!A:E,5,0),VLOOKUP(D267,'BS Mapping std'!A:E,5,0)),IFERROR(VLOOKUP(E267,'PL mapping Std'!A:F,6,0),VLOOKUP(D267,'PL mapping Std'!A:F,6,0)))</f>
        <v/>
      </c>
      <c r="T267">
        <f>_xlfn.IF(B267&lt;6,IFERROR(VLOOKUP(E267,'BS Mapping std'!A:F,6,0),VLOOKUP(D267,'BS Mapping std'!A:F,6,0)),IFERROR(VLOOKUP(E267,'PL mapping Std'!A:G,7,0),VLOOKUP(D267,'PL mapping Std'!A:G,7,0)))</f>
        <v/>
      </c>
      <c r="V267">
        <f>IF(IF(A267="BS",IFERROR(VLOOKUP(TRIM($E267),'BS Mapping std'!$A:$H,8,0),VLOOKUP(TRIM($D267),'BS Mapping std'!$A:$H,8,0)),IFERROR(VLOOKUP(TRIM($E267),'PL mapping Std'!$A:$E,5,0),VLOOKUP(TRIM($D267),'PL mapping Std'!$A:$E,5,0)))=0,"",IF(A267="BS",IFERROR(VLOOKUP(TRIM($E267),'BS Mapping std'!$A:$H,8,0),VLOOKUP(TRIM($D267),'BS Mapping std'!$A:$H,8,0)),IFERROR(VLOOKUP(TRIM($E267),'PL mapping Std'!$A:$E,5,0),VLOOKUP(TRIM($D267),'PL mapping Std'!$A:$E,5,0))))</f>
        <v/>
      </c>
      <c r="W267">
        <f>_xlfn.IFERROR(VLOOKUP(E267,'F30 mapping'!A:D,4,0),VLOOKUP(D267,'F30 mapping'!A:D,4,0))</f>
        <v/>
      </c>
      <c r="X267">
        <f>IF(B267&lt;6,IFERROR(VLOOKUP(E267,'BS Mapping std'!A:M,13,0),VLOOKUP(D267,'BS Mapping std'!A:M,13,0)),0)</f>
        <v/>
      </c>
      <c r="Y267">
        <f>IF(B267&lt;6,IFERROR(VLOOKUP(E267,'BS Mapping std'!A:N,14,0),VLOOKUP(D267,'BS Mapping std'!A:N,14,0)),0)</f>
        <v/>
      </c>
    </row>
    <row r="268" spans="1:25">
      <c r="A268">
        <f>IF(B268&lt;6,"BS",IF(B268=6,"Exp","Rev"))</f>
        <v/>
      </c>
      <c r="B268">
        <f>_xlfn.NUMBERVALUE(LEFT(F268,1))</f>
        <v/>
      </c>
      <c r="C268">
        <f>Left(F268,2)</f>
        <v/>
      </c>
      <c r="D268">
        <f>Left(F268,3)</f>
        <v/>
      </c>
      <c r="E268">
        <f>IF(F268="121",Left(F268,3)&amp;"0",Left(F268,4))</f>
        <v/>
      </c>
      <c r="F268" t="n">
        <v>64100130</v>
      </c>
      <c r="G268" t="s">
        <v>286</v>
      </c>
      <c r="H268" s="9" t="n">
        <v>800192</v>
      </c>
      <c r="I268" s="9" t="n">
        <v>933826</v>
      </c>
      <c r="J268" s="9" t="n">
        <v>933826</v>
      </c>
      <c r="K268" s="9" t="n">
        <v>933826</v>
      </c>
      <c r="L268" s="9">
        <f>K268-H268</f>
        <v/>
      </c>
      <c r="M268" s="32">
        <f>IFERROR(L268/H268," ")</f>
        <v/>
      </c>
      <c r="N268">
        <f>IF(A268="BS",IFERROR(VLOOKUP(TRIM($E268),'BS Mapping std'!$A:$D,4,0),VLOOKUP(TRIM($D268),'BS Mapping std'!$A:$D,4,0)),IFERROR(VLOOKUP(TRIM($E268),'PL mapping Std'!$A:$D,4,0),VLOOKUP(TRIM($D268),'PL mapping Std'!$A:$D,4,0)))</f>
        <v/>
      </c>
      <c r="O268">
        <f>_xlfn.IFERROR(VLOOKUP(E268,'F30 mapping'!A:C,3,0),VLOOKUP(D268,'F30 mapping'!A:C,3,0))</f>
        <v/>
      </c>
      <c r="P268">
        <f>_xlfn.IFERROR(IFERROR(VLOOKUP(E268,'F40 mapping'!A:C,3,0),VLOOKUP(D268,'F40 mapping'!A:C,3,0)),0)</f>
        <v/>
      </c>
      <c r="Q268">
        <f>_xlfn.IFERROR(IFERROR(VLOOKUP(E268,'F40 mapping'!A:D,4,0),VLOOKUP(D268,'F40 mapping'!A:D,4,0)),0)</f>
        <v/>
      </c>
      <c r="R268">
        <f>_xlfn.IFERROR(IFERROR(VLOOKUP(E268,'F40 mapping'!A:E,5,0),VLOOKUP(D268,'F40 mapping'!A:E,5,0)),0)</f>
        <v/>
      </c>
      <c r="S268">
        <f>_xlfn.IF(B268&lt;6,IFERROR(VLOOKUP(E268,'BS Mapping std'!A:E,5,0),VLOOKUP(D268,'BS Mapping std'!A:E,5,0)),IFERROR(VLOOKUP(E268,'PL mapping Std'!A:F,6,0),VLOOKUP(D268,'PL mapping Std'!A:F,6,0)))</f>
        <v/>
      </c>
      <c r="T268">
        <f>_xlfn.IF(B268&lt;6,IFERROR(VLOOKUP(E268,'BS Mapping std'!A:F,6,0),VLOOKUP(D268,'BS Mapping std'!A:F,6,0)),IFERROR(VLOOKUP(E268,'PL mapping Std'!A:G,7,0),VLOOKUP(D268,'PL mapping Std'!A:G,7,0)))</f>
        <v/>
      </c>
      <c r="V268">
        <f>IF(IF(A268="BS",IFERROR(VLOOKUP(TRIM($E268),'BS Mapping std'!$A:$H,8,0),VLOOKUP(TRIM($D268),'BS Mapping std'!$A:$H,8,0)),IFERROR(VLOOKUP(TRIM($E268),'PL mapping Std'!$A:$E,5,0),VLOOKUP(TRIM($D268),'PL mapping Std'!$A:$E,5,0)))=0,"",IF(A268="BS",IFERROR(VLOOKUP(TRIM($E268),'BS Mapping std'!$A:$H,8,0),VLOOKUP(TRIM($D268),'BS Mapping std'!$A:$H,8,0)),IFERROR(VLOOKUP(TRIM($E268),'PL mapping Std'!$A:$E,5,0),VLOOKUP(TRIM($D268),'PL mapping Std'!$A:$E,5,0))))</f>
        <v/>
      </c>
      <c r="W268">
        <f>_xlfn.IFERROR(VLOOKUP(E268,'F30 mapping'!A:D,4,0),VLOOKUP(D268,'F30 mapping'!A:D,4,0))</f>
        <v/>
      </c>
      <c r="X268">
        <f>IF(B268&lt;6,IFERROR(VLOOKUP(E268,'BS Mapping std'!A:M,13,0),VLOOKUP(D268,'BS Mapping std'!A:M,13,0)),0)</f>
        <v/>
      </c>
      <c r="Y268">
        <f>IF(B268&lt;6,IFERROR(VLOOKUP(E268,'BS Mapping std'!A:N,14,0),VLOOKUP(D268,'BS Mapping std'!A:N,14,0)),0)</f>
        <v/>
      </c>
    </row>
    <row r="269" spans="1:25">
      <c r="A269">
        <f>IF(B269&lt;6,"BS",IF(B269=6,"Exp","Rev"))</f>
        <v/>
      </c>
      <c r="B269">
        <f>_xlfn.NUMBERVALUE(LEFT(F269,1))</f>
        <v/>
      </c>
      <c r="C269">
        <f>Left(F269,2)</f>
        <v/>
      </c>
      <c r="D269">
        <f>Left(F269,3)</f>
        <v/>
      </c>
      <c r="E269">
        <f>IF(F269="121",Left(F269,3)&amp;"0",Left(F269,4))</f>
        <v/>
      </c>
      <c r="F269" t="n">
        <v>64100140</v>
      </c>
      <c r="G269" t="s">
        <v>287</v>
      </c>
      <c r="H269" s="9" t="n">
        <v>1409054</v>
      </c>
      <c r="I269" s="9" t="n">
        <v>845632</v>
      </c>
      <c r="J269" s="9" t="n">
        <v>845632</v>
      </c>
      <c r="K269" s="9" t="n">
        <v>845632</v>
      </c>
      <c r="L269" s="9">
        <f>K269-H269</f>
        <v/>
      </c>
      <c r="M269" s="32">
        <f>IFERROR(L269/H269," ")</f>
        <v/>
      </c>
      <c r="N269">
        <f>IF(A269="BS",IFERROR(VLOOKUP(TRIM($E269),'BS Mapping std'!$A:$D,4,0),VLOOKUP(TRIM($D269),'BS Mapping std'!$A:$D,4,0)),IFERROR(VLOOKUP(TRIM($E269),'PL mapping Std'!$A:$D,4,0),VLOOKUP(TRIM($D269),'PL mapping Std'!$A:$D,4,0)))</f>
        <v/>
      </c>
      <c r="O269">
        <f>_xlfn.IFERROR(VLOOKUP(E269,'F30 mapping'!A:C,3,0),VLOOKUP(D269,'F30 mapping'!A:C,3,0))</f>
        <v/>
      </c>
      <c r="P269">
        <f>_xlfn.IFERROR(IFERROR(VLOOKUP(E269,'F40 mapping'!A:C,3,0),VLOOKUP(D269,'F40 mapping'!A:C,3,0)),0)</f>
        <v/>
      </c>
      <c r="Q269">
        <f>_xlfn.IFERROR(IFERROR(VLOOKUP(E269,'F40 mapping'!A:D,4,0),VLOOKUP(D269,'F40 mapping'!A:D,4,0)),0)</f>
        <v/>
      </c>
      <c r="R269">
        <f>_xlfn.IFERROR(IFERROR(VLOOKUP(E269,'F40 mapping'!A:E,5,0),VLOOKUP(D269,'F40 mapping'!A:E,5,0)),0)</f>
        <v/>
      </c>
      <c r="S269">
        <f>_xlfn.IF(B269&lt;6,IFERROR(VLOOKUP(E269,'BS Mapping std'!A:E,5,0),VLOOKUP(D269,'BS Mapping std'!A:E,5,0)),IFERROR(VLOOKUP(E269,'PL mapping Std'!A:F,6,0),VLOOKUP(D269,'PL mapping Std'!A:F,6,0)))</f>
        <v/>
      </c>
      <c r="T269">
        <f>_xlfn.IF(B269&lt;6,IFERROR(VLOOKUP(E269,'BS Mapping std'!A:F,6,0),VLOOKUP(D269,'BS Mapping std'!A:F,6,0)),IFERROR(VLOOKUP(E269,'PL mapping Std'!A:G,7,0),VLOOKUP(D269,'PL mapping Std'!A:G,7,0)))</f>
        <v/>
      </c>
      <c r="V269">
        <f>IF(IF(A269="BS",IFERROR(VLOOKUP(TRIM($E269),'BS Mapping std'!$A:$H,8,0),VLOOKUP(TRIM($D269),'BS Mapping std'!$A:$H,8,0)),IFERROR(VLOOKUP(TRIM($E269),'PL mapping Std'!$A:$E,5,0),VLOOKUP(TRIM($D269),'PL mapping Std'!$A:$E,5,0)))=0,"",IF(A269="BS",IFERROR(VLOOKUP(TRIM($E269),'BS Mapping std'!$A:$H,8,0),VLOOKUP(TRIM($D269),'BS Mapping std'!$A:$H,8,0)),IFERROR(VLOOKUP(TRIM($E269),'PL mapping Std'!$A:$E,5,0),VLOOKUP(TRIM($D269),'PL mapping Std'!$A:$E,5,0))))</f>
        <v/>
      </c>
      <c r="W269">
        <f>_xlfn.IFERROR(VLOOKUP(E269,'F30 mapping'!A:D,4,0),VLOOKUP(D269,'F30 mapping'!A:D,4,0))</f>
        <v/>
      </c>
      <c r="X269">
        <f>IF(B269&lt;6,IFERROR(VLOOKUP(E269,'BS Mapping std'!A:M,13,0),VLOOKUP(D269,'BS Mapping std'!A:M,13,0)),0)</f>
        <v/>
      </c>
      <c r="Y269">
        <f>IF(B269&lt;6,IFERROR(VLOOKUP(E269,'BS Mapping std'!A:N,14,0),VLOOKUP(D269,'BS Mapping std'!A:N,14,0)),0)</f>
        <v/>
      </c>
    </row>
    <row r="270" spans="1:25">
      <c r="A270">
        <f>IF(B270&lt;6,"BS",IF(B270=6,"Exp","Rev"))</f>
        <v/>
      </c>
      <c r="B270">
        <f>_xlfn.NUMBERVALUE(LEFT(F270,1))</f>
        <v/>
      </c>
      <c r="C270">
        <f>Left(F270,2)</f>
        <v/>
      </c>
      <c r="D270">
        <f>Left(F270,3)</f>
        <v/>
      </c>
      <c r="E270">
        <f>IF(F270="121",Left(F270,3)&amp;"0",Left(F270,4))</f>
        <v/>
      </c>
      <c r="F270" t="n">
        <v>64100200</v>
      </c>
      <c r="G270" t="s">
        <v>288</v>
      </c>
      <c r="H270" s="9" t="n">
        <v>2460109</v>
      </c>
      <c r="I270" s="9" t="n">
        <v>2867772</v>
      </c>
      <c r="J270" s="9" t="n">
        <v>2867772</v>
      </c>
      <c r="K270" s="9" t="n">
        <v>2867772</v>
      </c>
      <c r="L270" s="9">
        <f>K270-H270</f>
        <v/>
      </c>
      <c r="M270" s="32">
        <f>IFERROR(L270/H270," ")</f>
        <v/>
      </c>
      <c r="N270">
        <f>IF(A270="BS",IFERROR(VLOOKUP(TRIM($E270),'BS Mapping std'!$A:$D,4,0),VLOOKUP(TRIM($D270),'BS Mapping std'!$A:$D,4,0)),IFERROR(VLOOKUP(TRIM($E270),'PL mapping Std'!$A:$D,4,0),VLOOKUP(TRIM($D270),'PL mapping Std'!$A:$D,4,0)))</f>
        <v/>
      </c>
      <c r="O270">
        <f>_xlfn.IFERROR(VLOOKUP(E270,'F30 mapping'!A:C,3,0),VLOOKUP(D270,'F30 mapping'!A:C,3,0))</f>
        <v/>
      </c>
      <c r="P270">
        <f>_xlfn.IFERROR(IFERROR(VLOOKUP(E270,'F40 mapping'!A:C,3,0),VLOOKUP(D270,'F40 mapping'!A:C,3,0)),0)</f>
        <v/>
      </c>
      <c r="Q270">
        <f>_xlfn.IFERROR(IFERROR(VLOOKUP(E270,'F40 mapping'!A:D,4,0),VLOOKUP(D270,'F40 mapping'!A:D,4,0)),0)</f>
        <v/>
      </c>
      <c r="R270">
        <f>_xlfn.IFERROR(IFERROR(VLOOKUP(E270,'F40 mapping'!A:E,5,0),VLOOKUP(D270,'F40 mapping'!A:E,5,0)),0)</f>
        <v/>
      </c>
      <c r="S270">
        <f>_xlfn.IF(B270&lt;6,IFERROR(VLOOKUP(E270,'BS Mapping std'!A:E,5,0),VLOOKUP(D270,'BS Mapping std'!A:E,5,0)),IFERROR(VLOOKUP(E270,'PL mapping Std'!A:F,6,0),VLOOKUP(D270,'PL mapping Std'!A:F,6,0)))</f>
        <v/>
      </c>
      <c r="T270">
        <f>_xlfn.IF(B270&lt;6,IFERROR(VLOOKUP(E270,'BS Mapping std'!A:F,6,0),VLOOKUP(D270,'BS Mapping std'!A:F,6,0)),IFERROR(VLOOKUP(E270,'PL mapping Std'!A:G,7,0),VLOOKUP(D270,'PL mapping Std'!A:G,7,0)))</f>
        <v/>
      </c>
      <c r="V270">
        <f>IF(IF(A270="BS",IFERROR(VLOOKUP(TRIM($E270),'BS Mapping std'!$A:$H,8,0),VLOOKUP(TRIM($D270),'BS Mapping std'!$A:$H,8,0)),IFERROR(VLOOKUP(TRIM($E270),'PL mapping Std'!$A:$E,5,0),VLOOKUP(TRIM($D270),'PL mapping Std'!$A:$E,5,0)))=0,"",IF(A270="BS",IFERROR(VLOOKUP(TRIM($E270),'BS Mapping std'!$A:$H,8,0),VLOOKUP(TRIM($D270),'BS Mapping std'!$A:$H,8,0)),IFERROR(VLOOKUP(TRIM($E270),'PL mapping Std'!$A:$E,5,0),VLOOKUP(TRIM($D270),'PL mapping Std'!$A:$E,5,0))))</f>
        <v/>
      </c>
      <c r="W270">
        <f>_xlfn.IFERROR(VLOOKUP(E270,'F30 mapping'!A:D,4,0),VLOOKUP(D270,'F30 mapping'!A:D,4,0))</f>
        <v/>
      </c>
      <c r="X270">
        <f>IF(B270&lt;6,IFERROR(VLOOKUP(E270,'BS Mapping std'!A:M,13,0),VLOOKUP(D270,'BS Mapping std'!A:M,13,0)),0)</f>
        <v/>
      </c>
      <c r="Y270">
        <f>IF(B270&lt;6,IFERROR(VLOOKUP(E270,'BS Mapping std'!A:N,14,0),VLOOKUP(D270,'BS Mapping std'!A:N,14,0)),0)</f>
        <v/>
      </c>
    </row>
    <row r="271" spans="1:25">
      <c r="A271">
        <f>IF(B271&lt;6,"BS",IF(B271=6,"Exp","Rev"))</f>
        <v/>
      </c>
      <c r="B271">
        <f>_xlfn.NUMBERVALUE(LEFT(F271,1))</f>
        <v/>
      </c>
      <c r="C271">
        <f>Left(F271,2)</f>
        <v/>
      </c>
      <c r="D271">
        <f>Left(F271,3)</f>
        <v/>
      </c>
      <c r="E271">
        <f>IF(F271="121",Left(F271,3)&amp;"0",Left(F271,4))</f>
        <v/>
      </c>
      <c r="F271" t="n">
        <v>64100201</v>
      </c>
      <c r="G271" t="s">
        <v>289</v>
      </c>
      <c r="H271" s="9" t="n">
        <v>894</v>
      </c>
      <c r="I271" s="9" t="n">
        <v>1064</v>
      </c>
      <c r="J271" s="9" t="n">
        <v>1064</v>
      </c>
      <c r="K271" s="9" t="n">
        <v>1064</v>
      </c>
      <c r="L271" s="9">
        <f>K271-H271</f>
        <v/>
      </c>
      <c r="M271" s="32">
        <f>IFERROR(L271/H271," ")</f>
        <v/>
      </c>
      <c r="N271">
        <f>IF(A271="BS",IFERROR(VLOOKUP(TRIM($E271),'BS Mapping std'!$A:$D,4,0),VLOOKUP(TRIM($D271),'BS Mapping std'!$A:$D,4,0)),IFERROR(VLOOKUP(TRIM($E271),'PL mapping Std'!$A:$D,4,0),VLOOKUP(TRIM($D271),'PL mapping Std'!$A:$D,4,0)))</f>
        <v/>
      </c>
      <c r="O271">
        <f>_xlfn.IFERROR(VLOOKUP(E271,'F30 mapping'!A:C,3,0),VLOOKUP(D271,'F30 mapping'!A:C,3,0))</f>
        <v/>
      </c>
      <c r="P271">
        <f>_xlfn.IFERROR(IFERROR(VLOOKUP(E271,'F40 mapping'!A:C,3,0),VLOOKUP(D271,'F40 mapping'!A:C,3,0)),0)</f>
        <v/>
      </c>
      <c r="Q271">
        <f>_xlfn.IFERROR(IFERROR(VLOOKUP(E271,'F40 mapping'!A:D,4,0),VLOOKUP(D271,'F40 mapping'!A:D,4,0)),0)</f>
        <v/>
      </c>
      <c r="R271">
        <f>_xlfn.IFERROR(IFERROR(VLOOKUP(E271,'F40 mapping'!A:E,5,0),VLOOKUP(D271,'F40 mapping'!A:E,5,0)),0)</f>
        <v/>
      </c>
      <c r="S271">
        <f>_xlfn.IF(B271&lt;6,IFERROR(VLOOKUP(E271,'BS Mapping std'!A:E,5,0),VLOOKUP(D271,'BS Mapping std'!A:E,5,0)),IFERROR(VLOOKUP(E271,'PL mapping Std'!A:F,6,0),VLOOKUP(D271,'PL mapping Std'!A:F,6,0)))</f>
        <v/>
      </c>
      <c r="T271">
        <f>_xlfn.IF(B271&lt;6,IFERROR(VLOOKUP(E271,'BS Mapping std'!A:F,6,0),VLOOKUP(D271,'BS Mapping std'!A:F,6,0)),IFERROR(VLOOKUP(E271,'PL mapping Std'!A:G,7,0),VLOOKUP(D271,'PL mapping Std'!A:G,7,0)))</f>
        <v/>
      </c>
      <c r="V271">
        <f>IF(IF(A271="BS",IFERROR(VLOOKUP(TRIM($E271),'BS Mapping std'!$A:$H,8,0),VLOOKUP(TRIM($D271),'BS Mapping std'!$A:$H,8,0)),IFERROR(VLOOKUP(TRIM($E271),'PL mapping Std'!$A:$E,5,0),VLOOKUP(TRIM($D271),'PL mapping Std'!$A:$E,5,0)))=0,"",IF(A271="BS",IFERROR(VLOOKUP(TRIM($E271),'BS Mapping std'!$A:$H,8,0),VLOOKUP(TRIM($D271),'BS Mapping std'!$A:$H,8,0)),IFERROR(VLOOKUP(TRIM($E271),'PL mapping Std'!$A:$E,5,0),VLOOKUP(TRIM($D271),'PL mapping Std'!$A:$E,5,0))))</f>
        <v/>
      </c>
      <c r="W271">
        <f>_xlfn.IFERROR(VLOOKUP(E271,'F30 mapping'!A:D,4,0),VLOOKUP(D271,'F30 mapping'!A:D,4,0))</f>
        <v/>
      </c>
      <c r="X271">
        <f>IF(B271&lt;6,IFERROR(VLOOKUP(E271,'BS Mapping std'!A:M,13,0),VLOOKUP(D271,'BS Mapping std'!A:M,13,0)),0)</f>
        <v/>
      </c>
      <c r="Y271">
        <f>IF(B271&lt;6,IFERROR(VLOOKUP(E271,'BS Mapping std'!A:N,14,0),VLOOKUP(D271,'BS Mapping std'!A:N,14,0)),0)</f>
        <v/>
      </c>
    </row>
    <row r="272" spans="1:25">
      <c r="A272">
        <f>IF(B272&lt;6,"BS",IF(B272=6,"Exp","Rev"))</f>
        <v/>
      </c>
      <c r="B272">
        <f>_xlfn.NUMBERVALUE(LEFT(F272,1))</f>
        <v/>
      </c>
      <c r="C272">
        <f>Left(F272,2)</f>
        <v/>
      </c>
      <c r="D272">
        <f>Left(F272,3)</f>
        <v/>
      </c>
      <c r="E272">
        <f>IF(F272="121",Left(F272,3)&amp;"0",Left(F272,4))</f>
        <v/>
      </c>
      <c r="F272" t="n">
        <v>64100220</v>
      </c>
      <c r="G272" t="s">
        <v>290</v>
      </c>
      <c r="H272" s="9" t="n">
        <v>293461</v>
      </c>
      <c r="I272" s="9" t="n">
        <v>367292</v>
      </c>
      <c r="J272" s="9" t="n">
        <v>367292</v>
      </c>
      <c r="K272" s="9" t="n">
        <v>367292</v>
      </c>
      <c r="L272" s="9">
        <f>K272-H272</f>
        <v/>
      </c>
      <c r="M272" s="32">
        <f>IFERROR(L272/H272," ")</f>
        <v/>
      </c>
      <c r="N272">
        <f>IF(A272="BS",IFERROR(VLOOKUP(TRIM($E272),'BS Mapping std'!$A:$D,4,0),VLOOKUP(TRIM($D272),'BS Mapping std'!$A:$D,4,0)),IFERROR(VLOOKUP(TRIM($E272),'PL mapping Std'!$A:$D,4,0),VLOOKUP(TRIM($D272),'PL mapping Std'!$A:$D,4,0)))</f>
        <v/>
      </c>
      <c r="O272">
        <f>_xlfn.IFERROR(VLOOKUP(E272,'F30 mapping'!A:C,3,0),VLOOKUP(D272,'F30 mapping'!A:C,3,0))</f>
        <v/>
      </c>
      <c r="P272">
        <f>_xlfn.IFERROR(IFERROR(VLOOKUP(E272,'F40 mapping'!A:C,3,0),VLOOKUP(D272,'F40 mapping'!A:C,3,0)),0)</f>
        <v/>
      </c>
      <c r="Q272">
        <f>_xlfn.IFERROR(IFERROR(VLOOKUP(E272,'F40 mapping'!A:D,4,0),VLOOKUP(D272,'F40 mapping'!A:D,4,0)),0)</f>
        <v/>
      </c>
      <c r="R272">
        <f>_xlfn.IFERROR(IFERROR(VLOOKUP(E272,'F40 mapping'!A:E,5,0),VLOOKUP(D272,'F40 mapping'!A:E,5,0)),0)</f>
        <v/>
      </c>
      <c r="S272">
        <f>_xlfn.IF(B272&lt;6,IFERROR(VLOOKUP(E272,'BS Mapping std'!A:E,5,0),VLOOKUP(D272,'BS Mapping std'!A:E,5,0)),IFERROR(VLOOKUP(E272,'PL mapping Std'!A:F,6,0),VLOOKUP(D272,'PL mapping Std'!A:F,6,0)))</f>
        <v/>
      </c>
      <c r="T272">
        <f>_xlfn.IF(B272&lt;6,IFERROR(VLOOKUP(E272,'BS Mapping std'!A:F,6,0),VLOOKUP(D272,'BS Mapping std'!A:F,6,0)),IFERROR(VLOOKUP(E272,'PL mapping Std'!A:G,7,0),VLOOKUP(D272,'PL mapping Std'!A:G,7,0)))</f>
        <v/>
      </c>
      <c r="V272">
        <f>IF(IF(A272="BS",IFERROR(VLOOKUP(TRIM($E272),'BS Mapping std'!$A:$H,8,0),VLOOKUP(TRIM($D272),'BS Mapping std'!$A:$H,8,0)),IFERROR(VLOOKUP(TRIM($E272),'PL mapping Std'!$A:$E,5,0),VLOOKUP(TRIM($D272),'PL mapping Std'!$A:$E,5,0)))=0,"",IF(A272="BS",IFERROR(VLOOKUP(TRIM($E272),'BS Mapping std'!$A:$H,8,0),VLOOKUP(TRIM($D272),'BS Mapping std'!$A:$H,8,0)),IFERROR(VLOOKUP(TRIM($E272),'PL mapping Std'!$A:$E,5,0),VLOOKUP(TRIM($D272),'PL mapping Std'!$A:$E,5,0))))</f>
        <v/>
      </c>
      <c r="W272">
        <f>_xlfn.IFERROR(VLOOKUP(E272,'F30 mapping'!A:D,4,0),VLOOKUP(D272,'F30 mapping'!A:D,4,0))</f>
        <v/>
      </c>
      <c r="X272">
        <f>IF(B272&lt;6,IFERROR(VLOOKUP(E272,'BS Mapping std'!A:M,13,0),VLOOKUP(D272,'BS Mapping std'!A:M,13,0)),0)</f>
        <v/>
      </c>
      <c r="Y272">
        <f>IF(B272&lt;6,IFERROR(VLOOKUP(E272,'BS Mapping std'!A:N,14,0),VLOOKUP(D272,'BS Mapping std'!A:N,14,0)),0)</f>
        <v/>
      </c>
    </row>
    <row r="273" spans="1:25">
      <c r="A273">
        <f>IF(B273&lt;6,"BS",IF(B273=6,"Exp","Rev"))</f>
        <v/>
      </c>
      <c r="B273">
        <f>_xlfn.NUMBERVALUE(LEFT(F273,1))</f>
        <v/>
      </c>
      <c r="C273">
        <f>Left(F273,2)</f>
        <v/>
      </c>
      <c r="D273">
        <f>Left(F273,3)</f>
        <v/>
      </c>
      <c r="E273">
        <f>IF(F273="121",Left(F273,3)&amp;"0",Left(F273,4))</f>
        <v/>
      </c>
      <c r="F273" t="n">
        <v>64100240</v>
      </c>
      <c r="G273" t="s">
        <v>291</v>
      </c>
      <c r="H273" s="9" t="n">
        <v>200785</v>
      </c>
      <c r="I273" s="9" t="n">
        <v>117699</v>
      </c>
      <c r="J273" s="9" t="n">
        <v>117699</v>
      </c>
      <c r="K273" s="9" t="n">
        <v>117699</v>
      </c>
      <c r="L273" s="9">
        <f>K273-H273</f>
        <v/>
      </c>
      <c r="M273" s="32">
        <f>IFERROR(L273/H273," ")</f>
        <v/>
      </c>
      <c r="N273">
        <f>IF(A273="BS",IFERROR(VLOOKUP(TRIM($E273),'BS Mapping std'!$A:$D,4,0),VLOOKUP(TRIM($D273),'BS Mapping std'!$A:$D,4,0)),IFERROR(VLOOKUP(TRIM($E273),'PL mapping Std'!$A:$D,4,0),VLOOKUP(TRIM($D273),'PL mapping Std'!$A:$D,4,0)))</f>
        <v/>
      </c>
      <c r="O273">
        <f>_xlfn.IFERROR(VLOOKUP(E273,'F30 mapping'!A:C,3,0),VLOOKUP(D273,'F30 mapping'!A:C,3,0))</f>
        <v/>
      </c>
      <c r="P273">
        <f>_xlfn.IFERROR(IFERROR(VLOOKUP(E273,'F40 mapping'!A:C,3,0),VLOOKUP(D273,'F40 mapping'!A:C,3,0)),0)</f>
        <v/>
      </c>
      <c r="Q273">
        <f>_xlfn.IFERROR(IFERROR(VLOOKUP(E273,'F40 mapping'!A:D,4,0),VLOOKUP(D273,'F40 mapping'!A:D,4,0)),0)</f>
        <v/>
      </c>
      <c r="R273">
        <f>_xlfn.IFERROR(IFERROR(VLOOKUP(E273,'F40 mapping'!A:E,5,0),VLOOKUP(D273,'F40 mapping'!A:E,5,0)),0)</f>
        <v/>
      </c>
      <c r="S273">
        <f>_xlfn.IF(B273&lt;6,IFERROR(VLOOKUP(E273,'BS Mapping std'!A:E,5,0),VLOOKUP(D273,'BS Mapping std'!A:E,5,0)),IFERROR(VLOOKUP(E273,'PL mapping Std'!A:F,6,0),VLOOKUP(D273,'PL mapping Std'!A:F,6,0)))</f>
        <v/>
      </c>
      <c r="T273">
        <f>_xlfn.IF(B273&lt;6,IFERROR(VLOOKUP(E273,'BS Mapping std'!A:F,6,0),VLOOKUP(D273,'BS Mapping std'!A:F,6,0)),IFERROR(VLOOKUP(E273,'PL mapping Std'!A:G,7,0),VLOOKUP(D273,'PL mapping Std'!A:G,7,0)))</f>
        <v/>
      </c>
      <c r="V273">
        <f>IF(IF(A273="BS",IFERROR(VLOOKUP(TRIM($E273),'BS Mapping std'!$A:$H,8,0),VLOOKUP(TRIM($D273),'BS Mapping std'!$A:$H,8,0)),IFERROR(VLOOKUP(TRIM($E273),'PL mapping Std'!$A:$E,5,0),VLOOKUP(TRIM($D273),'PL mapping Std'!$A:$E,5,0)))=0,"",IF(A273="BS",IFERROR(VLOOKUP(TRIM($E273),'BS Mapping std'!$A:$H,8,0),VLOOKUP(TRIM($D273),'BS Mapping std'!$A:$H,8,0)),IFERROR(VLOOKUP(TRIM($E273),'PL mapping Std'!$A:$E,5,0),VLOOKUP(TRIM($D273),'PL mapping Std'!$A:$E,5,0))))</f>
        <v/>
      </c>
      <c r="W273">
        <f>_xlfn.IFERROR(VLOOKUP(E273,'F30 mapping'!A:D,4,0),VLOOKUP(D273,'F30 mapping'!A:D,4,0))</f>
        <v/>
      </c>
      <c r="X273">
        <f>IF(B273&lt;6,IFERROR(VLOOKUP(E273,'BS Mapping std'!A:M,13,0),VLOOKUP(D273,'BS Mapping std'!A:M,13,0)),0)</f>
        <v/>
      </c>
      <c r="Y273">
        <f>IF(B273&lt;6,IFERROR(VLOOKUP(E273,'BS Mapping std'!A:N,14,0),VLOOKUP(D273,'BS Mapping std'!A:N,14,0)),0)</f>
        <v/>
      </c>
    </row>
    <row r="274" spans="1:25">
      <c r="A274">
        <f>IF(B274&lt;6,"BS",IF(B274=6,"Exp","Rev"))</f>
        <v/>
      </c>
      <c r="B274">
        <f>_xlfn.NUMBERVALUE(LEFT(F274,1))</f>
        <v/>
      </c>
      <c r="C274">
        <f>Left(F274,2)</f>
        <v/>
      </c>
      <c r="D274">
        <f>Left(F274,3)</f>
        <v/>
      </c>
      <c r="E274">
        <f>IF(F274="121",Left(F274,3)&amp;"0",Left(F274,4))</f>
        <v/>
      </c>
      <c r="F274" t="n">
        <v>64100300</v>
      </c>
      <c r="G274" t="s">
        <v>292</v>
      </c>
      <c r="H274" s="9" t="n">
        <v>48774</v>
      </c>
      <c r="I274" s="9" t="n">
        <v>189300</v>
      </c>
      <c r="J274" s="9" t="n">
        <v>189300</v>
      </c>
      <c r="K274" s="9" t="n">
        <v>189300</v>
      </c>
      <c r="L274" s="9">
        <f>K274-H274</f>
        <v/>
      </c>
      <c r="M274" s="32">
        <f>IFERROR(L274/H274," ")</f>
        <v/>
      </c>
      <c r="N274">
        <f>IF(A274="BS",IFERROR(VLOOKUP(TRIM($E274),'BS Mapping std'!$A:$D,4,0),VLOOKUP(TRIM($D274),'BS Mapping std'!$A:$D,4,0)),IFERROR(VLOOKUP(TRIM($E274),'PL mapping Std'!$A:$D,4,0),VLOOKUP(TRIM($D274),'PL mapping Std'!$A:$D,4,0)))</f>
        <v/>
      </c>
      <c r="O274">
        <f>_xlfn.IFERROR(VLOOKUP(E274,'F30 mapping'!A:C,3,0),VLOOKUP(D274,'F30 mapping'!A:C,3,0))</f>
        <v/>
      </c>
      <c r="P274">
        <f>_xlfn.IFERROR(IFERROR(VLOOKUP(E274,'F40 mapping'!A:C,3,0),VLOOKUP(D274,'F40 mapping'!A:C,3,0)),0)</f>
        <v/>
      </c>
      <c r="Q274">
        <f>_xlfn.IFERROR(IFERROR(VLOOKUP(E274,'F40 mapping'!A:D,4,0),VLOOKUP(D274,'F40 mapping'!A:D,4,0)),0)</f>
        <v/>
      </c>
      <c r="R274">
        <f>_xlfn.IFERROR(IFERROR(VLOOKUP(E274,'F40 mapping'!A:E,5,0),VLOOKUP(D274,'F40 mapping'!A:E,5,0)),0)</f>
        <v/>
      </c>
      <c r="S274">
        <f>_xlfn.IF(B274&lt;6,IFERROR(VLOOKUP(E274,'BS Mapping std'!A:E,5,0),VLOOKUP(D274,'BS Mapping std'!A:E,5,0)),IFERROR(VLOOKUP(E274,'PL mapping Std'!A:F,6,0),VLOOKUP(D274,'PL mapping Std'!A:F,6,0)))</f>
        <v/>
      </c>
      <c r="T274">
        <f>_xlfn.IF(B274&lt;6,IFERROR(VLOOKUP(E274,'BS Mapping std'!A:F,6,0),VLOOKUP(D274,'BS Mapping std'!A:F,6,0)),IFERROR(VLOOKUP(E274,'PL mapping Std'!A:G,7,0),VLOOKUP(D274,'PL mapping Std'!A:G,7,0)))</f>
        <v/>
      </c>
      <c r="V274">
        <f>IF(IF(A274="BS",IFERROR(VLOOKUP(TRIM($E274),'BS Mapping std'!$A:$H,8,0),VLOOKUP(TRIM($D274),'BS Mapping std'!$A:$H,8,0)),IFERROR(VLOOKUP(TRIM($E274),'PL mapping Std'!$A:$E,5,0),VLOOKUP(TRIM($D274),'PL mapping Std'!$A:$E,5,0)))=0,"",IF(A274="BS",IFERROR(VLOOKUP(TRIM($E274),'BS Mapping std'!$A:$H,8,0),VLOOKUP(TRIM($D274),'BS Mapping std'!$A:$H,8,0)),IFERROR(VLOOKUP(TRIM($E274),'PL mapping Std'!$A:$E,5,0),VLOOKUP(TRIM($D274),'PL mapping Std'!$A:$E,5,0))))</f>
        <v/>
      </c>
      <c r="W274">
        <f>_xlfn.IFERROR(VLOOKUP(E274,'F30 mapping'!A:D,4,0),VLOOKUP(D274,'F30 mapping'!A:D,4,0))</f>
        <v/>
      </c>
      <c r="X274">
        <f>IF(B274&lt;6,IFERROR(VLOOKUP(E274,'BS Mapping std'!A:M,13,0),VLOOKUP(D274,'BS Mapping std'!A:M,13,0)),0)</f>
        <v/>
      </c>
      <c r="Y274">
        <f>IF(B274&lt;6,IFERROR(VLOOKUP(E274,'BS Mapping std'!A:N,14,0),VLOOKUP(D274,'BS Mapping std'!A:N,14,0)),0)</f>
        <v/>
      </c>
    </row>
    <row r="275" spans="1:25">
      <c r="A275">
        <f>IF(B275&lt;6,"BS",IF(B275=6,"Exp","Rev"))</f>
        <v/>
      </c>
      <c r="B275">
        <f>_xlfn.NUMBERVALUE(LEFT(F275,1))</f>
        <v/>
      </c>
      <c r="C275">
        <f>Left(F275,2)</f>
        <v/>
      </c>
      <c r="D275">
        <f>Left(F275,3)</f>
        <v/>
      </c>
      <c r="E275">
        <f>IF(F275="121",Left(F275,3)&amp;"0",Left(F275,4))</f>
        <v/>
      </c>
      <c r="F275" t="n">
        <v>64210100</v>
      </c>
      <c r="G275" t="s">
        <v>293</v>
      </c>
      <c r="H275" s="9" t="n">
        <v>35973</v>
      </c>
      <c r="I275" s="9" t="n">
        <v>235053</v>
      </c>
      <c r="J275" s="9" t="n">
        <v>235053</v>
      </c>
      <c r="K275" s="9" t="n">
        <v>235053</v>
      </c>
      <c r="L275" s="9">
        <f>K275-H275</f>
        <v/>
      </c>
      <c r="M275" s="32">
        <f>IFERROR(L275/H275," ")</f>
        <v/>
      </c>
      <c r="N275">
        <f>IF(A275="BS",IFERROR(VLOOKUP(TRIM($E275),'BS Mapping std'!$A:$D,4,0),VLOOKUP(TRIM($D275),'BS Mapping std'!$A:$D,4,0)),IFERROR(VLOOKUP(TRIM($E275),'PL mapping Std'!$A:$D,4,0),VLOOKUP(TRIM($D275),'PL mapping Std'!$A:$D,4,0)))</f>
        <v/>
      </c>
      <c r="O275">
        <f>_xlfn.IFERROR(VLOOKUP(E275,'F30 mapping'!A:C,3,0),VLOOKUP(D275,'F30 mapping'!A:C,3,0))</f>
        <v/>
      </c>
      <c r="P275">
        <f>_xlfn.IFERROR(IFERROR(VLOOKUP(E275,'F40 mapping'!A:C,3,0),VLOOKUP(D275,'F40 mapping'!A:C,3,0)),0)</f>
        <v/>
      </c>
      <c r="Q275">
        <f>_xlfn.IFERROR(IFERROR(VLOOKUP(E275,'F40 mapping'!A:D,4,0),VLOOKUP(D275,'F40 mapping'!A:D,4,0)),0)</f>
        <v/>
      </c>
      <c r="R275">
        <f>_xlfn.IFERROR(IFERROR(VLOOKUP(E275,'F40 mapping'!A:E,5,0),VLOOKUP(D275,'F40 mapping'!A:E,5,0)),0)</f>
        <v/>
      </c>
      <c r="S275">
        <f>_xlfn.IF(B275&lt;6,IFERROR(VLOOKUP(E275,'BS Mapping std'!A:E,5,0),VLOOKUP(D275,'BS Mapping std'!A:E,5,0)),IFERROR(VLOOKUP(E275,'PL mapping Std'!A:F,6,0),VLOOKUP(D275,'PL mapping Std'!A:F,6,0)))</f>
        <v/>
      </c>
      <c r="T275">
        <f>_xlfn.IF(B275&lt;6,IFERROR(VLOOKUP(E275,'BS Mapping std'!A:F,6,0),VLOOKUP(D275,'BS Mapping std'!A:F,6,0)),IFERROR(VLOOKUP(E275,'PL mapping Std'!A:G,7,0),VLOOKUP(D275,'PL mapping Std'!A:G,7,0)))</f>
        <v/>
      </c>
      <c r="V275">
        <f>IF(IF(A275="BS",IFERROR(VLOOKUP(TRIM($E275),'BS Mapping std'!$A:$H,8,0),VLOOKUP(TRIM($D275),'BS Mapping std'!$A:$H,8,0)),IFERROR(VLOOKUP(TRIM($E275),'PL mapping Std'!$A:$E,5,0),VLOOKUP(TRIM($D275),'PL mapping Std'!$A:$E,5,0)))=0,"",IF(A275="BS",IFERROR(VLOOKUP(TRIM($E275),'BS Mapping std'!$A:$H,8,0),VLOOKUP(TRIM($D275),'BS Mapping std'!$A:$H,8,0)),IFERROR(VLOOKUP(TRIM($E275),'PL mapping Std'!$A:$E,5,0),VLOOKUP(TRIM($D275),'PL mapping Std'!$A:$E,5,0))))</f>
        <v/>
      </c>
      <c r="W275">
        <f>_xlfn.IFERROR(VLOOKUP(E275,'F30 mapping'!A:D,4,0),VLOOKUP(D275,'F30 mapping'!A:D,4,0))</f>
        <v/>
      </c>
      <c r="X275">
        <f>IF(B275&lt;6,IFERROR(VLOOKUP(E275,'BS Mapping std'!A:M,13,0),VLOOKUP(D275,'BS Mapping std'!A:M,13,0)),0)</f>
        <v/>
      </c>
      <c r="Y275">
        <f>IF(B275&lt;6,IFERROR(VLOOKUP(E275,'BS Mapping std'!A:N,14,0),VLOOKUP(D275,'BS Mapping std'!A:N,14,0)),0)</f>
        <v/>
      </c>
    </row>
    <row r="276" spans="1:25">
      <c r="A276">
        <f>IF(B276&lt;6,"BS",IF(B276=6,"Exp","Rev"))</f>
        <v/>
      </c>
      <c r="B276">
        <f>_xlfn.NUMBERVALUE(LEFT(F276,1))</f>
        <v/>
      </c>
      <c r="C276">
        <f>Left(F276,2)</f>
        <v/>
      </c>
      <c r="D276">
        <f>Left(F276,3)</f>
        <v/>
      </c>
      <c r="E276">
        <f>IF(F276="121",Left(F276,3)&amp;"0",Left(F276,4))</f>
        <v/>
      </c>
      <c r="F276" t="n">
        <v>64210200</v>
      </c>
      <c r="G276" t="s">
        <v>294</v>
      </c>
      <c r="H276" s="9" t="n">
        <v>13699</v>
      </c>
      <c r="I276" s="9" t="n">
        <v>29053</v>
      </c>
      <c r="J276" s="9" t="n">
        <v>29053</v>
      </c>
      <c r="K276" s="9" t="n">
        <v>29053</v>
      </c>
      <c r="L276" s="9">
        <f>K276-H276</f>
        <v/>
      </c>
      <c r="M276" s="32">
        <f>IFERROR(L276/H276," ")</f>
        <v/>
      </c>
      <c r="N276">
        <f>IF(A276="BS",IFERROR(VLOOKUP(TRIM($E276),'BS Mapping std'!$A:$D,4,0),VLOOKUP(TRIM($D276),'BS Mapping std'!$A:$D,4,0)),IFERROR(VLOOKUP(TRIM($E276),'PL mapping Std'!$A:$D,4,0),VLOOKUP(TRIM($D276),'PL mapping Std'!$A:$D,4,0)))</f>
        <v/>
      </c>
      <c r="O276">
        <f>_xlfn.IFERROR(VLOOKUP(E276,'F30 mapping'!A:C,3,0),VLOOKUP(D276,'F30 mapping'!A:C,3,0))</f>
        <v/>
      </c>
      <c r="P276">
        <f>_xlfn.IFERROR(IFERROR(VLOOKUP(E276,'F40 mapping'!A:C,3,0),VLOOKUP(D276,'F40 mapping'!A:C,3,0)),0)</f>
        <v/>
      </c>
      <c r="Q276">
        <f>_xlfn.IFERROR(IFERROR(VLOOKUP(E276,'F40 mapping'!A:D,4,0),VLOOKUP(D276,'F40 mapping'!A:D,4,0)),0)</f>
        <v/>
      </c>
      <c r="R276">
        <f>_xlfn.IFERROR(IFERROR(VLOOKUP(E276,'F40 mapping'!A:E,5,0),VLOOKUP(D276,'F40 mapping'!A:E,5,0)),0)</f>
        <v/>
      </c>
      <c r="S276">
        <f>_xlfn.IF(B276&lt;6,IFERROR(VLOOKUP(E276,'BS Mapping std'!A:E,5,0),VLOOKUP(D276,'BS Mapping std'!A:E,5,0)),IFERROR(VLOOKUP(E276,'PL mapping Std'!A:F,6,0),VLOOKUP(D276,'PL mapping Std'!A:F,6,0)))</f>
        <v/>
      </c>
      <c r="T276">
        <f>_xlfn.IF(B276&lt;6,IFERROR(VLOOKUP(E276,'BS Mapping std'!A:F,6,0),VLOOKUP(D276,'BS Mapping std'!A:F,6,0)),IFERROR(VLOOKUP(E276,'PL mapping Std'!A:G,7,0),VLOOKUP(D276,'PL mapping Std'!A:G,7,0)))</f>
        <v/>
      </c>
      <c r="V276">
        <f>IF(IF(A276="BS",IFERROR(VLOOKUP(TRIM($E276),'BS Mapping std'!$A:$H,8,0),VLOOKUP(TRIM($D276),'BS Mapping std'!$A:$H,8,0)),IFERROR(VLOOKUP(TRIM($E276),'PL mapping Std'!$A:$E,5,0),VLOOKUP(TRIM($D276),'PL mapping Std'!$A:$E,5,0)))=0,"",IF(A276="BS",IFERROR(VLOOKUP(TRIM($E276),'BS Mapping std'!$A:$H,8,0),VLOOKUP(TRIM($D276),'BS Mapping std'!$A:$H,8,0)),IFERROR(VLOOKUP(TRIM($E276),'PL mapping Std'!$A:$E,5,0),VLOOKUP(TRIM($D276),'PL mapping Std'!$A:$E,5,0))))</f>
        <v/>
      </c>
      <c r="W276">
        <f>_xlfn.IFERROR(VLOOKUP(E276,'F30 mapping'!A:D,4,0),VLOOKUP(D276,'F30 mapping'!A:D,4,0))</f>
        <v/>
      </c>
      <c r="X276">
        <f>IF(B276&lt;6,IFERROR(VLOOKUP(E276,'BS Mapping std'!A:M,13,0),VLOOKUP(D276,'BS Mapping std'!A:M,13,0)),0)</f>
        <v/>
      </c>
      <c r="Y276">
        <f>IF(B276&lt;6,IFERROR(VLOOKUP(E276,'BS Mapping std'!A:N,14,0),VLOOKUP(D276,'BS Mapping std'!A:N,14,0)),0)</f>
        <v/>
      </c>
    </row>
    <row r="277" spans="1:25">
      <c r="A277">
        <f>IF(B277&lt;6,"BS",IF(B277=6,"Exp","Rev"))</f>
        <v/>
      </c>
      <c r="B277">
        <f>_xlfn.NUMBERVALUE(LEFT(F277,1))</f>
        <v/>
      </c>
      <c r="C277">
        <f>Left(F277,2)</f>
        <v/>
      </c>
      <c r="D277">
        <f>Left(F277,3)</f>
        <v/>
      </c>
      <c r="E277">
        <f>IF(F277="121",Left(F277,3)&amp;"0",Left(F277,4))</f>
        <v/>
      </c>
      <c r="F277" t="n">
        <v>64220100</v>
      </c>
      <c r="G277" t="s">
        <v>295</v>
      </c>
      <c r="H277" s="9" t="n">
        <v>1187720</v>
      </c>
      <c r="I277" s="9" t="n">
        <v>1740410</v>
      </c>
      <c r="J277" s="9" t="n">
        <v>1740410</v>
      </c>
      <c r="K277" s="9" t="n">
        <v>1740410</v>
      </c>
      <c r="L277" s="9">
        <f>K277-H277</f>
        <v/>
      </c>
      <c r="M277" s="32">
        <f>IFERROR(L277/H277," ")</f>
        <v/>
      </c>
      <c r="N277">
        <f>IF(A277="BS",IFERROR(VLOOKUP(TRIM($E277),'BS Mapping std'!$A:$D,4,0),VLOOKUP(TRIM($D277),'BS Mapping std'!$A:$D,4,0)),IFERROR(VLOOKUP(TRIM($E277),'PL mapping Std'!$A:$D,4,0),VLOOKUP(TRIM($D277),'PL mapping Std'!$A:$D,4,0)))</f>
        <v/>
      </c>
      <c r="O277">
        <f>_xlfn.IFERROR(VLOOKUP(E277,'F30 mapping'!A:C,3,0),VLOOKUP(D277,'F30 mapping'!A:C,3,0))</f>
        <v/>
      </c>
      <c r="P277">
        <f>_xlfn.IFERROR(IFERROR(VLOOKUP(E277,'F40 mapping'!A:C,3,0),VLOOKUP(D277,'F40 mapping'!A:C,3,0)),0)</f>
        <v/>
      </c>
      <c r="Q277">
        <f>_xlfn.IFERROR(IFERROR(VLOOKUP(E277,'F40 mapping'!A:D,4,0),VLOOKUP(D277,'F40 mapping'!A:D,4,0)),0)</f>
        <v/>
      </c>
      <c r="R277">
        <f>_xlfn.IFERROR(IFERROR(VLOOKUP(E277,'F40 mapping'!A:E,5,0),VLOOKUP(D277,'F40 mapping'!A:E,5,0)),0)</f>
        <v/>
      </c>
      <c r="S277">
        <f>_xlfn.IF(B277&lt;6,IFERROR(VLOOKUP(E277,'BS Mapping std'!A:E,5,0),VLOOKUP(D277,'BS Mapping std'!A:E,5,0)),IFERROR(VLOOKUP(E277,'PL mapping Std'!A:F,6,0),VLOOKUP(D277,'PL mapping Std'!A:F,6,0)))</f>
        <v/>
      </c>
      <c r="T277">
        <f>_xlfn.IF(B277&lt;6,IFERROR(VLOOKUP(E277,'BS Mapping std'!A:F,6,0),VLOOKUP(D277,'BS Mapping std'!A:F,6,0)),IFERROR(VLOOKUP(E277,'PL mapping Std'!A:G,7,0),VLOOKUP(D277,'PL mapping Std'!A:G,7,0)))</f>
        <v/>
      </c>
      <c r="V277">
        <f>IF(IF(A277="BS",IFERROR(VLOOKUP(TRIM($E277),'BS Mapping std'!$A:$H,8,0),VLOOKUP(TRIM($D277),'BS Mapping std'!$A:$H,8,0)),IFERROR(VLOOKUP(TRIM($E277),'PL mapping Std'!$A:$E,5,0),VLOOKUP(TRIM($D277),'PL mapping Std'!$A:$E,5,0)))=0,"",IF(A277="BS",IFERROR(VLOOKUP(TRIM($E277),'BS Mapping std'!$A:$H,8,0),VLOOKUP(TRIM($D277),'BS Mapping std'!$A:$H,8,0)),IFERROR(VLOOKUP(TRIM($E277),'PL mapping Std'!$A:$E,5,0),VLOOKUP(TRIM($D277),'PL mapping Std'!$A:$E,5,0))))</f>
        <v/>
      </c>
      <c r="W277">
        <f>_xlfn.IFERROR(VLOOKUP(E277,'F30 mapping'!A:D,4,0),VLOOKUP(D277,'F30 mapping'!A:D,4,0))</f>
        <v/>
      </c>
      <c r="X277">
        <f>IF(B277&lt;6,IFERROR(VLOOKUP(E277,'BS Mapping std'!A:M,13,0),VLOOKUP(D277,'BS Mapping std'!A:M,13,0)),0)</f>
        <v/>
      </c>
      <c r="Y277">
        <f>IF(B277&lt;6,IFERROR(VLOOKUP(E277,'BS Mapping std'!A:N,14,0),VLOOKUP(D277,'BS Mapping std'!A:N,14,0)),0)</f>
        <v/>
      </c>
    </row>
    <row r="278" spans="1:25">
      <c r="A278">
        <f>IF(B278&lt;6,"BS",IF(B278=6,"Exp","Rev"))</f>
        <v/>
      </c>
      <c r="B278">
        <f>_xlfn.NUMBERVALUE(LEFT(F278,1))</f>
        <v/>
      </c>
      <c r="C278">
        <f>Left(F278,2)</f>
        <v/>
      </c>
      <c r="D278">
        <f>Left(F278,3)</f>
        <v/>
      </c>
      <c r="E278">
        <f>IF(F278="121",Left(F278,3)&amp;"0",Left(F278,4))</f>
        <v/>
      </c>
      <c r="F278" t="n">
        <v>64220200</v>
      </c>
      <c r="G278" t="s">
        <v>296</v>
      </c>
      <c r="H278" s="9" t="n">
        <v>83945</v>
      </c>
      <c r="I278" s="9" t="n">
        <v>112870</v>
      </c>
      <c r="J278" s="9" t="n">
        <v>112870</v>
      </c>
      <c r="K278" s="9" t="n">
        <v>112870</v>
      </c>
      <c r="L278" s="9">
        <f>K278-H278</f>
        <v/>
      </c>
      <c r="M278" s="32">
        <f>IFERROR(L278/H278," ")</f>
        <v/>
      </c>
      <c r="N278">
        <f>IF(A278="BS",IFERROR(VLOOKUP(TRIM($E278),'BS Mapping std'!$A:$D,4,0),VLOOKUP(TRIM($D278),'BS Mapping std'!$A:$D,4,0)),IFERROR(VLOOKUP(TRIM($E278),'PL mapping Std'!$A:$D,4,0),VLOOKUP(TRIM($D278),'PL mapping Std'!$A:$D,4,0)))</f>
        <v/>
      </c>
      <c r="O278">
        <f>_xlfn.IFERROR(VLOOKUP(E278,'F30 mapping'!A:C,3,0),VLOOKUP(D278,'F30 mapping'!A:C,3,0))</f>
        <v/>
      </c>
      <c r="P278">
        <f>_xlfn.IFERROR(IFERROR(VLOOKUP(E278,'F40 mapping'!A:C,3,0),VLOOKUP(D278,'F40 mapping'!A:C,3,0)),0)</f>
        <v/>
      </c>
      <c r="Q278">
        <f>_xlfn.IFERROR(IFERROR(VLOOKUP(E278,'F40 mapping'!A:D,4,0),VLOOKUP(D278,'F40 mapping'!A:D,4,0)),0)</f>
        <v/>
      </c>
      <c r="R278">
        <f>_xlfn.IFERROR(IFERROR(VLOOKUP(E278,'F40 mapping'!A:E,5,0),VLOOKUP(D278,'F40 mapping'!A:E,5,0)),0)</f>
        <v/>
      </c>
      <c r="S278">
        <f>_xlfn.IF(B278&lt;6,IFERROR(VLOOKUP(E278,'BS Mapping std'!A:E,5,0),VLOOKUP(D278,'BS Mapping std'!A:E,5,0)),IFERROR(VLOOKUP(E278,'PL mapping Std'!A:F,6,0),VLOOKUP(D278,'PL mapping Std'!A:F,6,0)))</f>
        <v/>
      </c>
      <c r="T278">
        <f>_xlfn.IF(B278&lt;6,IFERROR(VLOOKUP(E278,'BS Mapping std'!A:F,6,0),VLOOKUP(D278,'BS Mapping std'!A:F,6,0)),IFERROR(VLOOKUP(E278,'PL mapping Std'!A:G,7,0),VLOOKUP(D278,'PL mapping Std'!A:G,7,0)))</f>
        <v/>
      </c>
      <c r="V278">
        <f>IF(IF(A278="BS",IFERROR(VLOOKUP(TRIM($E278),'BS Mapping std'!$A:$H,8,0),VLOOKUP(TRIM($D278),'BS Mapping std'!$A:$H,8,0)),IFERROR(VLOOKUP(TRIM($E278),'PL mapping Std'!$A:$E,5,0),VLOOKUP(TRIM($D278),'PL mapping Std'!$A:$E,5,0)))=0,"",IF(A278="BS",IFERROR(VLOOKUP(TRIM($E278),'BS Mapping std'!$A:$H,8,0),VLOOKUP(TRIM($D278),'BS Mapping std'!$A:$H,8,0)),IFERROR(VLOOKUP(TRIM($E278),'PL mapping Std'!$A:$E,5,0),VLOOKUP(TRIM($D278),'PL mapping Std'!$A:$E,5,0))))</f>
        <v/>
      </c>
      <c r="W278">
        <f>_xlfn.IFERROR(VLOOKUP(E278,'F30 mapping'!A:D,4,0),VLOOKUP(D278,'F30 mapping'!A:D,4,0))</f>
        <v/>
      </c>
      <c r="X278">
        <f>IF(B278&lt;6,IFERROR(VLOOKUP(E278,'BS Mapping std'!A:M,13,0),VLOOKUP(D278,'BS Mapping std'!A:M,13,0)),0)</f>
        <v/>
      </c>
      <c r="Y278">
        <f>IF(B278&lt;6,IFERROR(VLOOKUP(E278,'BS Mapping std'!A:N,14,0),VLOOKUP(D278,'BS Mapping std'!A:N,14,0)),0)</f>
        <v/>
      </c>
    </row>
    <row r="279" spans="1:25">
      <c r="A279">
        <f>IF(B279&lt;6,"BS",IF(B279=6,"Exp","Rev"))</f>
        <v/>
      </c>
      <c r="B279">
        <f>_xlfn.NUMBERVALUE(LEFT(F279,1))</f>
        <v/>
      </c>
      <c r="C279">
        <f>Left(F279,2)</f>
        <v/>
      </c>
      <c r="D279">
        <f>Left(F279,3)</f>
        <v/>
      </c>
      <c r="E279">
        <f>IF(F279="121",Left(F279,3)&amp;"0",Left(F279,4))</f>
        <v/>
      </c>
      <c r="F279" t="n">
        <v>64530100</v>
      </c>
      <c r="G279" t="s">
        <v>297</v>
      </c>
      <c r="H279" s="9" t="n">
        <v>124737</v>
      </c>
      <c r="I279" s="9" t="n">
        <v>175569</v>
      </c>
      <c r="J279" s="9" t="n">
        <v>175569</v>
      </c>
      <c r="K279" s="9" t="n">
        <v>175569</v>
      </c>
      <c r="L279" s="9">
        <f>K279-H279</f>
        <v/>
      </c>
      <c r="M279" s="32">
        <f>IFERROR(L279/H279," ")</f>
        <v/>
      </c>
      <c r="N279">
        <f>IF(A279="BS",IFERROR(VLOOKUP(TRIM($E279),'BS Mapping std'!$A:$D,4,0),VLOOKUP(TRIM($D279),'BS Mapping std'!$A:$D,4,0)),IFERROR(VLOOKUP(TRIM($E279),'PL mapping Std'!$A:$D,4,0),VLOOKUP(TRIM($D279),'PL mapping Std'!$A:$D,4,0)))</f>
        <v/>
      </c>
      <c r="O279">
        <f>_xlfn.IFERROR(VLOOKUP(E279,'F30 mapping'!A:C,3,0),VLOOKUP(D279,'F30 mapping'!A:C,3,0))</f>
        <v/>
      </c>
      <c r="P279">
        <f>_xlfn.IFERROR(IFERROR(VLOOKUP(E279,'F40 mapping'!A:C,3,0),VLOOKUP(D279,'F40 mapping'!A:C,3,0)),0)</f>
        <v/>
      </c>
      <c r="Q279">
        <f>_xlfn.IFERROR(IFERROR(VLOOKUP(E279,'F40 mapping'!A:D,4,0),VLOOKUP(D279,'F40 mapping'!A:D,4,0)),0)</f>
        <v/>
      </c>
      <c r="R279">
        <f>_xlfn.IFERROR(IFERROR(VLOOKUP(E279,'F40 mapping'!A:E,5,0),VLOOKUP(D279,'F40 mapping'!A:E,5,0)),0)</f>
        <v/>
      </c>
      <c r="S279">
        <f>_xlfn.IF(B279&lt;6,IFERROR(VLOOKUP(E279,'BS Mapping std'!A:E,5,0),VLOOKUP(D279,'BS Mapping std'!A:E,5,0)),IFERROR(VLOOKUP(E279,'PL mapping Std'!A:F,6,0),VLOOKUP(D279,'PL mapping Std'!A:F,6,0)))</f>
        <v/>
      </c>
      <c r="T279">
        <f>_xlfn.IF(B279&lt;6,IFERROR(VLOOKUP(E279,'BS Mapping std'!A:F,6,0),VLOOKUP(D279,'BS Mapping std'!A:F,6,0)),IFERROR(VLOOKUP(E279,'PL mapping Std'!A:G,7,0),VLOOKUP(D279,'PL mapping Std'!A:G,7,0)))</f>
        <v/>
      </c>
      <c r="V279">
        <f>IF(IF(A279="BS",IFERROR(VLOOKUP(TRIM($E279),'BS Mapping std'!$A:$H,8,0),VLOOKUP(TRIM($D279),'BS Mapping std'!$A:$H,8,0)),IFERROR(VLOOKUP(TRIM($E279),'PL mapping Std'!$A:$E,5,0),VLOOKUP(TRIM($D279),'PL mapping Std'!$A:$E,5,0)))=0,"",IF(A279="BS",IFERROR(VLOOKUP(TRIM($E279),'BS Mapping std'!$A:$H,8,0),VLOOKUP(TRIM($D279),'BS Mapping std'!$A:$H,8,0)),IFERROR(VLOOKUP(TRIM($E279),'PL mapping Std'!$A:$E,5,0),VLOOKUP(TRIM($D279),'PL mapping Std'!$A:$E,5,0))))</f>
        <v/>
      </c>
      <c r="W279">
        <f>_xlfn.IFERROR(VLOOKUP(E279,'F30 mapping'!A:D,4,0),VLOOKUP(D279,'F30 mapping'!A:D,4,0))</f>
        <v/>
      </c>
      <c r="X279">
        <f>IF(B279&lt;6,IFERROR(VLOOKUP(E279,'BS Mapping std'!A:M,13,0),VLOOKUP(D279,'BS Mapping std'!A:M,13,0)),0)</f>
        <v/>
      </c>
      <c r="Y279">
        <f>IF(B279&lt;6,IFERROR(VLOOKUP(E279,'BS Mapping std'!A:N,14,0),VLOOKUP(D279,'BS Mapping std'!A:N,14,0)),0)</f>
        <v/>
      </c>
    </row>
    <row r="280" spans="1:25">
      <c r="A280">
        <f>IF(B280&lt;6,"BS",IF(B280=6,"Exp","Rev"))</f>
        <v/>
      </c>
      <c r="B280">
        <f>_xlfn.NUMBERVALUE(LEFT(F280,1))</f>
        <v/>
      </c>
      <c r="C280">
        <f>Left(F280,2)</f>
        <v/>
      </c>
      <c r="D280">
        <f>Left(F280,3)</f>
        <v/>
      </c>
      <c r="E280">
        <f>IF(F280="121",Left(F280,3)&amp;"0",Left(F280,4))</f>
        <v/>
      </c>
      <c r="F280" t="n">
        <v>64530200</v>
      </c>
      <c r="G280" t="s">
        <v>298</v>
      </c>
      <c r="H280" s="9" t="n">
        <v>10274</v>
      </c>
      <c r="I280" s="9" t="n">
        <v>16129</v>
      </c>
      <c r="J280" s="9" t="n">
        <v>16129</v>
      </c>
      <c r="K280" s="9" t="n">
        <v>16129</v>
      </c>
      <c r="L280" s="9">
        <f>K280-H280</f>
        <v/>
      </c>
      <c r="M280" s="32">
        <f>IFERROR(L280/H280," ")</f>
        <v/>
      </c>
      <c r="N280">
        <f>IF(A280="BS",IFERROR(VLOOKUP(TRIM($E280),'BS Mapping std'!$A:$D,4,0),VLOOKUP(TRIM($D280),'BS Mapping std'!$A:$D,4,0)),IFERROR(VLOOKUP(TRIM($E280),'PL mapping Std'!$A:$D,4,0),VLOOKUP(TRIM($D280),'PL mapping Std'!$A:$D,4,0)))</f>
        <v/>
      </c>
      <c r="O280">
        <f>_xlfn.IFERROR(VLOOKUP(E280,'F30 mapping'!A:C,3,0),VLOOKUP(D280,'F30 mapping'!A:C,3,0))</f>
        <v/>
      </c>
      <c r="P280">
        <f>_xlfn.IFERROR(IFERROR(VLOOKUP(E280,'F40 mapping'!A:C,3,0),VLOOKUP(D280,'F40 mapping'!A:C,3,0)),0)</f>
        <v/>
      </c>
      <c r="Q280">
        <f>_xlfn.IFERROR(IFERROR(VLOOKUP(E280,'F40 mapping'!A:D,4,0),VLOOKUP(D280,'F40 mapping'!A:D,4,0)),0)</f>
        <v/>
      </c>
      <c r="R280">
        <f>_xlfn.IFERROR(IFERROR(VLOOKUP(E280,'F40 mapping'!A:E,5,0),VLOOKUP(D280,'F40 mapping'!A:E,5,0)),0)</f>
        <v/>
      </c>
      <c r="S280">
        <f>_xlfn.IF(B280&lt;6,IFERROR(VLOOKUP(E280,'BS Mapping std'!A:E,5,0),VLOOKUP(D280,'BS Mapping std'!A:E,5,0)),IFERROR(VLOOKUP(E280,'PL mapping Std'!A:F,6,0),VLOOKUP(D280,'PL mapping Std'!A:F,6,0)))</f>
        <v/>
      </c>
      <c r="T280">
        <f>_xlfn.IF(B280&lt;6,IFERROR(VLOOKUP(E280,'BS Mapping std'!A:F,6,0),VLOOKUP(D280,'BS Mapping std'!A:F,6,0)),IFERROR(VLOOKUP(E280,'PL mapping Std'!A:G,7,0),VLOOKUP(D280,'PL mapping Std'!A:G,7,0)))</f>
        <v/>
      </c>
      <c r="V280">
        <f>IF(IF(A280="BS",IFERROR(VLOOKUP(TRIM($E280),'BS Mapping std'!$A:$H,8,0),VLOOKUP(TRIM($D280),'BS Mapping std'!$A:$H,8,0)),IFERROR(VLOOKUP(TRIM($E280),'PL mapping Std'!$A:$E,5,0),VLOOKUP(TRIM($D280),'PL mapping Std'!$A:$E,5,0)))=0,"",IF(A280="BS",IFERROR(VLOOKUP(TRIM($E280),'BS Mapping std'!$A:$H,8,0),VLOOKUP(TRIM($D280),'BS Mapping std'!$A:$H,8,0)),IFERROR(VLOOKUP(TRIM($E280),'PL mapping Std'!$A:$E,5,0),VLOOKUP(TRIM($D280),'PL mapping Std'!$A:$E,5,0))))</f>
        <v/>
      </c>
      <c r="W280">
        <f>_xlfn.IFERROR(VLOOKUP(E280,'F30 mapping'!A:D,4,0),VLOOKUP(D280,'F30 mapping'!A:D,4,0))</f>
        <v/>
      </c>
      <c r="X280">
        <f>IF(B280&lt;6,IFERROR(VLOOKUP(E280,'BS Mapping std'!A:M,13,0),VLOOKUP(D280,'BS Mapping std'!A:M,13,0)),0)</f>
        <v/>
      </c>
      <c r="Y280">
        <f>IF(B280&lt;6,IFERROR(VLOOKUP(E280,'BS Mapping std'!A:N,14,0),VLOOKUP(D280,'BS Mapping std'!A:N,14,0)),0)</f>
        <v/>
      </c>
    </row>
    <row r="281" spans="1:25">
      <c r="A281">
        <f>IF(B281&lt;6,"BS",IF(B281=6,"Exp","Rev"))</f>
        <v/>
      </c>
      <c r="B281">
        <f>_xlfn.NUMBERVALUE(LEFT(F281,1))</f>
        <v/>
      </c>
      <c r="C281">
        <f>Left(F281,2)</f>
        <v/>
      </c>
      <c r="D281">
        <f>Left(F281,3)</f>
        <v/>
      </c>
      <c r="E281">
        <f>IF(F281="121",Left(F281,3)&amp;"0",Left(F281,4))</f>
        <v/>
      </c>
      <c r="F281" t="n">
        <v>64580200</v>
      </c>
      <c r="G281" t="s">
        <v>299</v>
      </c>
      <c r="H281" s="9" t="n">
        <v>0</v>
      </c>
      <c r="I281" s="9" t="n">
        <v>12896.2</v>
      </c>
      <c r="J281" s="9" t="n">
        <v>12896.2</v>
      </c>
      <c r="K281" s="9" t="n">
        <v>12896.2</v>
      </c>
      <c r="L281" s="9">
        <f>K281-H281</f>
        <v/>
      </c>
      <c r="M281" s="32">
        <f>IFERROR(L281/H281," ")</f>
        <v/>
      </c>
      <c r="N281">
        <f>IF(A281="BS",IFERROR(VLOOKUP(TRIM($E281),'BS Mapping std'!$A:$D,4,0),VLOOKUP(TRIM($D281),'BS Mapping std'!$A:$D,4,0)),IFERROR(VLOOKUP(TRIM($E281),'PL mapping Std'!$A:$D,4,0),VLOOKUP(TRIM($D281),'PL mapping Std'!$A:$D,4,0)))</f>
        <v/>
      </c>
      <c r="O281">
        <f>_xlfn.IFERROR(VLOOKUP(E281,'F30 mapping'!A:C,3,0),VLOOKUP(D281,'F30 mapping'!A:C,3,0))</f>
        <v/>
      </c>
      <c r="P281">
        <f>_xlfn.IFERROR(IFERROR(VLOOKUP(E281,'F40 mapping'!A:C,3,0),VLOOKUP(D281,'F40 mapping'!A:C,3,0)),0)</f>
        <v/>
      </c>
      <c r="Q281">
        <f>_xlfn.IFERROR(IFERROR(VLOOKUP(E281,'F40 mapping'!A:D,4,0),VLOOKUP(D281,'F40 mapping'!A:D,4,0)),0)</f>
        <v/>
      </c>
      <c r="R281">
        <f>_xlfn.IFERROR(IFERROR(VLOOKUP(E281,'F40 mapping'!A:E,5,0),VLOOKUP(D281,'F40 mapping'!A:E,5,0)),0)</f>
        <v/>
      </c>
      <c r="S281">
        <f>_xlfn.IF(B281&lt;6,IFERROR(VLOOKUP(E281,'BS Mapping std'!A:E,5,0),VLOOKUP(D281,'BS Mapping std'!A:E,5,0)),IFERROR(VLOOKUP(E281,'PL mapping Std'!A:F,6,0),VLOOKUP(D281,'PL mapping Std'!A:F,6,0)))</f>
        <v/>
      </c>
      <c r="T281">
        <f>_xlfn.IF(B281&lt;6,IFERROR(VLOOKUP(E281,'BS Mapping std'!A:F,6,0),VLOOKUP(D281,'BS Mapping std'!A:F,6,0)),IFERROR(VLOOKUP(E281,'PL mapping Std'!A:G,7,0),VLOOKUP(D281,'PL mapping Std'!A:G,7,0)))</f>
        <v/>
      </c>
      <c r="V281">
        <f>IF(IF(A281="BS",IFERROR(VLOOKUP(TRIM($E281),'BS Mapping std'!$A:$H,8,0),VLOOKUP(TRIM($D281),'BS Mapping std'!$A:$H,8,0)),IFERROR(VLOOKUP(TRIM($E281),'PL mapping Std'!$A:$E,5,0),VLOOKUP(TRIM($D281),'PL mapping Std'!$A:$E,5,0)))=0,"",IF(A281="BS",IFERROR(VLOOKUP(TRIM($E281),'BS Mapping std'!$A:$H,8,0),VLOOKUP(TRIM($D281),'BS Mapping std'!$A:$H,8,0)),IFERROR(VLOOKUP(TRIM($E281),'PL mapping Std'!$A:$E,5,0),VLOOKUP(TRIM($D281),'PL mapping Std'!$A:$E,5,0))))</f>
        <v/>
      </c>
      <c r="W281">
        <f>_xlfn.IFERROR(VLOOKUP(E281,'F30 mapping'!A:D,4,0),VLOOKUP(D281,'F30 mapping'!A:D,4,0))</f>
        <v/>
      </c>
      <c r="X281">
        <f>IF(B281&lt;6,IFERROR(VLOOKUP(E281,'BS Mapping std'!A:M,13,0),VLOOKUP(D281,'BS Mapping std'!A:M,13,0)),0)</f>
        <v/>
      </c>
      <c r="Y281">
        <f>IF(B281&lt;6,IFERROR(VLOOKUP(E281,'BS Mapping std'!A:N,14,0),VLOOKUP(D281,'BS Mapping std'!A:N,14,0)),0)</f>
        <v/>
      </c>
    </row>
    <row r="282" spans="1:25">
      <c r="A282">
        <f>IF(B282&lt;6,"BS",IF(B282=6,"Exp","Rev"))</f>
        <v/>
      </c>
      <c r="B282">
        <f>_xlfn.NUMBERVALUE(LEFT(F282,1))</f>
        <v/>
      </c>
      <c r="C282">
        <f>Left(F282,2)</f>
        <v/>
      </c>
      <c r="D282">
        <f>Left(F282,3)</f>
        <v/>
      </c>
      <c r="E282">
        <f>IF(F282="121",Left(F282,3)&amp;"0",Left(F282,4))</f>
        <v/>
      </c>
      <c r="F282" t="n">
        <v>64580310</v>
      </c>
      <c r="G282" t="s">
        <v>300</v>
      </c>
      <c r="H282" s="9" t="n">
        <v>3140.01</v>
      </c>
      <c r="I282" s="9" t="n">
        <v>1167.14</v>
      </c>
      <c r="J282" s="9" t="n">
        <v>1167.14</v>
      </c>
      <c r="K282" s="9" t="n">
        <v>1167.14</v>
      </c>
      <c r="L282" s="9">
        <f>K282-H282</f>
        <v/>
      </c>
      <c r="M282" s="32">
        <f>IFERROR(L282/H282," ")</f>
        <v/>
      </c>
      <c r="N282">
        <f>IF(A282="BS",IFERROR(VLOOKUP(TRIM($E282),'BS Mapping std'!$A:$D,4,0),VLOOKUP(TRIM($D282),'BS Mapping std'!$A:$D,4,0)),IFERROR(VLOOKUP(TRIM($E282),'PL mapping Std'!$A:$D,4,0),VLOOKUP(TRIM($D282),'PL mapping Std'!$A:$D,4,0)))</f>
        <v/>
      </c>
      <c r="O282">
        <f>_xlfn.IFERROR(VLOOKUP(E282,'F30 mapping'!A:C,3,0),VLOOKUP(D282,'F30 mapping'!A:C,3,0))</f>
        <v/>
      </c>
      <c r="P282">
        <f>_xlfn.IFERROR(IFERROR(VLOOKUP(E282,'F40 mapping'!A:C,3,0),VLOOKUP(D282,'F40 mapping'!A:C,3,0)),0)</f>
        <v/>
      </c>
      <c r="Q282">
        <f>_xlfn.IFERROR(IFERROR(VLOOKUP(E282,'F40 mapping'!A:D,4,0),VLOOKUP(D282,'F40 mapping'!A:D,4,0)),0)</f>
        <v/>
      </c>
      <c r="R282">
        <f>_xlfn.IFERROR(IFERROR(VLOOKUP(E282,'F40 mapping'!A:E,5,0),VLOOKUP(D282,'F40 mapping'!A:E,5,0)),0)</f>
        <v/>
      </c>
      <c r="S282">
        <f>_xlfn.IF(B282&lt;6,IFERROR(VLOOKUP(E282,'BS Mapping std'!A:E,5,0),VLOOKUP(D282,'BS Mapping std'!A:E,5,0)),IFERROR(VLOOKUP(E282,'PL mapping Std'!A:F,6,0),VLOOKUP(D282,'PL mapping Std'!A:F,6,0)))</f>
        <v/>
      </c>
      <c r="T282">
        <f>_xlfn.IF(B282&lt;6,IFERROR(VLOOKUP(E282,'BS Mapping std'!A:F,6,0),VLOOKUP(D282,'BS Mapping std'!A:F,6,0)),IFERROR(VLOOKUP(E282,'PL mapping Std'!A:G,7,0),VLOOKUP(D282,'PL mapping Std'!A:G,7,0)))</f>
        <v/>
      </c>
      <c r="V282">
        <f>IF(IF(A282="BS",IFERROR(VLOOKUP(TRIM($E282),'BS Mapping std'!$A:$H,8,0),VLOOKUP(TRIM($D282),'BS Mapping std'!$A:$H,8,0)),IFERROR(VLOOKUP(TRIM($E282),'PL mapping Std'!$A:$E,5,0),VLOOKUP(TRIM($D282),'PL mapping Std'!$A:$E,5,0)))=0,"",IF(A282="BS",IFERROR(VLOOKUP(TRIM($E282),'BS Mapping std'!$A:$H,8,0),VLOOKUP(TRIM($D282),'BS Mapping std'!$A:$H,8,0)),IFERROR(VLOOKUP(TRIM($E282),'PL mapping Std'!$A:$E,5,0),VLOOKUP(TRIM($D282),'PL mapping Std'!$A:$E,5,0))))</f>
        <v/>
      </c>
      <c r="W282">
        <f>_xlfn.IFERROR(VLOOKUP(E282,'F30 mapping'!A:D,4,0),VLOOKUP(D282,'F30 mapping'!A:D,4,0))</f>
        <v/>
      </c>
      <c r="X282">
        <f>IF(B282&lt;6,IFERROR(VLOOKUP(E282,'BS Mapping std'!A:M,13,0),VLOOKUP(D282,'BS Mapping std'!A:M,13,0)),0)</f>
        <v/>
      </c>
      <c r="Y282">
        <f>IF(B282&lt;6,IFERROR(VLOOKUP(E282,'BS Mapping std'!A:N,14,0),VLOOKUP(D282,'BS Mapping std'!A:N,14,0)),0)</f>
        <v/>
      </c>
    </row>
    <row r="283" spans="1:25">
      <c r="A283">
        <f>IF(B283&lt;6,"BS",IF(B283=6,"Exp","Rev"))</f>
        <v/>
      </c>
      <c r="B283">
        <f>_xlfn.NUMBERVALUE(LEFT(F283,1))</f>
        <v/>
      </c>
      <c r="C283">
        <f>Left(F283,2)</f>
        <v/>
      </c>
      <c r="D283">
        <f>Left(F283,3)</f>
        <v/>
      </c>
      <c r="E283">
        <f>IF(F283="121",Left(F283,3)&amp;"0",Left(F283,4))</f>
        <v/>
      </c>
      <c r="F283" t="n">
        <v>64580400</v>
      </c>
      <c r="G283" t="s">
        <v>301</v>
      </c>
      <c r="H283" s="9" t="n">
        <v>76373</v>
      </c>
      <c r="I283" s="9" t="n">
        <v>82217.49000000001</v>
      </c>
      <c r="J283" s="9" t="n">
        <v>82217.49000000001</v>
      </c>
      <c r="K283" s="9" t="n">
        <v>82217.49000000001</v>
      </c>
      <c r="L283" s="9">
        <f>K283-H283</f>
        <v/>
      </c>
      <c r="M283" s="32">
        <f>IFERROR(L283/H283," ")</f>
        <v/>
      </c>
      <c r="N283">
        <f>IF(A283="BS",IFERROR(VLOOKUP(TRIM($E283),'BS Mapping std'!$A:$D,4,0),VLOOKUP(TRIM($D283),'BS Mapping std'!$A:$D,4,0)),IFERROR(VLOOKUP(TRIM($E283),'PL mapping Std'!$A:$D,4,0),VLOOKUP(TRIM($D283),'PL mapping Std'!$A:$D,4,0)))</f>
        <v/>
      </c>
      <c r="O283">
        <f>_xlfn.IFERROR(VLOOKUP(E283,'F30 mapping'!A:C,3,0),VLOOKUP(D283,'F30 mapping'!A:C,3,0))</f>
        <v/>
      </c>
      <c r="P283">
        <f>_xlfn.IFERROR(IFERROR(VLOOKUP(E283,'F40 mapping'!A:C,3,0),VLOOKUP(D283,'F40 mapping'!A:C,3,0)),0)</f>
        <v/>
      </c>
      <c r="Q283">
        <f>_xlfn.IFERROR(IFERROR(VLOOKUP(E283,'F40 mapping'!A:D,4,0),VLOOKUP(D283,'F40 mapping'!A:D,4,0)),0)</f>
        <v/>
      </c>
      <c r="R283">
        <f>_xlfn.IFERROR(IFERROR(VLOOKUP(E283,'F40 mapping'!A:E,5,0),VLOOKUP(D283,'F40 mapping'!A:E,5,0)),0)</f>
        <v/>
      </c>
      <c r="S283">
        <f>_xlfn.IF(B283&lt;6,IFERROR(VLOOKUP(E283,'BS Mapping std'!A:E,5,0),VLOOKUP(D283,'BS Mapping std'!A:E,5,0)),IFERROR(VLOOKUP(E283,'PL mapping Std'!A:F,6,0),VLOOKUP(D283,'PL mapping Std'!A:F,6,0)))</f>
        <v/>
      </c>
      <c r="T283">
        <f>_xlfn.IF(B283&lt;6,IFERROR(VLOOKUP(E283,'BS Mapping std'!A:F,6,0),VLOOKUP(D283,'BS Mapping std'!A:F,6,0)),IFERROR(VLOOKUP(E283,'PL mapping Std'!A:G,7,0),VLOOKUP(D283,'PL mapping Std'!A:G,7,0)))</f>
        <v/>
      </c>
      <c r="V283">
        <f>IF(IF(A283="BS",IFERROR(VLOOKUP(TRIM($E283),'BS Mapping std'!$A:$H,8,0),VLOOKUP(TRIM($D283),'BS Mapping std'!$A:$H,8,0)),IFERROR(VLOOKUP(TRIM($E283),'PL mapping Std'!$A:$E,5,0),VLOOKUP(TRIM($D283),'PL mapping Std'!$A:$E,5,0)))=0,"",IF(A283="BS",IFERROR(VLOOKUP(TRIM($E283),'BS Mapping std'!$A:$H,8,0),VLOOKUP(TRIM($D283),'BS Mapping std'!$A:$H,8,0)),IFERROR(VLOOKUP(TRIM($E283),'PL mapping Std'!$A:$E,5,0),VLOOKUP(TRIM($D283),'PL mapping Std'!$A:$E,5,0))))</f>
        <v/>
      </c>
      <c r="W283">
        <f>_xlfn.IFERROR(VLOOKUP(E283,'F30 mapping'!A:D,4,0),VLOOKUP(D283,'F30 mapping'!A:D,4,0))</f>
        <v/>
      </c>
      <c r="X283">
        <f>IF(B283&lt;6,IFERROR(VLOOKUP(E283,'BS Mapping std'!A:M,13,0),VLOOKUP(D283,'BS Mapping std'!A:M,13,0)),0)</f>
        <v/>
      </c>
      <c r="Y283">
        <f>IF(B283&lt;6,IFERROR(VLOOKUP(E283,'BS Mapping std'!A:N,14,0),VLOOKUP(D283,'BS Mapping std'!A:N,14,0)),0)</f>
        <v/>
      </c>
    </row>
    <row r="284" spans="1:25">
      <c r="A284">
        <f>IF(B284&lt;6,"BS",IF(B284=6,"Exp","Rev"))</f>
        <v/>
      </c>
      <c r="B284">
        <f>_xlfn.NUMBERVALUE(LEFT(F284,1))</f>
        <v/>
      </c>
      <c r="C284">
        <f>Left(F284,2)</f>
        <v/>
      </c>
      <c r="D284">
        <f>Left(F284,3)</f>
        <v/>
      </c>
      <c r="E284">
        <f>IF(F284="121",Left(F284,3)&amp;"0",Left(F284,4))</f>
        <v/>
      </c>
      <c r="F284" t="n">
        <v>64600000</v>
      </c>
      <c r="G284" t="s">
        <v>302</v>
      </c>
      <c r="H284" s="9" t="n">
        <v>401993.27</v>
      </c>
      <c r="I284" s="9" t="n">
        <v>470489.44</v>
      </c>
      <c r="J284" s="9" t="n">
        <v>470489.44</v>
      </c>
      <c r="K284" s="9" t="n">
        <v>470489.44</v>
      </c>
      <c r="L284" s="9">
        <f>K284-H284</f>
        <v/>
      </c>
      <c r="M284" s="32">
        <f>IFERROR(L284/H284," ")</f>
        <v/>
      </c>
      <c r="N284">
        <f>IF(A284="BS",IFERROR(VLOOKUP(TRIM($E284),'BS Mapping std'!$A:$D,4,0),VLOOKUP(TRIM($D284),'BS Mapping std'!$A:$D,4,0)),IFERROR(VLOOKUP(TRIM($E284),'PL mapping Std'!$A:$D,4,0),VLOOKUP(TRIM($D284),'PL mapping Std'!$A:$D,4,0)))</f>
        <v/>
      </c>
      <c r="O284">
        <f>_xlfn.IFERROR(VLOOKUP(E284,'F30 mapping'!A:C,3,0),VLOOKUP(D284,'F30 mapping'!A:C,3,0))</f>
        <v/>
      </c>
      <c r="P284">
        <f>_xlfn.IFERROR(IFERROR(VLOOKUP(E284,'F40 mapping'!A:C,3,0),VLOOKUP(D284,'F40 mapping'!A:C,3,0)),0)</f>
        <v/>
      </c>
      <c r="Q284">
        <f>_xlfn.IFERROR(IFERROR(VLOOKUP(E284,'F40 mapping'!A:D,4,0),VLOOKUP(D284,'F40 mapping'!A:D,4,0)),0)</f>
        <v/>
      </c>
      <c r="R284">
        <f>_xlfn.IFERROR(IFERROR(VLOOKUP(E284,'F40 mapping'!A:E,5,0),VLOOKUP(D284,'F40 mapping'!A:E,5,0)),0)</f>
        <v/>
      </c>
      <c r="S284">
        <f>_xlfn.IF(B284&lt;6,IFERROR(VLOOKUP(E284,'BS Mapping std'!A:E,5,0),VLOOKUP(D284,'BS Mapping std'!A:E,5,0)),IFERROR(VLOOKUP(E284,'PL mapping Std'!A:F,6,0),VLOOKUP(D284,'PL mapping Std'!A:F,6,0)))</f>
        <v/>
      </c>
      <c r="T284">
        <f>_xlfn.IF(B284&lt;6,IFERROR(VLOOKUP(E284,'BS Mapping std'!A:F,6,0),VLOOKUP(D284,'BS Mapping std'!A:F,6,0)),IFERROR(VLOOKUP(E284,'PL mapping Std'!A:G,7,0),VLOOKUP(D284,'PL mapping Std'!A:G,7,0)))</f>
        <v/>
      </c>
      <c r="V284">
        <f>IF(IF(A284="BS",IFERROR(VLOOKUP(TRIM($E284),'BS Mapping std'!$A:$H,8,0),VLOOKUP(TRIM($D284),'BS Mapping std'!$A:$H,8,0)),IFERROR(VLOOKUP(TRIM($E284),'PL mapping Std'!$A:$E,5,0),VLOOKUP(TRIM($D284),'PL mapping Std'!$A:$E,5,0)))=0,"",IF(A284="BS",IFERROR(VLOOKUP(TRIM($E284),'BS Mapping std'!$A:$H,8,0),VLOOKUP(TRIM($D284),'BS Mapping std'!$A:$H,8,0)),IFERROR(VLOOKUP(TRIM($E284),'PL mapping Std'!$A:$E,5,0),VLOOKUP(TRIM($D284),'PL mapping Std'!$A:$E,5,0))))</f>
        <v/>
      </c>
      <c r="W284">
        <f>_xlfn.IFERROR(VLOOKUP(E284,'F30 mapping'!A:D,4,0),VLOOKUP(D284,'F30 mapping'!A:D,4,0))</f>
        <v/>
      </c>
      <c r="X284">
        <f>IF(B284&lt;6,IFERROR(VLOOKUP(E284,'BS Mapping std'!A:M,13,0),VLOOKUP(D284,'BS Mapping std'!A:M,13,0)),0)</f>
        <v/>
      </c>
      <c r="Y284">
        <f>IF(B284&lt;6,IFERROR(VLOOKUP(E284,'BS Mapping std'!A:N,14,0),VLOOKUP(D284,'BS Mapping std'!A:N,14,0)),0)</f>
        <v/>
      </c>
    </row>
    <row r="285" spans="1:25">
      <c r="A285">
        <f>IF(B285&lt;6,"BS",IF(B285=6,"Exp","Rev"))</f>
        <v/>
      </c>
      <c r="B285">
        <f>_xlfn.NUMBERVALUE(LEFT(F285,1))</f>
        <v/>
      </c>
      <c r="C285">
        <f>Left(F285,2)</f>
        <v/>
      </c>
      <c r="D285">
        <f>Left(F285,3)</f>
        <v/>
      </c>
      <c r="E285">
        <f>IF(F285="121",Left(F285,3)&amp;"0",Left(F285,4))</f>
        <v/>
      </c>
      <c r="F285" t="n">
        <v>64600010</v>
      </c>
      <c r="G285" t="s">
        <v>303</v>
      </c>
      <c r="H285" s="9" t="n">
        <v>67032.73</v>
      </c>
      <c r="I285" s="9" t="n">
        <v>76158.56</v>
      </c>
      <c r="J285" s="9" t="n">
        <v>76158.56</v>
      </c>
      <c r="K285" s="9" t="n">
        <v>76158.56</v>
      </c>
      <c r="L285" s="9">
        <f>K285-H285</f>
        <v/>
      </c>
      <c r="M285" s="32">
        <f>IFERROR(L285/H285," ")</f>
        <v/>
      </c>
      <c r="N285">
        <f>IF(A285="BS",IFERROR(VLOOKUP(TRIM($E285),'BS Mapping std'!$A:$D,4,0),VLOOKUP(TRIM($D285),'BS Mapping std'!$A:$D,4,0)),IFERROR(VLOOKUP(TRIM($E285),'PL mapping Std'!$A:$D,4,0),VLOOKUP(TRIM($D285),'PL mapping Std'!$A:$D,4,0)))</f>
        <v/>
      </c>
      <c r="O285">
        <f>_xlfn.IFERROR(VLOOKUP(E285,'F30 mapping'!A:C,3,0),VLOOKUP(D285,'F30 mapping'!A:C,3,0))</f>
        <v/>
      </c>
      <c r="P285">
        <f>_xlfn.IFERROR(IFERROR(VLOOKUP(E285,'F40 mapping'!A:C,3,0),VLOOKUP(D285,'F40 mapping'!A:C,3,0)),0)</f>
        <v/>
      </c>
      <c r="Q285">
        <f>_xlfn.IFERROR(IFERROR(VLOOKUP(E285,'F40 mapping'!A:D,4,0),VLOOKUP(D285,'F40 mapping'!A:D,4,0)),0)</f>
        <v/>
      </c>
      <c r="R285">
        <f>_xlfn.IFERROR(IFERROR(VLOOKUP(E285,'F40 mapping'!A:E,5,0),VLOOKUP(D285,'F40 mapping'!A:E,5,0)),0)</f>
        <v/>
      </c>
      <c r="S285">
        <f>_xlfn.IF(B285&lt;6,IFERROR(VLOOKUP(E285,'BS Mapping std'!A:E,5,0),VLOOKUP(D285,'BS Mapping std'!A:E,5,0)),IFERROR(VLOOKUP(E285,'PL mapping Std'!A:F,6,0),VLOOKUP(D285,'PL mapping Std'!A:F,6,0)))</f>
        <v/>
      </c>
      <c r="T285">
        <f>_xlfn.IF(B285&lt;6,IFERROR(VLOOKUP(E285,'BS Mapping std'!A:F,6,0),VLOOKUP(D285,'BS Mapping std'!A:F,6,0)),IFERROR(VLOOKUP(E285,'PL mapping Std'!A:G,7,0),VLOOKUP(D285,'PL mapping Std'!A:G,7,0)))</f>
        <v/>
      </c>
      <c r="V285">
        <f>IF(IF(A285="BS",IFERROR(VLOOKUP(TRIM($E285),'BS Mapping std'!$A:$H,8,0),VLOOKUP(TRIM($D285),'BS Mapping std'!$A:$H,8,0)),IFERROR(VLOOKUP(TRIM($E285),'PL mapping Std'!$A:$E,5,0),VLOOKUP(TRIM($D285),'PL mapping Std'!$A:$E,5,0)))=0,"",IF(A285="BS",IFERROR(VLOOKUP(TRIM($E285),'BS Mapping std'!$A:$H,8,0),VLOOKUP(TRIM($D285),'BS Mapping std'!$A:$H,8,0)),IFERROR(VLOOKUP(TRIM($E285),'PL mapping Std'!$A:$E,5,0),VLOOKUP(TRIM($D285),'PL mapping Std'!$A:$E,5,0))))</f>
        <v/>
      </c>
      <c r="W285">
        <f>_xlfn.IFERROR(VLOOKUP(E285,'F30 mapping'!A:D,4,0),VLOOKUP(D285,'F30 mapping'!A:D,4,0))</f>
        <v/>
      </c>
      <c r="X285">
        <f>IF(B285&lt;6,IFERROR(VLOOKUP(E285,'BS Mapping std'!A:M,13,0),VLOOKUP(D285,'BS Mapping std'!A:M,13,0)),0)</f>
        <v/>
      </c>
      <c r="Y285">
        <f>IF(B285&lt;6,IFERROR(VLOOKUP(E285,'BS Mapping std'!A:N,14,0),VLOOKUP(D285,'BS Mapping std'!A:N,14,0)),0)</f>
        <v/>
      </c>
    </row>
    <row r="286" spans="1:25">
      <c r="A286">
        <f>IF(B286&lt;6,"BS",IF(B286=6,"Exp","Rev"))</f>
        <v/>
      </c>
      <c r="B286">
        <f>_xlfn.NUMBERVALUE(LEFT(F286,1))</f>
        <v/>
      </c>
      <c r="C286">
        <f>Left(F286,2)</f>
        <v/>
      </c>
      <c r="D286">
        <f>Left(F286,3)</f>
        <v/>
      </c>
      <c r="E286">
        <f>IF(F286="121",Left(F286,3)&amp;"0",Left(F286,4))</f>
        <v/>
      </c>
      <c r="F286" t="n">
        <v>65200010</v>
      </c>
      <c r="G286" t="s">
        <v>304</v>
      </c>
      <c r="H286" s="9" t="n">
        <v>1519</v>
      </c>
      <c r="I286" s="9" t="n">
        <v>2026.43</v>
      </c>
      <c r="J286" s="9" t="n">
        <v>2026.43</v>
      </c>
      <c r="K286" s="9" t="n">
        <v>2026.43</v>
      </c>
      <c r="L286" s="9">
        <f>K286-H286</f>
        <v/>
      </c>
      <c r="M286" s="32">
        <f>IFERROR(L286/H286," ")</f>
        <v/>
      </c>
      <c r="N286">
        <f>IF(A286="BS",IFERROR(VLOOKUP(TRIM($E286),'BS Mapping std'!$A:$D,4,0),VLOOKUP(TRIM($D286),'BS Mapping std'!$A:$D,4,0)),IFERROR(VLOOKUP(TRIM($E286),'PL mapping Std'!$A:$D,4,0),VLOOKUP(TRIM($D286),'PL mapping Std'!$A:$D,4,0)))</f>
        <v/>
      </c>
      <c r="O286">
        <f>_xlfn.IFERROR(VLOOKUP(E286,'F30 mapping'!A:C,3,0),VLOOKUP(D286,'F30 mapping'!A:C,3,0))</f>
        <v/>
      </c>
      <c r="P286">
        <f>_xlfn.IFERROR(IFERROR(VLOOKUP(E286,'F40 mapping'!A:C,3,0),VLOOKUP(D286,'F40 mapping'!A:C,3,0)),0)</f>
        <v/>
      </c>
      <c r="Q286">
        <f>_xlfn.IFERROR(IFERROR(VLOOKUP(E286,'F40 mapping'!A:D,4,0),VLOOKUP(D286,'F40 mapping'!A:D,4,0)),0)</f>
        <v/>
      </c>
      <c r="R286">
        <f>_xlfn.IFERROR(IFERROR(VLOOKUP(E286,'F40 mapping'!A:E,5,0),VLOOKUP(D286,'F40 mapping'!A:E,5,0)),0)</f>
        <v/>
      </c>
      <c r="S286">
        <f>_xlfn.IF(B286&lt;6,IFERROR(VLOOKUP(E286,'BS Mapping std'!A:E,5,0),VLOOKUP(D286,'BS Mapping std'!A:E,5,0)),IFERROR(VLOOKUP(E286,'PL mapping Std'!A:F,6,0),VLOOKUP(D286,'PL mapping Std'!A:F,6,0)))</f>
        <v/>
      </c>
      <c r="T286">
        <f>_xlfn.IF(B286&lt;6,IFERROR(VLOOKUP(E286,'BS Mapping std'!A:F,6,0),VLOOKUP(D286,'BS Mapping std'!A:F,6,0)),IFERROR(VLOOKUP(E286,'PL mapping Std'!A:G,7,0),VLOOKUP(D286,'PL mapping Std'!A:G,7,0)))</f>
        <v/>
      </c>
      <c r="V286">
        <f>IF(IF(A286="BS",IFERROR(VLOOKUP(TRIM($E286),'BS Mapping std'!$A:$H,8,0),VLOOKUP(TRIM($D286),'BS Mapping std'!$A:$H,8,0)),IFERROR(VLOOKUP(TRIM($E286),'PL mapping Std'!$A:$E,5,0),VLOOKUP(TRIM($D286),'PL mapping Std'!$A:$E,5,0)))=0,"",IF(A286="BS",IFERROR(VLOOKUP(TRIM($E286),'BS Mapping std'!$A:$H,8,0),VLOOKUP(TRIM($D286),'BS Mapping std'!$A:$H,8,0)),IFERROR(VLOOKUP(TRIM($E286),'PL mapping Std'!$A:$E,5,0),VLOOKUP(TRIM($D286),'PL mapping Std'!$A:$E,5,0))))</f>
        <v/>
      </c>
      <c r="W286">
        <f>_xlfn.IFERROR(VLOOKUP(E286,'F30 mapping'!A:D,4,0),VLOOKUP(D286,'F30 mapping'!A:D,4,0))</f>
        <v/>
      </c>
      <c r="X286">
        <f>IF(B286&lt;6,IFERROR(VLOOKUP(E286,'BS Mapping std'!A:M,13,0),VLOOKUP(D286,'BS Mapping std'!A:M,13,0)),0)</f>
        <v/>
      </c>
      <c r="Y286">
        <f>IF(B286&lt;6,IFERROR(VLOOKUP(E286,'BS Mapping std'!A:N,14,0),VLOOKUP(D286,'BS Mapping std'!A:N,14,0)),0)</f>
        <v/>
      </c>
    </row>
    <row r="287" spans="1:25">
      <c r="A287">
        <f>IF(B287&lt;6,"BS",IF(B287=6,"Exp","Rev"))</f>
        <v/>
      </c>
      <c r="B287">
        <f>_xlfn.NUMBERVALUE(LEFT(F287,1))</f>
        <v/>
      </c>
      <c r="C287">
        <f>Left(F287,2)</f>
        <v/>
      </c>
      <c r="D287">
        <f>Left(F287,3)</f>
        <v/>
      </c>
      <c r="E287">
        <f>IF(F287="121",Left(F287,3)&amp;"0",Left(F287,4))</f>
        <v/>
      </c>
      <c r="F287" t="n">
        <v>65810010</v>
      </c>
      <c r="G287" t="s">
        <v>305</v>
      </c>
      <c r="H287" s="9" t="n">
        <v>2.27</v>
      </c>
      <c r="I287" s="9" t="n">
        <v>14116.1</v>
      </c>
      <c r="J287" s="9" t="n">
        <v>14116.1</v>
      </c>
      <c r="K287" s="9" t="n">
        <v>14116.1</v>
      </c>
      <c r="L287" s="9">
        <f>K287-H287</f>
        <v/>
      </c>
      <c r="M287" s="32">
        <f>IFERROR(L287/H287," ")</f>
        <v/>
      </c>
      <c r="N287">
        <f>IF(A287="BS",IFERROR(VLOOKUP(TRIM($E287),'BS Mapping std'!$A:$D,4,0),VLOOKUP(TRIM($D287),'BS Mapping std'!$A:$D,4,0)),IFERROR(VLOOKUP(TRIM($E287),'PL mapping Std'!$A:$D,4,0),VLOOKUP(TRIM($D287),'PL mapping Std'!$A:$D,4,0)))</f>
        <v/>
      </c>
      <c r="O287">
        <f>_xlfn.IFERROR(VLOOKUP(E287,'F30 mapping'!A:C,3,0),VLOOKUP(D287,'F30 mapping'!A:C,3,0))</f>
        <v/>
      </c>
      <c r="P287">
        <f>_xlfn.IFERROR(IFERROR(VLOOKUP(E287,'F40 mapping'!A:C,3,0),VLOOKUP(D287,'F40 mapping'!A:C,3,0)),0)</f>
        <v/>
      </c>
      <c r="Q287">
        <f>_xlfn.IFERROR(IFERROR(VLOOKUP(E287,'F40 mapping'!A:D,4,0),VLOOKUP(D287,'F40 mapping'!A:D,4,0)),0)</f>
        <v/>
      </c>
      <c r="R287">
        <f>_xlfn.IFERROR(IFERROR(VLOOKUP(E287,'F40 mapping'!A:E,5,0),VLOOKUP(D287,'F40 mapping'!A:E,5,0)),0)</f>
        <v/>
      </c>
      <c r="S287">
        <f>_xlfn.IF(B287&lt;6,IFERROR(VLOOKUP(E287,'BS Mapping std'!A:E,5,0),VLOOKUP(D287,'BS Mapping std'!A:E,5,0)),IFERROR(VLOOKUP(E287,'PL mapping Std'!A:F,6,0),VLOOKUP(D287,'PL mapping Std'!A:F,6,0)))</f>
        <v/>
      </c>
      <c r="T287">
        <f>_xlfn.IF(B287&lt;6,IFERROR(VLOOKUP(E287,'BS Mapping std'!A:F,6,0),VLOOKUP(D287,'BS Mapping std'!A:F,6,0)),IFERROR(VLOOKUP(E287,'PL mapping Std'!A:G,7,0),VLOOKUP(D287,'PL mapping Std'!A:G,7,0)))</f>
        <v/>
      </c>
      <c r="V287">
        <f>IF(IF(A287="BS",IFERROR(VLOOKUP(TRIM($E287),'BS Mapping std'!$A:$H,8,0),VLOOKUP(TRIM($D287),'BS Mapping std'!$A:$H,8,0)),IFERROR(VLOOKUP(TRIM($E287),'PL mapping Std'!$A:$E,5,0),VLOOKUP(TRIM($D287),'PL mapping Std'!$A:$E,5,0)))=0,"",IF(A287="BS",IFERROR(VLOOKUP(TRIM($E287),'BS Mapping std'!$A:$H,8,0),VLOOKUP(TRIM($D287),'BS Mapping std'!$A:$H,8,0)),IFERROR(VLOOKUP(TRIM($E287),'PL mapping Std'!$A:$E,5,0),VLOOKUP(TRIM($D287),'PL mapping Std'!$A:$E,5,0))))</f>
        <v/>
      </c>
      <c r="W287">
        <f>_xlfn.IFERROR(VLOOKUP(E287,'F30 mapping'!A:D,4,0),VLOOKUP(D287,'F30 mapping'!A:D,4,0))</f>
        <v/>
      </c>
      <c r="X287">
        <f>IF(B287&lt;6,IFERROR(VLOOKUP(E287,'BS Mapping std'!A:M,13,0),VLOOKUP(D287,'BS Mapping std'!A:M,13,0)),0)</f>
        <v/>
      </c>
      <c r="Y287">
        <f>IF(B287&lt;6,IFERROR(VLOOKUP(E287,'BS Mapping std'!A:N,14,0),VLOOKUP(D287,'BS Mapping std'!A:N,14,0)),0)</f>
        <v/>
      </c>
    </row>
    <row r="288" spans="1:25">
      <c r="A288">
        <f>IF(B288&lt;6,"BS",IF(B288=6,"Exp","Rev"))</f>
        <v/>
      </c>
      <c r="B288">
        <f>_xlfn.NUMBERVALUE(LEFT(F288,1))</f>
        <v/>
      </c>
      <c r="C288">
        <f>Left(F288,2)</f>
        <v/>
      </c>
      <c r="D288">
        <f>Left(F288,3)</f>
        <v/>
      </c>
      <c r="E288">
        <f>IF(F288="121",Left(F288,3)&amp;"0",Left(F288,4))</f>
        <v/>
      </c>
      <c r="F288" t="n">
        <v>65819999</v>
      </c>
      <c r="G288" t="s">
        <v>306</v>
      </c>
      <c r="H288" s="9" t="n">
        <v>0</v>
      </c>
      <c r="I288" s="9" t="n">
        <v>4</v>
      </c>
      <c r="J288" s="9" t="n">
        <v>4</v>
      </c>
      <c r="K288" s="9" t="n">
        <v>4</v>
      </c>
      <c r="L288" s="9">
        <f>K288-H288</f>
        <v/>
      </c>
      <c r="M288" s="32">
        <f>IFERROR(L288/H288," ")</f>
        <v/>
      </c>
      <c r="N288">
        <f>IF(A288="BS",IFERROR(VLOOKUP(TRIM($E288),'BS Mapping std'!$A:$D,4,0),VLOOKUP(TRIM($D288),'BS Mapping std'!$A:$D,4,0)),IFERROR(VLOOKUP(TRIM($E288),'PL mapping Std'!$A:$D,4,0),VLOOKUP(TRIM($D288),'PL mapping Std'!$A:$D,4,0)))</f>
        <v/>
      </c>
      <c r="O288">
        <f>_xlfn.IFERROR(VLOOKUP(E288,'F30 mapping'!A:C,3,0),VLOOKUP(D288,'F30 mapping'!A:C,3,0))</f>
        <v/>
      </c>
      <c r="P288">
        <f>_xlfn.IFERROR(IFERROR(VLOOKUP(E288,'F40 mapping'!A:C,3,0),VLOOKUP(D288,'F40 mapping'!A:C,3,0)),0)</f>
        <v/>
      </c>
      <c r="Q288">
        <f>_xlfn.IFERROR(IFERROR(VLOOKUP(E288,'F40 mapping'!A:D,4,0),VLOOKUP(D288,'F40 mapping'!A:D,4,0)),0)</f>
        <v/>
      </c>
      <c r="R288">
        <f>_xlfn.IFERROR(IFERROR(VLOOKUP(E288,'F40 mapping'!A:E,5,0),VLOOKUP(D288,'F40 mapping'!A:E,5,0)),0)</f>
        <v/>
      </c>
      <c r="S288">
        <f>_xlfn.IF(B288&lt;6,IFERROR(VLOOKUP(E288,'BS Mapping std'!A:E,5,0),VLOOKUP(D288,'BS Mapping std'!A:E,5,0)),IFERROR(VLOOKUP(E288,'PL mapping Std'!A:F,6,0),VLOOKUP(D288,'PL mapping Std'!A:F,6,0)))</f>
        <v/>
      </c>
      <c r="T288">
        <f>_xlfn.IF(B288&lt;6,IFERROR(VLOOKUP(E288,'BS Mapping std'!A:F,6,0),VLOOKUP(D288,'BS Mapping std'!A:F,6,0)),IFERROR(VLOOKUP(E288,'PL mapping Std'!A:G,7,0),VLOOKUP(D288,'PL mapping Std'!A:G,7,0)))</f>
        <v/>
      </c>
      <c r="V288">
        <f>IF(IF(A288="BS",IFERROR(VLOOKUP(TRIM($E288),'BS Mapping std'!$A:$H,8,0),VLOOKUP(TRIM($D288),'BS Mapping std'!$A:$H,8,0)),IFERROR(VLOOKUP(TRIM($E288),'PL mapping Std'!$A:$E,5,0),VLOOKUP(TRIM($D288),'PL mapping Std'!$A:$E,5,0)))=0,"",IF(A288="BS",IFERROR(VLOOKUP(TRIM($E288),'BS Mapping std'!$A:$H,8,0),VLOOKUP(TRIM($D288),'BS Mapping std'!$A:$H,8,0)),IFERROR(VLOOKUP(TRIM($E288),'PL mapping Std'!$A:$E,5,0),VLOOKUP(TRIM($D288),'PL mapping Std'!$A:$E,5,0))))</f>
        <v/>
      </c>
      <c r="W288">
        <f>_xlfn.IFERROR(VLOOKUP(E288,'F30 mapping'!A:D,4,0),VLOOKUP(D288,'F30 mapping'!A:D,4,0))</f>
        <v/>
      </c>
      <c r="X288">
        <f>IF(B288&lt;6,IFERROR(VLOOKUP(E288,'BS Mapping std'!A:M,13,0),VLOOKUP(D288,'BS Mapping std'!A:M,13,0)),0)</f>
        <v/>
      </c>
      <c r="Y288">
        <f>IF(B288&lt;6,IFERROR(VLOOKUP(E288,'BS Mapping std'!A:N,14,0),VLOOKUP(D288,'BS Mapping std'!A:N,14,0)),0)</f>
        <v/>
      </c>
    </row>
    <row r="289" spans="1:25">
      <c r="A289">
        <f>IF(B289&lt;6,"BS",IF(B289=6,"Exp","Rev"))</f>
        <v/>
      </c>
      <c r="B289">
        <f>_xlfn.NUMBERVALUE(LEFT(F289,1))</f>
        <v/>
      </c>
      <c r="C289">
        <f>Left(F289,2)</f>
        <v/>
      </c>
      <c r="D289">
        <f>Left(F289,3)</f>
        <v/>
      </c>
      <c r="E289">
        <f>IF(F289="121",Left(F289,3)&amp;"0",Left(F289,4))</f>
        <v/>
      </c>
      <c r="F289" t="n">
        <v>65830000</v>
      </c>
      <c r="G289" t="s">
        <v>307</v>
      </c>
      <c r="H289" s="9" t="n">
        <v>135355</v>
      </c>
      <c r="I289" s="9" t="n">
        <v>10543</v>
      </c>
      <c r="J289" s="9" t="n">
        <v>10543</v>
      </c>
      <c r="K289" s="9" t="n">
        <v>10543</v>
      </c>
      <c r="L289" s="9">
        <f>K289-H289</f>
        <v/>
      </c>
      <c r="M289" s="32">
        <f>IFERROR(L289/H289," ")</f>
        <v/>
      </c>
      <c r="N289">
        <f>IF(A289="BS",IFERROR(VLOOKUP(TRIM($E289),'BS Mapping std'!$A:$D,4,0),VLOOKUP(TRIM($D289),'BS Mapping std'!$A:$D,4,0)),IFERROR(VLOOKUP(TRIM($E289),'PL mapping Std'!$A:$D,4,0),VLOOKUP(TRIM($D289),'PL mapping Std'!$A:$D,4,0)))</f>
        <v/>
      </c>
      <c r="O289">
        <f>_xlfn.IFERROR(VLOOKUP(E289,'F30 mapping'!A:C,3,0),VLOOKUP(D289,'F30 mapping'!A:C,3,0))</f>
        <v/>
      </c>
      <c r="P289">
        <f>_xlfn.IFERROR(IFERROR(VLOOKUP(E289,'F40 mapping'!A:C,3,0),VLOOKUP(D289,'F40 mapping'!A:C,3,0)),0)</f>
        <v/>
      </c>
      <c r="Q289">
        <f>_xlfn.IFERROR(IFERROR(VLOOKUP(E289,'F40 mapping'!A:D,4,0),VLOOKUP(D289,'F40 mapping'!A:D,4,0)),0)</f>
        <v/>
      </c>
      <c r="R289">
        <f>_xlfn.IFERROR(IFERROR(VLOOKUP(E289,'F40 mapping'!A:E,5,0),VLOOKUP(D289,'F40 mapping'!A:E,5,0)),0)</f>
        <v/>
      </c>
      <c r="S289">
        <f>_xlfn.IF(B289&lt;6,IFERROR(VLOOKUP(E289,'BS Mapping std'!A:E,5,0),VLOOKUP(D289,'BS Mapping std'!A:E,5,0)),IFERROR(VLOOKUP(E289,'PL mapping Std'!A:F,6,0),VLOOKUP(D289,'PL mapping Std'!A:F,6,0)))</f>
        <v/>
      </c>
      <c r="T289">
        <f>_xlfn.IF(B289&lt;6,IFERROR(VLOOKUP(E289,'BS Mapping std'!A:F,6,0),VLOOKUP(D289,'BS Mapping std'!A:F,6,0)),IFERROR(VLOOKUP(E289,'PL mapping Std'!A:G,7,0),VLOOKUP(D289,'PL mapping Std'!A:G,7,0)))</f>
        <v/>
      </c>
      <c r="V289">
        <f>IF(IF(A289="BS",IFERROR(VLOOKUP(TRIM($E289),'BS Mapping std'!$A:$H,8,0),VLOOKUP(TRIM($D289),'BS Mapping std'!$A:$H,8,0)),IFERROR(VLOOKUP(TRIM($E289),'PL mapping Std'!$A:$E,5,0),VLOOKUP(TRIM($D289),'PL mapping Std'!$A:$E,5,0)))=0,"",IF(A289="BS",IFERROR(VLOOKUP(TRIM($E289),'BS Mapping std'!$A:$H,8,0),VLOOKUP(TRIM($D289),'BS Mapping std'!$A:$H,8,0)),IFERROR(VLOOKUP(TRIM($E289),'PL mapping Std'!$A:$E,5,0),VLOOKUP(TRIM($D289),'PL mapping Std'!$A:$E,5,0))))</f>
        <v/>
      </c>
      <c r="W289">
        <f>_xlfn.IFERROR(VLOOKUP(E289,'F30 mapping'!A:D,4,0),VLOOKUP(D289,'F30 mapping'!A:D,4,0))</f>
        <v/>
      </c>
      <c r="X289">
        <f>IF(B289&lt;6,IFERROR(VLOOKUP(E289,'BS Mapping std'!A:M,13,0),VLOOKUP(D289,'BS Mapping std'!A:M,13,0)),0)</f>
        <v/>
      </c>
      <c r="Y289">
        <f>IF(B289&lt;6,IFERROR(VLOOKUP(E289,'BS Mapping std'!A:N,14,0),VLOOKUP(D289,'BS Mapping std'!A:N,14,0)),0)</f>
        <v/>
      </c>
    </row>
    <row r="290" spans="1:25">
      <c r="A290">
        <f>IF(B290&lt;6,"BS",IF(B290=6,"Exp","Rev"))</f>
        <v/>
      </c>
      <c r="B290">
        <f>_xlfn.NUMBERVALUE(LEFT(F290,1))</f>
        <v/>
      </c>
      <c r="C290">
        <f>Left(F290,2)</f>
        <v/>
      </c>
      <c r="D290">
        <f>Left(F290,3)</f>
        <v/>
      </c>
      <c r="E290">
        <f>IF(F290="121",Left(F290,3)&amp;"0",Left(F290,4))</f>
        <v/>
      </c>
      <c r="F290" t="n">
        <v>65830020</v>
      </c>
      <c r="G290" t="s">
        <v>308</v>
      </c>
      <c r="H290" s="9" t="n">
        <v>0</v>
      </c>
      <c r="I290" s="9" t="n">
        <v>12362</v>
      </c>
      <c r="J290" s="9" t="n">
        <v>12362</v>
      </c>
      <c r="K290" s="9" t="n">
        <v>12362</v>
      </c>
      <c r="L290" s="9">
        <f>K290-H290</f>
        <v/>
      </c>
      <c r="M290" s="32">
        <f>IFERROR(L290/H290," ")</f>
        <v/>
      </c>
      <c r="N290">
        <f>IF(A290="BS",IFERROR(VLOOKUP(TRIM($E290),'BS Mapping std'!$A:$D,4,0),VLOOKUP(TRIM($D290),'BS Mapping std'!$A:$D,4,0)),IFERROR(VLOOKUP(TRIM($E290),'PL mapping Std'!$A:$D,4,0),VLOOKUP(TRIM($D290),'PL mapping Std'!$A:$D,4,0)))</f>
        <v/>
      </c>
      <c r="O290">
        <f>_xlfn.IFERROR(VLOOKUP(E290,'F30 mapping'!A:C,3,0),VLOOKUP(D290,'F30 mapping'!A:C,3,0))</f>
        <v/>
      </c>
      <c r="P290">
        <f>_xlfn.IFERROR(IFERROR(VLOOKUP(E290,'F40 mapping'!A:C,3,0),VLOOKUP(D290,'F40 mapping'!A:C,3,0)),0)</f>
        <v/>
      </c>
      <c r="Q290">
        <f>_xlfn.IFERROR(IFERROR(VLOOKUP(E290,'F40 mapping'!A:D,4,0),VLOOKUP(D290,'F40 mapping'!A:D,4,0)),0)</f>
        <v/>
      </c>
      <c r="R290">
        <f>_xlfn.IFERROR(IFERROR(VLOOKUP(E290,'F40 mapping'!A:E,5,0),VLOOKUP(D290,'F40 mapping'!A:E,5,0)),0)</f>
        <v/>
      </c>
      <c r="S290">
        <f>_xlfn.IF(B290&lt;6,IFERROR(VLOOKUP(E290,'BS Mapping std'!A:E,5,0),VLOOKUP(D290,'BS Mapping std'!A:E,5,0)),IFERROR(VLOOKUP(E290,'PL mapping Std'!A:F,6,0),VLOOKUP(D290,'PL mapping Std'!A:F,6,0)))</f>
        <v/>
      </c>
      <c r="T290">
        <f>_xlfn.IF(B290&lt;6,IFERROR(VLOOKUP(E290,'BS Mapping std'!A:F,6,0),VLOOKUP(D290,'BS Mapping std'!A:F,6,0)),IFERROR(VLOOKUP(E290,'PL mapping Std'!A:G,7,0),VLOOKUP(D290,'PL mapping Std'!A:G,7,0)))</f>
        <v/>
      </c>
      <c r="V290">
        <f>IF(IF(A290="BS",IFERROR(VLOOKUP(TRIM($E290),'BS Mapping std'!$A:$H,8,0),VLOOKUP(TRIM($D290),'BS Mapping std'!$A:$H,8,0)),IFERROR(VLOOKUP(TRIM($E290),'PL mapping Std'!$A:$E,5,0),VLOOKUP(TRIM($D290),'PL mapping Std'!$A:$E,5,0)))=0,"",IF(A290="BS",IFERROR(VLOOKUP(TRIM($E290),'BS Mapping std'!$A:$H,8,0),VLOOKUP(TRIM($D290),'BS Mapping std'!$A:$H,8,0)),IFERROR(VLOOKUP(TRIM($E290),'PL mapping Std'!$A:$E,5,0),VLOOKUP(TRIM($D290),'PL mapping Std'!$A:$E,5,0))))</f>
        <v/>
      </c>
      <c r="W290">
        <f>_xlfn.IFERROR(VLOOKUP(E290,'F30 mapping'!A:D,4,0),VLOOKUP(D290,'F30 mapping'!A:D,4,0))</f>
        <v/>
      </c>
      <c r="X290">
        <f>IF(B290&lt;6,IFERROR(VLOOKUP(E290,'BS Mapping std'!A:M,13,0),VLOOKUP(D290,'BS Mapping std'!A:M,13,0)),0)</f>
        <v/>
      </c>
      <c r="Y290">
        <f>IF(B290&lt;6,IFERROR(VLOOKUP(E290,'BS Mapping std'!A:N,14,0),VLOOKUP(D290,'BS Mapping std'!A:N,14,0)),0)</f>
        <v/>
      </c>
    </row>
    <row r="291" spans="1:25">
      <c r="A291">
        <f>IF(B291&lt;6,"BS",IF(B291=6,"Exp","Rev"))</f>
        <v/>
      </c>
      <c r="B291">
        <f>_xlfn.NUMBERVALUE(LEFT(F291,1))</f>
        <v/>
      </c>
      <c r="C291">
        <f>Left(F291,2)</f>
        <v/>
      </c>
      <c r="D291">
        <f>Left(F291,3)</f>
        <v/>
      </c>
      <c r="E291">
        <f>IF(F291="121",Left(F291,3)&amp;"0",Left(F291,4))</f>
        <v/>
      </c>
      <c r="F291" t="n">
        <v>65880000</v>
      </c>
      <c r="G291" t="s">
        <v>309</v>
      </c>
      <c r="H291" s="9" t="n">
        <v>33.96</v>
      </c>
      <c r="I291" s="9" t="n">
        <v>3309.89</v>
      </c>
      <c r="J291" s="9" t="n">
        <v>3309.89</v>
      </c>
      <c r="K291" s="9" t="n">
        <v>3309.89</v>
      </c>
      <c r="L291" s="9">
        <f>K291-H291</f>
        <v/>
      </c>
      <c r="M291" s="32">
        <f>IFERROR(L291/H291," ")</f>
        <v/>
      </c>
      <c r="N291">
        <f>IF(A291="BS",IFERROR(VLOOKUP(TRIM($E291),'BS Mapping std'!$A:$D,4,0),VLOOKUP(TRIM($D291),'BS Mapping std'!$A:$D,4,0)),IFERROR(VLOOKUP(TRIM($E291),'PL mapping Std'!$A:$D,4,0),VLOOKUP(TRIM($D291),'PL mapping Std'!$A:$D,4,0)))</f>
        <v/>
      </c>
      <c r="O291">
        <f>_xlfn.IFERROR(VLOOKUP(E291,'F30 mapping'!A:C,3,0),VLOOKUP(D291,'F30 mapping'!A:C,3,0))</f>
        <v/>
      </c>
      <c r="P291">
        <f>_xlfn.IFERROR(IFERROR(VLOOKUP(E291,'F40 mapping'!A:C,3,0),VLOOKUP(D291,'F40 mapping'!A:C,3,0)),0)</f>
        <v/>
      </c>
      <c r="Q291">
        <f>_xlfn.IFERROR(IFERROR(VLOOKUP(E291,'F40 mapping'!A:D,4,0),VLOOKUP(D291,'F40 mapping'!A:D,4,0)),0)</f>
        <v/>
      </c>
      <c r="R291">
        <f>_xlfn.IFERROR(IFERROR(VLOOKUP(E291,'F40 mapping'!A:E,5,0),VLOOKUP(D291,'F40 mapping'!A:E,5,0)),0)</f>
        <v/>
      </c>
      <c r="S291">
        <f>_xlfn.IF(B291&lt;6,IFERROR(VLOOKUP(E291,'BS Mapping std'!A:E,5,0),VLOOKUP(D291,'BS Mapping std'!A:E,5,0)),IFERROR(VLOOKUP(E291,'PL mapping Std'!A:F,6,0),VLOOKUP(D291,'PL mapping Std'!A:F,6,0)))</f>
        <v/>
      </c>
      <c r="T291">
        <f>_xlfn.IF(B291&lt;6,IFERROR(VLOOKUP(E291,'BS Mapping std'!A:F,6,0),VLOOKUP(D291,'BS Mapping std'!A:F,6,0)),IFERROR(VLOOKUP(E291,'PL mapping Std'!A:G,7,0),VLOOKUP(D291,'PL mapping Std'!A:G,7,0)))</f>
        <v/>
      </c>
      <c r="V291">
        <f>IF(IF(A291="BS",IFERROR(VLOOKUP(TRIM($E291),'BS Mapping std'!$A:$H,8,0),VLOOKUP(TRIM($D291),'BS Mapping std'!$A:$H,8,0)),IFERROR(VLOOKUP(TRIM($E291),'PL mapping Std'!$A:$E,5,0),VLOOKUP(TRIM($D291),'PL mapping Std'!$A:$E,5,0)))=0,"",IF(A291="BS",IFERROR(VLOOKUP(TRIM($E291),'BS Mapping std'!$A:$H,8,0),VLOOKUP(TRIM($D291),'BS Mapping std'!$A:$H,8,0)),IFERROR(VLOOKUP(TRIM($E291),'PL mapping Std'!$A:$E,5,0),VLOOKUP(TRIM($D291),'PL mapping Std'!$A:$E,5,0))))</f>
        <v/>
      </c>
      <c r="W291">
        <f>_xlfn.IFERROR(VLOOKUP(E291,'F30 mapping'!A:D,4,0),VLOOKUP(D291,'F30 mapping'!A:D,4,0))</f>
        <v/>
      </c>
      <c r="X291">
        <f>IF(B291&lt;6,IFERROR(VLOOKUP(E291,'BS Mapping std'!A:M,13,0),VLOOKUP(D291,'BS Mapping std'!A:M,13,0)),0)</f>
        <v/>
      </c>
      <c r="Y291">
        <f>IF(B291&lt;6,IFERROR(VLOOKUP(E291,'BS Mapping std'!A:N,14,0),VLOOKUP(D291,'BS Mapping std'!A:N,14,0)),0)</f>
        <v/>
      </c>
    </row>
    <row r="292" spans="1:25">
      <c r="A292">
        <f>IF(B292&lt;6,"BS",IF(B292=6,"Exp","Rev"))</f>
        <v/>
      </c>
      <c r="B292">
        <f>_xlfn.NUMBERVALUE(LEFT(F292,1))</f>
        <v/>
      </c>
      <c r="C292">
        <f>Left(F292,2)</f>
        <v/>
      </c>
      <c r="D292">
        <f>Left(F292,3)</f>
        <v/>
      </c>
      <c r="E292">
        <f>IF(F292="121",Left(F292,3)&amp;"0",Left(F292,4))</f>
        <v/>
      </c>
      <c r="F292" t="n">
        <v>65880030</v>
      </c>
      <c r="G292" t="s">
        <v>310</v>
      </c>
      <c r="H292" s="9" t="n">
        <v>32979.88</v>
      </c>
      <c r="I292" s="9" t="n">
        <v>46229.9</v>
      </c>
      <c r="J292" s="9" t="n">
        <v>46229.9</v>
      </c>
      <c r="K292" s="9" t="n">
        <v>46229.9</v>
      </c>
      <c r="L292" s="9">
        <f>K292-H292</f>
        <v/>
      </c>
      <c r="M292" s="32">
        <f>IFERROR(L292/H292," ")</f>
        <v/>
      </c>
      <c r="N292">
        <f>IF(A292="BS",IFERROR(VLOOKUP(TRIM($E292),'BS Mapping std'!$A:$D,4,0),VLOOKUP(TRIM($D292),'BS Mapping std'!$A:$D,4,0)),IFERROR(VLOOKUP(TRIM($E292),'PL mapping Std'!$A:$D,4,0),VLOOKUP(TRIM($D292),'PL mapping Std'!$A:$D,4,0)))</f>
        <v/>
      </c>
      <c r="O292">
        <f>_xlfn.IFERROR(VLOOKUP(E292,'F30 mapping'!A:C,3,0),VLOOKUP(D292,'F30 mapping'!A:C,3,0))</f>
        <v/>
      </c>
      <c r="P292">
        <f>_xlfn.IFERROR(IFERROR(VLOOKUP(E292,'F40 mapping'!A:C,3,0),VLOOKUP(D292,'F40 mapping'!A:C,3,0)),0)</f>
        <v/>
      </c>
      <c r="Q292">
        <f>_xlfn.IFERROR(IFERROR(VLOOKUP(E292,'F40 mapping'!A:D,4,0),VLOOKUP(D292,'F40 mapping'!A:D,4,0)),0)</f>
        <v/>
      </c>
      <c r="R292">
        <f>_xlfn.IFERROR(IFERROR(VLOOKUP(E292,'F40 mapping'!A:E,5,0),VLOOKUP(D292,'F40 mapping'!A:E,5,0)),0)</f>
        <v/>
      </c>
      <c r="S292">
        <f>_xlfn.IF(B292&lt;6,IFERROR(VLOOKUP(E292,'BS Mapping std'!A:E,5,0),VLOOKUP(D292,'BS Mapping std'!A:E,5,0)),IFERROR(VLOOKUP(E292,'PL mapping Std'!A:F,6,0),VLOOKUP(D292,'PL mapping Std'!A:F,6,0)))</f>
        <v/>
      </c>
      <c r="T292">
        <f>_xlfn.IF(B292&lt;6,IFERROR(VLOOKUP(E292,'BS Mapping std'!A:F,6,0),VLOOKUP(D292,'BS Mapping std'!A:F,6,0)),IFERROR(VLOOKUP(E292,'PL mapping Std'!A:G,7,0),VLOOKUP(D292,'PL mapping Std'!A:G,7,0)))</f>
        <v/>
      </c>
      <c r="V292">
        <f>IF(IF(A292="BS",IFERROR(VLOOKUP(TRIM($E292),'BS Mapping std'!$A:$H,8,0),VLOOKUP(TRIM($D292),'BS Mapping std'!$A:$H,8,0)),IFERROR(VLOOKUP(TRIM($E292),'PL mapping Std'!$A:$E,5,0),VLOOKUP(TRIM($D292),'PL mapping Std'!$A:$E,5,0)))=0,"",IF(A292="BS",IFERROR(VLOOKUP(TRIM($E292),'BS Mapping std'!$A:$H,8,0),VLOOKUP(TRIM($D292),'BS Mapping std'!$A:$H,8,0)),IFERROR(VLOOKUP(TRIM($E292),'PL mapping Std'!$A:$E,5,0),VLOOKUP(TRIM($D292),'PL mapping Std'!$A:$E,5,0))))</f>
        <v/>
      </c>
      <c r="W292">
        <f>_xlfn.IFERROR(VLOOKUP(E292,'F30 mapping'!A:D,4,0),VLOOKUP(D292,'F30 mapping'!A:D,4,0))</f>
        <v/>
      </c>
      <c r="X292">
        <f>IF(B292&lt;6,IFERROR(VLOOKUP(E292,'BS Mapping std'!A:M,13,0),VLOOKUP(D292,'BS Mapping std'!A:M,13,0)),0)</f>
        <v/>
      </c>
      <c r="Y292">
        <f>IF(B292&lt;6,IFERROR(VLOOKUP(E292,'BS Mapping std'!A:N,14,0),VLOOKUP(D292,'BS Mapping std'!A:N,14,0)),0)</f>
        <v/>
      </c>
    </row>
    <row r="293" spans="1:25">
      <c r="A293">
        <f>IF(B293&lt;6,"BS",IF(B293=6,"Exp","Rev"))</f>
        <v/>
      </c>
      <c r="B293">
        <f>_xlfn.NUMBERVALUE(LEFT(F293,1))</f>
        <v/>
      </c>
      <c r="C293">
        <f>Left(F293,2)</f>
        <v/>
      </c>
      <c r="D293">
        <f>Left(F293,3)</f>
        <v/>
      </c>
      <c r="E293">
        <f>IF(F293="121",Left(F293,3)&amp;"0",Left(F293,4))</f>
        <v/>
      </c>
      <c r="F293" t="n">
        <v>65889997</v>
      </c>
      <c r="G293" t="s">
        <v>311</v>
      </c>
      <c r="H293" s="9" t="n">
        <v>86883.78999999999</v>
      </c>
      <c r="I293" s="9" t="n">
        <v>83968.88</v>
      </c>
      <c r="J293" s="9" t="n">
        <v>83968.88</v>
      </c>
      <c r="K293" s="9" t="n">
        <v>83968.88</v>
      </c>
      <c r="L293" s="9">
        <f>K293-H293</f>
        <v/>
      </c>
      <c r="M293" s="32">
        <f>IFERROR(L293/H293," ")</f>
        <v/>
      </c>
      <c r="N293">
        <f>IF(A293="BS",IFERROR(VLOOKUP(TRIM($E293),'BS Mapping std'!$A:$D,4,0),VLOOKUP(TRIM($D293),'BS Mapping std'!$A:$D,4,0)),IFERROR(VLOOKUP(TRIM($E293),'PL mapping Std'!$A:$D,4,0),VLOOKUP(TRIM($D293),'PL mapping Std'!$A:$D,4,0)))</f>
        <v/>
      </c>
      <c r="O293">
        <f>_xlfn.IFERROR(VLOOKUP(E293,'F30 mapping'!A:C,3,0),VLOOKUP(D293,'F30 mapping'!A:C,3,0))</f>
        <v/>
      </c>
      <c r="P293">
        <f>_xlfn.IFERROR(IFERROR(VLOOKUP(E293,'F40 mapping'!A:C,3,0),VLOOKUP(D293,'F40 mapping'!A:C,3,0)),0)</f>
        <v/>
      </c>
      <c r="Q293">
        <f>_xlfn.IFERROR(IFERROR(VLOOKUP(E293,'F40 mapping'!A:D,4,0),VLOOKUP(D293,'F40 mapping'!A:D,4,0)),0)</f>
        <v/>
      </c>
      <c r="R293">
        <f>_xlfn.IFERROR(IFERROR(VLOOKUP(E293,'F40 mapping'!A:E,5,0),VLOOKUP(D293,'F40 mapping'!A:E,5,0)),0)</f>
        <v/>
      </c>
      <c r="S293">
        <f>_xlfn.IF(B293&lt;6,IFERROR(VLOOKUP(E293,'BS Mapping std'!A:E,5,0),VLOOKUP(D293,'BS Mapping std'!A:E,5,0)),IFERROR(VLOOKUP(E293,'PL mapping Std'!A:F,6,0),VLOOKUP(D293,'PL mapping Std'!A:F,6,0)))</f>
        <v/>
      </c>
      <c r="T293">
        <f>_xlfn.IF(B293&lt;6,IFERROR(VLOOKUP(E293,'BS Mapping std'!A:F,6,0),VLOOKUP(D293,'BS Mapping std'!A:F,6,0)),IFERROR(VLOOKUP(E293,'PL mapping Std'!A:G,7,0),VLOOKUP(D293,'PL mapping Std'!A:G,7,0)))</f>
        <v/>
      </c>
      <c r="V293">
        <f>IF(IF(A293="BS",IFERROR(VLOOKUP(TRIM($E293),'BS Mapping std'!$A:$H,8,0),VLOOKUP(TRIM($D293),'BS Mapping std'!$A:$H,8,0)),IFERROR(VLOOKUP(TRIM($E293),'PL mapping Std'!$A:$E,5,0),VLOOKUP(TRIM($D293),'PL mapping Std'!$A:$E,5,0)))=0,"",IF(A293="BS",IFERROR(VLOOKUP(TRIM($E293),'BS Mapping std'!$A:$H,8,0),VLOOKUP(TRIM($D293),'BS Mapping std'!$A:$H,8,0)),IFERROR(VLOOKUP(TRIM($E293),'PL mapping Std'!$A:$E,5,0),VLOOKUP(TRIM($D293),'PL mapping Std'!$A:$E,5,0))))</f>
        <v/>
      </c>
      <c r="W293">
        <f>_xlfn.IFERROR(VLOOKUP(E293,'F30 mapping'!A:D,4,0),VLOOKUP(D293,'F30 mapping'!A:D,4,0))</f>
        <v/>
      </c>
      <c r="X293">
        <f>IF(B293&lt;6,IFERROR(VLOOKUP(E293,'BS Mapping std'!A:M,13,0),VLOOKUP(D293,'BS Mapping std'!A:M,13,0)),0)</f>
        <v/>
      </c>
      <c r="Y293">
        <f>IF(B293&lt;6,IFERROR(VLOOKUP(E293,'BS Mapping std'!A:N,14,0),VLOOKUP(D293,'BS Mapping std'!A:N,14,0)),0)</f>
        <v/>
      </c>
    </row>
    <row r="294" spans="1:25">
      <c r="A294">
        <f>IF(B294&lt;6,"BS",IF(B294=6,"Exp","Rev"))</f>
        <v/>
      </c>
      <c r="B294">
        <f>_xlfn.NUMBERVALUE(LEFT(F294,1))</f>
        <v/>
      </c>
      <c r="C294">
        <f>Left(F294,2)</f>
        <v/>
      </c>
      <c r="D294">
        <f>Left(F294,3)</f>
        <v/>
      </c>
      <c r="E294">
        <f>IF(F294="121",Left(F294,3)&amp;"0",Left(F294,4))</f>
        <v/>
      </c>
      <c r="F294" t="n">
        <v>65889998</v>
      </c>
      <c r="G294" t="s">
        <v>312</v>
      </c>
      <c r="H294" s="9" t="n">
        <v>0</v>
      </c>
      <c r="I294" s="9" t="n">
        <v>1655.92</v>
      </c>
      <c r="J294" s="9" t="n">
        <v>1655.92</v>
      </c>
      <c r="K294" s="9" t="n">
        <v>1655.92</v>
      </c>
      <c r="L294" s="9">
        <f>K294-H294</f>
        <v/>
      </c>
      <c r="M294" s="32">
        <f>IFERROR(L294/H294," ")</f>
        <v/>
      </c>
      <c r="N294">
        <f>IF(A294="BS",IFERROR(VLOOKUP(TRIM($E294),'BS Mapping std'!$A:$D,4,0),VLOOKUP(TRIM($D294),'BS Mapping std'!$A:$D,4,0)),IFERROR(VLOOKUP(TRIM($E294),'PL mapping Std'!$A:$D,4,0),VLOOKUP(TRIM($D294),'PL mapping Std'!$A:$D,4,0)))</f>
        <v/>
      </c>
      <c r="O294">
        <f>_xlfn.IFERROR(VLOOKUP(E294,'F30 mapping'!A:C,3,0),VLOOKUP(D294,'F30 mapping'!A:C,3,0))</f>
        <v/>
      </c>
      <c r="P294">
        <f>_xlfn.IFERROR(IFERROR(VLOOKUP(E294,'F40 mapping'!A:C,3,0),VLOOKUP(D294,'F40 mapping'!A:C,3,0)),0)</f>
        <v/>
      </c>
      <c r="Q294">
        <f>_xlfn.IFERROR(IFERROR(VLOOKUP(E294,'F40 mapping'!A:D,4,0),VLOOKUP(D294,'F40 mapping'!A:D,4,0)),0)</f>
        <v/>
      </c>
      <c r="R294">
        <f>_xlfn.IFERROR(IFERROR(VLOOKUP(E294,'F40 mapping'!A:E,5,0),VLOOKUP(D294,'F40 mapping'!A:E,5,0)),0)</f>
        <v/>
      </c>
      <c r="S294">
        <f>_xlfn.IF(B294&lt;6,IFERROR(VLOOKUP(E294,'BS Mapping std'!A:E,5,0),VLOOKUP(D294,'BS Mapping std'!A:E,5,0)),IFERROR(VLOOKUP(E294,'PL mapping Std'!A:F,6,0),VLOOKUP(D294,'PL mapping Std'!A:F,6,0)))</f>
        <v/>
      </c>
      <c r="T294">
        <f>_xlfn.IF(B294&lt;6,IFERROR(VLOOKUP(E294,'BS Mapping std'!A:F,6,0),VLOOKUP(D294,'BS Mapping std'!A:F,6,0)),IFERROR(VLOOKUP(E294,'PL mapping Std'!A:G,7,0),VLOOKUP(D294,'PL mapping Std'!A:G,7,0)))</f>
        <v/>
      </c>
      <c r="V294">
        <f>IF(IF(A294="BS",IFERROR(VLOOKUP(TRIM($E294),'BS Mapping std'!$A:$H,8,0),VLOOKUP(TRIM($D294),'BS Mapping std'!$A:$H,8,0)),IFERROR(VLOOKUP(TRIM($E294),'PL mapping Std'!$A:$E,5,0),VLOOKUP(TRIM($D294),'PL mapping Std'!$A:$E,5,0)))=0,"",IF(A294="BS",IFERROR(VLOOKUP(TRIM($E294),'BS Mapping std'!$A:$H,8,0),VLOOKUP(TRIM($D294),'BS Mapping std'!$A:$H,8,0)),IFERROR(VLOOKUP(TRIM($E294),'PL mapping Std'!$A:$E,5,0),VLOOKUP(TRIM($D294),'PL mapping Std'!$A:$E,5,0))))</f>
        <v/>
      </c>
      <c r="W294">
        <f>_xlfn.IFERROR(VLOOKUP(E294,'F30 mapping'!A:D,4,0),VLOOKUP(D294,'F30 mapping'!A:D,4,0))</f>
        <v/>
      </c>
      <c r="X294">
        <f>IF(B294&lt;6,IFERROR(VLOOKUP(E294,'BS Mapping std'!A:M,13,0),VLOOKUP(D294,'BS Mapping std'!A:M,13,0)),0)</f>
        <v/>
      </c>
      <c r="Y294">
        <f>IF(B294&lt;6,IFERROR(VLOOKUP(E294,'BS Mapping std'!A:N,14,0),VLOOKUP(D294,'BS Mapping std'!A:N,14,0)),0)</f>
        <v/>
      </c>
    </row>
    <row r="295" spans="1:25">
      <c r="A295">
        <f>IF(B295&lt;6,"BS",IF(B295=6,"Exp","Rev"))</f>
        <v/>
      </c>
      <c r="B295">
        <f>_xlfn.NUMBERVALUE(LEFT(F295,1))</f>
        <v/>
      </c>
      <c r="C295">
        <f>Left(F295,2)</f>
        <v/>
      </c>
      <c r="D295">
        <f>Left(F295,3)</f>
        <v/>
      </c>
      <c r="E295">
        <f>IF(F295="121",Left(F295,3)&amp;"0",Left(F295,4))</f>
        <v/>
      </c>
      <c r="F295" t="n">
        <v>65889999</v>
      </c>
      <c r="G295" t="s">
        <v>313</v>
      </c>
      <c r="H295" s="9" t="n">
        <v>0</v>
      </c>
      <c r="I295" s="9" t="n">
        <v>2887.81</v>
      </c>
      <c r="J295" s="9" t="n">
        <v>2887.81</v>
      </c>
      <c r="K295" s="9" t="n">
        <v>2887.81</v>
      </c>
      <c r="L295" s="9">
        <f>K295-H295</f>
        <v/>
      </c>
      <c r="M295" s="32">
        <f>IFERROR(L295/H295," ")</f>
        <v/>
      </c>
      <c r="N295">
        <f>IF(A295="BS",IFERROR(VLOOKUP(TRIM($E295),'BS Mapping std'!$A:$D,4,0),VLOOKUP(TRIM($D295),'BS Mapping std'!$A:$D,4,0)),IFERROR(VLOOKUP(TRIM($E295),'PL mapping Std'!$A:$D,4,0),VLOOKUP(TRIM($D295),'PL mapping Std'!$A:$D,4,0)))</f>
        <v/>
      </c>
      <c r="O295">
        <f>_xlfn.IFERROR(VLOOKUP(E295,'F30 mapping'!A:C,3,0),VLOOKUP(D295,'F30 mapping'!A:C,3,0))</f>
        <v/>
      </c>
      <c r="P295">
        <f>_xlfn.IFERROR(IFERROR(VLOOKUP(E295,'F40 mapping'!A:C,3,0),VLOOKUP(D295,'F40 mapping'!A:C,3,0)),0)</f>
        <v/>
      </c>
      <c r="Q295">
        <f>_xlfn.IFERROR(IFERROR(VLOOKUP(E295,'F40 mapping'!A:D,4,0),VLOOKUP(D295,'F40 mapping'!A:D,4,0)),0)</f>
        <v/>
      </c>
      <c r="R295">
        <f>_xlfn.IFERROR(IFERROR(VLOOKUP(E295,'F40 mapping'!A:E,5,0),VLOOKUP(D295,'F40 mapping'!A:E,5,0)),0)</f>
        <v/>
      </c>
      <c r="S295">
        <f>_xlfn.IF(B295&lt;6,IFERROR(VLOOKUP(E295,'BS Mapping std'!A:E,5,0),VLOOKUP(D295,'BS Mapping std'!A:E,5,0)),IFERROR(VLOOKUP(E295,'PL mapping Std'!A:F,6,0),VLOOKUP(D295,'PL mapping Std'!A:F,6,0)))</f>
        <v/>
      </c>
      <c r="T295">
        <f>_xlfn.IF(B295&lt;6,IFERROR(VLOOKUP(E295,'BS Mapping std'!A:F,6,0),VLOOKUP(D295,'BS Mapping std'!A:F,6,0)),IFERROR(VLOOKUP(E295,'PL mapping Std'!A:G,7,0),VLOOKUP(D295,'PL mapping Std'!A:G,7,0)))</f>
        <v/>
      </c>
      <c r="V295">
        <f>IF(IF(A295="BS",IFERROR(VLOOKUP(TRIM($E295),'BS Mapping std'!$A:$H,8,0),VLOOKUP(TRIM($D295),'BS Mapping std'!$A:$H,8,0)),IFERROR(VLOOKUP(TRIM($E295),'PL mapping Std'!$A:$E,5,0),VLOOKUP(TRIM($D295),'PL mapping Std'!$A:$E,5,0)))=0,"",IF(A295="BS",IFERROR(VLOOKUP(TRIM($E295),'BS Mapping std'!$A:$H,8,0),VLOOKUP(TRIM($D295),'BS Mapping std'!$A:$H,8,0)),IFERROR(VLOOKUP(TRIM($E295),'PL mapping Std'!$A:$E,5,0),VLOOKUP(TRIM($D295),'PL mapping Std'!$A:$E,5,0))))</f>
        <v/>
      </c>
      <c r="W295">
        <f>_xlfn.IFERROR(VLOOKUP(E295,'F30 mapping'!A:D,4,0),VLOOKUP(D295,'F30 mapping'!A:D,4,0))</f>
        <v/>
      </c>
      <c r="X295">
        <f>IF(B295&lt;6,IFERROR(VLOOKUP(E295,'BS Mapping std'!A:M,13,0),VLOOKUP(D295,'BS Mapping std'!A:M,13,0)),0)</f>
        <v/>
      </c>
      <c r="Y295">
        <f>IF(B295&lt;6,IFERROR(VLOOKUP(E295,'BS Mapping std'!A:N,14,0),VLOOKUP(D295,'BS Mapping std'!A:N,14,0)),0)</f>
        <v/>
      </c>
    </row>
    <row r="296" spans="1:25">
      <c r="A296">
        <f>IF(B296&lt;6,"BS",IF(B296=6,"Exp","Rev"))</f>
        <v/>
      </c>
      <c r="B296">
        <f>_xlfn.NUMBERVALUE(LEFT(F296,1))</f>
        <v/>
      </c>
      <c r="C296">
        <f>Left(F296,2)</f>
        <v/>
      </c>
      <c r="D296">
        <f>Left(F296,3)</f>
        <v/>
      </c>
      <c r="E296">
        <f>IF(F296="121",Left(F296,3)&amp;"0",Left(F296,4))</f>
        <v/>
      </c>
      <c r="F296" t="n">
        <v>66500010</v>
      </c>
      <c r="G296" t="s">
        <v>314</v>
      </c>
      <c r="H296" s="9" t="n">
        <v>222378.19</v>
      </c>
      <c r="I296" s="9" t="n">
        <v>677778.99</v>
      </c>
      <c r="J296" s="9" t="n">
        <v>677778.99</v>
      </c>
      <c r="K296" s="9" t="n">
        <v>677778.99</v>
      </c>
      <c r="L296" s="9">
        <f>K296-H296</f>
        <v/>
      </c>
      <c r="M296" s="32">
        <f>IFERROR(L296/H296," ")</f>
        <v/>
      </c>
      <c r="N296">
        <f>IF(A296="BS",IFERROR(VLOOKUP(TRIM($E296),'BS Mapping std'!$A:$D,4,0),VLOOKUP(TRIM($D296),'BS Mapping std'!$A:$D,4,0)),IFERROR(VLOOKUP(TRIM($E296),'PL mapping Std'!$A:$D,4,0),VLOOKUP(TRIM($D296),'PL mapping Std'!$A:$D,4,0)))</f>
        <v/>
      </c>
      <c r="O296">
        <f>_xlfn.IFERROR(VLOOKUP(E296,'F30 mapping'!A:C,3,0),VLOOKUP(D296,'F30 mapping'!A:C,3,0))</f>
        <v/>
      </c>
      <c r="P296">
        <f>_xlfn.IFERROR(IFERROR(VLOOKUP(E296,'F40 mapping'!A:C,3,0),VLOOKUP(D296,'F40 mapping'!A:C,3,0)),0)</f>
        <v/>
      </c>
      <c r="Q296">
        <f>_xlfn.IFERROR(IFERROR(VLOOKUP(E296,'F40 mapping'!A:D,4,0),VLOOKUP(D296,'F40 mapping'!A:D,4,0)),0)</f>
        <v/>
      </c>
      <c r="R296">
        <f>_xlfn.IFERROR(IFERROR(VLOOKUP(E296,'F40 mapping'!A:E,5,0),VLOOKUP(D296,'F40 mapping'!A:E,5,0)),0)</f>
        <v/>
      </c>
      <c r="S296">
        <f>_xlfn.IF(B296&lt;6,IFERROR(VLOOKUP(E296,'BS Mapping std'!A:E,5,0),VLOOKUP(D296,'BS Mapping std'!A:E,5,0)),IFERROR(VLOOKUP(E296,'PL mapping Std'!A:F,6,0),VLOOKUP(D296,'PL mapping Std'!A:F,6,0)))</f>
        <v/>
      </c>
      <c r="T296">
        <f>_xlfn.IF(B296&lt;6,IFERROR(VLOOKUP(E296,'BS Mapping std'!A:F,6,0),VLOOKUP(D296,'BS Mapping std'!A:F,6,0)),IFERROR(VLOOKUP(E296,'PL mapping Std'!A:G,7,0),VLOOKUP(D296,'PL mapping Std'!A:G,7,0)))</f>
        <v/>
      </c>
      <c r="V296">
        <f>IF(IF(A296="BS",IFERROR(VLOOKUP(TRIM($E296),'BS Mapping std'!$A:$H,8,0),VLOOKUP(TRIM($D296),'BS Mapping std'!$A:$H,8,0)),IFERROR(VLOOKUP(TRIM($E296),'PL mapping Std'!$A:$E,5,0),VLOOKUP(TRIM($D296),'PL mapping Std'!$A:$E,5,0)))=0,"",IF(A296="BS",IFERROR(VLOOKUP(TRIM($E296),'BS Mapping std'!$A:$H,8,0),VLOOKUP(TRIM($D296),'BS Mapping std'!$A:$H,8,0)),IFERROR(VLOOKUP(TRIM($E296),'PL mapping Std'!$A:$E,5,0),VLOOKUP(TRIM($D296),'PL mapping Std'!$A:$E,5,0))))</f>
        <v/>
      </c>
      <c r="W296">
        <f>_xlfn.IFERROR(VLOOKUP(E296,'F30 mapping'!A:D,4,0),VLOOKUP(D296,'F30 mapping'!A:D,4,0))</f>
        <v/>
      </c>
      <c r="X296">
        <f>IF(B296&lt;6,IFERROR(VLOOKUP(E296,'BS Mapping std'!A:M,13,0),VLOOKUP(D296,'BS Mapping std'!A:M,13,0)),0)</f>
        <v/>
      </c>
      <c r="Y296">
        <f>IF(B296&lt;6,IFERROR(VLOOKUP(E296,'BS Mapping std'!A:N,14,0),VLOOKUP(D296,'BS Mapping std'!A:N,14,0)),0)</f>
        <v/>
      </c>
    </row>
    <row r="297" spans="1:25">
      <c r="A297">
        <f>IF(B297&lt;6,"BS",IF(B297=6,"Exp","Rev"))</f>
        <v/>
      </c>
      <c r="B297">
        <f>_xlfn.NUMBERVALUE(LEFT(F297,1))</f>
        <v/>
      </c>
      <c r="C297">
        <f>Left(F297,2)</f>
        <v/>
      </c>
      <c r="D297">
        <f>Left(F297,3)</f>
        <v/>
      </c>
      <c r="E297">
        <f>IF(F297="121",Left(F297,3)&amp;"0",Left(F297,4))</f>
        <v/>
      </c>
      <c r="F297" t="n">
        <v>66500020</v>
      </c>
      <c r="G297" t="s">
        <v>315</v>
      </c>
      <c r="H297" s="9" t="n">
        <v>2169077.38</v>
      </c>
      <c r="I297" s="9" t="n">
        <v>3238769</v>
      </c>
      <c r="J297" s="9" t="n">
        <v>3238769</v>
      </c>
      <c r="K297" s="9" t="n">
        <v>3238769</v>
      </c>
      <c r="L297" s="9">
        <f>K297-H297</f>
        <v/>
      </c>
      <c r="M297" s="32">
        <f>IFERROR(L297/H297," ")</f>
        <v/>
      </c>
      <c r="N297">
        <f>IF(A297="BS",IFERROR(VLOOKUP(TRIM($E297),'BS Mapping std'!$A:$D,4,0),VLOOKUP(TRIM($D297),'BS Mapping std'!$A:$D,4,0)),IFERROR(VLOOKUP(TRIM($E297),'PL mapping Std'!$A:$D,4,0),VLOOKUP(TRIM($D297),'PL mapping Std'!$A:$D,4,0)))</f>
        <v/>
      </c>
      <c r="O297">
        <f>_xlfn.IFERROR(VLOOKUP(E297,'F30 mapping'!A:C,3,0),VLOOKUP(D297,'F30 mapping'!A:C,3,0))</f>
        <v/>
      </c>
      <c r="P297">
        <f>_xlfn.IFERROR(IFERROR(VLOOKUP(E297,'F40 mapping'!A:C,3,0),VLOOKUP(D297,'F40 mapping'!A:C,3,0)),0)</f>
        <v/>
      </c>
      <c r="Q297">
        <f>_xlfn.IFERROR(IFERROR(VLOOKUP(E297,'F40 mapping'!A:D,4,0),VLOOKUP(D297,'F40 mapping'!A:D,4,0)),0)</f>
        <v/>
      </c>
      <c r="R297">
        <f>_xlfn.IFERROR(IFERROR(VLOOKUP(E297,'F40 mapping'!A:E,5,0),VLOOKUP(D297,'F40 mapping'!A:E,5,0)),0)</f>
        <v/>
      </c>
      <c r="S297">
        <f>_xlfn.IF(B297&lt;6,IFERROR(VLOOKUP(E297,'BS Mapping std'!A:E,5,0),VLOOKUP(D297,'BS Mapping std'!A:E,5,0)),IFERROR(VLOOKUP(E297,'PL mapping Std'!A:F,6,0),VLOOKUP(D297,'PL mapping Std'!A:F,6,0)))</f>
        <v/>
      </c>
      <c r="T297">
        <f>_xlfn.IF(B297&lt;6,IFERROR(VLOOKUP(E297,'BS Mapping std'!A:F,6,0),VLOOKUP(D297,'BS Mapping std'!A:F,6,0)),IFERROR(VLOOKUP(E297,'PL mapping Std'!A:G,7,0),VLOOKUP(D297,'PL mapping Std'!A:G,7,0)))</f>
        <v/>
      </c>
      <c r="V297">
        <f>IF(IF(A297="BS",IFERROR(VLOOKUP(TRIM($E297),'BS Mapping std'!$A:$H,8,0),VLOOKUP(TRIM($D297),'BS Mapping std'!$A:$H,8,0)),IFERROR(VLOOKUP(TRIM($E297),'PL mapping Std'!$A:$E,5,0),VLOOKUP(TRIM($D297),'PL mapping Std'!$A:$E,5,0)))=0,"",IF(A297="BS",IFERROR(VLOOKUP(TRIM($E297),'BS Mapping std'!$A:$H,8,0),VLOOKUP(TRIM($D297),'BS Mapping std'!$A:$H,8,0)),IFERROR(VLOOKUP(TRIM($E297),'PL mapping Std'!$A:$E,5,0),VLOOKUP(TRIM($D297),'PL mapping Std'!$A:$E,5,0))))</f>
        <v/>
      </c>
      <c r="W297">
        <f>_xlfn.IFERROR(VLOOKUP(E297,'F30 mapping'!A:D,4,0),VLOOKUP(D297,'F30 mapping'!A:D,4,0))</f>
        <v/>
      </c>
      <c r="X297">
        <f>IF(B297&lt;6,IFERROR(VLOOKUP(E297,'BS Mapping std'!A:M,13,0),VLOOKUP(D297,'BS Mapping std'!A:M,13,0)),0)</f>
        <v/>
      </c>
      <c r="Y297">
        <f>IF(B297&lt;6,IFERROR(VLOOKUP(E297,'BS Mapping std'!A:N,14,0),VLOOKUP(D297,'BS Mapping std'!A:N,14,0)),0)</f>
        <v/>
      </c>
    </row>
    <row r="298" spans="1:25">
      <c r="A298">
        <f>IF(B298&lt;6,"BS",IF(B298=6,"Exp","Rev"))</f>
        <v/>
      </c>
      <c r="B298">
        <f>_xlfn.NUMBERVALUE(LEFT(F298,1))</f>
        <v/>
      </c>
      <c r="C298">
        <f>Left(F298,2)</f>
        <v/>
      </c>
      <c r="D298">
        <f>Left(F298,3)</f>
        <v/>
      </c>
      <c r="E298">
        <f>IF(F298="121",Left(F298,3)&amp;"0",Left(F298,4))</f>
        <v/>
      </c>
      <c r="F298" t="n">
        <v>66500030</v>
      </c>
      <c r="G298" t="s">
        <v>314</v>
      </c>
      <c r="H298" s="9" t="n">
        <v>1263.7</v>
      </c>
      <c r="I298" s="9" t="n">
        <v>2024.64</v>
      </c>
      <c r="J298" s="9" t="n">
        <v>2024.64</v>
      </c>
      <c r="K298" s="9" t="n">
        <v>2024.64</v>
      </c>
      <c r="L298" s="9">
        <f>K298-H298</f>
        <v/>
      </c>
      <c r="M298" s="32">
        <f>IFERROR(L298/H298," ")</f>
        <v/>
      </c>
      <c r="N298">
        <f>IF(A298="BS",IFERROR(VLOOKUP(TRIM($E298),'BS Mapping std'!$A:$D,4,0),VLOOKUP(TRIM($D298),'BS Mapping std'!$A:$D,4,0)),IFERROR(VLOOKUP(TRIM($E298),'PL mapping Std'!$A:$D,4,0),VLOOKUP(TRIM($D298),'PL mapping Std'!$A:$D,4,0)))</f>
        <v/>
      </c>
      <c r="O298">
        <f>_xlfn.IFERROR(VLOOKUP(E298,'F30 mapping'!A:C,3,0),VLOOKUP(D298,'F30 mapping'!A:C,3,0))</f>
        <v/>
      </c>
      <c r="P298">
        <f>_xlfn.IFERROR(IFERROR(VLOOKUP(E298,'F40 mapping'!A:C,3,0),VLOOKUP(D298,'F40 mapping'!A:C,3,0)),0)</f>
        <v/>
      </c>
      <c r="Q298">
        <f>_xlfn.IFERROR(IFERROR(VLOOKUP(E298,'F40 mapping'!A:D,4,0),VLOOKUP(D298,'F40 mapping'!A:D,4,0)),0)</f>
        <v/>
      </c>
      <c r="R298">
        <f>_xlfn.IFERROR(IFERROR(VLOOKUP(E298,'F40 mapping'!A:E,5,0),VLOOKUP(D298,'F40 mapping'!A:E,5,0)),0)</f>
        <v/>
      </c>
      <c r="S298">
        <f>_xlfn.IF(B298&lt;6,IFERROR(VLOOKUP(E298,'BS Mapping std'!A:E,5,0),VLOOKUP(D298,'BS Mapping std'!A:E,5,0)),IFERROR(VLOOKUP(E298,'PL mapping Std'!A:F,6,0),VLOOKUP(D298,'PL mapping Std'!A:F,6,0)))</f>
        <v/>
      </c>
      <c r="T298">
        <f>_xlfn.IF(B298&lt;6,IFERROR(VLOOKUP(E298,'BS Mapping std'!A:F,6,0),VLOOKUP(D298,'BS Mapping std'!A:F,6,0)),IFERROR(VLOOKUP(E298,'PL mapping Std'!A:G,7,0),VLOOKUP(D298,'PL mapping Std'!A:G,7,0)))</f>
        <v/>
      </c>
      <c r="V298">
        <f>IF(IF(A298="BS",IFERROR(VLOOKUP(TRIM($E298),'BS Mapping std'!$A:$H,8,0),VLOOKUP(TRIM($D298),'BS Mapping std'!$A:$H,8,0)),IFERROR(VLOOKUP(TRIM($E298),'PL mapping Std'!$A:$E,5,0),VLOOKUP(TRIM($D298),'PL mapping Std'!$A:$E,5,0)))=0,"",IF(A298="BS",IFERROR(VLOOKUP(TRIM($E298),'BS Mapping std'!$A:$H,8,0),VLOOKUP(TRIM($D298),'BS Mapping std'!$A:$H,8,0)),IFERROR(VLOOKUP(TRIM($E298),'PL mapping Std'!$A:$E,5,0),VLOOKUP(TRIM($D298),'PL mapping Std'!$A:$E,5,0))))</f>
        <v/>
      </c>
      <c r="W298">
        <f>_xlfn.IFERROR(VLOOKUP(E298,'F30 mapping'!A:D,4,0),VLOOKUP(D298,'F30 mapping'!A:D,4,0))</f>
        <v/>
      </c>
      <c r="X298">
        <f>IF(B298&lt;6,IFERROR(VLOOKUP(E298,'BS Mapping std'!A:M,13,0),VLOOKUP(D298,'BS Mapping std'!A:M,13,0)),0)</f>
        <v/>
      </c>
      <c r="Y298">
        <f>IF(B298&lt;6,IFERROR(VLOOKUP(E298,'BS Mapping std'!A:N,14,0),VLOOKUP(D298,'BS Mapping std'!A:N,14,0)),0)</f>
        <v/>
      </c>
    </row>
    <row r="299" spans="1:25">
      <c r="A299">
        <f>IF(B299&lt;6,"BS",IF(B299=6,"Exp","Rev"))</f>
        <v/>
      </c>
      <c r="B299">
        <f>_xlfn.NUMBERVALUE(LEFT(F299,1))</f>
        <v/>
      </c>
      <c r="C299">
        <f>Left(F299,2)</f>
        <v/>
      </c>
      <c r="D299">
        <f>Left(F299,3)</f>
        <v/>
      </c>
      <c r="E299">
        <f>IF(F299="121",Left(F299,3)&amp;"0",Left(F299,4))</f>
        <v/>
      </c>
      <c r="F299" t="n">
        <v>66500040</v>
      </c>
      <c r="G299" t="s">
        <v>316</v>
      </c>
      <c r="H299" s="9" t="n">
        <v>399922.5</v>
      </c>
      <c r="I299" s="9" t="n">
        <v>548512.97</v>
      </c>
      <c r="J299" s="9" t="n">
        <v>548512.97</v>
      </c>
      <c r="K299" s="9" t="n">
        <v>548512.97</v>
      </c>
      <c r="L299" s="9">
        <f>K299-H299</f>
        <v/>
      </c>
      <c r="M299" s="32">
        <f>IFERROR(L299/H299," ")</f>
        <v/>
      </c>
      <c r="N299">
        <f>IF(A299="BS",IFERROR(VLOOKUP(TRIM($E299),'BS Mapping std'!$A:$D,4,0),VLOOKUP(TRIM($D299),'BS Mapping std'!$A:$D,4,0)),IFERROR(VLOOKUP(TRIM($E299),'PL mapping Std'!$A:$D,4,0),VLOOKUP(TRIM($D299),'PL mapping Std'!$A:$D,4,0)))</f>
        <v/>
      </c>
      <c r="O299">
        <f>_xlfn.IFERROR(VLOOKUP(E299,'F30 mapping'!A:C,3,0),VLOOKUP(D299,'F30 mapping'!A:C,3,0))</f>
        <v/>
      </c>
      <c r="P299">
        <f>_xlfn.IFERROR(IFERROR(VLOOKUP(E299,'F40 mapping'!A:C,3,0),VLOOKUP(D299,'F40 mapping'!A:C,3,0)),0)</f>
        <v/>
      </c>
      <c r="Q299">
        <f>_xlfn.IFERROR(IFERROR(VLOOKUP(E299,'F40 mapping'!A:D,4,0),VLOOKUP(D299,'F40 mapping'!A:D,4,0)),0)</f>
        <v/>
      </c>
      <c r="R299">
        <f>_xlfn.IFERROR(IFERROR(VLOOKUP(E299,'F40 mapping'!A:E,5,0),VLOOKUP(D299,'F40 mapping'!A:E,5,0)),0)</f>
        <v/>
      </c>
      <c r="S299">
        <f>_xlfn.IF(B299&lt;6,IFERROR(VLOOKUP(E299,'BS Mapping std'!A:E,5,0),VLOOKUP(D299,'BS Mapping std'!A:E,5,0)),IFERROR(VLOOKUP(E299,'PL mapping Std'!A:F,6,0),VLOOKUP(D299,'PL mapping Std'!A:F,6,0)))</f>
        <v/>
      </c>
      <c r="T299">
        <f>_xlfn.IF(B299&lt;6,IFERROR(VLOOKUP(E299,'BS Mapping std'!A:F,6,0),VLOOKUP(D299,'BS Mapping std'!A:F,6,0)),IFERROR(VLOOKUP(E299,'PL mapping Std'!A:G,7,0),VLOOKUP(D299,'PL mapping Std'!A:G,7,0)))</f>
        <v/>
      </c>
      <c r="V299">
        <f>IF(IF(A299="BS",IFERROR(VLOOKUP(TRIM($E299),'BS Mapping std'!$A:$H,8,0),VLOOKUP(TRIM($D299),'BS Mapping std'!$A:$H,8,0)),IFERROR(VLOOKUP(TRIM($E299),'PL mapping Std'!$A:$E,5,0),VLOOKUP(TRIM($D299),'PL mapping Std'!$A:$E,5,0)))=0,"",IF(A299="BS",IFERROR(VLOOKUP(TRIM($E299),'BS Mapping std'!$A:$H,8,0),VLOOKUP(TRIM($D299),'BS Mapping std'!$A:$H,8,0)),IFERROR(VLOOKUP(TRIM($E299),'PL mapping Std'!$A:$E,5,0),VLOOKUP(TRIM($D299),'PL mapping Std'!$A:$E,5,0))))</f>
        <v/>
      </c>
      <c r="W299">
        <f>_xlfn.IFERROR(VLOOKUP(E299,'F30 mapping'!A:D,4,0),VLOOKUP(D299,'F30 mapping'!A:D,4,0))</f>
        <v/>
      </c>
      <c r="X299">
        <f>IF(B299&lt;6,IFERROR(VLOOKUP(E299,'BS Mapping std'!A:M,13,0),VLOOKUP(D299,'BS Mapping std'!A:M,13,0)),0)</f>
        <v/>
      </c>
      <c r="Y299">
        <f>IF(B299&lt;6,IFERROR(VLOOKUP(E299,'BS Mapping std'!A:N,14,0),VLOOKUP(D299,'BS Mapping std'!A:N,14,0)),0)</f>
        <v/>
      </c>
    </row>
    <row r="300" spans="1:25">
      <c r="A300">
        <f>IF(B300&lt;6,"BS",IF(B300=6,"Exp","Rev"))</f>
        <v/>
      </c>
      <c r="B300">
        <f>_xlfn.NUMBERVALUE(LEFT(F300,1))</f>
        <v/>
      </c>
      <c r="C300">
        <f>Left(F300,2)</f>
        <v/>
      </c>
      <c r="D300">
        <f>Left(F300,3)</f>
        <v/>
      </c>
      <c r="E300">
        <f>IF(F300="121",Left(F300,3)&amp;"0",Left(F300,4))</f>
        <v/>
      </c>
      <c r="F300" t="n">
        <v>66600020</v>
      </c>
      <c r="G300" t="s">
        <v>317</v>
      </c>
      <c r="H300" s="9" t="n">
        <v>2942693.38</v>
      </c>
      <c r="I300" s="9" t="n">
        <v>2666132.48</v>
      </c>
      <c r="J300" s="9" t="n">
        <v>2666132.48</v>
      </c>
      <c r="K300" s="9" t="n">
        <v>2666132.48</v>
      </c>
      <c r="L300" s="9">
        <f>K300-H300</f>
        <v/>
      </c>
      <c r="M300" s="32">
        <f>IFERROR(L300/H300," ")</f>
        <v/>
      </c>
      <c r="N300">
        <f>IF(A300="BS",IFERROR(VLOOKUP(TRIM($E300),'BS Mapping std'!$A:$D,4,0),VLOOKUP(TRIM($D300),'BS Mapping std'!$A:$D,4,0)),IFERROR(VLOOKUP(TRIM($E300),'PL mapping Std'!$A:$D,4,0),VLOOKUP(TRIM($D300),'PL mapping Std'!$A:$D,4,0)))</f>
        <v/>
      </c>
      <c r="O300">
        <f>_xlfn.IFERROR(VLOOKUP(E300,'F30 mapping'!A:C,3,0),VLOOKUP(D300,'F30 mapping'!A:C,3,0))</f>
        <v/>
      </c>
      <c r="P300">
        <f>_xlfn.IFERROR(IFERROR(VLOOKUP(E300,'F40 mapping'!A:C,3,0),VLOOKUP(D300,'F40 mapping'!A:C,3,0)),0)</f>
        <v/>
      </c>
      <c r="Q300">
        <f>_xlfn.IFERROR(IFERROR(VLOOKUP(E300,'F40 mapping'!A:D,4,0),VLOOKUP(D300,'F40 mapping'!A:D,4,0)),0)</f>
        <v/>
      </c>
      <c r="R300">
        <f>_xlfn.IFERROR(IFERROR(VLOOKUP(E300,'F40 mapping'!A:E,5,0),VLOOKUP(D300,'F40 mapping'!A:E,5,0)),0)</f>
        <v/>
      </c>
      <c r="S300">
        <f>_xlfn.IF(B300&lt;6,IFERROR(VLOOKUP(E300,'BS Mapping std'!A:E,5,0),VLOOKUP(D300,'BS Mapping std'!A:E,5,0)),IFERROR(VLOOKUP(E300,'PL mapping Std'!A:F,6,0),VLOOKUP(D300,'PL mapping Std'!A:F,6,0)))</f>
        <v/>
      </c>
      <c r="T300">
        <f>_xlfn.IF(B300&lt;6,IFERROR(VLOOKUP(E300,'BS Mapping std'!A:F,6,0),VLOOKUP(D300,'BS Mapping std'!A:F,6,0)),IFERROR(VLOOKUP(E300,'PL mapping Std'!A:G,7,0),VLOOKUP(D300,'PL mapping Std'!A:G,7,0)))</f>
        <v/>
      </c>
      <c r="V300">
        <f>IF(IF(A300="BS",IFERROR(VLOOKUP(TRIM($E300),'BS Mapping std'!$A:$H,8,0),VLOOKUP(TRIM($D300),'BS Mapping std'!$A:$H,8,0)),IFERROR(VLOOKUP(TRIM($E300),'PL mapping Std'!$A:$E,5,0),VLOOKUP(TRIM($D300),'PL mapping Std'!$A:$E,5,0)))=0,"",IF(A300="BS",IFERROR(VLOOKUP(TRIM($E300),'BS Mapping std'!$A:$H,8,0),VLOOKUP(TRIM($D300),'BS Mapping std'!$A:$H,8,0)),IFERROR(VLOOKUP(TRIM($E300),'PL mapping Std'!$A:$E,5,0),VLOOKUP(TRIM($D300),'PL mapping Std'!$A:$E,5,0))))</f>
        <v/>
      </c>
      <c r="W300">
        <f>_xlfn.IFERROR(VLOOKUP(E300,'F30 mapping'!A:D,4,0),VLOOKUP(D300,'F30 mapping'!A:D,4,0))</f>
        <v/>
      </c>
      <c r="X300">
        <f>IF(B300&lt;6,IFERROR(VLOOKUP(E300,'BS Mapping std'!A:M,13,0),VLOOKUP(D300,'BS Mapping std'!A:M,13,0)),0)</f>
        <v/>
      </c>
      <c r="Y300">
        <f>IF(B300&lt;6,IFERROR(VLOOKUP(E300,'BS Mapping std'!A:N,14,0),VLOOKUP(D300,'BS Mapping std'!A:N,14,0)),0)</f>
        <v/>
      </c>
    </row>
    <row r="301" spans="1:25">
      <c r="A301">
        <f>IF(B301&lt;6,"BS",IF(B301=6,"Exp","Rev"))</f>
        <v/>
      </c>
      <c r="B301">
        <f>_xlfn.NUMBERVALUE(LEFT(F301,1))</f>
        <v/>
      </c>
      <c r="C301">
        <f>Left(F301,2)</f>
        <v/>
      </c>
      <c r="D301">
        <f>Left(F301,3)</f>
        <v/>
      </c>
      <c r="E301">
        <f>IF(F301="121",Left(F301,3)&amp;"0",Left(F301,4))</f>
        <v/>
      </c>
      <c r="F301" t="n">
        <v>66700000</v>
      </c>
      <c r="G301" t="s">
        <v>318</v>
      </c>
      <c r="H301" s="9" t="n">
        <v>422.81</v>
      </c>
      <c r="I301" s="9" t="n">
        <v>4396.3</v>
      </c>
      <c r="J301" s="9" t="n">
        <v>4396.3</v>
      </c>
      <c r="K301" s="9" t="n">
        <v>4396.3</v>
      </c>
      <c r="L301" s="9">
        <f>K301-H301</f>
        <v/>
      </c>
      <c r="M301" s="32">
        <f>IFERROR(L301/H301," ")</f>
        <v/>
      </c>
      <c r="N301">
        <f>IF(A301="BS",IFERROR(VLOOKUP(TRIM($E301),'BS Mapping std'!$A:$D,4,0),VLOOKUP(TRIM($D301),'BS Mapping std'!$A:$D,4,0)),IFERROR(VLOOKUP(TRIM($E301),'PL mapping Std'!$A:$D,4,0),VLOOKUP(TRIM($D301),'PL mapping Std'!$A:$D,4,0)))</f>
        <v/>
      </c>
      <c r="O301">
        <f>_xlfn.IFERROR(VLOOKUP(E301,'F30 mapping'!A:C,3,0),VLOOKUP(D301,'F30 mapping'!A:C,3,0))</f>
        <v/>
      </c>
      <c r="P301">
        <f>_xlfn.IFERROR(IFERROR(VLOOKUP(E301,'F40 mapping'!A:C,3,0),VLOOKUP(D301,'F40 mapping'!A:C,3,0)),0)</f>
        <v/>
      </c>
      <c r="Q301">
        <f>_xlfn.IFERROR(IFERROR(VLOOKUP(E301,'F40 mapping'!A:D,4,0),VLOOKUP(D301,'F40 mapping'!A:D,4,0)),0)</f>
        <v/>
      </c>
      <c r="R301">
        <f>_xlfn.IFERROR(IFERROR(VLOOKUP(E301,'F40 mapping'!A:E,5,0),VLOOKUP(D301,'F40 mapping'!A:E,5,0)),0)</f>
        <v/>
      </c>
      <c r="S301">
        <f>_xlfn.IF(B301&lt;6,IFERROR(VLOOKUP(E301,'BS Mapping std'!A:E,5,0),VLOOKUP(D301,'BS Mapping std'!A:E,5,0)),IFERROR(VLOOKUP(E301,'PL mapping Std'!A:F,6,0),VLOOKUP(D301,'PL mapping Std'!A:F,6,0)))</f>
        <v/>
      </c>
      <c r="T301">
        <f>_xlfn.IF(B301&lt;6,IFERROR(VLOOKUP(E301,'BS Mapping std'!A:F,6,0),VLOOKUP(D301,'BS Mapping std'!A:F,6,0)),IFERROR(VLOOKUP(E301,'PL mapping Std'!A:G,7,0),VLOOKUP(D301,'PL mapping Std'!A:G,7,0)))</f>
        <v/>
      </c>
      <c r="V301">
        <f>IF(IF(A301="BS",IFERROR(VLOOKUP(TRIM($E301),'BS Mapping std'!$A:$H,8,0),VLOOKUP(TRIM($D301),'BS Mapping std'!$A:$H,8,0)),IFERROR(VLOOKUP(TRIM($E301),'PL mapping Std'!$A:$E,5,0),VLOOKUP(TRIM($D301),'PL mapping Std'!$A:$E,5,0)))=0,"",IF(A301="BS",IFERROR(VLOOKUP(TRIM($E301),'BS Mapping std'!$A:$H,8,0),VLOOKUP(TRIM($D301),'BS Mapping std'!$A:$H,8,0)),IFERROR(VLOOKUP(TRIM($E301),'PL mapping Std'!$A:$E,5,0),VLOOKUP(TRIM($D301),'PL mapping Std'!$A:$E,5,0))))</f>
        <v/>
      </c>
      <c r="W301">
        <f>_xlfn.IFERROR(VLOOKUP(E301,'F30 mapping'!A:D,4,0),VLOOKUP(D301,'F30 mapping'!A:D,4,0))</f>
        <v/>
      </c>
      <c r="X301">
        <f>IF(B301&lt;6,IFERROR(VLOOKUP(E301,'BS Mapping std'!A:M,13,0),VLOOKUP(D301,'BS Mapping std'!A:M,13,0)),0)</f>
        <v/>
      </c>
      <c r="Y301">
        <f>IF(B301&lt;6,IFERROR(VLOOKUP(E301,'BS Mapping std'!A:N,14,0),VLOOKUP(D301,'BS Mapping std'!A:N,14,0)),0)</f>
        <v/>
      </c>
    </row>
    <row r="302" spans="1:25">
      <c r="A302">
        <f>IF(B302&lt;6,"BS",IF(B302=6,"Exp","Rev"))</f>
        <v/>
      </c>
      <c r="B302">
        <f>_xlfn.NUMBERVALUE(LEFT(F302,1))</f>
        <v/>
      </c>
      <c r="C302">
        <f>Left(F302,2)</f>
        <v/>
      </c>
      <c r="D302">
        <f>Left(F302,3)</f>
        <v/>
      </c>
      <c r="E302">
        <f>IF(F302="121",Left(F302,3)&amp;"0",Left(F302,4))</f>
        <v/>
      </c>
      <c r="F302" t="n">
        <v>68110000</v>
      </c>
      <c r="G302" t="s">
        <v>319</v>
      </c>
      <c r="H302" s="9" t="n">
        <v>646850.96</v>
      </c>
      <c r="I302" s="9" t="n">
        <v>630064.74</v>
      </c>
      <c r="J302" s="9" t="n">
        <v>630064.74</v>
      </c>
      <c r="K302" s="9" t="n">
        <v>630064.74</v>
      </c>
      <c r="L302" s="9">
        <f>K302-H302</f>
        <v/>
      </c>
      <c r="M302" s="32">
        <f>IFERROR(L302/H302," ")</f>
        <v/>
      </c>
      <c r="N302">
        <f>IF(A302="BS",IFERROR(VLOOKUP(TRIM($E302),'BS Mapping std'!$A:$D,4,0),VLOOKUP(TRIM($D302),'BS Mapping std'!$A:$D,4,0)),IFERROR(VLOOKUP(TRIM($E302),'PL mapping Std'!$A:$D,4,0),VLOOKUP(TRIM($D302),'PL mapping Std'!$A:$D,4,0)))</f>
        <v/>
      </c>
      <c r="O302">
        <f>_xlfn.IFERROR(VLOOKUP(E302,'F30 mapping'!A:C,3,0),VLOOKUP(D302,'F30 mapping'!A:C,3,0))</f>
        <v/>
      </c>
      <c r="P302">
        <f>_xlfn.IFERROR(IFERROR(VLOOKUP(E302,'F40 mapping'!A:C,3,0),VLOOKUP(D302,'F40 mapping'!A:C,3,0)),0)</f>
        <v/>
      </c>
      <c r="Q302">
        <f>_xlfn.IFERROR(IFERROR(VLOOKUP(E302,'F40 mapping'!A:D,4,0),VLOOKUP(D302,'F40 mapping'!A:D,4,0)),0)</f>
        <v/>
      </c>
      <c r="R302">
        <f>_xlfn.IFERROR(IFERROR(VLOOKUP(E302,'F40 mapping'!A:E,5,0),VLOOKUP(D302,'F40 mapping'!A:E,5,0)),0)</f>
        <v/>
      </c>
      <c r="S302">
        <f>_xlfn.IF(B302&lt;6,IFERROR(VLOOKUP(E302,'BS Mapping std'!A:E,5,0),VLOOKUP(D302,'BS Mapping std'!A:E,5,0)),IFERROR(VLOOKUP(E302,'PL mapping Std'!A:F,6,0),VLOOKUP(D302,'PL mapping Std'!A:F,6,0)))</f>
        <v/>
      </c>
      <c r="T302">
        <f>_xlfn.IF(B302&lt;6,IFERROR(VLOOKUP(E302,'BS Mapping std'!A:F,6,0),VLOOKUP(D302,'BS Mapping std'!A:F,6,0)),IFERROR(VLOOKUP(E302,'PL mapping Std'!A:G,7,0),VLOOKUP(D302,'PL mapping Std'!A:G,7,0)))</f>
        <v/>
      </c>
      <c r="V302">
        <f>IF(IF(A302="BS",IFERROR(VLOOKUP(TRIM($E302),'BS Mapping std'!$A:$H,8,0),VLOOKUP(TRIM($D302),'BS Mapping std'!$A:$H,8,0)),IFERROR(VLOOKUP(TRIM($E302),'PL mapping Std'!$A:$E,5,0),VLOOKUP(TRIM($D302),'PL mapping Std'!$A:$E,5,0)))=0,"",IF(A302="BS",IFERROR(VLOOKUP(TRIM($E302),'BS Mapping std'!$A:$H,8,0),VLOOKUP(TRIM($D302),'BS Mapping std'!$A:$H,8,0)),IFERROR(VLOOKUP(TRIM($E302),'PL mapping Std'!$A:$E,5,0),VLOOKUP(TRIM($D302),'PL mapping Std'!$A:$E,5,0))))</f>
        <v/>
      </c>
      <c r="W302">
        <f>_xlfn.IFERROR(VLOOKUP(E302,'F30 mapping'!A:D,4,0),VLOOKUP(D302,'F30 mapping'!A:D,4,0))</f>
        <v/>
      </c>
      <c r="X302">
        <f>IF(B302&lt;6,IFERROR(VLOOKUP(E302,'BS Mapping std'!A:M,13,0),VLOOKUP(D302,'BS Mapping std'!A:M,13,0)),0)</f>
        <v/>
      </c>
      <c r="Y302">
        <f>IF(B302&lt;6,IFERROR(VLOOKUP(E302,'BS Mapping std'!A:N,14,0),VLOOKUP(D302,'BS Mapping std'!A:N,14,0)),0)</f>
        <v/>
      </c>
    </row>
    <row r="303" spans="1:25">
      <c r="A303">
        <f>IF(B303&lt;6,"BS",IF(B303=6,"Exp","Rev"))</f>
        <v/>
      </c>
      <c r="B303">
        <f>_xlfn.NUMBERVALUE(LEFT(F303,1))</f>
        <v/>
      </c>
      <c r="C303">
        <f>Left(F303,2)</f>
        <v/>
      </c>
      <c r="D303">
        <f>Left(F303,3)</f>
        <v/>
      </c>
      <c r="E303">
        <f>IF(F303="121",Left(F303,3)&amp;"0",Left(F303,4))</f>
        <v/>
      </c>
      <c r="F303" t="n">
        <v>68110001</v>
      </c>
      <c r="G303" t="s">
        <v>320</v>
      </c>
      <c r="H303" s="9" t="n">
        <v>1601929</v>
      </c>
      <c r="I303" s="9" t="n">
        <v>1563397</v>
      </c>
      <c r="J303" s="9" t="n">
        <v>1563397</v>
      </c>
      <c r="K303" s="9" t="n">
        <v>1563397</v>
      </c>
      <c r="L303" s="9">
        <f>K303-H303</f>
        <v/>
      </c>
      <c r="M303" s="32">
        <f>IFERROR(L303/H303," ")</f>
        <v/>
      </c>
      <c r="N303">
        <f>IF(A303="BS",IFERROR(VLOOKUP(TRIM($E303),'BS Mapping std'!$A:$D,4,0),VLOOKUP(TRIM($D303),'BS Mapping std'!$A:$D,4,0)),IFERROR(VLOOKUP(TRIM($E303),'PL mapping Std'!$A:$D,4,0),VLOOKUP(TRIM($D303),'PL mapping Std'!$A:$D,4,0)))</f>
        <v/>
      </c>
      <c r="O303">
        <f>_xlfn.IFERROR(VLOOKUP(E303,'F30 mapping'!A:C,3,0),VLOOKUP(D303,'F30 mapping'!A:C,3,0))</f>
        <v/>
      </c>
      <c r="P303">
        <f>_xlfn.IFERROR(IFERROR(VLOOKUP(E303,'F40 mapping'!A:C,3,0),VLOOKUP(D303,'F40 mapping'!A:C,3,0)),0)</f>
        <v/>
      </c>
      <c r="Q303">
        <f>_xlfn.IFERROR(IFERROR(VLOOKUP(E303,'F40 mapping'!A:D,4,0),VLOOKUP(D303,'F40 mapping'!A:D,4,0)),0)</f>
        <v/>
      </c>
      <c r="R303">
        <f>_xlfn.IFERROR(IFERROR(VLOOKUP(E303,'F40 mapping'!A:E,5,0),VLOOKUP(D303,'F40 mapping'!A:E,5,0)),0)</f>
        <v/>
      </c>
      <c r="S303">
        <f>_xlfn.IF(B303&lt;6,IFERROR(VLOOKUP(E303,'BS Mapping std'!A:E,5,0),VLOOKUP(D303,'BS Mapping std'!A:E,5,0)),IFERROR(VLOOKUP(E303,'PL mapping Std'!A:F,6,0),VLOOKUP(D303,'PL mapping Std'!A:F,6,0)))</f>
        <v/>
      </c>
      <c r="T303">
        <f>_xlfn.IF(B303&lt;6,IFERROR(VLOOKUP(E303,'BS Mapping std'!A:F,6,0),VLOOKUP(D303,'BS Mapping std'!A:F,6,0)),IFERROR(VLOOKUP(E303,'PL mapping Std'!A:G,7,0),VLOOKUP(D303,'PL mapping Std'!A:G,7,0)))</f>
        <v/>
      </c>
      <c r="V303">
        <f>IF(IF(A303="BS",IFERROR(VLOOKUP(TRIM($E303),'BS Mapping std'!$A:$H,8,0),VLOOKUP(TRIM($D303),'BS Mapping std'!$A:$H,8,0)),IFERROR(VLOOKUP(TRIM($E303),'PL mapping Std'!$A:$E,5,0),VLOOKUP(TRIM($D303),'PL mapping Std'!$A:$E,5,0)))=0,"",IF(A303="BS",IFERROR(VLOOKUP(TRIM($E303),'BS Mapping std'!$A:$H,8,0),VLOOKUP(TRIM($D303),'BS Mapping std'!$A:$H,8,0)),IFERROR(VLOOKUP(TRIM($E303),'PL mapping Std'!$A:$E,5,0),VLOOKUP(TRIM($D303),'PL mapping Std'!$A:$E,5,0))))</f>
        <v/>
      </c>
      <c r="W303">
        <f>_xlfn.IFERROR(VLOOKUP(E303,'F30 mapping'!A:D,4,0),VLOOKUP(D303,'F30 mapping'!A:D,4,0))</f>
        <v/>
      </c>
      <c r="X303">
        <f>IF(B303&lt;6,IFERROR(VLOOKUP(E303,'BS Mapping std'!A:M,13,0),VLOOKUP(D303,'BS Mapping std'!A:M,13,0)),0)</f>
        <v/>
      </c>
      <c r="Y303">
        <f>IF(B303&lt;6,IFERROR(VLOOKUP(E303,'BS Mapping std'!A:N,14,0),VLOOKUP(D303,'BS Mapping std'!A:N,14,0)),0)</f>
        <v/>
      </c>
    </row>
    <row r="304" spans="1:25">
      <c r="A304">
        <f>IF(B304&lt;6,"BS",IF(B304=6,"Exp","Rev"))</f>
        <v/>
      </c>
      <c r="B304">
        <f>_xlfn.NUMBERVALUE(LEFT(F304,1))</f>
        <v/>
      </c>
      <c r="C304">
        <f>Left(F304,2)</f>
        <v/>
      </c>
      <c r="D304">
        <f>Left(F304,3)</f>
        <v/>
      </c>
      <c r="E304">
        <f>IF(F304="121",Left(F304,3)&amp;"0",Left(F304,4))</f>
        <v/>
      </c>
      <c r="F304" t="n">
        <v>68110002</v>
      </c>
      <c r="G304" t="s">
        <v>321</v>
      </c>
      <c r="H304" s="9" t="n">
        <v>6349748.22</v>
      </c>
      <c r="I304" s="9" t="n">
        <v>7259816.44</v>
      </c>
      <c r="J304" s="9" t="n">
        <v>7259816.44</v>
      </c>
      <c r="K304" s="9" t="n">
        <v>7259816.44</v>
      </c>
      <c r="L304" s="9">
        <f>K304-H304</f>
        <v/>
      </c>
      <c r="M304" s="32">
        <f>IFERROR(L304/H304," ")</f>
        <v/>
      </c>
      <c r="N304">
        <f>IF(A304="BS",IFERROR(VLOOKUP(TRIM($E304),'BS Mapping std'!$A:$D,4,0),VLOOKUP(TRIM($D304),'BS Mapping std'!$A:$D,4,0)),IFERROR(VLOOKUP(TRIM($E304),'PL mapping Std'!$A:$D,4,0),VLOOKUP(TRIM($D304),'PL mapping Std'!$A:$D,4,0)))</f>
        <v/>
      </c>
      <c r="O304">
        <f>_xlfn.IFERROR(VLOOKUP(E304,'F30 mapping'!A:C,3,0),VLOOKUP(D304,'F30 mapping'!A:C,3,0))</f>
        <v/>
      </c>
      <c r="P304">
        <f>_xlfn.IFERROR(IFERROR(VLOOKUP(E304,'F40 mapping'!A:C,3,0),VLOOKUP(D304,'F40 mapping'!A:C,3,0)),0)</f>
        <v/>
      </c>
      <c r="Q304">
        <f>_xlfn.IFERROR(IFERROR(VLOOKUP(E304,'F40 mapping'!A:D,4,0),VLOOKUP(D304,'F40 mapping'!A:D,4,0)),0)</f>
        <v/>
      </c>
      <c r="R304">
        <f>_xlfn.IFERROR(IFERROR(VLOOKUP(E304,'F40 mapping'!A:E,5,0),VLOOKUP(D304,'F40 mapping'!A:E,5,0)),0)</f>
        <v/>
      </c>
      <c r="S304">
        <f>_xlfn.IF(B304&lt;6,IFERROR(VLOOKUP(E304,'BS Mapping std'!A:E,5,0),VLOOKUP(D304,'BS Mapping std'!A:E,5,0)),IFERROR(VLOOKUP(E304,'PL mapping Std'!A:F,6,0),VLOOKUP(D304,'PL mapping Std'!A:F,6,0)))</f>
        <v/>
      </c>
      <c r="T304">
        <f>_xlfn.IF(B304&lt;6,IFERROR(VLOOKUP(E304,'BS Mapping std'!A:F,6,0),VLOOKUP(D304,'BS Mapping std'!A:F,6,0)),IFERROR(VLOOKUP(E304,'PL mapping Std'!A:G,7,0),VLOOKUP(D304,'PL mapping Std'!A:G,7,0)))</f>
        <v/>
      </c>
      <c r="V304">
        <f>IF(IF(A304="BS",IFERROR(VLOOKUP(TRIM($E304),'BS Mapping std'!$A:$H,8,0),VLOOKUP(TRIM($D304),'BS Mapping std'!$A:$H,8,0)),IFERROR(VLOOKUP(TRIM($E304),'PL mapping Std'!$A:$E,5,0),VLOOKUP(TRIM($D304),'PL mapping Std'!$A:$E,5,0)))=0,"",IF(A304="BS",IFERROR(VLOOKUP(TRIM($E304),'BS Mapping std'!$A:$H,8,0),VLOOKUP(TRIM($D304),'BS Mapping std'!$A:$H,8,0)),IFERROR(VLOOKUP(TRIM($E304),'PL mapping Std'!$A:$E,5,0),VLOOKUP(TRIM($D304),'PL mapping Std'!$A:$E,5,0))))</f>
        <v/>
      </c>
      <c r="W304">
        <f>_xlfn.IFERROR(VLOOKUP(E304,'F30 mapping'!A:D,4,0),VLOOKUP(D304,'F30 mapping'!A:D,4,0))</f>
        <v/>
      </c>
      <c r="X304">
        <f>IF(B304&lt;6,IFERROR(VLOOKUP(E304,'BS Mapping std'!A:M,13,0),VLOOKUP(D304,'BS Mapping std'!A:M,13,0)),0)</f>
        <v/>
      </c>
      <c r="Y304">
        <f>IF(B304&lt;6,IFERROR(VLOOKUP(E304,'BS Mapping std'!A:N,14,0),VLOOKUP(D304,'BS Mapping std'!A:N,14,0)),0)</f>
        <v/>
      </c>
    </row>
    <row r="305" spans="1:25">
      <c r="A305">
        <f>IF(B305&lt;6,"BS",IF(B305=6,"Exp","Rev"))</f>
        <v/>
      </c>
      <c r="B305">
        <f>_xlfn.NUMBERVALUE(LEFT(F305,1))</f>
        <v/>
      </c>
      <c r="C305">
        <f>Left(F305,2)</f>
        <v/>
      </c>
      <c r="D305">
        <f>Left(F305,3)</f>
        <v/>
      </c>
      <c r="E305">
        <f>IF(F305="121",Left(F305,3)&amp;"0",Left(F305,4))</f>
        <v/>
      </c>
      <c r="F305" t="n">
        <v>68110003</v>
      </c>
      <c r="G305" t="s">
        <v>322</v>
      </c>
      <c r="H305" s="9" t="n">
        <v>200585</v>
      </c>
      <c r="I305" s="9" t="n">
        <v>132482.51</v>
      </c>
      <c r="J305" s="9" t="n">
        <v>132482.51</v>
      </c>
      <c r="K305" s="9" t="n">
        <v>132482.51</v>
      </c>
      <c r="L305" s="9">
        <f>K305-H305</f>
        <v/>
      </c>
      <c r="M305" s="32">
        <f>IFERROR(L305/H305," ")</f>
        <v/>
      </c>
      <c r="N305">
        <f>IF(A305="BS",IFERROR(VLOOKUP(TRIM($E305),'BS Mapping std'!$A:$D,4,0),VLOOKUP(TRIM($D305),'BS Mapping std'!$A:$D,4,0)),IFERROR(VLOOKUP(TRIM($E305),'PL mapping Std'!$A:$D,4,0),VLOOKUP(TRIM($D305),'PL mapping Std'!$A:$D,4,0)))</f>
        <v/>
      </c>
      <c r="O305">
        <f>_xlfn.IFERROR(VLOOKUP(E305,'F30 mapping'!A:C,3,0),VLOOKUP(D305,'F30 mapping'!A:C,3,0))</f>
        <v/>
      </c>
      <c r="P305">
        <f>_xlfn.IFERROR(IFERROR(VLOOKUP(E305,'F40 mapping'!A:C,3,0),VLOOKUP(D305,'F40 mapping'!A:C,3,0)),0)</f>
        <v/>
      </c>
      <c r="Q305">
        <f>_xlfn.IFERROR(IFERROR(VLOOKUP(E305,'F40 mapping'!A:D,4,0),VLOOKUP(D305,'F40 mapping'!A:D,4,0)),0)</f>
        <v/>
      </c>
      <c r="R305">
        <f>_xlfn.IFERROR(IFERROR(VLOOKUP(E305,'F40 mapping'!A:E,5,0),VLOOKUP(D305,'F40 mapping'!A:E,5,0)),0)</f>
        <v/>
      </c>
      <c r="S305">
        <f>_xlfn.IF(B305&lt;6,IFERROR(VLOOKUP(E305,'BS Mapping std'!A:E,5,0),VLOOKUP(D305,'BS Mapping std'!A:E,5,0)),IFERROR(VLOOKUP(E305,'PL mapping Std'!A:F,6,0),VLOOKUP(D305,'PL mapping Std'!A:F,6,0)))</f>
        <v/>
      </c>
      <c r="T305">
        <f>_xlfn.IF(B305&lt;6,IFERROR(VLOOKUP(E305,'BS Mapping std'!A:F,6,0),VLOOKUP(D305,'BS Mapping std'!A:F,6,0)),IFERROR(VLOOKUP(E305,'PL mapping Std'!A:G,7,0),VLOOKUP(D305,'PL mapping Std'!A:G,7,0)))</f>
        <v/>
      </c>
      <c r="V305">
        <f>IF(IF(A305="BS",IFERROR(VLOOKUP(TRIM($E305),'BS Mapping std'!$A:$H,8,0),VLOOKUP(TRIM($D305),'BS Mapping std'!$A:$H,8,0)),IFERROR(VLOOKUP(TRIM($E305),'PL mapping Std'!$A:$E,5,0),VLOOKUP(TRIM($D305),'PL mapping Std'!$A:$E,5,0)))=0,"",IF(A305="BS",IFERROR(VLOOKUP(TRIM($E305),'BS Mapping std'!$A:$H,8,0),VLOOKUP(TRIM($D305),'BS Mapping std'!$A:$H,8,0)),IFERROR(VLOOKUP(TRIM($E305),'PL mapping Std'!$A:$E,5,0),VLOOKUP(TRIM($D305),'PL mapping Std'!$A:$E,5,0))))</f>
        <v/>
      </c>
      <c r="W305">
        <f>_xlfn.IFERROR(VLOOKUP(E305,'F30 mapping'!A:D,4,0),VLOOKUP(D305,'F30 mapping'!A:D,4,0))</f>
        <v/>
      </c>
      <c r="X305">
        <f>IF(B305&lt;6,IFERROR(VLOOKUP(E305,'BS Mapping std'!A:M,13,0),VLOOKUP(D305,'BS Mapping std'!A:M,13,0)),0)</f>
        <v/>
      </c>
      <c r="Y305">
        <f>IF(B305&lt;6,IFERROR(VLOOKUP(E305,'BS Mapping std'!A:N,14,0),VLOOKUP(D305,'BS Mapping std'!A:N,14,0)),0)</f>
        <v/>
      </c>
    </row>
    <row r="306" spans="1:25">
      <c r="A306">
        <f>IF(B306&lt;6,"BS",IF(B306=6,"Exp","Rev"))</f>
        <v/>
      </c>
      <c r="B306">
        <f>_xlfn.NUMBERVALUE(LEFT(F306,1))</f>
        <v/>
      </c>
      <c r="C306">
        <f>Left(F306,2)</f>
        <v/>
      </c>
      <c r="D306">
        <f>Left(F306,3)</f>
        <v/>
      </c>
      <c r="E306">
        <f>IF(F306="121",Left(F306,3)&amp;"0",Left(F306,4))</f>
        <v/>
      </c>
      <c r="F306" t="n">
        <v>68120010</v>
      </c>
      <c r="G306" t="s">
        <v>323</v>
      </c>
      <c r="H306" s="9" t="n">
        <v>90433</v>
      </c>
      <c r="I306" s="9" t="n">
        <v>132096</v>
      </c>
      <c r="J306" s="9" t="n">
        <v>132096</v>
      </c>
      <c r="K306" s="9" t="n">
        <v>132096</v>
      </c>
      <c r="L306" s="9">
        <f>K306-H306</f>
        <v/>
      </c>
      <c r="M306" s="32">
        <f>IFERROR(L306/H306," ")</f>
        <v/>
      </c>
      <c r="N306">
        <f>IF(A306="BS",IFERROR(VLOOKUP(TRIM($E306),'BS Mapping std'!$A:$D,4,0),VLOOKUP(TRIM($D306),'BS Mapping std'!$A:$D,4,0)),IFERROR(VLOOKUP(TRIM($E306),'PL mapping Std'!$A:$D,4,0),VLOOKUP(TRIM($D306),'PL mapping Std'!$A:$D,4,0)))</f>
        <v/>
      </c>
      <c r="O306">
        <f>_xlfn.IFERROR(VLOOKUP(E306,'F30 mapping'!A:C,3,0),VLOOKUP(D306,'F30 mapping'!A:C,3,0))</f>
        <v/>
      </c>
      <c r="P306">
        <f>_xlfn.IFERROR(IFERROR(VLOOKUP(E306,'F40 mapping'!A:C,3,0),VLOOKUP(D306,'F40 mapping'!A:C,3,0)),0)</f>
        <v/>
      </c>
      <c r="Q306">
        <f>_xlfn.IFERROR(IFERROR(VLOOKUP(E306,'F40 mapping'!A:D,4,0),VLOOKUP(D306,'F40 mapping'!A:D,4,0)),0)</f>
        <v/>
      </c>
      <c r="R306">
        <f>_xlfn.IFERROR(IFERROR(VLOOKUP(E306,'F40 mapping'!A:E,5,0),VLOOKUP(D306,'F40 mapping'!A:E,5,0)),0)</f>
        <v/>
      </c>
      <c r="S306">
        <f>_xlfn.IF(B306&lt;6,IFERROR(VLOOKUP(E306,'BS Mapping std'!A:E,5,0),VLOOKUP(D306,'BS Mapping std'!A:E,5,0)),IFERROR(VLOOKUP(E306,'PL mapping Std'!A:F,6,0),VLOOKUP(D306,'PL mapping Std'!A:F,6,0)))</f>
        <v/>
      </c>
      <c r="T306">
        <f>_xlfn.IF(B306&lt;6,IFERROR(VLOOKUP(E306,'BS Mapping std'!A:F,6,0),VLOOKUP(D306,'BS Mapping std'!A:F,6,0)),IFERROR(VLOOKUP(E306,'PL mapping Std'!A:G,7,0),VLOOKUP(D306,'PL mapping Std'!A:G,7,0)))</f>
        <v/>
      </c>
      <c r="V306">
        <f>IF(IF(A306="BS",IFERROR(VLOOKUP(TRIM($E306),'BS Mapping std'!$A:$H,8,0),VLOOKUP(TRIM($D306),'BS Mapping std'!$A:$H,8,0)),IFERROR(VLOOKUP(TRIM($E306),'PL mapping Std'!$A:$E,5,0),VLOOKUP(TRIM($D306),'PL mapping Std'!$A:$E,5,0)))=0,"",IF(A306="BS",IFERROR(VLOOKUP(TRIM($E306),'BS Mapping std'!$A:$H,8,0),VLOOKUP(TRIM($D306),'BS Mapping std'!$A:$H,8,0)),IFERROR(VLOOKUP(TRIM($E306),'PL mapping Std'!$A:$E,5,0),VLOOKUP(TRIM($D306),'PL mapping Std'!$A:$E,5,0))))</f>
        <v/>
      </c>
      <c r="W306">
        <f>_xlfn.IFERROR(VLOOKUP(E306,'F30 mapping'!A:D,4,0),VLOOKUP(D306,'F30 mapping'!A:D,4,0))</f>
        <v/>
      </c>
      <c r="X306">
        <f>IF(B306&lt;6,IFERROR(VLOOKUP(E306,'BS Mapping std'!A:M,13,0),VLOOKUP(D306,'BS Mapping std'!A:M,13,0)),0)</f>
        <v/>
      </c>
      <c r="Y306">
        <f>IF(B306&lt;6,IFERROR(VLOOKUP(E306,'BS Mapping std'!A:N,14,0),VLOOKUP(D306,'BS Mapping std'!A:N,14,0)),0)</f>
        <v/>
      </c>
    </row>
    <row r="307" spans="1:25">
      <c r="A307">
        <f>IF(B307&lt;6,"BS",IF(B307=6,"Exp","Rev"))</f>
        <v/>
      </c>
      <c r="B307">
        <f>_xlfn.NUMBERVALUE(LEFT(F307,1))</f>
        <v/>
      </c>
      <c r="C307">
        <f>Left(F307,2)</f>
        <v/>
      </c>
      <c r="D307">
        <f>Left(F307,3)</f>
        <v/>
      </c>
      <c r="E307">
        <f>IF(F307="121",Left(F307,3)&amp;"0",Left(F307,4))</f>
        <v/>
      </c>
      <c r="F307" t="n">
        <v>68120040</v>
      </c>
      <c r="G307" t="s">
        <v>324</v>
      </c>
      <c r="H307" s="9" t="n">
        <v>244012</v>
      </c>
      <c r="I307" s="9" t="n">
        <v>291416</v>
      </c>
      <c r="J307" s="9" t="n">
        <v>291416</v>
      </c>
      <c r="K307" s="9" t="n">
        <v>291416</v>
      </c>
      <c r="L307" s="9">
        <f>K307-H307</f>
        <v/>
      </c>
      <c r="M307" s="32">
        <f>IFERROR(L307/H307," ")</f>
        <v/>
      </c>
      <c r="N307">
        <f>IF(A307="BS",IFERROR(VLOOKUP(TRIM($E307),'BS Mapping std'!$A:$D,4,0),VLOOKUP(TRIM($D307),'BS Mapping std'!$A:$D,4,0)),IFERROR(VLOOKUP(TRIM($E307),'PL mapping Std'!$A:$D,4,0),VLOOKUP(TRIM($D307),'PL mapping Std'!$A:$D,4,0)))</f>
        <v/>
      </c>
      <c r="O307">
        <f>_xlfn.IFERROR(VLOOKUP(E307,'F30 mapping'!A:C,3,0),VLOOKUP(D307,'F30 mapping'!A:C,3,0))</f>
        <v/>
      </c>
      <c r="P307">
        <f>_xlfn.IFERROR(IFERROR(VLOOKUP(E307,'F40 mapping'!A:C,3,0),VLOOKUP(D307,'F40 mapping'!A:C,3,0)),0)</f>
        <v/>
      </c>
      <c r="Q307">
        <f>_xlfn.IFERROR(IFERROR(VLOOKUP(E307,'F40 mapping'!A:D,4,0),VLOOKUP(D307,'F40 mapping'!A:D,4,0)),0)</f>
        <v/>
      </c>
      <c r="R307">
        <f>_xlfn.IFERROR(IFERROR(VLOOKUP(E307,'F40 mapping'!A:E,5,0),VLOOKUP(D307,'F40 mapping'!A:E,5,0)),0)</f>
        <v/>
      </c>
      <c r="S307">
        <f>_xlfn.IF(B307&lt;6,IFERROR(VLOOKUP(E307,'BS Mapping std'!A:E,5,0),VLOOKUP(D307,'BS Mapping std'!A:E,5,0)),IFERROR(VLOOKUP(E307,'PL mapping Std'!A:F,6,0),VLOOKUP(D307,'PL mapping Std'!A:F,6,0)))</f>
        <v/>
      </c>
      <c r="T307">
        <f>_xlfn.IF(B307&lt;6,IFERROR(VLOOKUP(E307,'BS Mapping std'!A:F,6,0),VLOOKUP(D307,'BS Mapping std'!A:F,6,0)),IFERROR(VLOOKUP(E307,'PL mapping Std'!A:G,7,0),VLOOKUP(D307,'PL mapping Std'!A:G,7,0)))</f>
        <v/>
      </c>
      <c r="V307">
        <f>IF(IF(A307="BS",IFERROR(VLOOKUP(TRIM($E307),'BS Mapping std'!$A:$H,8,0),VLOOKUP(TRIM($D307),'BS Mapping std'!$A:$H,8,0)),IFERROR(VLOOKUP(TRIM($E307),'PL mapping Std'!$A:$E,5,0),VLOOKUP(TRIM($D307),'PL mapping Std'!$A:$E,5,0)))=0,"",IF(A307="BS",IFERROR(VLOOKUP(TRIM($E307),'BS Mapping std'!$A:$H,8,0),VLOOKUP(TRIM($D307),'BS Mapping std'!$A:$H,8,0)),IFERROR(VLOOKUP(TRIM($E307),'PL mapping Std'!$A:$E,5,0),VLOOKUP(TRIM($D307),'PL mapping Std'!$A:$E,5,0))))</f>
        <v/>
      </c>
      <c r="W307">
        <f>_xlfn.IFERROR(VLOOKUP(E307,'F30 mapping'!A:D,4,0),VLOOKUP(D307,'F30 mapping'!A:D,4,0))</f>
        <v/>
      </c>
      <c r="X307">
        <f>IF(B307&lt;6,IFERROR(VLOOKUP(E307,'BS Mapping std'!A:M,13,0),VLOOKUP(D307,'BS Mapping std'!A:M,13,0)),0)</f>
        <v/>
      </c>
      <c r="Y307">
        <f>IF(B307&lt;6,IFERROR(VLOOKUP(E307,'BS Mapping std'!A:N,14,0),VLOOKUP(D307,'BS Mapping std'!A:N,14,0)),0)</f>
        <v/>
      </c>
    </row>
    <row r="308" spans="1:25">
      <c r="A308">
        <f>IF(B308&lt;6,"BS",IF(B308=6,"Exp","Rev"))</f>
        <v/>
      </c>
      <c r="B308">
        <f>_xlfn.NUMBERVALUE(LEFT(F308,1))</f>
        <v/>
      </c>
      <c r="C308">
        <f>Left(F308,2)</f>
        <v/>
      </c>
      <c r="D308">
        <f>Left(F308,3)</f>
        <v/>
      </c>
      <c r="E308">
        <f>IF(F308="121",Left(F308,3)&amp;"0",Left(F308,4))</f>
        <v/>
      </c>
      <c r="F308" t="n">
        <v>68120050</v>
      </c>
      <c r="G308" t="s">
        <v>325</v>
      </c>
      <c r="H308" s="9" t="n">
        <v>7525</v>
      </c>
      <c r="I308" s="9" t="n">
        <v>9529</v>
      </c>
      <c r="J308" s="9" t="n">
        <v>9529</v>
      </c>
      <c r="K308" s="9" t="n">
        <v>9529</v>
      </c>
      <c r="L308" s="9">
        <f>K308-H308</f>
        <v/>
      </c>
      <c r="M308" s="32">
        <f>IFERROR(L308/H308," ")</f>
        <v/>
      </c>
      <c r="N308">
        <f>IF(A308="BS",IFERROR(VLOOKUP(TRIM($E308),'BS Mapping std'!$A:$D,4,0),VLOOKUP(TRIM($D308),'BS Mapping std'!$A:$D,4,0)),IFERROR(VLOOKUP(TRIM($E308),'PL mapping Std'!$A:$D,4,0),VLOOKUP(TRIM($D308),'PL mapping Std'!$A:$D,4,0)))</f>
        <v/>
      </c>
      <c r="O308">
        <f>_xlfn.IFERROR(VLOOKUP(E308,'F30 mapping'!A:C,3,0),VLOOKUP(D308,'F30 mapping'!A:C,3,0))</f>
        <v/>
      </c>
      <c r="P308">
        <f>_xlfn.IFERROR(IFERROR(VLOOKUP(E308,'F40 mapping'!A:C,3,0),VLOOKUP(D308,'F40 mapping'!A:C,3,0)),0)</f>
        <v/>
      </c>
      <c r="Q308">
        <f>_xlfn.IFERROR(IFERROR(VLOOKUP(E308,'F40 mapping'!A:D,4,0),VLOOKUP(D308,'F40 mapping'!A:D,4,0)),0)</f>
        <v/>
      </c>
      <c r="R308">
        <f>_xlfn.IFERROR(IFERROR(VLOOKUP(E308,'F40 mapping'!A:E,5,0),VLOOKUP(D308,'F40 mapping'!A:E,5,0)),0)</f>
        <v/>
      </c>
      <c r="S308">
        <f>_xlfn.IF(B308&lt;6,IFERROR(VLOOKUP(E308,'BS Mapping std'!A:E,5,0),VLOOKUP(D308,'BS Mapping std'!A:E,5,0)),IFERROR(VLOOKUP(E308,'PL mapping Std'!A:F,6,0),VLOOKUP(D308,'PL mapping Std'!A:F,6,0)))</f>
        <v/>
      </c>
      <c r="T308">
        <f>_xlfn.IF(B308&lt;6,IFERROR(VLOOKUP(E308,'BS Mapping std'!A:F,6,0),VLOOKUP(D308,'BS Mapping std'!A:F,6,0)),IFERROR(VLOOKUP(E308,'PL mapping Std'!A:G,7,0),VLOOKUP(D308,'PL mapping Std'!A:G,7,0)))</f>
        <v/>
      </c>
      <c r="V308">
        <f>IF(IF(A308="BS",IFERROR(VLOOKUP(TRIM($E308),'BS Mapping std'!$A:$H,8,0),VLOOKUP(TRIM($D308),'BS Mapping std'!$A:$H,8,0)),IFERROR(VLOOKUP(TRIM($E308),'PL mapping Std'!$A:$E,5,0),VLOOKUP(TRIM($D308),'PL mapping Std'!$A:$E,5,0)))=0,"",IF(A308="BS",IFERROR(VLOOKUP(TRIM($E308),'BS Mapping std'!$A:$H,8,0),VLOOKUP(TRIM($D308),'BS Mapping std'!$A:$H,8,0)),IFERROR(VLOOKUP(TRIM($E308),'PL mapping Std'!$A:$E,5,0),VLOOKUP(TRIM($D308),'PL mapping Std'!$A:$E,5,0))))</f>
        <v/>
      </c>
      <c r="W308">
        <f>_xlfn.IFERROR(VLOOKUP(E308,'F30 mapping'!A:D,4,0),VLOOKUP(D308,'F30 mapping'!A:D,4,0))</f>
        <v/>
      </c>
      <c r="X308">
        <f>IF(B308&lt;6,IFERROR(VLOOKUP(E308,'BS Mapping std'!A:M,13,0),VLOOKUP(D308,'BS Mapping std'!A:M,13,0)),0)</f>
        <v/>
      </c>
      <c r="Y308">
        <f>IF(B308&lt;6,IFERROR(VLOOKUP(E308,'BS Mapping std'!A:N,14,0),VLOOKUP(D308,'BS Mapping std'!A:N,14,0)),0)</f>
        <v/>
      </c>
    </row>
    <row r="309" spans="1:25">
      <c r="A309">
        <f>IF(B309&lt;6,"BS",IF(B309=6,"Exp","Rev"))</f>
        <v/>
      </c>
      <c r="B309">
        <f>_xlfn.NUMBERVALUE(LEFT(F309,1))</f>
        <v/>
      </c>
      <c r="C309">
        <f>Left(F309,2)</f>
        <v/>
      </c>
      <c r="D309">
        <f>Left(F309,3)</f>
        <v/>
      </c>
      <c r="E309">
        <f>IF(F309="121",Left(F309,3)&amp;"0",Left(F309,4))</f>
        <v/>
      </c>
      <c r="F309" t="n">
        <v>68120060</v>
      </c>
      <c r="G309" t="s">
        <v>326</v>
      </c>
      <c r="H309" s="9" t="n">
        <v>135481.06</v>
      </c>
      <c r="I309" s="9" t="n">
        <v>136102.88</v>
      </c>
      <c r="J309" s="9" t="n">
        <v>136102.88</v>
      </c>
      <c r="K309" s="9" t="n">
        <v>136102.88</v>
      </c>
      <c r="L309" s="9">
        <f>K309-H309</f>
        <v/>
      </c>
      <c r="M309" s="32">
        <f>IFERROR(L309/H309," ")</f>
        <v/>
      </c>
      <c r="N309">
        <f>IF(A309="BS",IFERROR(VLOOKUP(TRIM($E309),'BS Mapping std'!$A:$D,4,0),VLOOKUP(TRIM($D309),'BS Mapping std'!$A:$D,4,0)),IFERROR(VLOOKUP(TRIM($E309),'PL mapping Std'!$A:$D,4,0),VLOOKUP(TRIM($D309),'PL mapping Std'!$A:$D,4,0)))</f>
        <v/>
      </c>
      <c r="O309">
        <f>_xlfn.IFERROR(VLOOKUP(E309,'F30 mapping'!A:C,3,0),VLOOKUP(D309,'F30 mapping'!A:C,3,0))</f>
        <v/>
      </c>
      <c r="P309">
        <f>_xlfn.IFERROR(IFERROR(VLOOKUP(E309,'F40 mapping'!A:C,3,0),VLOOKUP(D309,'F40 mapping'!A:C,3,0)),0)</f>
        <v/>
      </c>
      <c r="Q309">
        <f>_xlfn.IFERROR(IFERROR(VLOOKUP(E309,'F40 mapping'!A:D,4,0),VLOOKUP(D309,'F40 mapping'!A:D,4,0)),0)</f>
        <v/>
      </c>
      <c r="R309">
        <f>_xlfn.IFERROR(IFERROR(VLOOKUP(E309,'F40 mapping'!A:E,5,0),VLOOKUP(D309,'F40 mapping'!A:E,5,0)),0)</f>
        <v/>
      </c>
      <c r="S309">
        <f>_xlfn.IF(B309&lt;6,IFERROR(VLOOKUP(E309,'BS Mapping std'!A:E,5,0),VLOOKUP(D309,'BS Mapping std'!A:E,5,0)),IFERROR(VLOOKUP(E309,'PL mapping Std'!A:F,6,0),VLOOKUP(D309,'PL mapping Std'!A:F,6,0)))</f>
        <v/>
      </c>
      <c r="T309">
        <f>_xlfn.IF(B309&lt;6,IFERROR(VLOOKUP(E309,'BS Mapping std'!A:F,6,0),VLOOKUP(D309,'BS Mapping std'!A:F,6,0)),IFERROR(VLOOKUP(E309,'PL mapping Std'!A:G,7,0),VLOOKUP(D309,'PL mapping Std'!A:G,7,0)))</f>
        <v/>
      </c>
      <c r="V309">
        <f>IF(IF(A309="BS",IFERROR(VLOOKUP(TRIM($E309),'BS Mapping std'!$A:$H,8,0),VLOOKUP(TRIM($D309),'BS Mapping std'!$A:$H,8,0)),IFERROR(VLOOKUP(TRIM($E309),'PL mapping Std'!$A:$E,5,0),VLOOKUP(TRIM($D309),'PL mapping Std'!$A:$E,5,0)))=0,"",IF(A309="BS",IFERROR(VLOOKUP(TRIM($E309),'BS Mapping std'!$A:$H,8,0),VLOOKUP(TRIM($D309),'BS Mapping std'!$A:$H,8,0)),IFERROR(VLOOKUP(TRIM($E309),'PL mapping Std'!$A:$E,5,0),VLOOKUP(TRIM($D309),'PL mapping Std'!$A:$E,5,0))))</f>
        <v/>
      </c>
      <c r="W309">
        <f>_xlfn.IFERROR(VLOOKUP(E309,'F30 mapping'!A:D,4,0),VLOOKUP(D309,'F30 mapping'!A:D,4,0))</f>
        <v/>
      </c>
      <c r="X309">
        <f>IF(B309&lt;6,IFERROR(VLOOKUP(E309,'BS Mapping std'!A:M,13,0),VLOOKUP(D309,'BS Mapping std'!A:M,13,0)),0)</f>
        <v/>
      </c>
      <c r="Y309">
        <f>IF(B309&lt;6,IFERROR(VLOOKUP(E309,'BS Mapping std'!A:N,14,0),VLOOKUP(D309,'BS Mapping std'!A:N,14,0)),0)</f>
        <v/>
      </c>
    </row>
    <row r="310" spans="1:25">
      <c r="A310">
        <f>IF(B310&lt;6,"BS",IF(B310=6,"Exp","Rev"))</f>
        <v/>
      </c>
      <c r="B310">
        <f>_xlfn.NUMBERVALUE(LEFT(F310,1))</f>
        <v/>
      </c>
      <c r="C310">
        <f>Left(F310,2)</f>
        <v/>
      </c>
      <c r="D310">
        <f>Left(F310,3)</f>
        <v/>
      </c>
      <c r="E310">
        <f>IF(F310="121",Left(F310,3)&amp;"0",Left(F310,4))</f>
        <v/>
      </c>
      <c r="F310" t="n">
        <v>68140010</v>
      </c>
      <c r="G310" t="s">
        <v>327</v>
      </c>
      <c r="H310" s="9" t="n">
        <v>248328.39</v>
      </c>
      <c r="I310" s="9" t="n">
        <v>672301.0699999999</v>
      </c>
      <c r="J310" s="9" t="n">
        <v>672301.0699999999</v>
      </c>
      <c r="K310" s="9" t="n">
        <v>672301.0699999999</v>
      </c>
      <c r="L310" s="9">
        <f>K310-H310</f>
        <v/>
      </c>
      <c r="M310" s="32">
        <f>IFERROR(L310/H310," ")</f>
        <v/>
      </c>
      <c r="N310">
        <f>IF(A310="BS",IFERROR(VLOOKUP(TRIM($E310),'BS Mapping std'!$A:$D,4,0),VLOOKUP(TRIM($D310),'BS Mapping std'!$A:$D,4,0)),IFERROR(VLOOKUP(TRIM($E310),'PL mapping Std'!$A:$D,4,0),VLOOKUP(TRIM($D310),'PL mapping Std'!$A:$D,4,0)))</f>
        <v/>
      </c>
      <c r="O310">
        <f>_xlfn.IFERROR(VLOOKUP(E310,'F30 mapping'!A:C,3,0),VLOOKUP(D310,'F30 mapping'!A:C,3,0))</f>
        <v/>
      </c>
      <c r="P310">
        <f>_xlfn.IFERROR(IFERROR(VLOOKUP(E310,'F40 mapping'!A:C,3,0),VLOOKUP(D310,'F40 mapping'!A:C,3,0)),0)</f>
        <v/>
      </c>
      <c r="Q310">
        <f>_xlfn.IFERROR(IFERROR(VLOOKUP(E310,'F40 mapping'!A:D,4,0),VLOOKUP(D310,'F40 mapping'!A:D,4,0)),0)</f>
        <v/>
      </c>
      <c r="R310">
        <f>_xlfn.IFERROR(IFERROR(VLOOKUP(E310,'F40 mapping'!A:E,5,0),VLOOKUP(D310,'F40 mapping'!A:E,5,0)),0)</f>
        <v/>
      </c>
      <c r="S310">
        <f>_xlfn.IF(B310&lt;6,IFERROR(VLOOKUP(E310,'BS Mapping std'!A:E,5,0),VLOOKUP(D310,'BS Mapping std'!A:E,5,0)),IFERROR(VLOOKUP(E310,'PL mapping Std'!A:F,6,0),VLOOKUP(D310,'PL mapping Std'!A:F,6,0)))</f>
        <v/>
      </c>
      <c r="T310">
        <f>_xlfn.IF(B310&lt;6,IFERROR(VLOOKUP(E310,'BS Mapping std'!A:F,6,0),VLOOKUP(D310,'BS Mapping std'!A:F,6,0)),IFERROR(VLOOKUP(E310,'PL mapping Std'!A:G,7,0),VLOOKUP(D310,'PL mapping Std'!A:G,7,0)))</f>
        <v/>
      </c>
      <c r="V310">
        <f>IF(IF(A310="BS",IFERROR(VLOOKUP(TRIM($E310),'BS Mapping std'!$A:$H,8,0),VLOOKUP(TRIM($D310),'BS Mapping std'!$A:$H,8,0)),IFERROR(VLOOKUP(TRIM($E310),'PL mapping Std'!$A:$E,5,0),VLOOKUP(TRIM($D310),'PL mapping Std'!$A:$E,5,0)))=0,"",IF(A310="BS",IFERROR(VLOOKUP(TRIM($E310),'BS Mapping std'!$A:$H,8,0),VLOOKUP(TRIM($D310),'BS Mapping std'!$A:$H,8,0)),IFERROR(VLOOKUP(TRIM($E310),'PL mapping Std'!$A:$E,5,0),VLOOKUP(TRIM($D310),'PL mapping Std'!$A:$E,5,0))))</f>
        <v/>
      </c>
      <c r="W310">
        <f>_xlfn.IFERROR(VLOOKUP(E310,'F30 mapping'!A:D,4,0),VLOOKUP(D310,'F30 mapping'!A:D,4,0))</f>
        <v/>
      </c>
      <c r="X310">
        <f>IF(B310&lt;6,IFERROR(VLOOKUP(E310,'BS Mapping std'!A:M,13,0),VLOOKUP(D310,'BS Mapping std'!A:M,13,0)),0)</f>
        <v/>
      </c>
      <c r="Y310">
        <f>IF(B310&lt;6,IFERROR(VLOOKUP(E310,'BS Mapping std'!A:N,14,0),VLOOKUP(D310,'BS Mapping std'!A:N,14,0)),0)</f>
        <v/>
      </c>
    </row>
    <row r="311" spans="1:25">
      <c r="A311">
        <f>IF(B311&lt;6,"BS",IF(B311=6,"Exp","Rev"))</f>
        <v/>
      </c>
      <c r="B311">
        <f>_xlfn.NUMBERVALUE(LEFT(F311,1))</f>
        <v/>
      </c>
      <c r="C311">
        <f>Left(F311,2)</f>
        <v/>
      </c>
      <c r="D311">
        <f>Left(F311,3)</f>
        <v/>
      </c>
      <c r="E311">
        <f>IF(F311="121",Left(F311,3)&amp;"0",Left(F311,4))</f>
        <v/>
      </c>
      <c r="F311" t="n">
        <v>68140020</v>
      </c>
      <c r="G311" t="s">
        <v>328</v>
      </c>
      <c r="H311" s="9" t="n">
        <v>227.75</v>
      </c>
      <c r="I311" s="9" t="n">
        <v>1859.75</v>
      </c>
      <c r="J311" s="9" t="n">
        <v>1859.75</v>
      </c>
      <c r="K311" s="9" t="n">
        <v>1859.75</v>
      </c>
      <c r="L311" s="9">
        <f>K311-H311</f>
        <v/>
      </c>
      <c r="M311" s="32">
        <f>IFERROR(L311/H311," ")</f>
        <v/>
      </c>
      <c r="N311">
        <f>IF(A311="BS",IFERROR(VLOOKUP(TRIM($E311),'BS Mapping std'!$A:$D,4,0),VLOOKUP(TRIM($D311),'BS Mapping std'!$A:$D,4,0)),IFERROR(VLOOKUP(TRIM($E311),'PL mapping Std'!$A:$D,4,0),VLOOKUP(TRIM($D311),'PL mapping Std'!$A:$D,4,0)))</f>
        <v/>
      </c>
      <c r="O311">
        <f>_xlfn.IFERROR(VLOOKUP(E311,'F30 mapping'!A:C,3,0),VLOOKUP(D311,'F30 mapping'!A:C,3,0))</f>
        <v/>
      </c>
      <c r="P311">
        <f>_xlfn.IFERROR(IFERROR(VLOOKUP(E311,'F40 mapping'!A:C,3,0),VLOOKUP(D311,'F40 mapping'!A:C,3,0)),0)</f>
        <v/>
      </c>
      <c r="Q311">
        <f>_xlfn.IFERROR(IFERROR(VLOOKUP(E311,'F40 mapping'!A:D,4,0),VLOOKUP(D311,'F40 mapping'!A:D,4,0)),0)</f>
        <v/>
      </c>
      <c r="R311">
        <f>_xlfn.IFERROR(IFERROR(VLOOKUP(E311,'F40 mapping'!A:E,5,0),VLOOKUP(D311,'F40 mapping'!A:E,5,0)),0)</f>
        <v/>
      </c>
      <c r="S311">
        <f>_xlfn.IF(B311&lt;6,IFERROR(VLOOKUP(E311,'BS Mapping std'!A:E,5,0),VLOOKUP(D311,'BS Mapping std'!A:E,5,0)),IFERROR(VLOOKUP(E311,'PL mapping Std'!A:F,6,0),VLOOKUP(D311,'PL mapping Std'!A:F,6,0)))</f>
        <v/>
      </c>
      <c r="T311">
        <f>_xlfn.IF(B311&lt;6,IFERROR(VLOOKUP(E311,'BS Mapping std'!A:F,6,0),VLOOKUP(D311,'BS Mapping std'!A:F,6,0)),IFERROR(VLOOKUP(E311,'PL mapping Std'!A:G,7,0),VLOOKUP(D311,'PL mapping Std'!A:G,7,0)))</f>
        <v/>
      </c>
      <c r="V311">
        <f>IF(IF(A311="BS",IFERROR(VLOOKUP(TRIM($E311),'BS Mapping std'!$A:$H,8,0),VLOOKUP(TRIM($D311),'BS Mapping std'!$A:$H,8,0)),IFERROR(VLOOKUP(TRIM($E311),'PL mapping Std'!$A:$E,5,0),VLOOKUP(TRIM($D311),'PL mapping Std'!$A:$E,5,0)))=0,"",IF(A311="BS",IFERROR(VLOOKUP(TRIM($E311),'BS Mapping std'!$A:$H,8,0),VLOOKUP(TRIM($D311),'BS Mapping std'!$A:$H,8,0)),IFERROR(VLOOKUP(TRIM($E311),'PL mapping Std'!$A:$E,5,0),VLOOKUP(TRIM($D311),'PL mapping Std'!$A:$E,5,0))))</f>
        <v/>
      </c>
      <c r="W311">
        <f>_xlfn.IFERROR(VLOOKUP(E311,'F30 mapping'!A:D,4,0),VLOOKUP(D311,'F30 mapping'!A:D,4,0))</f>
        <v/>
      </c>
      <c r="X311">
        <f>IF(B311&lt;6,IFERROR(VLOOKUP(E311,'BS Mapping std'!A:M,13,0),VLOOKUP(D311,'BS Mapping std'!A:M,13,0)),0)</f>
        <v/>
      </c>
      <c r="Y311">
        <f>IF(B311&lt;6,IFERROR(VLOOKUP(E311,'BS Mapping std'!A:N,14,0),VLOOKUP(D311,'BS Mapping std'!A:N,14,0)),0)</f>
        <v/>
      </c>
    </row>
    <row r="312" spans="1:25">
      <c r="A312">
        <f>IF(B312&lt;6,"BS",IF(B312=6,"Exp","Rev"))</f>
        <v/>
      </c>
      <c r="B312">
        <f>_xlfn.NUMBERVALUE(LEFT(F312,1))</f>
        <v/>
      </c>
      <c r="C312">
        <f>Left(F312,2)</f>
        <v/>
      </c>
      <c r="D312">
        <f>Left(F312,3)</f>
        <v/>
      </c>
      <c r="E312">
        <f>IF(F312="121",Left(F312,3)&amp;"0",Left(F312,4))</f>
        <v/>
      </c>
      <c r="F312" t="n">
        <v>68140030</v>
      </c>
      <c r="G312" t="s">
        <v>327</v>
      </c>
      <c r="H312" s="9" t="n">
        <v>99038.78</v>
      </c>
      <c r="I312" s="9" t="n">
        <v>39888.49</v>
      </c>
      <c r="J312" s="9" t="n">
        <v>39888.49</v>
      </c>
      <c r="K312" s="9" t="n">
        <v>39888.49</v>
      </c>
      <c r="L312" s="9">
        <f>K312-H312</f>
        <v/>
      </c>
      <c r="M312" s="32">
        <f>IFERROR(L312/H312," ")</f>
        <v/>
      </c>
      <c r="N312">
        <f>IF(A312="BS",IFERROR(VLOOKUP(TRIM($E312),'BS Mapping std'!$A:$D,4,0),VLOOKUP(TRIM($D312),'BS Mapping std'!$A:$D,4,0)),IFERROR(VLOOKUP(TRIM($E312),'PL mapping Std'!$A:$D,4,0),VLOOKUP(TRIM($D312),'PL mapping Std'!$A:$D,4,0)))</f>
        <v/>
      </c>
      <c r="O312">
        <f>_xlfn.IFERROR(VLOOKUP(E312,'F30 mapping'!A:C,3,0),VLOOKUP(D312,'F30 mapping'!A:C,3,0))</f>
        <v/>
      </c>
      <c r="P312">
        <f>_xlfn.IFERROR(IFERROR(VLOOKUP(E312,'F40 mapping'!A:C,3,0),VLOOKUP(D312,'F40 mapping'!A:C,3,0)),0)</f>
        <v/>
      </c>
      <c r="Q312">
        <f>_xlfn.IFERROR(IFERROR(VLOOKUP(E312,'F40 mapping'!A:D,4,0),VLOOKUP(D312,'F40 mapping'!A:D,4,0)),0)</f>
        <v/>
      </c>
      <c r="R312">
        <f>_xlfn.IFERROR(IFERROR(VLOOKUP(E312,'F40 mapping'!A:E,5,0),VLOOKUP(D312,'F40 mapping'!A:E,5,0)),0)</f>
        <v/>
      </c>
      <c r="S312">
        <f>_xlfn.IF(B312&lt;6,IFERROR(VLOOKUP(E312,'BS Mapping std'!A:E,5,0),VLOOKUP(D312,'BS Mapping std'!A:E,5,0)),IFERROR(VLOOKUP(E312,'PL mapping Std'!A:F,6,0),VLOOKUP(D312,'PL mapping Std'!A:F,6,0)))</f>
        <v/>
      </c>
      <c r="T312">
        <f>_xlfn.IF(B312&lt;6,IFERROR(VLOOKUP(E312,'BS Mapping std'!A:F,6,0),VLOOKUP(D312,'BS Mapping std'!A:F,6,0)),IFERROR(VLOOKUP(E312,'PL mapping Std'!A:G,7,0),VLOOKUP(D312,'PL mapping Std'!A:G,7,0)))</f>
        <v/>
      </c>
      <c r="V312">
        <f>IF(IF(A312="BS",IFERROR(VLOOKUP(TRIM($E312),'BS Mapping std'!$A:$H,8,0),VLOOKUP(TRIM($D312),'BS Mapping std'!$A:$H,8,0)),IFERROR(VLOOKUP(TRIM($E312),'PL mapping Std'!$A:$E,5,0),VLOOKUP(TRIM($D312),'PL mapping Std'!$A:$E,5,0)))=0,"",IF(A312="BS",IFERROR(VLOOKUP(TRIM($E312),'BS Mapping std'!$A:$H,8,0),VLOOKUP(TRIM($D312),'BS Mapping std'!$A:$H,8,0)),IFERROR(VLOOKUP(TRIM($E312),'PL mapping Std'!$A:$E,5,0),VLOOKUP(TRIM($D312),'PL mapping Std'!$A:$E,5,0))))</f>
        <v/>
      </c>
      <c r="W312">
        <f>_xlfn.IFERROR(VLOOKUP(E312,'F30 mapping'!A:D,4,0),VLOOKUP(D312,'F30 mapping'!A:D,4,0))</f>
        <v/>
      </c>
      <c r="X312">
        <f>IF(B312&lt;6,IFERROR(VLOOKUP(E312,'BS Mapping std'!A:M,13,0),VLOOKUP(D312,'BS Mapping std'!A:M,13,0)),0)</f>
        <v/>
      </c>
      <c r="Y312">
        <f>IF(B312&lt;6,IFERROR(VLOOKUP(E312,'BS Mapping std'!A:N,14,0),VLOOKUP(D312,'BS Mapping std'!A:N,14,0)),0)</f>
        <v/>
      </c>
    </row>
    <row r="313" spans="1:25">
      <c r="A313">
        <f>IF(B313&lt;6,"BS",IF(B313=6,"Exp","Rev"))</f>
        <v/>
      </c>
      <c r="B313">
        <f>_xlfn.NUMBERVALUE(LEFT(F313,1))</f>
        <v/>
      </c>
      <c r="C313">
        <f>Left(F313,2)</f>
        <v/>
      </c>
      <c r="D313">
        <f>Left(F313,3)</f>
        <v/>
      </c>
      <c r="E313">
        <f>IF(F313="121",Left(F313,3)&amp;"0",Left(F313,4))</f>
        <v/>
      </c>
      <c r="F313" t="n">
        <v>70100010</v>
      </c>
      <c r="G313" t="s">
        <v>329</v>
      </c>
      <c r="H313" s="9" t="n">
        <v>-18040.8</v>
      </c>
      <c r="I313" s="9" t="n">
        <v>724.48</v>
      </c>
      <c r="J313" s="9" t="n">
        <v>724.48</v>
      </c>
      <c r="K313" s="9" t="n">
        <v>-724.48</v>
      </c>
      <c r="L313" s="9">
        <f>K313-H313</f>
        <v/>
      </c>
      <c r="M313" s="32">
        <f>IFERROR(L313/H313," ")</f>
        <v/>
      </c>
      <c r="N313">
        <f>IF(A313="BS",IFERROR(VLOOKUP(TRIM($E313),'BS Mapping std'!$A:$D,4,0),VLOOKUP(TRIM($D313),'BS Mapping std'!$A:$D,4,0)),IFERROR(VLOOKUP(TRIM($E313),'PL mapping Std'!$A:$D,4,0),VLOOKUP(TRIM($D313),'PL mapping Std'!$A:$D,4,0)))</f>
        <v/>
      </c>
      <c r="O313">
        <f>_xlfn.IFERROR(VLOOKUP(E313,'F30 mapping'!A:C,3,0),VLOOKUP(D313,'F30 mapping'!A:C,3,0))</f>
        <v/>
      </c>
      <c r="P313">
        <f>_xlfn.IFERROR(IFERROR(VLOOKUP(E313,'F40 mapping'!A:C,3,0),VLOOKUP(D313,'F40 mapping'!A:C,3,0)),0)</f>
        <v/>
      </c>
      <c r="Q313">
        <f>_xlfn.IFERROR(IFERROR(VLOOKUP(E313,'F40 mapping'!A:D,4,0),VLOOKUP(D313,'F40 mapping'!A:D,4,0)),0)</f>
        <v/>
      </c>
      <c r="R313">
        <f>_xlfn.IFERROR(IFERROR(VLOOKUP(E313,'F40 mapping'!A:E,5,0),VLOOKUP(D313,'F40 mapping'!A:E,5,0)),0)</f>
        <v/>
      </c>
      <c r="S313">
        <f>_xlfn.IF(B313&lt;6,IFERROR(VLOOKUP(E313,'BS Mapping std'!A:E,5,0),VLOOKUP(D313,'BS Mapping std'!A:E,5,0)),IFERROR(VLOOKUP(E313,'PL mapping Std'!A:F,6,0),VLOOKUP(D313,'PL mapping Std'!A:F,6,0)))</f>
        <v/>
      </c>
      <c r="T313">
        <f>_xlfn.IF(B313&lt;6,IFERROR(VLOOKUP(E313,'BS Mapping std'!A:F,6,0),VLOOKUP(D313,'BS Mapping std'!A:F,6,0)),IFERROR(VLOOKUP(E313,'PL mapping Std'!A:G,7,0),VLOOKUP(D313,'PL mapping Std'!A:G,7,0)))</f>
        <v/>
      </c>
      <c r="V313">
        <f>IF(IF(A313="BS",IFERROR(VLOOKUP(TRIM($E313),'BS Mapping std'!$A:$H,8,0),VLOOKUP(TRIM($D313),'BS Mapping std'!$A:$H,8,0)),IFERROR(VLOOKUP(TRIM($E313),'PL mapping Std'!$A:$E,5,0),VLOOKUP(TRIM($D313),'PL mapping Std'!$A:$E,5,0)))=0,"",IF(A313="BS",IFERROR(VLOOKUP(TRIM($E313),'BS Mapping std'!$A:$H,8,0),VLOOKUP(TRIM($D313),'BS Mapping std'!$A:$H,8,0)),IFERROR(VLOOKUP(TRIM($E313),'PL mapping Std'!$A:$E,5,0),VLOOKUP(TRIM($D313),'PL mapping Std'!$A:$E,5,0))))</f>
        <v/>
      </c>
      <c r="W313">
        <f>_xlfn.IFERROR(VLOOKUP(E313,'F30 mapping'!A:D,4,0),VLOOKUP(D313,'F30 mapping'!A:D,4,0))</f>
        <v/>
      </c>
      <c r="X313">
        <f>IF(B313&lt;6,IFERROR(VLOOKUP(E313,'BS Mapping std'!A:M,13,0),VLOOKUP(D313,'BS Mapping std'!A:M,13,0)),0)</f>
        <v/>
      </c>
      <c r="Y313">
        <f>IF(B313&lt;6,IFERROR(VLOOKUP(E313,'BS Mapping std'!A:N,14,0),VLOOKUP(D313,'BS Mapping std'!A:N,14,0)),0)</f>
        <v/>
      </c>
    </row>
    <row r="314" spans="1:25">
      <c r="A314">
        <f>IF(B314&lt;6,"BS",IF(B314=6,"Exp","Rev"))</f>
        <v/>
      </c>
      <c r="B314">
        <f>_xlfn.NUMBERVALUE(LEFT(F314,1))</f>
        <v/>
      </c>
      <c r="C314">
        <f>Left(F314,2)</f>
        <v/>
      </c>
      <c r="D314">
        <f>Left(F314,3)</f>
        <v/>
      </c>
      <c r="E314">
        <f>IF(F314="121",Left(F314,3)&amp;"0",Left(F314,4))</f>
        <v/>
      </c>
      <c r="F314" t="n">
        <v>70100030</v>
      </c>
      <c r="G314" t="s">
        <v>329</v>
      </c>
      <c r="H314" s="9" t="n">
        <v>-91214751.13</v>
      </c>
      <c r="I314" s="9" t="n">
        <v>124987627.66</v>
      </c>
      <c r="J314" s="9" t="n">
        <v>124987627.66</v>
      </c>
      <c r="K314" s="9" t="n">
        <v>-124987627.66</v>
      </c>
      <c r="L314" s="9">
        <f>K314-H314</f>
        <v/>
      </c>
      <c r="M314" s="32">
        <f>IFERROR(L314/H314," ")</f>
        <v/>
      </c>
      <c r="N314">
        <f>IF(A314="BS",IFERROR(VLOOKUP(TRIM($E314),'BS Mapping std'!$A:$D,4,0),VLOOKUP(TRIM($D314),'BS Mapping std'!$A:$D,4,0)),IFERROR(VLOOKUP(TRIM($E314),'PL mapping Std'!$A:$D,4,0),VLOOKUP(TRIM($D314),'PL mapping Std'!$A:$D,4,0)))</f>
        <v/>
      </c>
      <c r="O314">
        <f>_xlfn.IFERROR(VLOOKUP(E314,'F30 mapping'!A:C,3,0),VLOOKUP(D314,'F30 mapping'!A:C,3,0))</f>
        <v/>
      </c>
      <c r="P314">
        <f>_xlfn.IFERROR(IFERROR(VLOOKUP(E314,'F40 mapping'!A:C,3,0),VLOOKUP(D314,'F40 mapping'!A:C,3,0)),0)</f>
        <v/>
      </c>
      <c r="Q314">
        <f>_xlfn.IFERROR(IFERROR(VLOOKUP(E314,'F40 mapping'!A:D,4,0),VLOOKUP(D314,'F40 mapping'!A:D,4,0)),0)</f>
        <v/>
      </c>
      <c r="R314">
        <f>_xlfn.IFERROR(IFERROR(VLOOKUP(E314,'F40 mapping'!A:E,5,0),VLOOKUP(D314,'F40 mapping'!A:E,5,0)),0)</f>
        <v/>
      </c>
      <c r="S314">
        <f>_xlfn.IF(B314&lt;6,IFERROR(VLOOKUP(E314,'BS Mapping std'!A:E,5,0),VLOOKUP(D314,'BS Mapping std'!A:E,5,0)),IFERROR(VLOOKUP(E314,'PL mapping Std'!A:F,6,0),VLOOKUP(D314,'PL mapping Std'!A:F,6,0)))</f>
        <v/>
      </c>
      <c r="T314">
        <f>_xlfn.IF(B314&lt;6,IFERROR(VLOOKUP(E314,'BS Mapping std'!A:F,6,0),VLOOKUP(D314,'BS Mapping std'!A:F,6,0)),IFERROR(VLOOKUP(E314,'PL mapping Std'!A:G,7,0),VLOOKUP(D314,'PL mapping Std'!A:G,7,0)))</f>
        <v/>
      </c>
      <c r="V314">
        <f>IF(IF(A314="BS",IFERROR(VLOOKUP(TRIM($E314),'BS Mapping std'!$A:$H,8,0),VLOOKUP(TRIM($D314),'BS Mapping std'!$A:$H,8,0)),IFERROR(VLOOKUP(TRIM($E314),'PL mapping Std'!$A:$E,5,0),VLOOKUP(TRIM($D314),'PL mapping Std'!$A:$E,5,0)))=0,"",IF(A314="BS",IFERROR(VLOOKUP(TRIM($E314),'BS Mapping std'!$A:$H,8,0),VLOOKUP(TRIM($D314),'BS Mapping std'!$A:$H,8,0)),IFERROR(VLOOKUP(TRIM($E314),'PL mapping Std'!$A:$E,5,0),VLOOKUP(TRIM($D314),'PL mapping Std'!$A:$E,5,0))))</f>
        <v/>
      </c>
      <c r="W314">
        <f>_xlfn.IFERROR(VLOOKUP(E314,'F30 mapping'!A:D,4,0),VLOOKUP(D314,'F30 mapping'!A:D,4,0))</f>
        <v/>
      </c>
      <c r="X314">
        <f>IF(B314&lt;6,IFERROR(VLOOKUP(E314,'BS Mapping std'!A:M,13,0),VLOOKUP(D314,'BS Mapping std'!A:M,13,0)),0)</f>
        <v/>
      </c>
      <c r="Y314">
        <f>IF(B314&lt;6,IFERROR(VLOOKUP(E314,'BS Mapping std'!A:N,14,0),VLOOKUP(D314,'BS Mapping std'!A:N,14,0)),0)</f>
        <v/>
      </c>
    </row>
    <row r="315" spans="1:25">
      <c r="A315">
        <f>IF(B315&lt;6,"BS",IF(B315=6,"Exp","Rev"))</f>
        <v/>
      </c>
      <c r="B315">
        <f>_xlfn.NUMBERVALUE(LEFT(F315,1))</f>
        <v/>
      </c>
      <c r="C315">
        <f>Left(F315,2)</f>
        <v/>
      </c>
      <c r="D315">
        <f>Left(F315,3)</f>
        <v/>
      </c>
      <c r="E315">
        <f>IF(F315="121",Left(F315,3)&amp;"0",Left(F315,4))</f>
        <v/>
      </c>
      <c r="F315" t="n">
        <v>70300020</v>
      </c>
      <c r="G315" t="s">
        <v>330</v>
      </c>
      <c r="H315" s="9" t="n">
        <v>-65321.79</v>
      </c>
      <c r="I315" s="9" t="n">
        <v>85287.78999999999</v>
      </c>
      <c r="J315" s="9" t="n">
        <v>85287.78999999999</v>
      </c>
      <c r="K315" s="9" t="n">
        <v>-85287.78999999999</v>
      </c>
      <c r="L315" s="9">
        <f>K315-H315</f>
        <v/>
      </c>
      <c r="M315" s="32">
        <f>IFERROR(L315/H315," ")</f>
        <v/>
      </c>
      <c r="N315">
        <f>IF(A315="BS",IFERROR(VLOOKUP(TRIM($E315),'BS Mapping std'!$A:$D,4,0),VLOOKUP(TRIM($D315),'BS Mapping std'!$A:$D,4,0)),IFERROR(VLOOKUP(TRIM($E315),'PL mapping Std'!$A:$D,4,0),VLOOKUP(TRIM($D315),'PL mapping Std'!$A:$D,4,0)))</f>
        <v/>
      </c>
      <c r="O315">
        <f>_xlfn.IFERROR(VLOOKUP(E315,'F30 mapping'!A:C,3,0),VLOOKUP(D315,'F30 mapping'!A:C,3,0))</f>
        <v/>
      </c>
      <c r="P315">
        <f>_xlfn.IFERROR(IFERROR(VLOOKUP(E315,'F40 mapping'!A:C,3,0),VLOOKUP(D315,'F40 mapping'!A:C,3,0)),0)</f>
        <v/>
      </c>
      <c r="Q315">
        <f>_xlfn.IFERROR(IFERROR(VLOOKUP(E315,'F40 mapping'!A:D,4,0),VLOOKUP(D315,'F40 mapping'!A:D,4,0)),0)</f>
        <v/>
      </c>
      <c r="R315">
        <f>_xlfn.IFERROR(IFERROR(VLOOKUP(E315,'F40 mapping'!A:E,5,0),VLOOKUP(D315,'F40 mapping'!A:E,5,0)),0)</f>
        <v/>
      </c>
      <c r="S315">
        <f>_xlfn.IF(B315&lt;6,IFERROR(VLOOKUP(E315,'BS Mapping std'!A:E,5,0),VLOOKUP(D315,'BS Mapping std'!A:E,5,0)),IFERROR(VLOOKUP(E315,'PL mapping Std'!A:F,6,0),VLOOKUP(D315,'PL mapping Std'!A:F,6,0)))</f>
        <v/>
      </c>
      <c r="T315">
        <f>_xlfn.IF(B315&lt;6,IFERROR(VLOOKUP(E315,'BS Mapping std'!A:F,6,0),VLOOKUP(D315,'BS Mapping std'!A:F,6,0)),IFERROR(VLOOKUP(E315,'PL mapping Std'!A:G,7,0),VLOOKUP(D315,'PL mapping Std'!A:G,7,0)))</f>
        <v/>
      </c>
      <c r="V315">
        <f>IF(IF(A315="BS",IFERROR(VLOOKUP(TRIM($E315),'BS Mapping std'!$A:$H,8,0),VLOOKUP(TRIM($D315),'BS Mapping std'!$A:$H,8,0)),IFERROR(VLOOKUP(TRIM($E315),'PL mapping Std'!$A:$E,5,0),VLOOKUP(TRIM($D315),'PL mapping Std'!$A:$E,5,0)))=0,"",IF(A315="BS",IFERROR(VLOOKUP(TRIM($E315),'BS Mapping std'!$A:$H,8,0),VLOOKUP(TRIM($D315),'BS Mapping std'!$A:$H,8,0)),IFERROR(VLOOKUP(TRIM($E315),'PL mapping Std'!$A:$E,5,0),VLOOKUP(TRIM($D315),'PL mapping Std'!$A:$E,5,0))))</f>
        <v/>
      </c>
      <c r="W315">
        <f>_xlfn.IFERROR(VLOOKUP(E315,'F30 mapping'!A:D,4,0),VLOOKUP(D315,'F30 mapping'!A:D,4,0))</f>
        <v/>
      </c>
      <c r="X315">
        <f>IF(B315&lt;6,IFERROR(VLOOKUP(E315,'BS Mapping std'!A:M,13,0),VLOOKUP(D315,'BS Mapping std'!A:M,13,0)),0)</f>
        <v/>
      </c>
      <c r="Y315">
        <f>IF(B315&lt;6,IFERROR(VLOOKUP(E315,'BS Mapping std'!A:N,14,0),VLOOKUP(D315,'BS Mapping std'!A:N,14,0)),0)</f>
        <v/>
      </c>
    </row>
    <row r="316" spans="1:25">
      <c r="A316">
        <f>IF(B316&lt;6,"BS",IF(B316=6,"Exp","Rev"))</f>
        <v/>
      </c>
      <c r="B316">
        <f>_xlfn.NUMBERVALUE(LEFT(F316,1))</f>
        <v/>
      </c>
      <c r="C316">
        <f>Left(F316,2)</f>
        <v/>
      </c>
      <c r="D316">
        <f>Left(F316,3)</f>
        <v/>
      </c>
      <c r="E316">
        <f>IF(F316="121",Left(F316,3)&amp;"0",Left(F316,4))</f>
        <v/>
      </c>
      <c r="F316" t="n">
        <v>70700010</v>
      </c>
      <c r="G316" t="s">
        <v>331</v>
      </c>
      <c r="H316" s="9" t="n">
        <v>-19934490</v>
      </c>
      <c r="I316" s="9" t="n">
        <v>21775235.83</v>
      </c>
      <c r="J316" s="9" t="n">
        <v>21775235.83</v>
      </c>
      <c r="K316" s="9" t="n">
        <v>-21775235.83</v>
      </c>
      <c r="L316" s="9">
        <f>K316-H316</f>
        <v/>
      </c>
      <c r="M316" s="32">
        <f>IFERROR(L316/H316," ")</f>
        <v/>
      </c>
      <c r="N316">
        <f>IF(A316="BS",IFERROR(VLOOKUP(TRIM($E316),'BS Mapping std'!$A:$D,4,0),VLOOKUP(TRIM($D316),'BS Mapping std'!$A:$D,4,0)),IFERROR(VLOOKUP(TRIM($E316),'PL mapping Std'!$A:$D,4,0),VLOOKUP(TRIM($D316),'PL mapping Std'!$A:$D,4,0)))</f>
        <v/>
      </c>
      <c r="O316">
        <f>_xlfn.IFERROR(VLOOKUP(E316,'F30 mapping'!A:C,3,0),VLOOKUP(D316,'F30 mapping'!A:C,3,0))</f>
        <v/>
      </c>
      <c r="P316">
        <f>_xlfn.IFERROR(IFERROR(VLOOKUP(E316,'F40 mapping'!A:C,3,0),VLOOKUP(D316,'F40 mapping'!A:C,3,0)),0)</f>
        <v/>
      </c>
      <c r="Q316">
        <f>_xlfn.IFERROR(IFERROR(VLOOKUP(E316,'F40 mapping'!A:D,4,0),VLOOKUP(D316,'F40 mapping'!A:D,4,0)),0)</f>
        <v/>
      </c>
      <c r="R316">
        <f>_xlfn.IFERROR(IFERROR(VLOOKUP(E316,'F40 mapping'!A:E,5,0),VLOOKUP(D316,'F40 mapping'!A:E,5,0)),0)</f>
        <v/>
      </c>
      <c r="S316">
        <f>_xlfn.IF(B316&lt;6,IFERROR(VLOOKUP(E316,'BS Mapping std'!A:E,5,0),VLOOKUP(D316,'BS Mapping std'!A:E,5,0)),IFERROR(VLOOKUP(E316,'PL mapping Std'!A:F,6,0),VLOOKUP(D316,'PL mapping Std'!A:F,6,0)))</f>
        <v/>
      </c>
      <c r="T316">
        <f>_xlfn.IF(B316&lt;6,IFERROR(VLOOKUP(E316,'BS Mapping std'!A:F,6,0),VLOOKUP(D316,'BS Mapping std'!A:F,6,0)),IFERROR(VLOOKUP(E316,'PL mapping Std'!A:G,7,0),VLOOKUP(D316,'PL mapping Std'!A:G,7,0)))</f>
        <v/>
      </c>
      <c r="V316">
        <f>IF(IF(A316="BS",IFERROR(VLOOKUP(TRIM($E316),'BS Mapping std'!$A:$H,8,0),VLOOKUP(TRIM($D316),'BS Mapping std'!$A:$H,8,0)),IFERROR(VLOOKUP(TRIM($E316),'PL mapping Std'!$A:$E,5,0),VLOOKUP(TRIM($D316),'PL mapping Std'!$A:$E,5,0)))=0,"",IF(A316="BS",IFERROR(VLOOKUP(TRIM($E316),'BS Mapping std'!$A:$H,8,0),VLOOKUP(TRIM($D316),'BS Mapping std'!$A:$H,8,0)),IFERROR(VLOOKUP(TRIM($E316),'PL mapping Std'!$A:$E,5,0),VLOOKUP(TRIM($D316),'PL mapping Std'!$A:$E,5,0))))</f>
        <v/>
      </c>
      <c r="W316">
        <f>_xlfn.IFERROR(VLOOKUP(E316,'F30 mapping'!A:D,4,0),VLOOKUP(D316,'F30 mapping'!A:D,4,0))</f>
        <v/>
      </c>
      <c r="X316">
        <f>IF(B316&lt;6,IFERROR(VLOOKUP(E316,'BS Mapping std'!A:M,13,0),VLOOKUP(D316,'BS Mapping std'!A:M,13,0)),0)</f>
        <v/>
      </c>
      <c r="Y316">
        <f>IF(B316&lt;6,IFERROR(VLOOKUP(E316,'BS Mapping std'!A:N,14,0),VLOOKUP(D316,'BS Mapping std'!A:N,14,0)),0)</f>
        <v/>
      </c>
    </row>
    <row r="317" spans="1:25">
      <c r="A317">
        <f>IF(B317&lt;6,"BS",IF(B317=6,"Exp","Rev"))</f>
        <v/>
      </c>
      <c r="B317">
        <f>_xlfn.NUMBERVALUE(LEFT(F317,1))</f>
        <v/>
      </c>
      <c r="C317">
        <f>Left(F317,2)</f>
        <v/>
      </c>
      <c r="D317">
        <f>Left(F317,3)</f>
        <v/>
      </c>
      <c r="E317">
        <f>IF(F317="121",Left(F317,3)&amp;"0",Left(F317,4))</f>
        <v/>
      </c>
      <c r="F317" t="n">
        <v>70700011</v>
      </c>
      <c r="G317" t="s">
        <v>332</v>
      </c>
      <c r="H317" s="9" t="n">
        <v>-50881.7</v>
      </c>
      <c r="I317" s="9" t="n">
        <v>52045.07</v>
      </c>
      <c r="J317" s="9" t="n">
        <v>52045.07</v>
      </c>
      <c r="K317" s="9" t="n">
        <v>-52045.07</v>
      </c>
      <c r="L317" s="9">
        <f>K317-H317</f>
        <v/>
      </c>
      <c r="M317" s="32">
        <f>IFERROR(L317/H317," ")</f>
        <v/>
      </c>
      <c r="N317">
        <f>IF(A317="BS",IFERROR(VLOOKUP(TRIM($E317),'BS Mapping std'!$A:$D,4,0),VLOOKUP(TRIM($D317),'BS Mapping std'!$A:$D,4,0)),IFERROR(VLOOKUP(TRIM($E317),'PL mapping Std'!$A:$D,4,0),VLOOKUP(TRIM($D317),'PL mapping Std'!$A:$D,4,0)))</f>
        <v/>
      </c>
      <c r="O317">
        <f>_xlfn.IFERROR(VLOOKUP(E317,'F30 mapping'!A:C,3,0),VLOOKUP(D317,'F30 mapping'!A:C,3,0))</f>
        <v/>
      </c>
      <c r="P317">
        <f>_xlfn.IFERROR(IFERROR(VLOOKUP(E317,'F40 mapping'!A:C,3,0),VLOOKUP(D317,'F40 mapping'!A:C,3,0)),0)</f>
        <v/>
      </c>
      <c r="Q317">
        <f>_xlfn.IFERROR(IFERROR(VLOOKUP(E317,'F40 mapping'!A:D,4,0),VLOOKUP(D317,'F40 mapping'!A:D,4,0)),0)</f>
        <v/>
      </c>
      <c r="R317">
        <f>_xlfn.IFERROR(IFERROR(VLOOKUP(E317,'F40 mapping'!A:E,5,0),VLOOKUP(D317,'F40 mapping'!A:E,5,0)),0)</f>
        <v/>
      </c>
      <c r="S317">
        <f>_xlfn.IF(B317&lt;6,IFERROR(VLOOKUP(E317,'BS Mapping std'!A:E,5,0),VLOOKUP(D317,'BS Mapping std'!A:E,5,0)),IFERROR(VLOOKUP(E317,'PL mapping Std'!A:F,6,0),VLOOKUP(D317,'PL mapping Std'!A:F,6,0)))</f>
        <v/>
      </c>
      <c r="T317">
        <f>_xlfn.IF(B317&lt;6,IFERROR(VLOOKUP(E317,'BS Mapping std'!A:F,6,0),VLOOKUP(D317,'BS Mapping std'!A:F,6,0)),IFERROR(VLOOKUP(E317,'PL mapping Std'!A:G,7,0),VLOOKUP(D317,'PL mapping Std'!A:G,7,0)))</f>
        <v/>
      </c>
      <c r="V317">
        <f>IF(IF(A317="BS",IFERROR(VLOOKUP(TRIM($E317),'BS Mapping std'!$A:$H,8,0),VLOOKUP(TRIM($D317),'BS Mapping std'!$A:$H,8,0)),IFERROR(VLOOKUP(TRIM($E317),'PL mapping Std'!$A:$E,5,0),VLOOKUP(TRIM($D317),'PL mapping Std'!$A:$E,5,0)))=0,"",IF(A317="BS",IFERROR(VLOOKUP(TRIM($E317),'BS Mapping std'!$A:$H,8,0),VLOOKUP(TRIM($D317),'BS Mapping std'!$A:$H,8,0)),IFERROR(VLOOKUP(TRIM($E317),'PL mapping Std'!$A:$E,5,0),VLOOKUP(TRIM($D317),'PL mapping Std'!$A:$E,5,0))))</f>
        <v/>
      </c>
      <c r="W317">
        <f>_xlfn.IFERROR(VLOOKUP(E317,'F30 mapping'!A:D,4,0),VLOOKUP(D317,'F30 mapping'!A:D,4,0))</f>
        <v/>
      </c>
      <c r="X317">
        <f>IF(B317&lt;6,IFERROR(VLOOKUP(E317,'BS Mapping std'!A:M,13,0),VLOOKUP(D317,'BS Mapping std'!A:M,13,0)),0)</f>
        <v/>
      </c>
      <c r="Y317">
        <f>IF(B317&lt;6,IFERROR(VLOOKUP(E317,'BS Mapping std'!A:N,14,0),VLOOKUP(D317,'BS Mapping std'!A:N,14,0)),0)</f>
        <v/>
      </c>
    </row>
    <row r="318" spans="1:25">
      <c r="A318">
        <f>IF(B318&lt;6,"BS",IF(B318=6,"Exp","Rev"))</f>
        <v/>
      </c>
      <c r="B318">
        <f>_xlfn.NUMBERVALUE(LEFT(F318,1))</f>
        <v/>
      </c>
      <c r="C318">
        <f>Left(F318,2)</f>
        <v/>
      </c>
      <c r="D318">
        <f>Left(F318,3)</f>
        <v/>
      </c>
      <c r="E318">
        <f>IF(F318="121",Left(F318,3)&amp;"0",Left(F318,4))</f>
        <v/>
      </c>
      <c r="F318" t="n">
        <v>70700020</v>
      </c>
      <c r="G318" t="s">
        <v>333</v>
      </c>
      <c r="H318" s="9" t="n">
        <v>-834403.7899999999</v>
      </c>
      <c r="I318" s="9" t="n">
        <v>1552262.16</v>
      </c>
      <c r="J318" s="9" t="n">
        <v>1552262.16</v>
      </c>
      <c r="K318" s="9" t="n">
        <v>-1552262.16</v>
      </c>
      <c r="L318" s="9">
        <f>K318-H318</f>
        <v/>
      </c>
      <c r="M318" s="32">
        <f>IFERROR(L318/H318," ")</f>
        <v/>
      </c>
      <c r="N318">
        <f>IF(A318="BS",IFERROR(VLOOKUP(TRIM($E318),'BS Mapping std'!$A:$D,4,0),VLOOKUP(TRIM($D318),'BS Mapping std'!$A:$D,4,0)),IFERROR(VLOOKUP(TRIM($E318),'PL mapping Std'!$A:$D,4,0),VLOOKUP(TRIM($D318),'PL mapping Std'!$A:$D,4,0)))</f>
        <v/>
      </c>
      <c r="O318">
        <f>_xlfn.IFERROR(VLOOKUP(E318,'F30 mapping'!A:C,3,0),VLOOKUP(D318,'F30 mapping'!A:C,3,0))</f>
        <v/>
      </c>
      <c r="P318">
        <f>_xlfn.IFERROR(IFERROR(VLOOKUP(E318,'F40 mapping'!A:C,3,0),VLOOKUP(D318,'F40 mapping'!A:C,3,0)),0)</f>
        <v/>
      </c>
      <c r="Q318">
        <f>_xlfn.IFERROR(IFERROR(VLOOKUP(E318,'F40 mapping'!A:D,4,0),VLOOKUP(D318,'F40 mapping'!A:D,4,0)),0)</f>
        <v/>
      </c>
      <c r="R318">
        <f>_xlfn.IFERROR(IFERROR(VLOOKUP(E318,'F40 mapping'!A:E,5,0),VLOOKUP(D318,'F40 mapping'!A:E,5,0)),0)</f>
        <v/>
      </c>
      <c r="S318">
        <f>_xlfn.IF(B318&lt;6,IFERROR(VLOOKUP(E318,'BS Mapping std'!A:E,5,0),VLOOKUP(D318,'BS Mapping std'!A:E,5,0)),IFERROR(VLOOKUP(E318,'PL mapping Std'!A:F,6,0),VLOOKUP(D318,'PL mapping Std'!A:F,6,0)))</f>
        <v/>
      </c>
      <c r="T318">
        <f>_xlfn.IF(B318&lt;6,IFERROR(VLOOKUP(E318,'BS Mapping std'!A:F,6,0),VLOOKUP(D318,'BS Mapping std'!A:F,6,0)),IFERROR(VLOOKUP(E318,'PL mapping Std'!A:G,7,0),VLOOKUP(D318,'PL mapping Std'!A:G,7,0)))</f>
        <v/>
      </c>
      <c r="V318">
        <f>IF(IF(A318="BS",IFERROR(VLOOKUP(TRIM($E318),'BS Mapping std'!$A:$H,8,0),VLOOKUP(TRIM($D318),'BS Mapping std'!$A:$H,8,0)),IFERROR(VLOOKUP(TRIM($E318),'PL mapping Std'!$A:$E,5,0),VLOOKUP(TRIM($D318),'PL mapping Std'!$A:$E,5,0)))=0,"",IF(A318="BS",IFERROR(VLOOKUP(TRIM($E318),'BS Mapping std'!$A:$H,8,0),VLOOKUP(TRIM($D318),'BS Mapping std'!$A:$H,8,0)),IFERROR(VLOOKUP(TRIM($E318),'PL mapping Std'!$A:$E,5,0),VLOOKUP(TRIM($D318),'PL mapping Std'!$A:$E,5,0))))</f>
        <v/>
      </c>
      <c r="W318">
        <f>_xlfn.IFERROR(VLOOKUP(E318,'F30 mapping'!A:D,4,0),VLOOKUP(D318,'F30 mapping'!A:D,4,0))</f>
        <v/>
      </c>
      <c r="X318">
        <f>IF(B318&lt;6,IFERROR(VLOOKUP(E318,'BS Mapping std'!A:M,13,0),VLOOKUP(D318,'BS Mapping std'!A:M,13,0)),0)</f>
        <v/>
      </c>
      <c r="Y318">
        <f>IF(B318&lt;6,IFERROR(VLOOKUP(E318,'BS Mapping std'!A:N,14,0),VLOOKUP(D318,'BS Mapping std'!A:N,14,0)),0)</f>
        <v/>
      </c>
    </row>
    <row r="319" spans="1:25">
      <c r="A319">
        <f>IF(B319&lt;6,"BS",IF(B319=6,"Exp","Rev"))</f>
        <v/>
      </c>
      <c r="B319">
        <f>_xlfn.NUMBERVALUE(LEFT(F319,1))</f>
        <v/>
      </c>
      <c r="C319">
        <f>Left(F319,2)</f>
        <v/>
      </c>
      <c r="D319">
        <f>Left(F319,3)</f>
        <v/>
      </c>
      <c r="E319">
        <f>IF(F319="121",Left(F319,3)&amp;"0",Left(F319,4))</f>
        <v/>
      </c>
      <c r="F319" t="n">
        <v>70700030</v>
      </c>
      <c r="G319" t="s">
        <v>334</v>
      </c>
      <c r="H319" s="9" t="n">
        <v>-4260005.35</v>
      </c>
      <c r="I319" s="9" t="n">
        <v>4647909.739999999</v>
      </c>
      <c r="J319" s="9" t="n">
        <v>4647909.739999999</v>
      </c>
      <c r="K319" s="9" t="n">
        <v>-4647909.739999999</v>
      </c>
      <c r="L319" s="9">
        <f>K319-H319</f>
        <v/>
      </c>
      <c r="M319" s="32">
        <f>IFERROR(L319/H319," ")</f>
        <v/>
      </c>
      <c r="N319">
        <f>IF(A319="BS",IFERROR(VLOOKUP(TRIM($E319),'BS Mapping std'!$A:$D,4,0),VLOOKUP(TRIM($D319),'BS Mapping std'!$A:$D,4,0)),IFERROR(VLOOKUP(TRIM($E319),'PL mapping Std'!$A:$D,4,0),VLOOKUP(TRIM($D319),'PL mapping Std'!$A:$D,4,0)))</f>
        <v/>
      </c>
      <c r="O319">
        <f>_xlfn.IFERROR(VLOOKUP(E319,'F30 mapping'!A:C,3,0),VLOOKUP(D319,'F30 mapping'!A:C,3,0))</f>
        <v/>
      </c>
      <c r="P319">
        <f>_xlfn.IFERROR(IFERROR(VLOOKUP(E319,'F40 mapping'!A:C,3,0),VLOOKUP(D319,'F40 mapping'!A:C,3,0)),0)</f>
        <v/>
      </c>
      <c r="Q319">
        <f>_xlfn.IFERROR(IFERROR(VLOOKUP(E319,'F40 mapping'!A:D,4,0),VLOOKUP(D319,'F40 mapping'!A:D,4,0)),0)</f>
        <v/>
      </c>
      <c r="R319">
        <f>_xlfn.IFERROR(IFERROR(VLOOKUP(E319,'F40 mapping'!A:E,5,0),VLOOKUP(D319,'F40 mapping'!A:E,5,0)),0)</f>
        <v/>
      </c>
      <c r="S319">
        <f>_xlfn.IF(B319&lt;6,IFERROR(VLOOKUP(E319,'BS Mapping std'!A:E,5,0),VLOOKUP(D319,'BS Mapping std'!A:E,5,0)),IFERROR(VLOOKUP(E319,'PL mapping Std'!A:F,6,0),VLOOKUP(D319,'PL mapping Std'!A:F,6,0)))</f>
        <v/>
      </c>
      <c r="T319">
        <f>_xlfn.IF(B319&lt;6,IFERROR(VLOOKUP(E319,'BS Mapping std'!A:F,6,0),VLOOKUP(D319,'BS Mapping std'!A:F,6,0)),IFERROR(VLOOKUP(E319,'PL mapping Std'!A:G,7,0),VLOOKUP(D319,'PL mapping Std'!A:G,7,0)))</f>
        <v/>
      </c>
      <c r="V319">
        <f>IF(IF(A319="BS",IFERROR(VLOOKUP(TRIM($E319),'BS Mapping std'!$A:$H,8,0),VLOOKUP(TRIM($D319),'BS Mapping std'!$A:$H,8,0)),IFERROR(VLOOKUP(TRIM($E319),'PL mapping Std'!$A:$E,5,0),VLOOKUP(TRIM($D319),'PL mapping Std'!$A:$E,5,0)))=0,"",IF(A319="BS",IFERROR(VLOOKUP(TRIM($E319),'BS Mapping std'!$A:$H,8,0),VLOOKUP(TRIM($D319),'BS Mapping std'!$A:$H,8,0)),IFERROR(VLOOKUP(TRIM($E319),'PL mapping Std'!$A:$E,5,0),VLOOKUP(TRIM($D319),'PL mapping Std'!$A:$E,5,0))))</f>
        <v/>
      </c>
      <c r="W319">
        <f>_xlfn.IFERROR(VLOOKUP(E319,'F30 mapping'!A:D,4,0),VLOOKUP(D319,'F30 mapping'!A:D,4,0))</f>
        <v/>
      </c>
      <c r="X319">
        <f>IF(B319&lt;6,IFERROR(VLOOKUP(E319,'BS Mapping std'!A:M,13,0),VLOOKUP(D319,'BS Mapping std'!A:M,13,0)),0)</f>
        <v/>
      </c>
      <c r="Y319">
        <f>IF(B319&lt;6,IFERROR(VLOOKUP(E319,'BS Mapping std'!A:N,14,0),VLOOKUP(D319,'BS Mapping std'!A:N,14,0)),0)</f>
        <v/>
      </c>
    </row>
    <row r="320" spans="1:25">
      <c r="A320">
        <f>IF(B320&lt;6,"BS",IF(B320=6,"Exp","Rev"))</f>
        <v/>
      </c>
      <c r="B320">
        <f>_xlfn.NUMBERVALUE(LEFT(F320,1))</f>
        <v/>
      </c>
      <c r="C320">
        <f>Left(F320,2)</f>
        <v/>
      </c>
      <c r="D320">
        <f>Left(F320,3)</f>
        <v/>
      </c>
      <c r="E320">
        <f>IF(F320="121",Left(F320,3)&amp;"0",Left(F320,4))</f>
        <v/>
      </c>
      <c r="F320" t="n">
        <v>70900010</v>
      </c>
      <c r="G320" t="s">
        <v>335</v>
      </c>
      <c r="H320" s="9" t="n">
        <v>62049.12</v>
      </c>
      <c r="I320" s="9" t="n">
        <v>-33119.8</v>
      </c>
      <c r="J320" s="9" t="n">
        <v>-33119.8</v>
      </c>
      <c r="K320" s="9" t="n">
        <v>33119.8</v>
      </c>
      <c r="L320" s="9">
        <f>K320-H320</f>
        <v/>
      </c>
      <c r="M320" s="32">
        <f>IFERROR(L320/H320," ")</f>
        <v/>
      </c>
      <c r="N320">
        <f>IF(A320="BS",IFERROR(VLOOKUP(TRIM($E320),'BS Mapping std'!$A:$D,4,0),VLOOKUP(TRIM($D320),'BS Mapping std'!$A:$D,4,0)),IFERROR(VLOOKUP(TRIM($E320),'PL mapping Std'!$A:$D,4,0),VLOOKUP(TRIM($D320),'PL mapping Std'!$A:$D,4,0)))</f>
        <v/>
      </c>
      <c r="O320">
        <f>_xlfn.IFERROR(VLOOKUP(E320,'F30 mapping'!A:C,3,0),VLOOKUP(D320,'F30 mapping'!A:C,3,0))</f>
        <v/>
      </c>
      <c r="P320">
        <f>_xlfn.IFERROR(IFERROR(VLOOKUP(E320,'F40 mapping'!A:C,3,0),VLOOKUP(D320,'F40 mapping'!A:C,3,0)),0)</f>
        <v/>
      </c>
      <c r="Q320">
        <f>_xlfn.IFERROR(IFERROR(VLOOKUP(E320,'F40 mapping'!A:D,4,0),VLOOKUP(D320,'F40 mapping'!A:D,4,0)),0)</f>
        <v/>
      </c>
      <c r="R320">
        <f>_xlfn.IFERROR(IFERROR(VLOOKUP(E320,'F40 mapping'!A:E,5,0),VLOOKUP(D320,'F40 mapping'!A:E,5,0)),0)</f>
        <v/>
      </c>
      <c r="S320">
        <f>_xlfn.IF(B320&lt;6,IFERROR(VLOOKUP(E320,'BS Mapping std'!A:E,5,0),VLOOKUP(D320,'BS Mapping std'!A:E,5,0)),IFERROR(VLOOKUP(E320,'PL mapping Std'!A:F,6,0),VLOOKUP(D320,'PL mapping Std'!A:F,6,0)))</f>
        <v/>
      </c>
      <c r="T320">
        <f>_xlfn.IF(B320&lt;6,IFERROR(VLOOKUP(E320,'BS Mapping std'!A:F,6,0),VLOOKUP(D320,'BS Mapping std'!A:F,6,0)),IFERROR(VLOOKUP(E320,'PL mapping Std'!A:G,7,0),VLOOKUP(D320,'PL mapping Std'!A:G,7,0)))</f>
        <v/>
      </c>
      <c r="V320">
        <f>IF(IF(A320="BS",IFERROR(VLOOKUP(TRIM($E320),'BS Mapping std'!$A:$H,8,0),VLOOKUP(TRIM($D320),'BS Mapping std'!$A:$H,8,0)),IFERROR(VLOOKUP(TRIM($E320),'PL mapping Std'!$A:$E,5,0),VLOOKUP(TRIM($D320),'PL mapping Std'!$A:$E,5,0)))=0,"",IF(A320="BS",IFERROR(VLOOKUP(TRIM($E320),'BS Mapping std'!$A:$H,8,0),VLOOKUP(TRIM($D320),'BS Mapping std'!$A:$H,8,0)),IFERROR(VLOOKUP(TRIM($E320),'PL mapping Std'!$A:$E,5,0),VLOOKUP(TRIM($D320),'PL mapping Std'!$A:$E,5,0))))</f>
        <v/>
      </c>
      <c r="W320">
        <f>_xlfn.IFERROR(VLOOKUP(E320,'F30 mapping'!A:D,4,0),VLOOKUP(D320,'F30 mapping'!A:D,4,0))</f>
        <v/>
      </c>
      <c r="X320">
        <f>IF(B320&lt;6,IFERROR(VLOOKUP(E320,'BS Mapping std'!A:M,13,0),VLOOKUP(D320,'BS Mapping std'!A:M,13,0)),0)</f>
        <v/>
      </c>
      <c r="Y320">
        <f>IF(B320&lt;6,IFERROR(VLOOKUP(E320,'BS Mapping std'!A:N,14,0),VLOOKUP(D320,'BS Mapping std'!A:N,14,0)),0)</f>
        <v/>
      </c>
    </row>
    <row r="321" spans="1:25">
      <c r="A321">
        <f>IF(B321&lt;6,"BS",IF(B321=6,"Exp","Rev"))</f>
        <v/>
      </c>
      <c r="B321">
        <f>_xlfn.NUMBERVALUE(LEFT(F321,1))</f>
        <v/>
      </c>
      <c r="C321">
        <f>Left(F321,2)</f>
        <v/>
      </c>
      <c r="D321">
        <f>Left(F321,3)</f>
        <v/>
      </c>
      <c r="E321">
        <f>IF(F321="121",Left(F321,3)&amp;"0",Left(F321,4))</f>
        <v/>
      </c>
      <c r="F321" t="n">
        <v>70900040</v>
      </c>
      <c r="G321" t="s">
        <v>336</v>
      </c>
      <c r="H321" s="9" t="n">
        <v>1242.66</v>
      </c>
      <c r="I321" s="9" t="n">
        <v>-831.04</v>
      </c>
      <c r="J321" s="9" t="n">
        <v>-831.04</v>
      </c>
      <c r="K321" s="9" t="n">
        <v>831.04</v>
      </c>
      <c r="L321" s="9">
        <f>K321-H321</f>
        <v/>
      </c>
      <c r="M321" s="32">
        <f>IFERROR(L321/H321," ")</f>
        <v/>
      </c>
      <c r="N321">
        <f>IF(A321="BS",IFERROR(VLOOKUP(TRIM($E321),'BS Mapping std'!$A:$D,4,0),VLOOKUP(TRIM($D321),'BS Mapping std'!$A:$D,4,0)),IFERROR(VLOOKUP(TRIM($E321),'PL mapping Std'!$A:$D,4,0),VLOOKUP(TRIM($D321),'PL mapping Std'!$A:$D,4,0)))</f>
        <v/>
      </c>
      <c r="O321">
        <f>_xlfn.IFERROR(VLOOKUP(E321,'F30 mapping'!A:C,3,0),VLOOKUP(D321,'F30 mapping'!A:C,3,0))</f>
        <v/>
      </c>
      <c r="P321">
        <f>_xlfn.IFERROR(IFERROR(VLOOKUP(E321,'F40 mapping'!A:C,3,0),VLOOKUP(D321,'F40 mapping'!A:C,3,0)),0)</f>
        <v/>
      </c>
      <c r="Q321">
        <f>_xlfn.IFERROR(IFERROR(VLOOKUP(E321,'F40 mapping'!A:D,4,0),VLOOKUP(D321,'F40 mapping'!A:D,4,0)),0)</f>
        <v/>
      </c>
      <c r="R321">
        <f>_xlfn.IFERROR(IFERROR(VLOOKUP(E321,'F40 mapping'!A:E,5,0),VLOOKUP(D321,'F40 mapping'!A:E,5,0)),0)</f>
        <v/>
      </c>
      <c r="S321">
        <f>_xlfn.IF(B321&lt;6,IFERROR(VLOOKUP(E321,'BS Mapping std'!A:E,5,0),VLOOKUP(D321,'BS Mapping std'!A:E,5,0)),IFERROR(VLOOKUP(E321,'PL mapping Std'!A:F,6,0),VLOOKUP(D321,'PL mapping Std'!A:F,6,0)))</f>
        <v/>
      </c>
      <c r="T321">
        <f>_xlfn.IF(B321&lt;6,IFERROR(VLOOKUP(E321,'BS Mapping std'!A:F,6,0),VLOOKUP(D321,'BS Mapping std'!A:F,6,0)),IFERROR(VLOOKUP(E321,'PL mapping Std'!A:G,7,0),VLOOKUP(D321,'PL mapping Std'!A:G,7,0)))</f>
        <v/>
      </c>
      <c r="V321">
        <f>IF(IF(A321="BS",IFERROR(VLOOKUP(TRIM($E321),'BS Mapping std'!$A:$H,8,0),VLOOKUP(TRIM($D321),'BS Mapping std'!$A:$H,8,0)),IFERROR(VLOOKUP(TRIM($E321),'PL mapping Std'!$A:$E,5,0),VLOOKUP(TRIM($D321),'PL mapping Std'!$A:$E,5,0)))=0,"",IF(A321="BS",IFERROR(VLOOKUP(TRIM($E321),'BS Mapping std'!$A:$H,8,0),VLOOKUP(TRIM($D321),'BS Mapping std'!$A:$H,8,0)),IFERROR(VLOOKUP(TRIM($E321),'PL mapping Std'!$A:$E,5,0),VLOOKUP(TRIM($D321),'PL mapping Std'!$A:$E,5,0))))</f>
        <v/>
      </c>
      <c r="W321">
        <f>_xlfn.IFERROR(VLOOKUP(E321,'F30 mapping'!A:D,4,0),VLOOKUP(D321,'F30 mapping'!A:D,4,0))</f>
        <v/>
      </c>
      <c r="X321">
        <f>IF(B321&lt;6,IFERROR(VLOOKUP(E321,'BS Mapping std'!A:M,13,0),VLOOKUP(D321,'BS Mapping std'!A:M,13,0)),0)</f>
        <v/>
      </c>
      <c r="Y321">
        <f>IF(B321&lt;6,IFERROR(VLOOKUP(E321,'BS Mapping std'!A:N,14,0),VLOOKUP(D321,'BS Mapping std'!A:N,14,0)),0)</f>
        <v/>
      </c>
    </row>
    <row r="322" spans="1:25">
      <c r="A322">
        <f>IF(B322&lt;6,"BS",IF(B322=6,"Exp","Rev"))</f>
        <v/>
      </c>
      <c r="B322">
        <f>_xlfn.NUMBERVALUE(LEFT(F322,1))</f>
        <v/>
      </c>
      <c r="C322">
        <f>Left(F322,2)</f>
        <v/>
      </c>
      <c r="D322">
        <f>Left(F322,3)</f>
        <v/>
      </c>
      <c r="E322">
        <f>IF(F322="121",Left(F322,3)&amp;"0",Left(F322,4))</f>
        <v/>
      </c>
      <c r="F322" t="n">
        <v>71101002</v>
      </c>
      <c r="G322" t="s">
        <v>337</v>
      </c>
      <c r="H322" s="9" t="n">
        <v>93376.74000000001</v>
      </c>
      <c r="I322" s="9" t="n">
        <v>-82985.28999999999</v>
      </c>
      <c r="J322" s="9" t="n">
        <v>-82985.28999999999</v>
      </c>
      <c r="K322" s="9" t="n">
        <v>82985.28999999999</v>
      </c>
      <c r="L322" s="9">
        <f>K322-H322</f>
        <v/>
      </c>
      <c r="M322" s="32">
        <f>IFERROR(L322/H322," ")</f>
        <v/>
      </c>
      <c r="N322">
        <f>IF(A322="BS",IFERROR(VLOOKUP(TRIM($E322),'BS Mapping std'!$A:$D,4,0),VLOOKUP(TRIM($D322),'BS Mapping std'!$A:$D,4,0)),IFERROR(VLOOKUP(TRIM($E322),'PL mapping Std'!$A:$D,4,0),VLOOKUP(TRIM($D322),'PL mapping Std'!$A:$D,4,0)))</f>
        <v/>
      </c>
      <c r="O322">
        <f>_xlfn.IFERROR(VLOOKUP(E322,'F30 mapping'!A:C,3,0),VLOOKUP(D322,'F30 mapping'!A:C,3,0))</f>
        <v/>
      </c>
      <c r="P322">
        <f>_xlfn.IFERROR(IFERROR(VLOOKUP(E322,'F40 mapping'!A:C,3,0),VLOOKUP(D322,'F40 mapping'!A:C,3,0)),0)</f>
        <v/>
      </c>
      <c r="Q322">
        <f>_xlfn.IFERROR(IFERROR(VLOOKUP(E322,'F40 mapping'!A:D,4,0),VLOOKUP(D322,'F40 mapping'!A:D,4,0)),0)</f>
        <v/>
      </c>
      <c r="R322">
        <f>_xlfn.IFERROR(IFERROR(VLOOKUP(E322,'F40 mapping'!A:E,5,0),VLOOKUP(D322,'F40 mapping'!A:E,5,0)),0)</f>
        <v/>
      </c>
      <c r="S322">
        <f>_xlfn.IF(B322&lt;6,IFERROR(VLOOKUP(E322,'BS Mapping std'!A:E,5,0),VLOOKUP(D322,'BS Mapping std'!A:E,5,0)),IFERROR(VLOOKUP(E322,'PL mapping Std'!A:F,6,0),VLOOKUP(D322,'PL mapping Std'!A:F,6,0)))</f>
        <v/>
      </c>
      <c r="T322">
        <f>_xlfn.IF(B322&lt;6,IFERROR(VLOOKUP(E322,'BS Mapping std'!A:F,6,0),VLOOKUP(D322,'BS Mapping std'!A:F,6,0)),IFERROR(VLOOKUP(E322,'PL mapping Std'!A:G,7,0),VLOOKUP(D322,'PL mapping Std'!A:G,7,0)))</f>
        <v/>
      </c>
      <c r="V322">
        <f>IF(IF(A322="BS",IFERROR(VLOOKUP(TRIM($E322),'BS Mapping std'!$A:$H,8,0),VLOOKUP(TRIM($D322),'BS Mapping std'!$A:$H,8,0)),IFERROR(VLOOKUP(TRIM($E322),'PL mapping Std'!$A:$E,5,0),VLOOKUP(TRIM($D322),'PL mapping Std'!$A:$E,5,0)))=0,"",IF(A322="BS",IFERROR(VLOOKUP(TRIM($E322),'BS Mapping std'!$A:$H,8,0),VLOOKUP(TRIM($D322),'BS Mapping std'!$A:$H,8,0)),IFERROR(VLOOKUP(TRIM($E322),'PL mapping Std'!$A:$E,5,0),VLOOKUP(TRIM($D322),'PL mapping Std'!$A:$E,5,0))))</f>
        <v/>
      </c>
      <c r="W322">
        <f>_xlfn.IFERROR(VLOOKUP(E322,'F30 mapping'!A:D,4,0),VLOOKUP(D322,'F30 mapping'!A:D,4,0))</f>
        <v/>
      </c>
      <c r="X322">
        <f>IF(B322&lt;6,IFERROR(VLOOKUP(E322,'BS Mapping std'!A:M,13,0),VLOOKUP(D322,'BS Mapping std'!A:M,13,0)),0)</f>
        <v/>
      </c>
      <c r="Y322">
        <f>IF(B322&lt;6,IFERROR(VLOOKUP(E322,'BS Mapping std'!A:N,14,0),VLOOKUP(D322,'BS Mapping std'!A:N,14,0)),0)</f>
        <v/>
      </c>
    </row>
    <row r="323" spans="1:25">
      <c r="A323">
        <f>IF(B323&lt;6,"BS",IF(B323=6,"Exp","Rev"))</f>
        <v/>
      </c>
      <c r="B323">
        <f>_xlfn.NUMBERVALUE(LEFT(F323,1))</f>
        <v/>
      </c>
      <c r="C323">
        <f>Left(F323,2)</f>
        <v/>
      </c>
      <c r="D323">
        <f>Left(F323,3)</f>
        <v/>
      </c>
      <c r="E323">
        <f>IF(F323="121",Left(F323,3)&amp;"0",Left(F323,4))</f>
        <v/>
      </c>
      <c r="F323" t="n">
        <v>71101004</v>
      </c>
      <c r="G323" t="s">
        <v>338</v>
      </c>
      <c r="H323" s="9" t="n">
        <v>166626.68</v>
      </c>
      <c r="I323" s="9" t="n">
        <v>-404901.84</v>
      </c>
      <c r="J323" s="9" t="n">
        <v>-404901.84</v>
      </c>
      <c r="K323" s="9" t="n">
        <v>404901.84</v>
      </c>
      <c r="L323" s="9">
        <f>K323-H323</f>
        <v/>
      </c>
      <c r="M323" s="32">
        <f>IFERROR(L323/H323," ")</f>
        <v/>
      </c>
      <c r="N323">
        <f>IF(A323="BS",IFERROR(VLOOKUP(TRIM($E323),'BS Mapping std'!$A:$D,4,0),VLOOKUP(TRIM($D323),'BS Mapping std'!$A:$D,4,0)),IFERROR(VLOOKUP(TRIM($E323),'PL mapping Std'!$A:$D,4,0),VLOOKUP(TRIM($D323),'PL mapping Std'!$A:$D,4,0)))</f>
        <v/>
      </c>
      <c r="O323">
        <f>_xlfn.IFERROR(VLOOKUP(E323,'F30 mapping'!A:C,3,0),VLOOKUP(D323,'F30 mapping'!A:C,3,0))</f>
        <v/>
      </c>
      <c r="P323">
        <f>_xlfn.IFERROR(IFERROR(VLOOKUP(E323,'F40 mapping'!A:C,3,0),VLOOKUP(D323,'F40 mapping'!A:C,3,0)),0)</f>
        <v/>
      </c>
      <c r="Q323">
        <f>_xlfn.IFERROR(IFERROR(VLOOKUP(E323,'F40 mapping'!A:D,4,0),VLOOKUP(D323,'F40 mapping'!A:D,4,0)),0)</f>
        <v/>
      </c>
      <c r="R323">
        <f>_xlfn.IFERROR(IFERROR(VLOOKUP(E323,'F40 mapping'!A:E,5,0),VLOOKUP(D323,'F40 mapping'!A:E,5,0)),0)</f>
        <v/>
      </c>
      <c r="S323">
        <f>_xlfn.IF(B323&lt;6,IFERROR(VLOOKUP(E323,'BS Mapping std'!A:E,5,0),VLOOKUP(D323,'BS Mapping std'!A:E,5,0)),IFERROR(VLOOKUP(E323,'PL mapping Std'!A:F,6,0),VLOOKUP(D323,'PL mapping Std'!A:F,6,0)))</f>
        <v/>
      </c>
      <c r="T323">
        <f>_xlfn.IF(B323&lt;6,IFERROR(VLOOKUP(E323,'BS Mapping std'!A:F,6,0),VLOOKUP(D323,'BS Mapping std'!A:F,6,0)),IFERROR(VLOOKUP(E323,'PL mapping Std'!A:G,7,0),VLOOKUP(D323,'PL mapping Std'!A:G,7,0)))</f>
        <v/>
      </c>
      <c r="V323">
        <f>IF(IF(A323="BS",IFERROR(VLOOKUP(TRIM($E323),'BS Mapping std'!$A:$H,8,0),VLOOKUP(TRIM($D323),'BS Mapping std'!$A:$H,8,0)),IFERROR(VLOOKUP(TRIM($E323),'PL mapping Std'!$A:$E,5,0),VLOOKUP(TRIM($D323),'PL mapping Std'!$A:$E,5,0)))=0,"",IF(A323="BS",IFERROR(VLOOKUP(TRIM($E323),'BS Mapping std'!$A:$H,8,0),VLOOKUP(TRIM($D323),'BS Mapping std'!$A:$H,8,0)),IFERROR(VLOOKUP(TRIM($E323),'PL mapping Std'!$A:$E,5,0),VLOOKUP(TRIM($D323),'PL mapping Std'!$A:$E,5,0))))</f>
        <v/>
      </c>
      <c r="W323">
        <f>_xlfn.IFERROR(VLOOKUP(E323,'F30 mapping'!A:D,4,0),VLOOKUP(D323,'F30 mapping'!A:D,4,0))</f>
        <v/>
      </c>
      <c r="X323">
        <f>IF(B323&lt;6,IFERROR(VLOOKUP(E323,'BS Mapping std'!A:M,13,0),VLOOKUP(D323,'BS Mapping std'!A:M,13,0)),0)</f>
        <v/>
      </c>
      <c r="Y323">
        <f>IF(B323&lt;6,IFERROR(VLOOKUP(E323,'BS Mapping std'!A:N,14,0),VLOOKUP(D323,'BS Mapping std'!A:N,14,0)),0)</f>
        <v/>
      </c>
    </row>
    <row r="324" spans="1:25">
      <c r="A324">
        <f>IF(B324&lt;6,"BS",IF(B324=6,"Exp","Rev"))</f>
        <v/>
      </c>
      <c r="B324">
        <f>_xlfn.NUMBERVALUE(LEFT(F324,1))</f>
        <v/>
      </c>
      <c r="C324">
        <f>Left(F324,2)</f>
        <v/>
      </c>
      <c r="D324">
        <f>Left(F324,3)</f>
        <v/>
      </c>
      <c r="E324">
        <f>IF(F324="121",Left(F324,3)&amp;"0",Left(F324,4))</f>
        <v/>
      </c>
      <c r="F324" t="n">
        <v>71102001</v>
      </c>
      <c r="G324" t="s">
        <v>339</v>
      </c>
      <c r="H324" s="9" t="n">
        <v>-1643483.22</v>
      </c>
      <c r="I324" s="9" t="n">
        <v>5846675.72</v>
      </c>
      <c r="J324" s="9" t="n">
        <v>5846675.72</v>
      </c>
      <c r="K324" s="9" t="n">
        <v>-5846675.72</v>
      </c>
      <c r="L324" s="9">
        <f>K324-H324</f>
        <v/>
      </c>
      <c r="M324" s="32">
        <f>IFERROR(L324/H324," ")</f>
        <v/>
      </c>
      <c r="N324">
        <f>IF(A324="BS",IFERROR(VLOOKUP(TRIM($E324),'BS Mapping std'!$A:$D,4,0),VLOOKUP(TRIM($D324),'BS Mapping std'!$A:$D,4,0)),IFERROR(VLOOKUP(TRIM($E324),'PL mapping Std'!$A:$D,4,0),VLOOKUP(TRIM($D324),'PL mapping Std'!$A:$D,4,0)))</f>
        <v/>
      </c>
      <c r="O324">
        <f>_xlfn.IFERROR(VLOOKUP(E324,'F30 mapping'!A:C,3,0),VLOOKUP(D324,'F30 mapping'!A:C,3,0))</f>
        <v/>
      </c>
      <c r="P324">
        <f>_xlfn.IFERROR(IFERROR(VLOOKUP(E324,'F40 mapping'!A:C,3,0),VLOOKUP(D324,'F40 mapping'!A:C,3,0)),0)</f>
        <v/>
      </c>
      <c r="Q324">
        <f>_xlfn.IFERROR(IFERROR(VLOOKUP(E324,'F40 mapping'!A:D,4,0),VLOOKUP(D324,'F40 mapping'!A:D,4,0)),0)</f>
        <v/>
      </c>
      <c r="R324">
        <f>_xlfn.IFERROR(IFERROR(VLOOKUP(E324,'F40 mapping'!A:E,5,0),VLOOKUP(D324,'F40 mapping'!A:E,5,0)),0)</f>
        <v/>
      </c>
      <c r="S324">
        <f>_xlfn.IF(B324&lt;6,IFERROR(VLOOKUP(E324,'BS Mapping std'!A:E,5,0),VLOOKUP(D324,'BS Mapping std'!A:E,5,0)),IFERROR(VLOOKUP(E324,'PL mapping Std'!A:F,6,0),VLOOKUP(D324,'PL mapping Std'!A:F,6,0)))</f>
        <v/>
      </c>
      <c r="T324">
        <f>_xlfn.IF(B324&lt;6,IFERROR(VLOOKUP(E324,'BS Mapping std'!A:F,6,0),VLOOKUP(D324,'BS Mapping std'!A:F,6,0)),IFERROR(VLOOKUP(E324,'PL mapping Std'!A:G,7,0),VLOOKUP(D324,'PL mapping Std'!A:G,7,0)))</f>
        <v/>
      </c>
      <c r="V324">
        <f>IF(IF(A324="BS",IFERROR(VLOOKUP(TRIM($E324),'BS Mapping std'!$A:$H,8,0),VLOOKUP(TRIM($D324),'BS Mapping std'!$A:$H,8,0)),IFERROR(VLOOKUP(TRIM($E324),'PL mapping Std'!$A:$E,5,0),VLOOKUP(TRIM($D324),'PL mapping Std'!$A:$E,5,0)))=0,"",IF(A324="BS",IFERROR(VLOOKUP(TRIM($E324),'BS Mapping std'!$A:$H,8,0),VLOOKUP(TRIM($D324),'BS Mapping std'!$A:$H,8,0)),IFERROR(VLOOKUP(TRIM($E324),'PL mapping Std'!$A:$E,5,0),VLOOKUP(TRIM($D324),'PL mapping Std'!$A:$E,5,0))))</f>
        <v/>
      </c>
      <c r="W324">
        <f>_xlfn.IFERROR(VLOOKUP(E324,'F30 mapping'!A:D,4,0),VLOOKUP(D324,'F30 mapping'!A:D,4,0))</f>
        <v/>
      </c>
      <c r="X324">
        <f>IF(B324&lt;6,IFERROR(VLOOKUP(E324,'BS Mapping std'!A:M,13,0),VLOOKUP(D324,'BS Mapping std'!A:M,13,0)),0)</f>
        <v/>
      </c>
      <c r="Y324">
        <f>IF(B324&lt;6,IFERROR(VLOOKUP(E324,'BS Mapping std'!A:N,14,0),VLOOKUP(D324,'BS Mapping std'!A:N,14,0)),0)</f>
        <v/>
      </c>
    </row>
    <row r="325" spans="1:25">
      <c r="A325">
        <f>IF(B325&lt;6,"BS",IF(B325=6,"Exp","Rev"))</f>
        <v/>
      </c>
      <c r="B325">
        <f>_xlfn.NUMBERVALUE(LEFT(F325,1))</f>
        <v/>
      </c>
      <c r="C325">
        <f>Left(F325,2)</f>
        <v/>
      </c>
      <c r="D325">
        <f>Left(F325,3)</f>
        <v/>
      </c>
      <c r="E325">
        <f>IF(F325="121",Left(F325,3)&amp;"0",Left(F325,4))</f>
        <v/>
      </c>
      <c r="F325" t="n">
        <v>71102003</v>
      </c>
      <c r="G325" t="s">
        <v>340</v>
      </c>
      <c r="H325" s="9" t="n">
        <v>-22716519.44</v>
      </c>
      <c r="I325" s="9" t="n">
        <v>36928955.3</v>
      </c>
      <c r="J325" s="9" t="n">
        <v>36928955.3</v>
      </c>
      <c r="K325" s="9" t="n">
        <v>-36928955.3</v>
      </c>
      <c r="L325" s="9">
        <f>K325-H325</f>
        <v/>
      </c>
      <c r="M325" s="32">
        <f>IFERROR(L325/H325," ")</f>
        <v/>
      </c>
      <c r="N325">
        <f>IF(A325="BS",IFERROR(VLOOKUP(TRIM($E325),'BS Mapping std'!$A:$D,4,0),VLOOKUP(TRIM($D325),'BS Mapping std'!$A:$D,4,0)),IFERROR(VLOOKUP(TRIM($E325),'PL mapping Std'!$A:$D,4,0),VLOOKUP(TRIM($D325),'PL mapping Std'!$A:$D,4,0)))</f>
        <v/>
      </c>
      <c r="O325">
        <f>_xlfn.IFERROR(VLOOKUP(E325,'F30 mapping'!A:C,3,0),VLOOKUP(D325,'F30 mapping'!A:C,3,0))</f>
        <v/>
      </c>
      <c r="P325">
        <f>_xlfn.IFERROR(IFERROR(VLOOKUP(E325,'F40 mapping'!A:C,3,0),VLOOKUP(D325,'F40 mapping'!A:C,3,0)),0)</f>
        <v/>
      </c>
      <c r="Q325">
        <f>_xlfn.IFERROR(IFERROR(VLOOKUP(E325,'F40 mapping'!A:D,4,0),VLOOKUP(D325,'F40 mapping'!A:D,4,0)),0)</f>
        <v/>
      </c>
      <c r="R325">
        <f>_xlfn.IFERROR(IFERROR(VLOOKUP(E325,'F40 mapping'!A:E,5,0),VLOOKUP(D325,'F40 mapping'!A:E,5,0)),0)</f>
        <v/>
      </c>
      <c r="S325">
        <f>_xlfn.IF(B325&lt;6,IFERROR(VLOOKUP(E325,'BS Mapping std'!A:E,5,0),VLOOKUP(D325,'BS Mapping std'!A:E,5,0)),IFERROR(VLOOKUP(E325,'PL mapping Std'!A:F,6,0),VLOOKUP(D325,'PL mapping Std'!A:F,6,0)))</f>
        <v/>
      </c>
      <c r="T325">
        <f>_xlfn.IF(B325&lt;6,IFERROR(VLOOKUP(E325,'BS Mapping std'!A:F,6,0),VLOOKUP(D325,'BS Mapping std'!A:F,6,0)),IFERROR(VLOOKUP(E325,'PL mapping Std'!A:G,7,0),VLOOKUP(D325,'PL mapping Std'!A:G,7,0)))</f>
        <v/>
      </c>
      <c r="V325">
        <f>IF(IF(A325="BS",IFERROR(VLOOKUP(TRIM($E325),'BS Mapping std'!$A:$H,8,0),VLOOKUP(TRIM($D325),'BS Mapping std'!$A:$H,8,0)),IFERROR(VLOOKUP(TRIM($E325),'PL mapping Std'!$A:$E,5,0),VLOOKUP(TRIM($D325),'PL mapping Std'!$A:$E,5,0)))=0,"",IF(A325="BS",IFERROR(VLOOKUP(TRIM($E325),'BS Mapping std'!$A:$H,8,0),VLOOKUP(TRIM($D325),'BS Mapping std'!$A:$H,8,0)),IFERROR(VLOOKUP(TRIM($E325),'PL mapping Std'!$A:$E,5,0),VLOOKUP(TRIM($D325),'PL mapping Std'!$A:$E,5,0))))</f>
        <v/>
      </c>
      <c r="W325">
        <f>_xlfn.IFERROR(VLOOKUP(E325,'F30 mapping'!A:D,4,0),VLOOKUP(D325,'F30 mapping'!A:D,4,0))</f>
        <v/>
      </c>
      <c r="X325">
        <f>IF(B325&lt;6,IFERROR(VLOOKUP(E325,'BS Mapping std'!A:M,13,0),VLOOKUP(D325,'BS Mapping std'!A:M,13,0)),0)</f>
        <v/>
      </c>
      <c r="Y325">
        <f>IF(B325&lt;6,IFERROR(VLOOKUP(E325,'BS Mapping std'!A:N,14,0),VLOOKUP(D325,'BS Mapping std'!A:N,14,0)),0)</f>
        <v/>
      </c>
    </row>
    <row r="326" spans="1:25">
      <c r="A326">
        <f>IF(B326&lt;6,"BS",IF(B326=6,"Exp","Rev"))</f>
        <v/>
      </c>
      <c r="B326">
        <f>_xlfn.NUMBERVALUE(LEFT(F326,1))</f>
        <v/>
      </c>
      <c r="C326">
        <f>Left(F326,2)</f>
        <v/>
      </c>
      <c r="D326">
        <f>Left(F326,3)</f>
        <v/>
      </c>
      <c r="E326">
        <f>IF(F326="121",Left(F326,3)&amp;"0",Left(F326,4))</f>
        <v/>
      </c>
      <c r="F326" t="n">
        <v>71102004</v>
      </c>
      <c r="G326" t="s">
        <v>341</v>
      </c>
      <c r="H326" s="9" t="n">
        <v>-108840249.63</v>
      </c>
      <c r="I326" s="9" t="n">
        <v>157494714.45</v>
      </c>
      <c r="J326" s="9" t="n">
        <v>157494714.45</v>
      </c>
      <c r="K326" s="9" t="n">
        <v>-157494714.45</v>
      </c>
      <c r="L326" s="9">
        <f>K326-H326</f>
        <v/>
      </c>
      <c r="M326" s="32">
        <f>IFERROR(L326/H326," ")</f>
        <v/>
      </c>
      <c r="N326">
        <f>IF(A326="BS",IFERROR(VLOOKUP(TRIM($E326),'BS Mapping std'!$A:$D,4,0),VLOOKUP(TRIM($D326),'BS Mapping std'!$A:$D,4,0)),IFERROR(VLOOKUP(TRIM($E326),'PL mapping Std'!$A:$D,4,0),VLOOKUP(TRIM($D326),'PL mapping Std'!$A:$D,4,0)))</f>
        <v/>
      </c>
      <c r="O326">
        <f>_xlfn.IFERROR(VLOOKUP(E326,'F30 mapping'!A:C,3,0),VLOOKUP(D326,'F30 mapping'!A:C,3,0))</f>
        <v/>
      </c>
      <c r="P326">
        <f>_xlfn.IFERROR(IFERROR(VLOOKUP(E326,'F40 mapping'!A:C,3,0),VLOOKUP(D326,'F40 mapping'!A:C,3,0)),0)</f>
        <v/>
      </c>
      <c r="Q326">
        <f>_xlfn.IFERROR(IFERROR(VLOOKUP(E326,'F40 mapping'!A:D,4,0),VLOOKUP(D326,'F40 mapping'!A:D,4,0)),0)</f>
        <v/>
      </c>
      <c r="R326">
        <f>_xlfn.IFERROR(IFERROR(VLOOKUP(E326,'F40 mapping'!A:E,5,0),VLOOKUP(D326,'F40 mapping'!A:E,5,0)),0)</f>
        <v/>
      </c>
      <c r="S326">
        <f>_xlfn.IF(B326&lt;6,IFERROR(VLOOKUP(E326,'BS Mapping std'!A:E,5,0),VLOOKUP(D326,'BS Mapping std'!A:E,5,0)),IFERROR(VLOOKUP(E326,'PL mapping Std'!A:F,6,0),VLOOKUP(D326,'PL mapping Std'!A:F,6,0)))</f>
        <v/>
      </c>
      <c r="T326">
        <f>_xlfn.IF(B326&lt;6,IFERROR(VLOOKUP(E326,'BS Mapping std'!A:F,6,0),VLOOKUP(D326,'BS Mapping std'!A:F,6,0)),IFERROR(VLOOKUP(E326,'PL mapping Std'!A:G,7,0),VLOOKUP(D326,'PL mapping Std'!A:G,7,0)))</f>
        <v/>
      </c>
      <c r="V326">
        <f>IF(IF(A326="BS",IFERROR(VLOOKUP(TRIM($E326),'BS Mapping std'!$A:$H,8,0),VLOOKUP(TRIM($D326),'BS Mapping std'!$A:$H,8,0)),IFERROR(VLOOKUP(TRIM($E326),'PL mapping Std'!$A:$E,5,0),VLOOKUP(TRIM($D326),'PL mapping Std'!$A:$E,5,0)))=0,"",IF(A326="BS",IFERROR(VLOOKUP(TRIM($E326),'BS Mapping std'!$A:$H,8,0),VLOOKUP(TRIM($D326),'BS Mapping std'!$A:$H,8,0)),IFERROR(VLOOKUP(TRIM($E326),'PL mapping Std'!$A:$E,5,0),VLOOKUP(TRIM($D326),'PL mapping Std'!$A:$E,5,0))))</f>
        <v/>
      </c>
      <c r="W326">
        <f>_xlfn.IFERROR(VLOOKUP(E326,'F30 mapping'!A:D,4,0),VLOOKUP(D326,'F30 mapping'!A:D,4,0))</f>
        <v/>
      </c>
      <c r="X326">
        <f>IF(B326&lt;6,IFERROR(VLOOKUP(E326,'BS Mapping std'!A:M,13,0),VLOOKUP(D326,'BS Mapping std'!A:M,13,0)),0)</f>
        <v/>
      </c>
      <c r="Y326">
        <f>IF(B326&lt;6,IFERROR(VLOOKUP(E326,'BS Mapping std'!A:N,14,0),VLOOKUP(D326,'BS Mapping std'!A:N,14,0)),0)</f>
        <v/>
      </c>
    </row>
    <row r="327" spans="1:25">
      <c r="A327">
        <f>IF(B327&lt;6,"BS",IF(B327=6,"Exp","Rev"))</f>
        <v/>
      </c>
      <c r="B327">
        <f>_xlfn.NUMBERVALUE(LEFT(F327,1))</f>
        <v/>
      </c>
      <c r="C327">
        <f>Left(F327,2)</f>
        <v/>
      </c>
      <c r="D327">
        <f>Left(F327,3)</f>
        <v/>
      </c>
      <c r="E327">
        <f>IF(F327="121",Left(F327,3)&amp;"0",Left(F327,4))</f>
        <v/>
      </c>
      <c r="F327" t="n">
        <v>71102006</v>
      </c>
      <c r="G327" t="s">
        <v>342</v>
      </c>
      <c r="H327" s="9" t="n">
        <v>-6669196.76</v>
      </c>
      <c r="I327" s="9" t="n">
        <v>13553555.3</v>
      </c>
      <c r="J327" s="9" t="n">
        <v>13553555.3</v>
      </c>
      <c r="K327" s="9" t="n">
        <v>-13553555.3</v>
      </c>
      <c r="L327" s="9">
        <f>K327-H327</f>
        <v/>
      </c>
      <c r="M327" s="32">
        <f>IFERROR(L327/H327," ")</f>
        <v/>
      </c>
      <c r="N327">
        <f>IF(A327="BS",IFERROR(VLOOKUP(TRIM($E327),'BS Mapping std'!$A:$D,4,0),VLOOKUP(TRIM($D327),'BS Mapping std'!$A:$D,4,0)),IFERROR(VLOOKUP(TRIM($E327),'PL mapping Std'!$A:$D,4,0),VLOOKUP(TRIM($D327),'PL mapping Std'!$A:$D,4,0)))</f>
        <v/>
      </c>
      <c r="O327">
        <f>_xlfn.IFERROR(VLOOKUP(E327,'F30 mapping'!A:C,3,0),VLOOKUP(D327,'F30 mapping'!A:C,3,0))</f>
        <v/>
      </c>
      <c r="P327">
        <f>_xlfn.IFERROR(IFERROR(VLOOKUP(E327,'F40 mapping'!A:C,3,0),VLOOKUP(D327,'F40 mapping'!A:C,3,0)),0)</f>
        <v/>
      </c>
      <c r="Q327">
        <f>_xlfn.IFERROR(IFERROR(VLOOKUP(E327,'F40 mapping'!A:D,4,0),VLOOKUP(D327,'F40 mapping'!A:D,4,0)),0)</f>
        <v/>
      </c>
      <c r="R327">
        <f>_xlfn.IFERROR(IFERROR(VLOOKUP(E327,'F40 mapping'!A:E,5,0),VLOOKUP(D327,'F40 mapping'!A:E,5,0)),0)</f>
        <v/>
      </c>
      <c r="S327">
        <f>_xlfn.IF(B327&lt;6,IFERROR(VLOOKUP(E327,'BS Mapping std'!A:E,5,0),VLOOKUP(D327,'BS Mapping std'!A:E,5,0)),IFERROR(VLOOKUP(E327,'PL mapping Std'!A:F,6,0),VLOOKUP(D327,'PL mapping Std'!A:F,6,0)))</f>
        <v/>
      </c>
      <c r="T327">
        <f>_xlfn.IF(B327&lt;6,IFERROR(VLOOKUP(E327,'BS Mapping std'!A:F,6,0),VLOOKUP(D327,'BS Mapping std'!A:F,6,0)),IFERROR(VLOOKUP(E327,'PL mapping Std'!A:G,7,0),VLOOKUP(D327,'PL mapping Std'!A:G,7,0)))</f>
        <v/>
      </c>
      <c r="V327">
        <f>IF(IF(A327="BS",IFERROR(VLOOKUP(TRIM($E327),'BS Mapping std'!$A:$H,8,0),VLOOKUP(TRIM($D327),'BS Mapping std'!$A:$H,8,0)),IFERROR(VLOOKUP(TRIM($E327),'PL mapping Std'!$A:$E,5,0),VLOOKUP(TRIM($D327),'PL mapping Std'!$A:$E,5,0)))=0,"",IF(A327="BS",IFERROR(VLOOKUP(TRIM($E327),'BS Mapping std'!$A:$H,8,0),VLOOKUP(TRIM($D327),'BS Mapping std'!$A:$H,8,0)),IFERROR(VLOOKUP(TRIM($E327),'PL mapping Std'!$A:$E,5,0),VLOOKUP(TRIM($D327),'PL mapping Std'!$A:$E,5,0))))</f>
        <v/>
      </c>
      <c r="W327">
        <f>_xlfn.IFERROR(VLOOKUP(E327,'F30 mapping'!A:D,4,0),VLOOKUP(D327,'F30 mapping'!A:D,4,0))</f>
        <v/>
      </c>
      <c r="X327">
        <f>IF(B327&lt;6,IFERROR(VLOOKUP(E327,'BS Mapping std'!A:M,13,0),VLOOKUP(D327,'BS Mapping std'!A:M,13,0)),0)</f>
        <v/>
      </c>
      <c r="Y327">
        <f>IF(B327&lt;6,IFERROR(VLOOKUP(E327,'BS Mapping std'!A:N,14,0),VLOOKUP(D327,'BS Mapping std'!A:N,14,0)),0)</f>
        <v/>
      </c>
    </row>
    <row r="328" spans="1:25">
      <c r="A328">
        <f>IF(B328&lt;6,"BS",IF(B328=6,"Exp","Rev"))</f>
        <v/>
      </c>
      <c r="B328">
        <f>_xlfn.NUMBERVALUE(LEFT(F328,1))</f>
        <v/>
      </c>
      <c r="C328">
        <f>Left(F328,2)</f>
        <v/>
      </c>
      <c r="D328">
        <f>Left(F328,3)</f>
        <v/>
      </c>
      <c r="E328">
        <f>IF(F328="121",Left(F328,3)&amp;"0",Left(F328,4))</f>
        <v/>
      </c>
      <c r="F328" t="n">
        <v>71103002</v>
      </c>
      <c r="G328" t="s">
        <v>343</v>
      </c>
      <c r="H328" s="9" t="n">
        <v>108346041.52</v>
      </c>
      <c r="I328" s="9" t="n">
        <v>-155613644.82</v>
      </c>
      <c r="J328" s="9" t="n">
        <v>-155613644.82</v>
      </c>
      <c r="K328" s="9" t="n">
        <v>155613644.82</v>
      </c>
      <c r="L328" s="9">
        <f>K328-H328</f>
        <v/>
      </c>
      <c r="M328" s="32">
        <f>IFERROR(L328/H328," ")</f>
        <v/>
      </c>
      <c r="N328">
        <f>IF(A328="BS",IFERROR(VLOOKUP(TRIM($E328),'BS Mapping std'!$A:$D,4,0),VLOOKUP(TRIM($D328),'BS Mapping std'!$A:$D,4,0)),IFERROR(VLOOKUP(TRIM($E328),'PL mapping Std'!$A:$D,4,0),VLOOKUP(TRIM($D328),'PL mapping Std'!$A:$D,4,0)))</f>
        <v/>
      </c>
      <c r="O328">
        <f>_xlfn.IFERROR(VLOOKUP(E328,'F30 mapping'!A:C,3,0),VLOOKUP(D328,'F30 mapping'!A:C,3,0))</f>
        <v/>
      </c>
      <c r="P328">
        <f>_xlfn.IFERROR(IFERROR(VLOOKUP(E328,'F40 mapping'!A:C,3,0),VLOOKUP(D328,'F40 mapping'!A:C,3,0)),0)</f>
        <v/>
      </c>
      <c r="Q328">
        <f>_xlfn.IFERROR(IFERROR(VLOOKUP(E328,'F40 mapping'!A:D,4,0),VLOOKUP(D328,'F40 mapping'!A:D,4,0)),0)</f>
        <v/>
      </c>
      <c r="R328">
        <f>_xlfn.IFERROR(IFERROR(VLOOKUP(E328,'F40 mapping'!A:E,5,0),VLOOKUP(D328,'F40 mapping'!A:E,5,0)),0)</f>
        <v/>
      </c>
      <c r="S328">
        <f>_xlfn.IF(B328&lt;6,IFERROR(VLOOKUP(E328,'BS Mapping std'!A:E,5,0),VLOOKUP(D328,'BS Mapping std'!A:E,5,0)),IFERROR(VLOOKUP(E328,'PL mapping Std'!A:F,6,0),VLOOKUP(D328,'PL mapping Std'!A:F,6,0)))</f>
        <v/>
      </c>
      <c r="T328">
        <f>_xlfn.IF(B328&lt;6,IFERROR(VLOOKUP(E328,'BS Mapping std'!A:F,6,0),VLOOKUP(D328,'BS Mapping std'!A:F,6,0)),IFERROR(VLOOKUP(E328,'PL mapping Std'!A:G,7,0),VLOOKUP(D328,'PL mapping Std'!A:G,7,0)))</f>
        <v/>
      </c>
      <c r="V328">
        <f>IF(IF(A328="BS",IFERROR(VLOOKUP(TRIM($E328),'BS Mapping std'!$A:$H,8,0),VLOOKUP(TRIM($D328),'BS Mapping std'!$A:$H,8,0)),IFERROR(VLOOKUP(TRIM($E328),'PL mapping Std'!$A:$E,5,0),VLOOKUP(TRIM($D328),'PL mapping Std'!$A:$E,5,0)))=0,"",IF(A328="BS",IFERROR(VLOOKUP(TRIM($E328),'BS Mapping std'!$A:$H,8,0),VLOOKUP(TRIM($D328),'BS Mapping std'!$A:$H,8,0)),IFERROR(VLOOKUP(TRIM($E328),'PL mapping Std'!$A:$E,5,0),VLOOKUP(TRIM($D328),'PL mapping Std'!$A:$E,5,0))))</f>
        <v/>
      </c>
      <c r="W328">
        <f>_xlfn.IFERROR(VLOOKUP(E328,'F30 mapping'!A:D,4,0),VLOOKUP(D328,'F30 mapping'!A:D,4,0))</f>
        <v/>
      </c>
      <c r="X328">
        <f>IF(B328&lt;6,IFERROR(VLOOKUP(E328,'BS Mapping std'!A:M,13,0),VLOOKUP(D328,'BS Mapping std'!A:M,13,0)),0)</f>
        <v/>
      </c>
      <c r="Y328">
        <f>IF(B328&lt;6,IFERROR(VLOOKUP(E328,'BS Mapping std'!A:N,14,0),VLOOKUP(D328,'BS Mapping std'!A:N,14,0)),0)</f>
        <v/>
      </c>
    </row>
    <row r="329" spans="1:25">
      <c r="A329">
        <f>IF(B329&lt;6,"BS",IF(B329=6,"Exp","Rev"))</f>
        <v/>
      </c>
      <c r="B329">
        <f>_xlfn.NUMBERVALUE(LEFT(F329,1))</f>
        <v/>
      </c>
      <c r="C329">
        <f>Left(F329,2)</f>
        <v/>
      </c>
      <c r="D329">
        <f>Left(F329,3)</f>
        <v/>
      </c>
      <c r="E329">
        <f>IF(F329="121",Left(F329,3)&amp;"0",Left(F329,4))</f>
        <v/>
      </c>
      <c r="F329" t="n">
        <v>71103004</v>
      </c>
      <c r="G329" t="s">
        <v>344</v>
      </c>
      <c r="H329" s="9" t="n">
        <v>6395969.49</v>
      </c>
      <c r="I329" s="9" t="n">
        <v>-11904006.27</v>
      </c>
      <c r="J329" s="9" t="n">
        <v>-11904006.27</v>
      </c>
      <c r="K329" s="9" t="n">
        <v>11904006.27</v>
      </c>
      <c r="L329" s="9">
        <f>K329-H329</f>
        <v/>
      </c>
      <c r="M329" s="32">
        <f>IFERROR(L329/H329," ")</f>
        <v/>
      </c>
      <c r="N329">
        <f>IF(A329="BS",IFERROR(VLOOKUP(TRIM($E329),'BS Mapping std'!$A:$D,4,0),VLOOKUP(TRIM($D329),'BS Mapping std'!$A:$D,4,0)),IFERROR(VLOOKUP(TRIM($E329),'PL mapping Std'!$A:$D,4,0),VLOOKUP(TRIM($D329),'PL mapping Std'!$A:$D,4,0)))</f>
        <v/>
      </c>
      <c r="O329">
        <f>_xlfn.IFERROR(VLOOKUP(E329,'F30 mapping'!A:C,3,0),VLOOKUP(D329,'F30 mapping'!A:C,3,0))</f>
        <v/>
      </c>
      <c r="P329">
        <f>_xlfn.IFERROR(IFERROR(VLOOKUP(E329,'F40 mapping'!A:C,3,0),VLOOKUP(D329,'F40 mapping'!A:C,3,0)),0)</f>
        <v/>
      </c>
      <c r="Q329">
        <f>_xlfn.IFERROR(IFERROR(VLOOKUP(E329,'F40 mapping'!A:D,4,0),VLOOKUP(D329,'F40 mapping'!A:D,4,0)),0)</f>
        <v/>
      </c>
      <c r="R329">
        <f>_xlfn.IFERROR(IFERROR(VLOOKUP(E329,'F40 mapping'!A:E,5,0),VLOOKUP(D329,'F40 mapping'!A:E,5,0)),0)</f>
        <v/>
      </c>
      <c r="S329">
        <f>_xlfn.IF(B329&lt;6,IFERROR(VLOOKUP(E329,'BS Mapping std'!A:E,5,0),VLOOKUP(D329,'BS Mapping std'!A:E,5,0)),IFERROR(VLOOKUP(E329,'PL mapping Std'!A:F,6,0),VLOOKUP(D329,'PL mapping Std'!A:F,6,0)))</f>
        <v/>
      </c>
      <c r="T329">
        <f>_xlfn.IF(B329&lt;6,IFERROR(VLOOKUP(E329,'BS Mapping std'!A:F,6,0),VLOOKUP(D329,'BS Mapping std'!A:F,6,0)),IFERROR(VLOOKUP(E329,'PL mapping Std'!A:G,7,0),VLOOKUP(D329,'PL mapping Std'!A:G,7,0)))</f>
        <v/>
      </c>
      <c r="V329">
        <f>IF(IF(A329="BS",IFERROR(VLOOKUP(TRIM($E329),'BS Mapping std'!$A:$H,8,0),VLOOKUP(TRIM($D329),'BS Mapping std'!$A:$H,8,0)),IFERROR(VLOOKUP(TRIM($E329),'PL mapping Std'!$A:$E,5,0),VLOOKUP(TRIM($D329),'PL mapping Std'!$A:$E,5,0)))=0,"",IF(A329="BS",IFERROR(VLOOKUP(TRIM($E329),'BS Mapping std'!$A:$H,8,0),VLOOKUP(TRIM($D329),'BS Mapping std'!$A:$H,8,0)),IFERROR(VLOOKUP(TRIM($E329),'PL mapping Std'!$A:$E,5,0),VLOOKUP(TRIM($D329),'PL mapping Std'!$A:$E,5,0))))</f>
        <v/>
      </c>
      <c r="W329">
        <f>_xlfn.IFERROR(VLOOKUP(E329,'F30 mapping'!A:D,4,0),VLOOKUP(D329,'F30 mapping'!A:D,4,0))</f>
        <v/>
      </c>
      <c r="X329">
        <f>IF(B329&lt;6,IFERROR(VLOOKUP(E329,'BS Mapping std'!A:M,13,0),VLOOKUP(D329,'BS Mapping std'!A:M,13,0)),0)</f>
        <v/>
      </c>
      <c r="Y329">
        <f>IF(B329&lt;6,IFERROR(VLOOKUP(E329,'BS Mapping std'!A:N,14,0),VLOOKUP(D329,'BS Mapping std'!A:N,14,0)),0)</f>
        <v/>
      </c>
    </row>
    <row r="330" spans="1:25">
      <c r="A330">
        <f>IF(B330&lt;6,"BS",IF(B330=6,"Exp","Rev"))</f>
        <v/>
      </c>
      <c r="B330">
        <f>_xlfn.NUMBERVALUE(LEFT(F330,1))</f>
        <v/>
      </c>
      <c r="C330">
        <f>Left(F330,2)</f>
        <v/>
      </c>
      <c r="D330">
        <f>Left(F330,3)</f>
        <v/>
      </c>
      <c r="E330">
        <f>IF(F330="121",Left(F330,3)&amp;"0",Left(F330,4))</f>
        <v/>
      </c>
      <c r="F330" t="n">
        <v>71104000</v>
      </c>
      <c r="G330" t="s">
        <v>345</v>
      </c>
      <c r="H330" s="9" t="n">
        <v>507209.2100000001</v>
      </c>
      <c r="I330" s="9" t="n">
        <v>-1039865.85</v>
      </c>
      <c r="J330" s="9" t="n">
        <v>-1039865.85</v>
      </c>
      <c r="K330" s="9" t="n">
        <v>1039865.85</v>
      </c>
      <c r="L330" s="9">
        <f>K330-H330</f>
        <v/>
      </c>
      <c r="M330" s="32">
        <f>IFERROR(L330/H330," ")</f>
        <v/>
      </c>
      <c r="N330">
        <f>IF(A330="BS",IFERROR(VLOOKUP(TRIM($E330),'BS Mapping std'!$A:$D,4,0),VLOOKUP(TRIM($D330),'BS Mapping std'!$A:$D,4,0)),IFERROR(VLOOKUP(TRIM($E330),'PL mapping Std'!$A:$D,4,0),VLOOKUP(TRIM($D330),'PL mapping Std'!$A:$D,4,0)))</f>
        <v/>
      </c>
      <c r="O330">
        <f>_xlfn.IFERROR(VLOOKUP(E330,'F30 mapping'!A:C,3,0),VLOOKUP(D330,'F30 mapping'!A:C,3,0))</f>
        <v/>
      </c>
      <c r="P330">
        <f>_xlfn.IFERROR(IFERROR(VLOOKUP(E330,'F40 mapping'!A:C,3,0),VLOOKUP(D330,'F40 mapping'!A:C,3,0)),0)</f>
        <v/>
      </c>
      <c r="Q330">
        <f>_xlfn.IFERROR(IFERROR(VLOOKUP(E330,'F40 mapping'!A:D,4,0),VLOOKUP(D330,'F40 mapping'!A:D,4,0)),0)</f>
        <v/>
      </c>
      <c r="R330">
        <f>_xlfn.IFERROR(IFERROR(VLOOKUP(E330,'F40 mapping'!A:E,5,0),VLOOKUP(D330,'F40 mapping'!A:E,5,0)),0)</f>
        <v/>
      </c>
      <c r="S330">
        <f>_xlfn.IF(B330&lt;6,IFERROR(VLOOKUP(E330,'BS Mapping std'!A:E,5,0),VLOOKUP(D330,'BS Mapping std'!A:E,5,0)),IFERROR(VLOOKUP(E330,'PL mapping Std'!A:F,6,0),VLOOKUP(D330,'PL mapping Std'!A:F,6,0)))</f>
        <v/>
      </c>
      <c r="T330">
        <f>_xlfn.IF(B330&lt;6,IFERROR(VLOOKUP(E330,'BS Mapping std'!A:F,6,0),VLOOKUP(D330,'BS Mapping std'!A:F,6,0)),IFERROR(VLOOKUP(E330,'PL mapping Std'!A:G,7,0),VLOOKUP(D330,'PL mapping Std'!A:G,7,0)))</f>
        <v/>
      </c>
      <c r="V330">
        <f>IF(IF(A330="BS",IFERROR(VLOOKUP(TRIM($E330),'BS Mapping std'!$A:$H,8,0),VLOOKUP(TRIM($D330),'BS Mapping std'!$A:$H,8,0)),IFERROR(VLOOKUP(TRIM($E330),'PL mapping Std'!$A:$E,5,0),VLOOKUP(TRIM($D330),'PL mapping Std'!$A:$E,5,0)))=0,"",IF(A330="BS",IFERROR(VLOOKUP(TRIM($E330),'BS Mapping std'!$A:$H,8,0),VLOOKUP(TRIM($D330),'BS Mapping std'!$A:$H,8,0)),IFERROR(VLOOKUP(TRIM($E330),'PL mapping Std'!$A:$E,5,0),VLOOKUP(TRIM($D330),'PL mapping Std'!$A:$E,5,0))))</f>
        <v/>
      </c>
      <c r="W330">
        <f>_xlfn.IFERROR(VLOOKUP(E330,'F30 mapping'!A:D,4,0),VLOOKUP(D330,'F30 mapping'!A:D,4,0))</f>
        <v/>
      </c>
      <c r="X330">
        <f>IF(B330&lt;6,IFERROR(VLOOKUP(E330,'BS Mapping std'!A:M,13,0),VLOOKUP(D330,'BS Mapping std'!A:M,13,0)),0)</f>
        <v/>
      </c>
      <c r="Y330">
        <f>IF(B330&lt;6,IFERROR(VLOOKUP(E330,'BS Mapping std'!A:N,14,0),VLOOKUP(D330,'BS Mapping std'!A:N,14,0)),0)</f>
        <v/>
      </c>
    </row>
    <row r="331" spans="1:25">
      <c r="A331">
        <f>IF(B331&lt;6,"BS",IF(B331=6,"Exp","Rev"))</f>
        <v/>
      </c>
      <c r="B331">
        <f>_xlfn.NUMBERVALUE(LEFT(F331,1))</f>
        <v/>
      </c>
      <c r="C331">
        <f>Left(F331,2)</f>
        <v/>
      </c>
      <c r="D331">
        <f>Left(F331,3)</f>
        <v/>
      </c>
      <c r="E331">
        <f>IF(F331="121",Left(F331,3)&amp;"0",Left(F331,4))</f>
        <v/>
      </c>
      <c r="F331" t="n">
        <v>71104001</v>
      </c>
      <c r="G331" t="s">
        <v>346</v>
      </c>
      <c r="H331" s="9" t="n">
        <v>-7216106.88</v>
      </c>
      <c r="I331" s="9" t="n">
        <v>6678785.36</v>
      </c>
      <c r="J331" s="9" t="n">
        <v>6678785.36</v>
      </c>
      <c r="K331" s="9" t="n">
        <v>-6678785.36</v>
      </c>
      <c r="L331" s="9">
        <f>K331-H331</f>
        <v/>
      </c>
      <c r="M331" s="32">
        <f>IFERROR(L331/H331," ")</f>
        <v/>
      </c>
      <c r="N331">
        <f>IF(A331="BS",IFERROR(VLOOKUP(TRIM($E331),'BS Mapping std'!$A:$D,4,0),VLOOKUP(TRIM($D331),'BS Mapping std'!$A:$D,4,0)),IFERROR(VLOOKUP(TRIM($E331),'PL mapping Std'!$A:$D,4,0),VLOOKUP(TRIM($D331),'PL mapping Std'!$A:$D,4,0)))</f>
        <v/>
      </c>
      <c r="O331">
        <f>_xlfn.IFERROR(VLOOKUP(E331,'F30 mapping'!A:C,3,0),VLOOKUP(D331,'F30 mapping'!A:C,3,0))</f>
        <v/>
      </c>
      <c r="P331">
        <f>_xlfn.IFERROR(IFERROR(VLOOKUP(E331,'F40 mapping'!A:C,3,0),VLOOKUP(D331,'F40 mapping'!A:C,3,0)),0)</f>
        <v/>
      </c>
      <c r="Q331">
        <f>_xlfn.IFERROR(IFERROR(VLOOKUP(E331,'F40 mapping'!A:D,4,0),VLOOKUP(D331,'F40 mapping'!A:D,4,0)),0)</f>
        <v/>
      </c>
      <c r="R331">
        <f>_xlfn.IFERROR(IFERROR(VLOOKUP(E331,'F40 mapping'!A:E,5,0),VLOOKUP(D331,'F40 mapping'!A:E,5,0)),0)</f>
        <v/>
      </c>
      <c r="S331">
        <f>_xlfn.IF(B331&lt;6,IFERROR(VLOOKUP(E331,'BS Mapping std'!A:E,5,0),VLOOKUP(D331,'BS Mapping std'!A:E,5,0)),IFERROR(VLOOKUP(E331,'PL mapping Std'!A:F,6,0),VLOOKUP(D331,'PL mapping Std'!A:F,6,0)))</f>
        <v/>
      </c>
      <c r="T331">
        <f>_xlfn.IF(B331&lt;6,IFERROR(VLOOKUP(E331,'BS Mapping std'!A:F,6,0),VLOOKUP(D331,'BS Mapping std'!A:F,6,0)),IFERROR(VLOOKUP(E331,'PL mapping Std'!A:G,7,0),VLOOKUP(D331,'PL mapping Std'!A:G,7,0)))</f>
        <v/>
      </c>
      <c r="V331">
        <f>IF(IF(A331="BS",IFERROR(VLOOKUP(TRIM($E331),'BS Mapping std'!$A:$H,8,0),VLOOKUP(TRIM($D331),'BS Mapping std'!$A:$H,8,0)),IFERROR(VLOOKUP(TRIM($E331),'PL mapping Std'!$A:$E,5,0),VLOOKUP(TRIM($D331),'PL mapping Std'!$A:$E,5,0)))=0,"",IF(A331="BS",IFERROR(VLOOKUP(TRIM($E331),'BS Mapping std'!$A:$H,8,0),VLOOKUP(TRIM($D331),'BS Mapping std'!$A:$H,8,0)),IFERROR(VLOOKUP(TRIM($E331),'PL mapping Std'!$A:$E,5,0),VLOOKUP(TRIM($D331),'PL mapping Std'!$A:$E,5,0))))</f>
        <v/>
      </c>
      <c r="W331">
        <f>_xlfn.IFERROR(VLOOKUP(E331,'F30 mapping'!A:D,4,0),VLOOKUP(D331,'F30 mapping'!A:D,4,0))</f>
        <v/>
      </c>
      <c r="X331">
        <f>IF(B331&lt;6,IFERROR(VLOOKUP(E331,'BS Mapping std'!A:M,13,0),VLOOKUP(D331,'BS Mapping std'!A:M,13,0)),0)</f>
        <v/>
      </c>
      <c r="Y331">
        <f>IF(B331&lt;6,IFERROR(VLOOKUP(E331,'BS Mapping std'!A:N,14,0),VLOOKUP(D331,'BS Mapping std'!A:N,14,0)),0)</f>
        <v/>
      </c>
    </row>
    <row r="332" spans="1:25">
      <c r="A332">
        <f>IF(B332&lt;6,"BS",IF(B332=6,"Exp","Rev"))</f>
        <v/>
      </c>
      <c r="B332">
        <f>_xlfn.NUMBERVALUE(LEFT(F332,1))</f>
        <v/>
      </c>
      <c r="C332">
        <f>Left(F332,2)</f>
        <v/>
      </c>
      <c r="D332">
        <f>Left(F332,3)</f>
        <v/>
      </c>
      <c r="E332">
        <f>IF(F332="121",Left(F332,3)&amp;"0",Left(F332,4))</f>
        <v/>
      </c>
      <c r="F332" t="n">
        <v>71104002</v>
      </c>
      <c r="G332" t="s">
        <v>347</v>
      </c>
      <c r="H332" s="9" t="n">
        <v>-5944075.859999999</v>
      </c>
      <c r="I332" s="9" t="n">
        <v>9249561.02</v>
      </c>
      <c r="J332" s="9" t="n">
        <v>9249561.02</v>
      </c>
      <c r="K332" s="9" t="n">
        <v>-9249561.02</v>
      </c>
      <c r="L332" s="9">
        <f>K332-H332</f>
        <v/>
      </c>
      <c r="M332" s="32">
        <f>IFERROR(L332/H332," ")</f>
        <v/>
      </c>
      <c r="N332">
        <f>IF(A332="BS",IFERROR(VLOOKUP(TRIM($E332),'BS Mapping std'!$A:$D,4,0),VLOOKUP(TRIM($D332),'BS Mapping std'!$A:$D,4,0)),IFERROR(VLOOKUP(TRIM($E332),'PL mapping Std'!$A:$D,4,0),VLOOKUP(TRIM($D332),'PL mapping Std'!$A:$D,4,0)))</f>
        <v/>
      </c>
      <c r="O332">
        <f>_xlfn.IFERROR(VLOOKUP(E332,'F30 mapping'!A:C,3,0),VLOOKUP(D332,'F30 mapping'!A:C,3,0))</f>
        <v/>
      </c>
      <c r="P332">
        <f>_xlfn.IFERROR(IFERROR(VLOOKUP(E332,'F40 mapping'!A:C,3,0),VLOOKUP(D332,'F40 mapping'!A:C,3,0)),0)</f>
        <v/>
      </c>
      <c r="Q332">
        <f>_xlfn.IFERROR(IFERROR(VLOOKUP(E332,'F40 mapping'!A:D,4,0),VLOOKUP(D332,'F40 mapping'!A:D,4,0)),0)</f>
        <v/>
      </c>
      <c r="R332">
        <f>_xlfn.IFERROR(IFERROR(VLOOKUP(E332,'F40 mapping'!A:E,5,0),VLOOKUP(D332,'F40 mapping'!A:E,5,0)),0)</f>
        <v/>
      </c>
      <c r="S332">
        <f>_xlfn.IF(B332&lt;6,IFERROR(VLOOKUP(E332,'BS Mapping std'!A:E,5,0),VLOOKUP(D332,'BS Mapping std'!A:E,5,0)),IFERROR(VLOOKUP(E332,'PL mapping Std'!A:F,6,0),VLOOKUP(D332,'PL mapping Std'!A:F,6,0)))</f>
        <v/>
      </c>
      <c r="T332">
        <f>_xlfn.IF(B332&lt;6,IFERROR(VLOOKUP(E332,'BS Mapping std'!A:F,6,0),VLOOKUP(D332,'BS Mapping std'!A:F,6,0)),IFERROR(VLOOKUP(E332,'PL mapping Std'!A:G,7,0),VLOOKUP(D332,'PL mapping Std'!A:G,7,0)))</f>
        <v/>
      </c>
      <c r="V332">
        <f>IF(IF(A332="BS",IFERROR(VLOOKUP(TRIM($E332),'BS Mapping std'!$A:$H,8,0),VLOOKUP(TRIM($D332),'BS Mapping std'!$A:$H,8,0)),IFERROR(VLOOKUP(TRIM($E332),'PL mapping Std'!$A:$E,5,0),VLOOKUP(TRIM($D332),'PL mapping Std'!$A:$E,5,0)))=0,"",IF(A332="BS",IFERROR(VLOOKUP(TRIM($E332),'BS Mapping std'!$A:$H,8,0),VLOOKUP(TRIM($D332),'BS Mapping std'!$A:$H,8,0)),IFERROR(VLOOKUP(TRIM($E332),'PL mapping Std'!$A:$E,5,0),VLOOKUP(TRIM($D332),'PL mapping Std'!$A:$E,5,0))))</f>
        <v/>
      </c>
      <c r="W332">
        <f>_xlfn.IFERROR(VLOOKUP(E332,'F30 mapping'!A:D,4,0),VLOOKUP(D332,'F30 mapping'!A:D,4,0))</f>
        <v/>
      </c>
      <c r="X332">
        <f>IF(B332&lt;6,IFERROR(VLOOKUP(E332,'BS Mapping std'!A:M,13,0),VLOOKUP(D332,'BS Mapping std'!A:M,13,0)),0)</f>
        <v/>
      </c>
      <c r="Y332">
        <f>IF(B332&lt;6,IFERROR(VLOOKUP(E332,'BS Mapping std'!A:N,14,0),VLOOKUP(D332,'BS Mapping std'!A:N,14,0)),0)</f>
        <v/>
      </c>
    </row>
    <row r="333" spans="1:25">
      <c r="A333">
        <f>IF(B333&lt;6,"BS",IF(B333=6,"Exp","Rev"))</f>
        <v/>
      </c>
      <c r="B333">
        <f>_xlfn.NUMBERVALUE(LEFT(F333,1))</f>
        <v/>
      </c>
      <c r="C333">
        <f>Left(F333,2)</f>
        <v/>
      </c>
      <c r="D333">
        <f>Left(F333,3)</f>
        <v/>
      </c>
      <c r="E333">
        <f>IF(F333="121",Left(F333,3)&amp;"0",Left(F333,4))</f>
        <v/>
      </c>
      <c r="F333" t="n">
        <v>71104003</v>
      </c>
      <c r="G333" t="s">
        <v>348</v>
      </c>
      <c r="H333" s="9" t="n">
        <v>-157121.6599999999</v>
      </c>
      <c r="I333" s="9" t="n">
        <v>-76219.87</v>
      </c>
      <c r="J333" s="9" t="n">
        <v>-76219.87</v>
      </c>
      <c r="K333" s="9" t="n">
        <v>76219.87</v>
      </c>
      <c r="L333" s="9">
        <f>K333-H333</f>
        <v/>
      </c>
      <c r="M333" s="32">
        <f>IFERROR(L333/H333," ")</f>
        <v/>
      </c>
      <c r="N333">
        <f>IF(A333="BS",IFERROR(VLOOKUP(TRIM($E333),'BS Mapping std'!$A:$D,4,0),VLOOKUP(TRIM($D333),'BS Mapping std'!$A:$D,4,0)),IFERROR(VLOOKUP(TRIM($E333),'PL mapping Std'!$A:$D,4,0),VLOOKUP(TRIM($D333),'PL mapping Std'!$A:$D,4,0)))</f>
        <v/>
      </c>
      <c r="O333">
        <f>_xlfn.IFERROR(VLOOKUP(E333,'F30 mapping'!A:C,3,0),VLOOKUP(D333,'F30 mapping'!A:C,3,0))</f>
        <v/>
      </c>
      <c r="P333">
        <f>_xlfn.IFERROR(IFERROR(VLOOKUP(E333,'F40 mapping'!A:C,3,0),VLOOKUP(D333,'F40 mapping'!A:C,3,0)),0)</f>
        <v/>
      </c>
      <c r="Q333">
        <f>_xlfn.IFERROR(IFERROR(VLOOKUP(E333,'F40 mapping'!A:D,4,0),VLOOKUP(D333,'F40 mapping'!A:D,4,0)),0)</f>
        <v/>
      </c>
      <c r="R333">
        <f>_xlfn.IFERROR(IFERROR(VLOOKUP(E333,'F40 mapping'!A:E,5,0),VLOOKUP(D333,'F40 mapping'!A:E,5,0)),0)</f>
        <v/>
      </c>
      <c r="S333">
        <f>_xlfn.IF(B333&lt;6,IFERROR(VLOOKUP(E333,'BS Mapping std'!A:E,5,0),VLOOKUP(D333,'BS Mapping std'!A:E,5,0)),IFERROR(VLOOKUP(E333,'PL mapping Std'!A:F,6,0),VLOOKUP(D333,'PL mapping Std'!A:F,6,0)))</f>
        <v/>
      </c>
      <c r="T333">
        <f>_xlfn.IF(B333&lt;6,IFERROR(VLOOKUP(E333,'BS Mapping std'!A:F,6,0),VLOOKUP(D333,'BS Mapping std'!A:F,6,0)),IFERROR(VLOOKUP(E333,'PL mapping Std'!A:G,7,0),VLOOKUP(D333,'PL mapping Std'!A:G,7,0)))</f>
        <v/>
      </c>
      <c r="V333">
        <f>IF(IF(A333="BS",IFERROR(VLOOKUP(TRIM($E333),'BS Mapping std'!$A:$H,8,0),VLOOKUP(TRIM($D333),'BS Mapping std'!$A:$H,8,0)),IFERROR(VLOOKUP(TRIM($E333),'PL mapping Std'!$A:$E,5,0),VLOOKUP(TRIM($D333),'PL mapping Std'!$A:$E,5,0)))=0,"",IF(A333="BS",IFERROR(VLOOKUP(TRIM($E333),'BS Mapping std'!$A:$H,8,0),VLOOKUP(TRIM($D333),'BS Mapping std'!$A:$H,8,0)),IFERROR(VLOOKUP(TRIM($E333),'PL mapping Std'!$A:$E,5,0),VLOOKUP(TRIM($D333),'PL mapping Std'!$A:$E,5,0))))</f>
        <v/>
      </c>
      <c r="W333">
        <f>_xlfn.IFERROR(VLOOKUP(E333,'F30 mapping'!A:D,4,0),VLOOKUP(D333,'F30 mapping'!A:D,4,0))</f>
        <v/>
      </c>
      <c r="X333">
        <f>IF(B333&lt;6,IFERROR(VLOOKUP(E333,'BS Mapping std'!A:M,13,0),VLOOKUP(D333,'BS Mapping std'!A:M,13,0)),0)</f>
        <v/>
      </c>
      <c r="Y333">
        <f>IF(B333&lt;6,IFERROR(VLOOKUP(E333,'BS Mapping std'!A:N,14,0),VLOOKUP(D333,'BS Mapping std'!A:N,14,0)),0)</f>
        <v/>
      </c>
    </row>
    <row r="334" spans="1:25">
      <c r="A334">
        <f>IF(B334&lt;6,"BS",IF(B334=6,"Exp","Rev"))</f>
        <v/>
      </c>
      <c r="B334">
        <f>_xlfn.NUMBERVALUE(LEFT(F334,1))</f>
        <v/>
      </c>
      <c r="C334">
        <f>Left(F334,2)</f>
        <v/>
      </c>
      <c r="D334">
        <f>Left(F334,3)</f>
        <v/>
      </c>
      <c r="E334">
        <f>IF(F334="121",Left(F334,3)&amp;"0",Left(F334,4))</f>
        <v/>
      </c>
      <c r="F334" t="n">
        <v>71105001</v>
      </c>
      <c r="G334" t="s">
        <v>349</v>
      </c>
      <c r="H334" s="9" t="n">
        <v>215973.15</v>
      </c>
      <c r="I334" s="9" t="n">
        <v>-6473487.61</v>
      </c>
      <c r="J334" s="9" t="n">
        <v>-6473487.61</v>
      </c>
      <c r="K334" s="9" t="n">
        <v>6473487.61</v>
      </c>
      <c r="L334" s="9">
        <f>K334-H334</f>
        <v/>
      </c>
      <c r="M334" s="32">
        <f>IFERROR(L334/H334," ")</f>
        <v/>
      </c>
      <c r="N334">
        <f>IF(A334="BS",IFERROR(VLOOKUP(TRIM($E334),'BS Mapping std'!$A:$D,4,0),VLOOKUP(TRIM($D334),'BS Mapping std'!$A:$D,4,0)),IFERROR(VLOOKUP(TRIM($E334),'PL mapping Std'!$A:$D,4,0),VLOOKUP(TRIM($D334),'PL mapping Std'!$A:$D,4,0)))</f>
        <v/>
      </c>
      <c r="O334">
        <f>_xlfn.IFERROR(VLOOKUP(E334,'F30 mapping'!A:C,3,0),VLOOKUP(D334,'F30 mapping'!A:C,3,0))</f>
        <v/>
      </c>
      <c r="P334">
        <f>_xlfn.IFERROR(IFERROR(VLOOKUP(E334,'F40 mapping'!A:C,3,0),VLOOKUP(D334,'F40 mapping'!A:C,3,0)),0)</f>
        <v/>
      </c>
      <c r="Q334">
        <f>_xlfn.IFERROR(IFERROR(VLOOKUP(E334,'F40 mapping'!A:D,4,0),VLOOKUP(D334,'F40 mapping'!A:D,4,0)),0)</f>
        <v/>
      </c>
      <c r="R334">
        <f>_xlfn.IFERROR(IFERROR(VLOOKUP(E334,'F40 mapping'!A:E,5,0),VLOOKUP(D334,'F40 mapping'!A:E,5,0)),0)</f>
        <v/>
      </c>
      <c r="S334">
        <f>_xlfn.IF(B334&lt;6,IFERROR(VLOOKUP(E334,'BS Mapping std'!A:E,5,0),VLOOKUP(D334,'BS Mapping std'!A:E,5,0)),IFERROR(VLOOKUP(E334,'PL mapping Std'!A:F,6,0),VLOOKUP(D334,'PL mapping Std'!A:F,6,0)))</f>
        <v/>
      </c>
      <c r="T334">
        <f>_xlfn.IF(B334&lt;6,IFERROR(VLOOKUP(E334,'BS Mapping std'!A:F,6,0),VLOOKUP(D334,'BS Mapping std'!A:F,6,0)),IFERROR(VLOOKUP(E334,'PL mapping Std'!A:G,7,0),VLOOKUP(D334,'PL mapping Std'!A:G,7,0)))</f>
        <v/>
      </c>
      <c r="V334">
        <f>IF(IF(A334="BS",IFERROR(VLOOKUP(TRIM($E334),'BS Mapping std'!$A:$H,8,0),VLOOKUP(TRIM($D334),'BS Mapping std'!$A:$H,8,0)),IFERROR(VLOOKUP(TRIM($E334),'PL mapping Std'!$A:$E,5,0),VLOOKUP(TRIM($D334),'PL mapping Std'!$A:$E,5,0)))=0,"",IF(A334="BS",IFERROR(VLOOKUP(TRIM($E334),'BS Mapping std'!$A:$H,8,0),VLOOKUP(TRIM($D334),'BS Mapping std'!$A:$H,8,0)),IFERROR(VLOOKUP(TRIM($E334),'PL mapping Std'!$A:$E,5,0),VLOOKUP(TRIM($D334),'PL mapping Std'!$A:$E,5,0))))</f>
        <v/>
      </c>
      <c r="W334">
        <f>_xlfn.IFERROR(VLOOKUP(E334,'F30 mapping'!A:D,4,0),VLOOKUP(D334,'F30 mapping'!A:D,4,0))</f>
        <v/>
      </c>
      <c r="X334">
        <f>IF(B334&lt;6,IFERROR(VLOOKUP(E334,'BS Mapping std'!A:M,13,0),VLOOKUP(D334,'BS Mapping std'!A:M,13,0)),0)</f>
        <v/>
      </c>
      <c r="Y334">
        <f>IF(B334&lt;6,IFERROR(VLOOKUP(E334,'BS Mapping std'!A:N,14,0),VLOOKUP(D334,'BS Mapping std'!A:N,14,0)),0)</f>
        <v/>
      </c>
    </row>
    <row r="335" spans="1:25">
      <c r="A335">
        <f>IF(B335&lt;6,"BS",IF(B335=6,"Exp","Rev"))</f>
        <v/>
      </c>
      <c r="B335">
        <f>_xlfn.NUMBERVALUE(LEFT(F335,1))</f>
        <v/>
      </c>
      <c r="C335">
        <f>Left(F335,2)</f>
        <v/>
      </c>
      <c r="D335">
        <f>Left(F335,3)</f>
        <v/>
      </c>
      <c r="E335">
        <f>IF(F335="121",Left(F335,3)&amp;"0",Left(F335,4))</f>
        <v/>
      </c>
      <c r="F335" t="n">
        <v>71108001</v>
      </c>
      <c r="G335" t="s">
        <v>350</v>
      </c>
      <c r="H335" s="9" t="n">
        <v>-505417.13</v>
      </c>
      <c r="I335" s="9" t="n">
        <v>1036268.33</v>
      </c>
      <c r="J335" s="9" t="n">
        <v>1036268.33</v>
      </c>
      <c r="K335" s="9" t="n">
        <v>-1036268.33</v>
      </c>
      <c r="L335" s="9">
        <f>K335-H335</f>
        <v/>
      </c>
      <c r="M335" s="32">
        <f>IFERROR(L335/H335," ")</f>
        <v/>
      </c>
      <c r="N335">
        <f>IF(A335="BS",IFERROR(VLOOKUP(TRIM($E335),'BS Mapping std'!$A:$D,4,0),VLOOKUP(TRIM($D335),'BS Mapping std'!$A:$D,4,0)),IFERROR(VLOOKUP(TRIM($E335),'PL mapping Std'!$A:$D,4,0),VLOOKUP(TRIM($D335),'PL mapping Std'!$A:$D,4,0)))</f>
        <v/>
      </c>
      <c r="O335">
        <f>_xlfn.IFERROR(VLOOKUP(E335,'F30 mapping'!A:C,3,0),VLOOKUP(D335,'F30 mapping'!A:C,3,0))</f>
        <v/>
      </c>
      <c r="P335">
        <f>_xlfn.IFERROR(IFERROR(VLOOKUP(E335,'F40 mapping'!A:C,3,0),VLOOKUP(D335,'F40 mapping'!A:C,3,0)),0)</f>
        <v/>
      </c>
      <c r="Q335">
        <f>_xlfn.IFERROR(IFERROR(VLOOKUP(E335,'F40 mapping'!A:D,4,0),VLOOKUP(D335,'F40 mapping'!A:D,4,0)),0)</f>
        <v/>
      </c>
      <c r="R335">
        <f>_xlfn.IFERROR(IFERROR(VLOOKUP(E335,'F40 mapping'!A:E,5,0),VLOOKUP(D335,'F40 mapping'!A:E,5,0)),0)</f>
        <v/>
      </c>
      <c r="S335">
        <f>_xlfn.IF(B335&lt;6,IFERROR(VLOOKUP(E335,'BS Mapping std'!A:E,5,0),VLOOKUP(D335,'BS Mapping std'!A:E,5,0)),IFERROR(VLOOKUP(E335,'PL mapping Std'!A:F,6,0),VLOOKUP(D335,'PL mapping Std'!A:F,6,0)))</f>
        <v/>
      </c>
      <c r="T335">
        <f>_xlfn.IF(B335&lt;6,IFERROR(VLOOKUP(E335,'BS Mapping std'!A:F,6,0),VLOOKUP(D335,'BS Mapping std'!A:F,6,0)),IFERROR(VLOOKUP(E335,'PL mapping Std'!A:G,7,0),VLOOKUP(D335,'PL mapping Std'!A:G,7,0)))</f>
        <v/>
      </c>
      <c r="V335">
        <f>IF(IF(A335="BS",IFERROR(VLOOKUP(TRIM($E335),'BS Mapping std'!$A:$H,8,0),VLOOKUP(TRIM($D335),'BS Mapping std'!$A:$H,8,0)),IFERROR(VLOOKUP(TRIM($E335),'PL mapping Std'!$A:$E,5,0),VLOOKUP(TRIM($D335),'PL mapping Std'!$A:$E,5,0)))=0,"",IF(A335="BS",IFERROR(VLOOKUP(TRIM($E335),'BS Mapping std'!$A:$H,8,0),VLOOKUP(TRIM($D335),'BS Mapping std'!$A:$H,8,0)),IFERROR(VLOOKUP(TRIM($E335),'PL mapping Std'!$A:$E,5,0),VLOOKUP(TRIM($D335),'PL mapping Std'!$A:$E,5,0))))</f>
        <v/>
      </c>
      <c r="W335">
        <f>_xlfn.IFERROR(VLOOKUP(E335,'F30 mapping'!A:D,4,0),VLOOKUP(D335,'F30 mapping'!A:D,4,0))</f>
        <v/>
      </c>
      <c r="X335">
        <f>IF(B335&lt;6,IFERROR(VLOOKUP(E335,'BS Mapping std'!A:M,13,0),VLOOKUP(D335,'BS Mapping std'!A:M,13,0)),0)</f>
        <v/>
      </c>
      <c r="Y335">
        <f>IF(B335&lt;6,IFERROR(VLOOKUP(E335,'BS Mapping std'!A:N,14,0),VLOOKUP(D335,'BS Mapping std'!A:N,14,0)),0)</f>
        <v/>
      </c>
    </row>
    <row r="336" spans="1:25">
      <c r="A336">
        <f>IF(B336&lt;6,"BS",IF(B336=6,"Exp","Rev"))</f>
        <v/>
      </c>
      <c r="B336">
        <f>_xlfn.NUMBERVALUE(LEFT(F336,1))</f>
        <v/>
      </c>
      <c r="C336">
        <f>Left(F336,2)</f>
        <v/>
      </c>
      <c r="D336">
        <f>Left(F336,3)</f>
        <v/>
      </c>
      <c r="E336">
        <f>IF(F336="121",Left(F336,3)&amp;"0",Left(F336,4))</f>
        <v/>
      </c>
      <c r="F336" t="n">
        <v>71108002</v>
      </c>
      <c r="G336" t="s">
        <v>351</v>
      </c>
      <c r="H336" s="9" t="n">
        <v>7220293.120000001</v>
      </c>
      <c r="I336" s="9" t="n">
        <v>-6679875.199999999</v>
      </c>
      <c r="J336" s="9" t="n">
        <v>-6679875.199999999</v>
      </c>
      <c r="K336" s="9" t="n">
        <v>6679875.199999999</v>
      </c>
      <c r="L336" s="9">
        <f>K336-H336</f>
        <v/>
      </c>
      <c r="M336" s="32">
        <f>IFERROR(L336/H336," ")</f>
        <v/>
      </c>
      <c r="N336">
        <f>IF(A336="BS",IFERROR(VLOOKUP(TRIM($E336),'BS Mapping std'!$A:$D,4,0),VLOOKUP(TRIM($D336),'BS Mapping std'!$A:$D,4,0)),IFERROR(VLOOKUP(TRIM($E336),'PL mapping Std'!$A:$D,4,0),VLOOKUP(TRIM($D336),'PL mapping Std'!$A:$D,4,0)))</f>
        <v/>
      </c>
      <c r="O336">
        <f>_xlfn.IFERROR(VLOOKUP(E336,'F30 mapping'!A:C,3,0),VLOOKUP(D336,'F30 mapping'!A:C,3,0))</f>
        <v/>
      </c>
      <c r="P336">
        <f>_xlfn.IFERROR(IFERROR(VLOOKUP(E336,'F40 mapping'!A:C,3,0),VLOOKUP(D336,'F40 mapping'!A:C,3,0)),0)</f>
        <v/>
      </c>
      <c r="Q336">
        <f>_xlfn.IFERROR(IFERROR(VLOOKUP(E336,'F40 mapping'!A:D,4,0),VLOOKUP(D336,'F40 mapping'!A:D,4,0)),0)</f>
        <v/>
      </c>
      <c r="R336">
        <f>_xlfn.IFERROR(IFERROR(VLOOKUP(E336,'F40 mapping'!A:E,5,0),VLOOKUP(D336,'F40 mapping'!A:E,5,0)),0)</f>
        <v/>
      </c>
      <c r="S336">
        <f>_xlfn.IF(B336&lt;6,IFERROR(VLOOKUP(E336,'BS Mapping std'!A:E,5,0),VLOOKUP(D336,'BS Mapping std'!A:E,5,0)),IFERROR(VLOOKUP(E336,'PL mapping Std'!A:F,6,0),VLOOKUP(D336,'PL mapping Std'!A:F,6,0)))</f>
        <v/>
      </c>
      <c r="T336">
        <f>_xlfn.IF(B336&lt;6,IFERROR(VLOOKUP(E336,'BS Mapping std'!A:F,6,0),VLOOKUP(D336,'BS Mapping std'!A:F,6,0)),IFERROR(VLOOKUP(E336,'PL mapping Std'!A:G,7,0),VLOOKUP(D336,'PL mapping Std'!A:G,7,0)))</f>
        <v/>
      </c>
      <c r="V336">
        <f>IF(IF(A336="BS",IFERROR(VLOOKUP(TRIM($E336),'BS Mapping std'!$A:$H,8,0),VLOOKUP(TRIM($D336),'BS Mapping std'!$A:$H,8,0)),IFERROR(VLOOKUP(TRIM($E336),'PL mapping Std'!$A:$E,5,0),VLOOKUP(TRIM($D336),'PL mapping Std'!$A:$E,5,0)))=0,"",IF(A336="BS",IFERROR(VLOOKUP(TRIM($E336),'BS Mapping std'!$A:$H,8,0),VLOOKUP(TRIM($D336),'BS Mapping std'!$A:$H,8,0)),IFERROR(VLOOKUP(TRIM($E336),'PL mapping Std'!$A:$E,5,0),VLOOKUP(TRIM($D336),'PL mapping Std'!$A:$E,5,0))))</f>
        <v/>
      </c>
      <c r="W336">
        <f>_xlfn.IFERROR(VLOOKUP(E336,'F30 mapping'!A:D,4,0),VLOOKUP(D336,'F30 mapping'!A:D,4,0))</f>
        <v/>
      </c>
      <c r="X336">
        <f>IF(B336&lt;6,IFERROR(VLOOKUP(E336,'BS Mapping std'!A:M,13,0),VLOOKUP(D336,'BS Mapping std'!A:M,13,0)),0)</f>
        <v/>
      </c>
      <c r="Y336">
        <f>IF(B336&lt;6,IFERROR(VLOOKUP(E336,'BS Mapping std'!A:N,14,0),VLOOKUP(D336,'BS Mapping std'!A:N,14,0)),0)</f>
        <v/>
      </c>
    </row>
    <row r="337" spans="1:25">
      <c r="A337">
        <f>IF(B337&lt;6,"BS",IF(B337=6,"Exp","Rev"))</f>
        <v/>
      </c>
      <c r="B337">
        <f>_xlfn.NUMBERVALUE(LEFT(F337,1))</f>
        <v/>
      </c>
      <c r="C337">
        <f>Left(F337,2)</f>
        <v/>
      </c>
      <c r="D337">
        <f>Left(F337,3)</f>
        <v/>
      </c>
      <c r="E337">
        <f>IF(F337="121",Left(F337,3)&amp;"0",Left(F337,4))</f>
        <v/>
      </c>
      <c r="F337" t="n">
        <v>71108011</v>
      </c>
      <c r="G337" t="s">
        <v>352</v>
      </c>
      <c r="H337" s="9" t="n">
        <v>163426.3099999999</v>
      </c>
      <c r="I337" s="9" t="n">
        <v>74426.82999999996</v>
      </c>
      <c r="J337" s="9" t="n">
        <v>74426.82999999996</v>
      </c>
      <c r="K337" s="9" t="n">
        <v>-74426.82999999996</v>
      </c>
      <c r="L337" s="9">
        <f>K337-H337</f>
        <v/>
      </c>
      <c r="M337" s="32">
        <f>IFERROR(L337/H337," ")</f>
        <v/>
      </c>
      <c r="N337">
        <f>IF(A337="BS",IFERROR(VLOOKUP(TRIM($E337),'BS Mapping std'!$A:$D,4,0),VLOOKUP(TRIM($D337),'BS Mapping std'!$A:$D,4,0)),IFERROR(VLOOKUP(TRIM($E337),'PL mapping Std'!$A:$D,4,0),VLOOKUP(TRIM($D337),'PL mapping Std'!$A:$D,4,0)))</f>
        <v/>
      </c>
      <c r="O337">
        <f>_xlfn.IFERROR(VLOOKUP(E337,'F30 mapping'!A:C,3,0),VLOOKUP(D337,'F30 mapping'!A:C,3,0))</f>
        <v/>
      </c>
      <c r="P337">
        <f>_xlfn.IFERROR(IFERROR(VLOOKUP(E337,'F40 mapping'!A:C,3,0),VLOOKUP(D337,'F40 mapping'!A:C,3,0)),0)</f>
        <v/>
      </c>
      <c r="Q337">
        <f>_xlfn.IFERROR(IFERROR(VLOOKUP(E337,'F40 mapping'!A:D,4,0),VLOOKUP(D337,'F40 mapping'!A:D,4,0)),0)</f>
        <v/>
      </c>
      <c r="R337">
        <f>_xlfn.IFERROR(IFERROR(VLOOKUP(E337,'F40 mapping'!A:E,5,0),VLOOKUP(D337,'F40 mapping'!A:E,5,0)),0)</f>
        <v/>
      </c>
      <c r="S337">
        <f>_xlfn.IF(B337&lt;6,IFERROR(VLOOKUP(E337,'BS Mapping std'!A:E,5,0),VLOOKUP(D337,'BS Mapping std'!A:E,5,0)),IFERROR(VLOOKUP(E337,'PL mapping Std'!A:F,6,0),VLOOKUP(D337,'PL mapping Std'!A:F,6,0)))</f>
        <v/>
      </c>
      <c r="T337">
        <f>_xlfn.IF(B337&lt;6,IFERROR(VLOOKUP(E337,'BS Mapping std'!A:F,6,0),VLOOKUP(D337,'BS Mapping std'!A:F,6,0)),IFERROR(VLOOKUP(E337,'PL mapping Std'!A:G,7,0),VLOOKUP(D337,'PL mapping Std'!A:G,7,0)))</f>
        <v/>
      </c>
      <c r="V337">
        <f>IF(IF(A337="BS",IFERROR(VLOOKUP(TRIM($E337),'BS Mapping std'!$A:$H,8,0),VLOOKUP(TRIM($D337),'BS Mapping std'!$A:$H,8,0)),IFERROR(VLOOKUP(TRIM($E337),'PL mapping Std'!$A:$E,5,0),VLOOKUP(TRIM($D337),'PL mapping Std'!$A:$E,5,0)))=0,"",IF(A337="BS",IFERROR(VLOOKUP(TRIM($E337),'BS Mapping std'!$A:$H,8,0),VLOOKUP(TRIM($D337),'BS Mapping std'!$A:$H,8,0)),IFERROR(VLOOKUP(TRIM($E337),'PL mapping Std'!$A:$E,5,0),VLOOKUP(TRIM($D337),'PL mapping Std'!$A:$E,5,0))))</f>
        <v/>
      </c>
      <c r="W337">
        <f>_xlfn.IFERROR(VLOOKUP(E337,'F30 mapping'!A:D,4,0),VLOOKUP(D337,'F30 mapping'!A:D,4,0))</f>
        <v/>
      </c>
      <c r="X337">
        <f>IF(B337&lt;6,IFERROR(VLOOKUP(E337,'BS Mapping std'!A:M,13,0),VLOOKUP(D337,'BS Mapping std'!A:M,13,0)),0)</f>
        <v/>
      </c>
      <c r="Y337">
        <f>IF(B337&lt;6,IFERROR(VLOOKUP(E337,'BS Mapping std'!A:N,14,0),VLOOKUP(D337,'BS Mapping std'!A:N,14,0)),0)</f>
        <v/>
      </c>
    </row>
    <row r="338" spans="1:25">
      <c r="A338">
        <f>IF(B338&lt;6,"BS",IF(B338=6,"Exp","Rev"))</f>
        <v/>
      </c>
      <c r="B338">
        <f>_xlfn.NUMBERVALUE(LEFT(F338,1))</f>
        <v/>
      </c>
      <c r="C338">
        <f>Left(F338,2)</f>
        <v/>
      </c>
      <c r="D338">
        <f>Left(F338,3)</f>
        <v/>
      </c>
      <c r="E338">
        <f>IF(F338="121",Left(F338,3)&amp;"0",Left(F338,4))</f>
        <v/>
      </c>
      <c r="F338" t="n">
        <v>71108020</v>
      </c>
      <c r="G338" t="s">
        <v>353</v>
      </c>
      <c r="H338" s="9" t="n">
        <v>317877.91</v>
      </c>
      <c r="I338" s="9" t="n">
        <v>-462687.71</v>
      </c>
      <c r="J338" s="9" t="n">
        <v>-462687.71</v>
      </c>
      <c r="K338" s="9" t="n">
        <v>462687.71</v>
      </c>
      <c r="L338" s="9">
        <f>K338-H338</f>
        <v/>
      </c>
      <c r="M338" s="32">
        <f>IFERROR(L338/H338," ")</f>
        <v/>
      </c>
      <c r="N338">
        <f>IF(A338="BS",IFERROR(VLOOKUP(TRIM($E338),'BS Mapping std'!$A:$D,4,0),VLOOKUP(TRIM($D338),'BS Mapping std'!$A:$D,4,0)),IFERROR(VLOOKUP(TRIM($E338),'PL mapping Std'!$A:$D,4,0),VLOOKUP(TRIM($D338),'PL mapping Std'!$A:$D,4,0)))</f>
        <v/>
      </c>
      <c r="O338">
        <f>_xlfn.IFERROR(VLOOKUP(E338,'F30 mapping'!A:C,3,0),VLOOKUP(D338,'F30 mapping'!A:C,3,0))</f>
        <v/>
      </c>
      <c r="P338">
        <f>_xlfn.IFERROR(IFERROR(VLOOKUP(E338,'F40 mapping'!A:C,3,0),VLOOKUP(D338,'F40 mapping'!A:C,3,0)),0)</f>
        <v/>
      </c>
      <c r="Q338">
        <f>_xlfn.IFERROR(IFERROR(VLOOKUP(E338,'F40 mapping'!A:D,4,0),VLOOKUP(D338,'F40 mapping'!A:D,4,0)),0)</f>
        <v/>
      </c>
      <c r="R338">
        <f>_xlfn.IFERROR(IFERROR(VLOOKUP(E338,'F40 mapping'!A:E,5,0),VLOOKUP(D338,'F40 mapping'!A:E,5,0)),0)</f>
        <v/>
      </c>
      <c r="S338">
        <f>_xlfn.IF(B338&lt;6,IFERROR(VLOOKUP(E338,'BS Mapping std'!A:E,5,0),VLOOKUP(D338,'BS Mapping std'!A:E,5,0)),IFERROR(VLOOKUP(E338,'PL mapping Std'!A:F,6,0),VLOOKUP(D338,'PL mapping Std'!A:F,6,0)))</f>
        <v/>
      </c>
      <c r="T338">
        <f>_xlfn.IF(B338&lt;6,IFERROR(VLOOKUP(E338,'BS Mapping std'!A:F,6,0),VLOOKUP(D338,'BS Mapping std'!A:F,6,0)),IFERROR(VLOOKUP(E338,'PL mapping Std'!A:G,7,0),VLOOKUP(D338,'PL mapping Std'!A:G,7,0)))</f>
        <v/>
      </c>
      <c r="V338">
        <f>IF(IF(A338="BS",IFERROR(VLOOKUP(TRIM($E338),'BS Mapping std'!$A:$H,8,0),VLOOKUP(TRIM($D338),'BS Mapping std'!$A:$H,8,0)),IFERROR(VLOOKUP(TRIM($E338),'PL mapping Std'!$A:$E,5,0),VLOOKUP(TRIM($D338),'PL mapping Std'!$A:$E,5,0)))=0,"",IF(A338="BS",IFERROR(VLOOKUP(TRIM($E338),'BS Mapping std'!$A:$H,8,0),VLOOKUP(TRIM($D338),'BS Mapping std'!$A:$H,8,0)),IFERROR(VLOOKUP(TRIM($E338),'PL mapping Std'!$A:$E,5,0),VLOOKUP(TRIM($D338),'PL mapping Std'!$A:$E,5,0))))</f>
        <v/>
      </c>
      <c r="W338">
        <f>_xlfn.IFERROR(VLOOKUP(E338,'F30 mapping'!A:D,4,0),VLOOKUP(D338,'F30 mapping'!A:D,4,0))</f>
        <v/>
      </c>
      <c r="X338">
        <f>IF(B338&lt;6,IFERROR(VLOOKUP(E338,'BS Mapping std'!A:M,13,0),VLOOKUP(D338,'BS Mapping std'!A:M,13,0)),0)</f>
        <v/>
      </c>
      <c r="Y338">
        <f>IF(B338&lt;6,IFERROR(VLOOKUP(E338,'BS Mapping std'!A:N,14,0),VLOOKUP(D338,'BS Mapping std'!A:N,14,0)),0)</f>
        <v/>
      </c>
    </row>
    <row r="339" spans="1:25">
      <c r="A339">
        <f>IF(B339&lt;6,"BS",IF(B339=6,"Exp","Rev"))</f>
        <v/>
      </c>
      <c r="B339">
        <f>_xlfn.NUMBERVALUE(LEFT(F339,1))</f>
        <v/>
      </c>
      <c r="C339">
        <f>Left(F339,2)</f>
        <v/>
      </c>
      <c r="D339">
        <f>Left(F339,3)</f>
        <v/>
      </c>
      <c r="E339">
        <f>IF(F339="121",Left(F339,3)&amp;"0",Left(F339,4))</f>
        <v/>
      </c>
      <c r="F339" t="n">
        <v>71108021</v>
      </c>
      <c r="G339" t="s">
        <v>354</v>
      </c>
      <c r="H339" s="9" t="n">
        <v>322862.31</v>
      </c>
      <c r="I339" s="9" t="n">
        <v>-34406.72</v>
      </c>
      <c r="J339" s="9" t="n">
        <v>-34406.72</v>
      </c>
      <c r="K339" s="9" t="n">
        <v>34406.72</v>
      </c>
      <c r="L339" s="9">
        <f>K339-H339</f>
        <v/>
      </c>
      <c r="M339" s="32">
        <f>IFERROR(L339/H339," ")</f>
        <v/>
      </c>
      <c r="N339">
        <f>IF(A339="BS",IFERROR(VLOOKUP(TRIM($E339),'BS Mapping std'!$A:$D,4,0),VLOOKUP(TRIM($D339),'BS Mapping std'!$A:$D,4,0)),IFERROR(VLOOKUP(TRIM($E339),'PL mapping Std'!$A:$D,4,0),VLOOKUP(TRIM($D339),'PL mapping Std'!$A:$D,4,0)))</f>
        <v/>
      </c>
      <c r="O339">
        <f>_xlfn.IFERROR(VLOOKUP(E339,'F30 mapping'!A:C,3,0),VLOOKUP(D339,'F30 mapping'!A:C,3,0))</f>
        <v/>
      </c>
      <c r="P339">
        <f>_xlfn.IFERROR(IFERROR(VLOOKUP(E339,'F40 mapping'!A:C,3,0),VLOOKUP(D339,'F40 mapping'!A:C,3,0)),0)</f>
        <v/>
      </c>
      <c r="Q339">
        <f>_xlfn.IFERROR(IFERROR(VLOOKUP(E339,'F40 mapping'!A:D,4,0),VLOOKUP(D339,'F40 mapping'!A:D,4,0)),0)</f>
        <v/>
      </c>
      <c r="R339">
        <f>_xlfn.IFERROR(IFERROR(VLOOKUP(E339,'F40 mapping'!A:E,5,0),VLOOKUP(D339,'F40 mapping'!A:E,5,0)),0)</f>
        <v/>
      </c>
      <c r="S339">
        <f>_xlfn.IF(B339&lt;6,IFERROR(VLOOKUP(E339,'BS Mapping std'!A:E,5,0),VLOOKUP(D339,'BS Mapping std'!A:E,5,0)),IFERROR(VLOOKUP(E339,'PL mapping Std'!A:F,6,0),VLOOKUP(D339,'PL mapping Std'!A:F,6,0)))</f>
        <v/>
      </c>
      <c r="T339">
        <f>_xlfn.IF(B339&lt;6,IFERROR(VLOOKUP(E339,'BS Mapping std'!A:F,6,0),VLOOKUP(D339,'BS Mapping std'!A:F,6,0)),IFERROR(VLOOKUP(E339,'PL mapping Std'!A:G,7,0),VLOOKUP(D339,'PL mapping Std'!A:G,7,0)))</f>
        <v/>
      </c>
      <c r="V339">
        <f>IF(IF(A339="BS",IFERROR(VLOOKUP(TRIM($E339),'BS Mapping std'!$A:$H,8,0),VLOOKUP(TRIM($D339),'BS Mapping std'!$A:$H,8,0)),IFERROR(VLOOKUP(TRIM($E339),'PL mapping Std'!$A:$E,5,0),VLOOKUP(TRIM($D339),'PL mapping Std'!$A:$E,5,0)))=0,"",IF(A339="BS",IFERROR(VLOOKUP(TRIM($E339),'BS Mapping std'!$A:$H,8,0),VLOOKUP(TRIM($D339),'BS Mapping std'!$A:$H,8,0)),IFERROR(VLOOKUP(TRIM($E339),'PL mapping Std'!$A:$E,5,0),VLOOKUP(TRIM($D339),'PL mapping Std'!$A:$E,5,0))))</f>
        <v/>
      </c>
      <c r="W339">
        <f>_xlfn.IFERROR(VLOOKUP(E339,'F30 mapping'!A:D,4,0),VLOOKUP(D339,'F30 mapping'!A:D,4,0))</f>
        <v/>
      </c>
      <c r="X339">
        <f>IF(B339&lt;6,IFERROR(VLOOKUP(E339,'BS Mapping std'!A:M,13,0),VLOOKUP(D339,'BS Mapping std'!A:M,13,0)),0)</f>
        <v/>
      </c>
      <c r="Y339">
        <f>IF(B339&lt;6,IFERROR(VLOOKUP(E339,'BS Mapping std'!A:N,14,0),VLOOKUP(D339,'BS Mapping std'!A:N,14,0)),0)</f>
        <v/>
      </c>
    </row>
    <row r="340" spans="1:25">
      <c r="A340">
        <f>IF(B340&lt;6,"BS",IF(B340=6,"Exp","Rev"))</f>
        <v/>
      </c>
      <c r="B340">
        <f>_xlfn.NUMBERVALUE(LEFT(F340,1))</f>
        <v/>
      </c>
      <c r="C340">
        <f>Left(F340,2)</f>
        <v/>
      </c>
      <c r="D340">
        <f>Left(F340,3)</f>
        <v/>
      </c>
      <c r="E340">
        <f>IF(F340="121",Left(F340,3)&amp;"0",Left(F340,4))</f>
        <v/>
      </c>
      <c r="F340" t="n">
        <v>71108023</v>
      </c>
      <c r="G340" t="s">
        <v>355</v>
      </c>
      <c r="H340" s="9" t="n">
        <v>6453.77</v>
      </c>
      <c r="I340" s="9" t="n">
        <v>-699.67</v>
      </c>
      <c r="J340" s="9" t="n">
        <v>-699.67</v>
      </c>
      <c r="K340" s="9" t="n">
        <v>699.67</v>
      </c>
      <c r="L340" s="9">
        <f>K340-H340</f>
        <v/>
      </c>
      <c r="M340" s="32">
        <f>IFERROR(L340/H340," ")</f>
        <v/>
      </c>
      <c r="N340">
        <f>IF(A340="BS",IFERROR(VLOOKUP(TRIM($E340),'BS Mapping std'!$A:$D,4,0),VLOOKUP(TRIM($D340),'BS Mapping std'!$A:$D,4,0)),IFERROR(VLOOKUP(TRIM($E340),'PL mapping Std'!$A:$D,4,0),VLOOKUP(TRIM($D340),'PL mapping Std'!$A:$D,4,0)))</f>
        <v/>
      </c>
      <c r="O340">
        <f>_xlfn.IFERROR(VLOOKUP(E340,'F30 mapping'!A:C,3,0),VLOOKUP(D340,'F30 mapping'!A:C,3,0))</f>
        <v/>
      </c>
      <c r="P340">
        <f>_xlfn.IFERROR(IFERROR(VLOOKUP(E340,'F40 mapping'!A:C,3,0),VLOOKUP(D340,'F40 mapping'!A:C,3,0)),0)</f>
        <v/>
      </c>
      <c r="Q340">
        <f>_xlfn.IFERROR(IFERROR(VLOOKUP(E340,'F40 mapping'!A:D,4,0),VLOOKUP(D340,'F40 mapping'!A:D,4,0)),0)</f>
        <v/>
      </c>
      <c r="R340">
        <f>_xlfn.IFERROR(IFERROR(VLOOKUP(E340,'F40 mapping'!A:E,5,0),VLOOKUP(D340,'F40 mapping'!A:E,5,0)),0)</f>
        <v/>
      </c>
      <c r="S340">
        <f>_xlfn.IF(B340&lt;6,IFERROR(VLOOKUP(E340,'BS Mapping std'!A:E,5,0),VLOOKUP(D340,'BS Mapping std'!A:E,5,0)),IFERROR(VLOOKUP(E340,'PL mapping Std'!A:F,6,0),VLOOKUP(D340,'PL mapping Std'!A:F,6,0)))</f>
        <v/>
      </c>
      <c r="T340">
        <f>_xlfn.IF(B340&lt;6,IFERROR(VLOOKUP(E340,'BS Mapping std'!A:F,6,0),VLOOKUP(D340,'BS Mapping std'!A:F,6,0)),IFERROR(VLOOKUP(E340,'PL mapping Std'!A:G,7,0),VLOOKUP(D340,'PL mapping Std'!A:G,7,0)))</f>
        <v/>
      </c>
      <c r="V340">
        <f>IF(IF(A340="BS",IFERROR(VLOOKUP(TRIM($E340),'BS Mapping std'!$A:$H,8,0),VLOOKUP(TRIM($D340),'BS Mapping std'!$A:$H,8,0)),IFERROR(VLOOKUP(TRIM($E340),'PL mapping Std'!$A:$E,5,0),VLOOKUP(TRIM($D340),'PL mapping Std'!$A:$E,5,0)))=0,"",IF(A340="BS",IFERROR(VLOOKUP(TRIM($E340),'BS Mapping std'!$A:$H,8,0),VLOOKUP(TRIM($D340),'BS Mapping std'!$A:$H,8,0)),IFERROR(VLOOKUP(TRIM($E340),'PL mapping Std'!$A:$E,5,0),VLOOKUP(TRIM($D340),'PL mapping Std'!$A:$E,5,0))))</f>
        <v/>
      </c>
      <c r="W340">
        <f>_xlfn.IFERROR(VLOOKUP(E340,'F30 mapping'!A:D,4,0),VLOOKUP(D340,'F30 mapping'!A:D,4,0))</f>
        <v/>
      </c>
      <c r="X340">
        <f>IF(B340&lt;6,IFERROR(VLOOKUP(E340,'BS Mapping std'!A:M,13,0),VLOOKUP(D340,'BS Mapping std'!A:M,13,0)),0)</f>
        <v/>
      </c>
      <c r="Y340">
        <f>IF(B340&lt;6,IFERROR(VLOOKUP(E340,'BS Mapping std'!A:N,14,0),VLOOKUP(D340,'BS Mapping std'!A:N,14,0)),0)</f>
        <v/>
      </c>
    </row>
    <row r="341" spans="1:25">
      <c r="A341">
        <f>IF(B341&lt;6,"BS",IF(B341=6,"Exp","Rev"))</f>
        <v/>
      </c>
      <c r="B341">
        <f>_xlfn.NUMBERVALUE(LEFT(F341,1))</f>
        <v/>
      </c>
      <c r="C341">
        <f>Left(F341,2)</f>
        <v/>
      </c>
      <c r="D341">
        <f>Left(F341,3)</f>
        <v/>
      </c>
      <c r="E341">
        <f>IF(F341="121",Left(F341,3)&amp;"0",Left(F341,4))</f>
        <v/>
      </c>
      <c r="F341" t="n">
        <v>71108024</v>
      </c>
      <c r="G341" t="s">
        <v>356</v>
      </c>
      <c r="H341" s="9" t="n">
        <v>60850.99</v>
      </c>
      <c r="I341" s="9" t="n">
        <v>-4386.98</v>
      </c>
      <c r="J341" s="9" t="n">
        <v>-4386.98</v>
      </c>
      <c r="K341" s="9" t="n">
        <v>4386.98</v>
      </c>
      <c r="L341" s="9">
        <f>K341-H341</f>
        <v/>
      </c>
      <c r="M341" s="32">
        <f>IFERROR(L341/H341," ")</f>
        <v/>
      </c>
      <c r="N341">
        <f>IF(A341="BS",IFERROR(VLOOKUP(TRIM($E341),'BS Mapping std'!$A:$D,4,0),VLOOKUP(TRIM($D341),'BS Mapping std'!$A:$D,4,0)),IFERROR(VLOOKUP(TRIM($E341),'PL mapping Std'!$A:$D,4,0),VLOOKUP(TRIM($D341),'PL mapping Std'!$A:$D,4,0)))</f>
        <v/>
      </c>
      <c r="O341">
        <f>_xlfn.IFERROR(VLOOKUP(E341,'F30 mapping'!A:C,3,0),VLOOKUP(D341,'F30 mapping'!A:C,3,0))</f>
        <v/>
      </c>
      <c r="P341">
        <f>_xlfn.IFERROR(IFERROR(VLOOKUP(E341,'F40 mapping'!A:C,3,0),VLOOKUP(D341,'F40 mapping'!A:C,3,0)),0)</f>
        <v/>
      </c>
      <c r="Q341">
        <f>_xlfn.IFERROR(IFERROR(VLOOKUP(E341,'F40 mapping'!A:D,4,0),VLOOKUP(D341,'F40 mapping'!A:D,4,0)),0)</f>
        <v/>
      </c>
      <c r="R341">
        <f>_xlfn.IFERROR(IFERROR(VLOOKUP(E341,'F40 mapping'!A:E,5,0),VLOOKUP(D341,'F40 mapping'!A:E,5,0)),0)</f>
        <v/>
      </c>
      <c r="S341">
        <f>_xlfn.IF(B341&lt;6,IFERROR(VLOOKUP(E341,'BS Mapping std'!A:E,5,0),VLOOKUP(D341,'BS Mapping std'!A:E,5,0)),IFERROR(VLOOKUP(E341,'PL mapping Std'!A:F,6,0),VLOOKUP(D341,'PL mapping Std'!A:F,6,0)))</f>
        <v/>
      </c>
      <c r="T341">
        <f>_xlfn.IF(B341&lt;6,IFERROR(VLOOKUP(E341,'BS Mapping std'!A:F,6,0),VLOOKUP(D341,'BS Mapping std'!A:F,6,0)),IFERROR(VLOOKUP(E341,'PL mapping Std'!A:G,7,0),VLOOKUP(D341,'PL mapping Std'!A:G,7,0)))</f>
        <v/>
      </c>
      <c r="V341">
        <f>IF(IF(A341="BS",IFERROR(VLOOKUP(TRIM($E341),'BS Mapping std'!$A:$H,8,0),VLOOKUP(TRIM($D341),'BS Mapping std'!$A:$H,8,0)),IFERROR(VLOOKUP(TRIM($E341),'PL mapping Std'!$A:$E,5,0),VLOOKUP(TRIM($D341),'PL mapping Std'!$A:$E,5,0)))=0,"",IF(A341="BS",IFERROR(VLOOKUP(TRIM($E341),'BS Mapping std'!$A:$H,8,0),VLOOKUP(TRIM($D341),'BS Mapping std'!$A:$H,8,0)),IFERROR(VLOOKUP(TRIM($E341),'PL mapping Std'!$A:$E,5,0),VLOOKUP(TRIM($D341),'PL mapping Std'!$A:$E,5,0))))</f>
        <v/>
      </c>
      <c r="W341">
        <f>_xlfn.IFERROR(VLOOKUP(E341,'F30 mapping'!A:D,4,0),VLOOKUP(D341,'F30 mapping'!A:D,4,0))</f>
        <v/>
      </c>
      <c r="X341">
        <f>IF(B341&lt;6,IFERROR(VLOOKUP(E341,'BS Mapping std'!A:M,13,0),VLOOKUP(D341,'BS Mapping std'!A:M,13,0)),0)</f>
        <v/>
      </c>
      <c r="Y341">
        <f>IF(B341&lt;6,IFERROR(VLOOKUP(E341,'BS Mapping std'!A:N,14,0),VLOOKUP(D341,'BS Mapping std'!A:N,14,0)),0)</f>
        <v/>
      </c>
    </row>
    <row r="342" spans="1:25">
      <c r="A342">
        <f>IF(B342&lt;6,"BS",IF(B342=6,"Exp","Rev"))</f>
        <v/>
      </c>
      <c r="B342">
        <f>_xlfn.NUMBERVALUE(LEFT(F342,1))</f>
        <v/>
      </c>
      <c r="C342">
        <f>Left(F342,2)</f>
        <v/>
      </c>
      <c r="D342">
        <f>Left(F342,3)</f>
        <v/>
      </c>
      <c r="E342">
        <f>IF(F342="121",Left(F342,3)&amp;"0",Left(F342,4))</f>
        <v/>
      </c>
      <c r="F342" t="n">
        <v>71108027</v>
      </c>
      <c r="G342" t="s">
        <v>357</v>
      </c>
      <c r="H342" s="9" t="n">
        <v>-279370.38</v>
      </c>
      <c r="I342" s="9" t="n">
        <v>1445194.36</v>
      </c>
      <c r="J342" s="9" t="n">
        <v>1445194.36</v>
      </c>
      <c r="K342" s="9" t="n">
        <v>-1445194.36</v>
      </c>
      <c r="L342" s="9">
        <f>K342-H342</f>
        <v/>
      </c>
      <c r="M342" s="32">
        <f>IFERROR(L342/H342," ")</f>
        <v/>
      </c>
      <c r="N342">
        <f>IF(A342="BS",IFERROR(VLOOKUP(TRIM($E342),'BS Mapping std'!$A:$D,4,0),VLOOKUP(TRIM($D342),'BS Mapping std'!$A:$D,4,0)),IFERROR(VLOOKUP(TRIM($E342),'PL mapping Std'!$A:$D,4,0),VLOOKUP(TRIM($D342),'PL mapping Std'!$A:$D,4,0)))</f>
        <v/>
      </c>
      <c r="O342">
        <f>_xlfn.IFERROR(VLOOKUP(E342,'F30 mapping'!A:C,3,0),VLOOKUP(D342,'F30 mapping'!A:C,3,0))</f>
        <v/>
      </c>
      <c r="P342">
        <f>_xlfn.IFERROR(IFERROR(VLOOKUP(E342,'F40 mapping'!A:C,3,0),VLOOKUP(D342,'F40 mapping'!A:C,3,0)),0)</f>
        <v/>
      </c>
      <c r="Q342">
        <f>_xlfn.IFERROR(IFERROR(VLOOKUP(E342,'F40 mapping'!A:D,4,0),VLOOKUP(D342,'F40 mapping'!A:D,4,0)),0)</f>
        <v/>
      </c>
      <c r="R342">
        <f>_xlfn.IFERROR(IFERROR(VLOOKUP(E342,'F40 mapping'!A:E,5,0),VLOOKUP(D342,'F40 mapping'!A:E,5,0)),0)</f>
        <v/>
      </c>
      <c r="S342">
        <f>_xlfn.IF(B342&lt;6,IFERROR(VLOOKUP(E342,'BS Mapping std'!A:E,5,0),VLOOKUP(D342,'BS Mapping std'!A:E,5,0)),IFERROR(VLOOKUP(E342,'PL mapping Std'!A:F,6,0),VLOOKUP(D342,'PL mapping Std'!A:F,6,0)))</f>
        <v/>
      </c>
      <c r="T342">
        <f>_xlfn.IF(B342&lt;6,IFERROR(VLOOKUP(E342,'BS Mapping std'!A:F,6,0),VLOOKUP(D342,'BS Mapping std'!A:F,6,0)),IFERROR(VLOOKUP(E342,'PL mapping Std'!A:G,7,0),VLOOKUP(D342,'PL mapping Std'!A:G,7,0)))</f>
        <v/>
      </c>
      <c r="V342">
        <f>IF(IF(A342="BS",IFERROR(VLOOKUP(TRIM($E342),'BS Mapping std'!$A:$H,8,0),VLOOKUP(TRIM($D342),'BS Mapping std'!$A:$H,8,0)),IFERROR(VLOOKUP(TRIM($E342),'PL mapping Std'!$A:$E,5,0),VLOOKUP(TRIM($D342),'PL mapping Std'!$A:$E,5,0)))=0,"",IF(A342="BS",IFERROR(VLOOKUP(TRIM($E342),'BS Mapping std'!$A:$H,8,0),VLOOKUP(TRIM($D342),'BS Mapping std'!$A:$H,8,0)),IFERROR(VLOOKUP(TRIM($E342),'PL mapping Std'!$A:$E,5,0),VLOOKUP(TRIM($D342),'PL mapping Std'!$A:$E,5,0))))</f>
        <v/>
      </c>
      <c r="W342">
        <f>_xlfn.IFERROR(VLOOKUP(E342,'F30 mapping'!A:D,4,0),VLOOKUP(D342,'F30 mapping'!A:D,4,0))</f>
        <v/>
      </c>
      <c r="X342">
        <f>IF(B342&lt;6,IFERROR(VLOOKUP(E342,'BS Mapping std'!A:M,13,0),VLOOKUP(D342,'BS Mapping std'!A:M,13,0)),0)</f>
        <v/>
      </c>
      <c r="Y342">
        <f>IF(B342&lt;6,IFERROR(VLOOKUP(E342,'BS Mapping std'!A:N,14,0),VLOOKUP(D342,'BS Mapping std'!A:N,14,0)),0)</f>
        <v/>
      </c>
    </row>
    <row r="343" spans="1:25">
      <c r="A343">
        <f>IF(B343&lt;6,"BS",IF(B343=6,"Exp","Rev"))</f>
        <v/>
      </c>
      <c r="B343">
        <f>_xlfn.NUMBERVALUE(LEFT(F343,1))</f>
        <v/>
      </c>
      <c r="C343">
        <f>Left(F343,2)</f>
        <v/>
      </c>
      <c r="D343">
        <f>Left(F343,3)</f>
        <v/>
      </c>
      <c r="E343">
        <f>IF(F343="121",Left(F343,3)&amp;"0",Left(F343,4))</f>
        <v/>
      </c>
      <c r="F343" t="n">
        <v>71108028</v>
      </c>
      <c r="G343" t="s">
        <v>358</v>
      </c>
      <c r="H343" s="9" t="n">
        <v>-395882.85</v>
      </c>
      <c r="I343" s="9" t="n">
        <v>1858441.6</v>
      </c>
      <c r="J343" s="9" t="n">
        <v>1858441.6</v>
      </c>
      <c r="K343" s="9" t="n">
        <v>-1858441.6</v>
      </c>
      <c r="L343" s="9">
        <f>K343-H343</f>
        <v/>
      </c>
      <c r="M343" s="32">
        <f>IFERROR(L343/H343," ")</f>
        <v/>
      </c>
      <c r="N343">
        <f>IF(A343="BS",IFERROR(VLOOKUP(TRIM($E343),'BS Mapping std'!$A:$D,4,0),VLOOKUP(TRIM($D343),'BS Mapping std'!$A:$D,4,0)),IFERROR(VLOOKUP(TRIM($E343),'PL mapping Std'!$A:$D,4,0),VLOOKUP(TRIM($D343),'PL mapping Std'!$A:$D,4,0)))</f>
        <v/>
      </c>
      <c r="O343">
        <f>_xlfn.IFERROR(VLOOKUP(E343,'F30 mapping'!A:C,3,0),VLOOKUP(D343,'F30 mapping'!A:C,3,0))</f>
        <v/>
      </c>
      <c r="P343">
        <f>_xlfn.IFERROR(IFERROR(VLOOKUP(E343,'F40 mapping'!A:C,3,0),VLOOKUP(D343,'F40 mapping'!A:C,3,0)),0)</f>
        <v/>
      </c>
      <c r="Q343">
        <f>_xlfn.IFERROR(IFERROR(VLOOKUP(E343,'F40 mapping'!A:D,4,0),VLOOKUP(D343,'F40 mapping'!A:D,4,0)),0)</f>
        <v/>
      </c>
      <c r="R343">
        <f>_xlfn.IFERROR(IFERROR(VLOOKUP(E343,'F40 mapping'!A:E,5,0),VLOOKUP(D343,'F40 mapping'!A:E,5,0)),0)</f>
        <v/>
      </c>
      <c r="S343">
        <f>_xlfn.IF(B343&lt;6,IFERROR(VLOOKUP(E343,'BS Mapping std'!A:E,5,0),VLOOKUP(D343,'BS Mapping std'!A:E,5,0)),IFERROR(VLOOKUP(E343,'PL mapping Std'!A:F,6,0),VLOOKUP(D343,'PL mapping Std'!A:F,6,0)))</f>
        <v/>
      </c>
      <c r="T343">
        <f>_xlfn.IF(B343&lt;6,IFERROR(VLOOKUP(E343,'BS Mapping std'!A:F,6,0),VLOOKUP(D343,'BS Mapping std'!A:F,6,0)),IFERROR(VLOOKUP(E343,'PL mapping Std'!A:G,7,0),VLOOKUP(D343,'PL mapping Std'!A:G,7,0)))</f>
        <v/>
      </c>
      <c r="V343">
        <f>IF(IF(A343="BS",IFERROR(VLOOKUP(TRIM($E343),'BS Mapping std'!$A:$H,8,0),VLOOKUP(TRIM($D343),'BS Mapping std'!$A:$H,8,0)),IFERROR(VLOOKUP(TRIM($E343),'PL mapping Std'!$A:$E,5,0),VLOOKUP(TRIM($D343),'PL mapping Std'!$A:$E,5,0)))=0,"",IF(A343="BS",IFERROR(VLOOKUP(TRIM($E343),'BS Mapping std'!$A:$H,8,0),VLOOKUP(TRIM($D343),'BS Mapping std'!$A:$H,8,0)),IFERROR(VLOOKUP(TRIM($E343),'PL mapping Std'!$A:$E,5,0),VLOOKUP(TRIM($D343),'PL mapping Std'!$A:$E,5,0))))</f>
        <v/>
      </c>
      <c r="W343">
        <f>_xlfn.IFERROR(VLOOKUP(E343,'F30 mapping'!A:D,4,0),VLOOKUP(D343,'F30 mapping'!A:D,4,0))</f>
        <v/>
      </c>
      <c r="X343">
        <f>IF(B343&lt;6,IFERROR(VLOOKUP(E343,'BS Mapping std'!A:M,13,0),VLOOKUP(D343,'BS Mapping std'!A:M,13,0)),0)</f>
        <v/>
      </c>
      <c r="Y343">
        <f>IF(B343&lt;6,IFERROR(VLOOKUP(E343,'BS Mapping std'!A:N,14,0),VLOOKUP(D343,'BS Mapping std'!A:N,14,0)),0)</f>
        <v/>
      </c>
    </row>
    <row r="344" spans="1:25">
      <c r="A344">
        <f>IF(B344&lt;6,"BS",IF(B344=6,"Exp","Rev"))</f>
        <v/>
      </c>
      <c r="B344">
        <f>_xlfn.NUMBERVALUE(LEFT(F344,1))</f>
        <v/>
      </c>
      <c r="C344">
        <f>Left(F344,2)</f>
        <v/>
      </c>
      <c r="D344">
        <f>Left(F344,3)</f>
        <v/>
      </c>
      <c r="E344">
        <f>IF(F344="121",Left(F344,3)&amp;"0",Left(F344,4))</f>
        <v/>
      </c>
      <c r="F344" t="n">
        <v>71108030</v>
      </c>
      <c r="G344" t="s">
        <v>359</v>
      </c>
      <c r="H344" s="9" t="n">
        <v>-19193</v>
      </c>
      <c r="I344" s="9" t="n">
        <v>114299.59</v>
      </c>
      <c r="J344" s="9" t="n">
        <v>114299.59</v>
      </c>
      <c r="K344" s="9" t="n">
        <v>-114299.59</v>
      </c>
      <c r="L344" s="9">
        <f>K344-H344</f>
        <v/>
      </c>
      <c r="M344" s="32">
        <f>IFERROR(L344/H344," ")</f>
        <v/>
      </c>
      <c r="N344">
        <f>IF(A344="BS",IFERROR(VLOOKUP(TRIM($E344),'BS Mapping std'!$A:$D,4,0),VLOOKUP(TRIM($D344),'BS Mapping std'!$A:$D,4,0)),IFERROR(VLOOKUP(TRIM($E344),'PL mapping Std'!$A:$D,4,0),VLOOKUP(TRIM($D344),'PL mapping Std'!$A:$D,4,0)))</f>
        <v/>
      </c>
      <c r="O344">
        <f>_xlfn.IFERROR(VLOOKUP(E344,'F30 mapping'!A:C,3,0),VLOOKUP(D344,'F30 mapping'!A:C,3,0))</f>
        <v/>
      </c>
      <c r="P344">
        <f>_xlfn.IFERROR(IFERROR(VLOOKUP(E344,'F40 mapping'!A:C,3,0),VLOOKUP(D344,'F40 mapping'!A:C,3,0)),0)</f>
        <v/>
      </c>
      <c r="Q344">
        <f>_xlfn.IFERROR(IFERROR(VLOOKUP(E344,'F40 mapping'!A:D,4,0),VLOOKUP(D344,'F40 mapping'!A:D,4,0)),0)</f>
        <v/>
      </c>
      <c r="R344">
        <f>_xlfn.IFERROR(IFERROR(VLOOKUP(E344,'F40 mapping'!A:E,5,0),VLOOKUP(D344,'F40 mapping'!A:E,5,0)),0)</f>
        <v/>
      </c>
      <c r="S344">
        <f>_xlfn.IF(B344&lt;6,IFERROR(VLOOKUP(E344,'BS Mapping std'!A:E,5,0),VLOOKUP(D344,'BS Mapping std'!A:E,5,0)),IFERROR(VLOOKUP(E344,'PL mapping Std'!A:F,6,0),VLOOKUP(D344,'PL mapping Std'!A:F,6,0)))</f>
        <v/>
      </c>
      <c r="T344">
        <f>_xlfn.IF(B344&lt;6,IFERROR(VLOOKUP(E344,'BS Mapping std'!A:F,6,0),VLOOKUP(D344,'BS Mapping std'!A:F,6,0)),IFERROR(VLOOKUP(E344,'PL mapping Std'!A:G,7,0),VLOOKUP(D344,'PL mapping Std'!A:G,7,0)))</f>
        <v/>
      </c>
      <c r="V344">
        <f>IF(IF(A344="BS",IFERROR(VLOOKUP(TRIM($E344),'BS Mapping std'!$A:$H,8,0),VLOOKUP(TRIM($D344),'BS Mapping std'!$A:$H,8,0)),IFERROR(VLOOKUP(TRIM($E344),'PL mapping Std'!$A:$E,5,0),VLOOKUP(TRIM($D344),'PL mapping Std'!$A:$E,5,0)))=0,"",IF(A344="BS",IFERROR(VLOOKUP(TRIM($E344),'BS Mapping std'!$A:$H,8,0),VLOOKUP(TRIM($D344),'BS Mapping std'!$A:$H,8,0)),IFERROR(VLOOKUP(TRIM($E344),'PL mapping Std'!$A:$E,5,0),VLOOKUP(TRIM($D344),'PL mapping Std'!$A:$E,5,0))))</f>
        <v/>
      </c>
      <c r="W344">
        <f>_xlfn.IFERROR(VLOOKUP(E344,'F30 mapping'!A:D,4,0),VLOOKUP(D344,'F30 mapping'!A:D,4,0))</f>
        <v/>
      </c>
      <c r="X344">
        <f>IF(B344&lt;6,IFERROR(VLOOKUP(E344,'BS Mapping std'!A:M,13,0),VLOOKUP(D344,'BS Mapping std'!A:M,13,0)),0)</f>
        <v/>
      </c>
      <c r="Y344">
        <f>IF(B344&lt;6,IFERROR(VLOOKUP(E344,'BS Mapping std'!A:N,14,0),VLOOKUP(D344,'BS Mapping std'!A:N,14,0)),0)</f>
        <v/>
      </c>
    </row>
    <row r="345" spans="1:25">
      <c r="A345">
        <f>IF(B345&lt;6,"BS",IF(B345=6,"Exp","Rev"))</f>
        <v/>
      </c>
      <c r="B345">
        <f>_xlfn.NUMBERVALUE(LEFT(F345,1))</f>
        <v/>
      </c>
      <c r="C345">
        <f>Left(F345,2)</f>
        <v/>
      </c>
      <c r="D345">
        <f>Left(F345,3)</f>
        <v/>
      </c>
      <c r="E345">
        <f>IF(F345="121",Left(F345,3)&amp;"0",Left(F345,4))</f>
        <v/>
      </c>
      <c r="F345" t="n">
        <v>71108031</v>
      </c>
      <c r="G345" t="s">
        <v>360</v>
      </c>
      <c r="H345" s="9" t="n">
        <v>-246470.84</v>
      </c>
      <c r="I345" s="9" t="n">
        <v>622328.5699999999</v>
      </c>
      <c r="J345" s="9" t="n">
        <v>622328.5699999999</v>
      </c>
      <c r="K345" s="9" t="n">
        <v>-622328.5699999999</v>
      </c>
      <c r="L345" s="9">
        <f>K345-H345</f>
        <v/>
      </c>
      <c r="M345" s="32">
        <f>IFERROR(L345/H345," ")</f>
        <v/>
      </c>
      <c r="N345">
        <f>IF(A345="BS",IFERROR(VLOOKUP(TRIM($E345),'BS Mapping std'!$A:$D,4,0),VLOOKUP(TRIM($D345),'BS Mapping std'!$A:$D,4,0)),IFERROR(VLOOKUP(TRIM($E345),'PL mapping Std'!$A:$D,4,0),VLOOKUP(TRIM($D345),'PL mapping Std'!$A:$D,4,0)))</f>
        <v/>
      </c>
      <c r="O345">
        <f>_xlfn.IFERROR(VLOOKUP(E345,'F30 mapping'!A:C,3,0),VLOOKUP(D345,'F30 mapping'!A:C,3,0))</f>
        <v/>
      </c>
      <c r="P345">
        <f>_xlfn.IFERROR(IFERROR(VLOOKUP(E345,'F40 mapping'!A:C,3,0),VLOOKUP(D345,'F40 mapping'!A:C,3,0)),0)</f>
        <v/>
      </c>
      <c r="Q345">
        <f>_xlfn.IFERROR(IFERROR(VLOOKUP(E345,'F40 mapping'!A:D,4,0),VLOOKUP(D345,'F40 mapping'!A:D,4,0)),0)</f>
        <v/>
      </c>
      <c r="R345">
        <f>_xlfn.IFERROR(IFERROR(VLOOKUP(E345,'F40 mapping'!A:E,5,0),VLOOKUP(D345,'F40 mapping'!A:E,5,0)),0)</f>
        <v/>
      </c>
      <c r="S345">
        <f>_xlfn.IF(B345&lt;6,IFERROR(VLOOKUP(E345,'BS Mapping std'!A:E,5,0),VLOOKUP(D345,'BS Mapping std'!A:E,5,0)),IFERROR(VLOOKUP(E345,'PL mapping Std'!A:F,6,0),VLOOKUP(D345,'PL mapping Std'!A:F,6,0)))</f>
        <v/>
      </c>
      <c r="T345">
        <f>_xlfn.IF(B345&lt;6,IFERROR(VLOOKUP(E345,'BS Mapping std'!A:F,6,0),VLOOKUP(D345,'BS Mapping std'!A:F,6,0)),IFERROR(VLOOKUP(E345,'PL mapping Std'!A:G,7,0),VLOOKUP(D345,'PL mapping Std'!A:G,7,0)))</f>
        <v/>
      </c>
      <c r="V345">
        <f>IF(IF(A345="BS",IFERROR(VLOOKUP(TRIM($E345),'BS Mapping std'!$A:$H,8,0),VLOOKUP(TRIM($D345),'BS Mapping std'!$A:$H,8,0)),IFERROR(VLOOKUP(TRIM($E345),'PL mapping Std'!$A:$E,5,0),VLOOKUP(TRIM($D345),'PL mapping Std'!$A:$E,5,0)))=0,"",IF(A345="BS",IFERROR(VLOOKUP(TRIM($E345),'BS Mapping std'!$A:$H,8,0),VLOOKUP(TRIM($D345),'BS Mapping std'!$A:$H,8,0)),IFERROR(VLOOKUP(TRIM($E345),'PL mapping Std'!$A:$E,5,0),VLOOKUP(TRIM($D345),'PL mapping Std'!$A:$E,5,0))))</f>
        <v/>
      </c>
      <c r="W345">
        <f>_xlfn.IFERROR(VLOOKUP(E345,'F30 mapping'!A:D,4,0),VLOOKUP(D345,'F30 mapping'!A:D,4,0))</f>
        <v/>
      </c>
      <c r="X345">
        <f>IF(B345&lt;6,IFERROR(VLOOKUP(E345,'BS Mapping std'!A:M,13,0),VLOOKUP(D345,'BS Mapping std'!A:M,13,0)),0)</f>
        <v/>
      </c>
      <c r="Y345">
        <f>IF(B345&lt;6,IFERROR(VLOOKUP(E345,'BS Mapping std'!A:N,14,0),VLOOKUP(D345,'BS Mapping std'!A:N,14,0)),0)</f>
        <v/>
      </c>
    </row>
    <row r="346" spans="1:25">
      <c r="A346">
        <f>IF(B346&lt;6,"BS",IF(B346=6,"Exp","Rev"))</f>
        <v/>
      </c>
      <c r="B346">
        <f>_xlfn.NUMBERVALUE(LEFT(F346,1))</f>
        <v/>
      </c>
      <c r="C346">
        <f>Left(F346,2)</f>
        <v/>
      </c>
      <c r="D346">
        <f>Left(F346,3)</f>
        <v/>
      </c>
      <c r="E346">
        <f>IF(F346="121",Left(F346,3)&amp;"0",Left(F346,4))</f>
        <v/>
      </c>
      <c r="F346" t="n">
        <v>71109002</v>
      </c>
      <c r="G346" t="s">
        <v>361</v>
      </c>
      <c r="H346" s="9" t="n">
        <v>0</v>
      </c>
      <c r="I346" s="9" t="n">
        <v>-18.48</v>
      </c>
      <c r="J346" s="9" t="n">
        <v>-18.48</v>
      </c>
      <c r="K346" s="9" t="n">
        <v>18.48</v>
      </c>
      <c r="L346" s="9">
        <f>K346-H346</f>
        <v/>
      </c>
      <c r="M346" s="32">
        <f>IFERROR(L346/H346," ")</f>
        <v/>
      </c>
      <c r="N346">
        <f>IF(A346="BS",IFERROR(VLOOKUP(TRIM($E346),'BS Mapping std'!$A:$D,4,0),VLOOKUP(TRIM($D346),'BS Mapping std'!$A:$D,4,0)),IFERROR(VLOOKUP(TRIM($E346),'PL mapping Std'!$A:$D,4,0),VLOOKUP(TRIM($D346),'PL mapping Std'!$A:$D,4,0)))</f>
        <v/>
      </c>
      <c r="O346">
        <f>_xlfn.IFERROR(VLOOKUP(E346,'F30 mapping'!A:C,3,0),VLOOKUP(D346,'F30 mapping'!A:C,3,0))</f>
        <v/>
      </c>
      <c r="P346">
        <f>_xlfn.IFERROR(IFERROR(VLOOKUP(E346,'F40 mapping'!A:C,3,0),VLOOKUP(D346,'F40 mapping'!A:C,3,0)),0)</f>
        <v/>
      </c>
      <c r="Q346">
        <f>_xlfn.IFERROR(IFERROR(VLOOKUP(E346,'F40 mapping'!A:D,4,0),VLOOKUP(D346,'F40 mapping'!A:D,4,0)),0)</f>
        <v/>
      </c>
      <c r="R346">
        <f>_xlfn.IFERROR(IFERROR(VLOOKUP(E346,'F40 mapping'!A:E,5,0),VLOOKUP(D346,'F40 mapping'!A:E,5,0)),0)</f>
        <v/>
      </c>
      <c r="S346">
        <f>_xlfn.IF(B346&lt;6,IFERROR(VLOOKUP(E346,'BS Mapping std'!A:E,5,0),VLOOKUP(D346,'BS Mapping std'!A:E,5,0)),IFERROR(VLOOKUP(E346,'PL mapping Std'!A:F,6,0),VLOOKUP(D346,'PL mapping Std'!A:F,6,0)))</f>
        <v/>
      </c>
      <c r="T346">
        <f>_xlfn.IF(B346&lt;6,IFERROR(VLOOKUP(E346,'BS Mapping std'!A:F,6,0),VLOOKUP(D346,'BS Mapping std'!A:F,6,0)),IFERROR(VLOOKUP(E346,'PL mapping Std'!A:G,7,0),VLOOKUP(D346,'PL mapping Std'!A:G,7,0)))</f>
        <v/>
      </c>
      <c r="V346">
        <f>IF(IF(A346="BS",IFERROR(VLOOKUP(TRIM($E346),'BS Mapping std'!$A:$H,8,0),VLOOKUP(TRIM($D346),'BS Mapping std'!$A:$H,8,0)),IFERROR(VLOOKUP(TRIM($E346),'PL mapping Std'!$A:$E,5,0),VLOOKUP(TRIM($D346),'PL mapping Std'!$A:$E,5,0)))=0,"",IF(A346="BS",IFERROR(VLOOKUP(TRIM($E346),'BS Mapping std'!$A:$H,8,0),VLOOKUP(TRIM($D346),'BS Mapping std'!$A:$H,8,0)),IFERROR(VLOOKUP(TRIM($E346),'PL mapping Std'!$A:$E,5,0),VLOOKUP(TRIM($D346),'PL mapping Std'!$A:$E,5,0))))</f>
        <v/>
      </c>
      <c r="W346">
        <f>_xlfn.IFERROR(VLOOKUP(E346,'F30 mapping'!A:D,4,0),VLOOKUP(D346,'F30 mapping'!A:D,4,0))</f>
        <v/>
      </c>
      <c r="X346">
        <f>IF(B346&lt;6,IFERROR(VLOOKUP(E346,'BS Mapping std'!A:M,13,0),VLOOKUP(D346,'BS Mapping std'!A:M,13,0)),0)</f>
        <v/>
      </c>
      <c r="Y346">
        <f>IF(B346&lt;6,IFERROR(VLOOKUP(E346,'BS Mapping std'!A:N,14,0),VLOOKUP(D346,'BS Mapping std'!A:N,14,0)),0)</f>
        <v/>
      </c>
    </row>
    <row r="347" spans="1:25">
      <c r="A347">
        <f>IF(B347&lt;6,"BS",IF(B347=6,"Exp","Rev"))</f>
        <v/>
      </c>
      <c r="B347">
        <f>_xlfn.NUMBERVALUE(LEFT(F347,1))</f>
        <v/>
      </c>
      <c r="C347">
        <f>Left(F347,2)</f>
        <v/>
      </c>
      <c r="D347">
        <f>Left(F347,3)</f>
        <v/>
      </c>
      <c r="E347">
        <f>IF(F347="121",Left(F347,3)&amp;"0",Left(F347,4))</f>
        <v/>
      </c>
      <c r="F347" t="n">
        <v>71109004</v>
      </c>
      <c r="G347" t="s">
        <v>362</v>
      </c>
      <c r="H347" s="9" t="n">
        <v>0</v>
      </c>
      <c r="I347" s="9" t="n">
        <v>26.82</v>
      </c>
      <c r="J347" s="9" t="n">
        <v>26.82</v>
      </c>
      <c r="K347" s="9" t="n">
        <v>-26.82</v>
      </c>
      <c r="L347" s="9">
        <f>K347-H347</f>
        <v/>
      </c>
      <c r="M347" s="32">
        <f>IFERROR(L347/H347," ")</f>
        <v/>
      </c>
      <c r="N347">
        <f>IF(A347="BS",IFERROR(VLOOKUP(TRIM($E347),'BS Mapping std'!$A:$D,4,0),VLOOKUP(TRIM($D347),'BS Mapping std'!$A:$D,4,0)),IFERROR(VLOOKUP(TRIM($E347),'PL mapping Std'!$A:$D,4,0),VLOOKUP(TRIM($D347),'PL mapping Std'!$A:$D,4,0)))</f>
        <v/>
      </c>
      <c r="O347">
        <f>_xlfn.IFERROR(VLOOKUP(E347,'F30 mapping'!A:C,3,0),VLOOKUP(D347,'F30 mapping'!A:C,3,0))</f>
        <v/>
      </c>
      <c r="P347">
        <f>_xlfn.IFERROR(IFERROR(VLOOKUP(E347,'F40 mapping'!A:C,3,0),VLOOKUP(D347,'F40 mapping'!A:C,3,0)),0)</f>
        <v/>
      </c>
      <c r="Q347">
        <f>_xlfn.IFERROR(IFERROR(VLOOKUP(E347,'F40 mapping'!A:D,4,0),VLOOKUP(D347,'F40 mapping'!A:D,4,0)),0)</f>
        <v/>
      </c>
      <c r="R347">
        <f>_xlfn.IFERROR(IFERROR(VLOOKUP(E347,'F40 mapping'!A:E,5,0),VLOOKUP(D347,'F40 mapping'!A:E,5,0)),0)</f>
        <v/>
      </c>
      <c r="S347">
        <f>_xlfn.IF(B347&lt;6,IFERROR(VLOOKUP(E347,'BS Mapping std'!A:E,5,0),VLOOKUP(D347,'BS Mapping std'!A:E,5,0)),IFERROR(VLOOKUP(E347,'PL mapping Std'!A:F,6,0),VLOOKUP(D347,'PL mapping Std'!A:F,6,0)))</f>
        <v/>
      </c>
      <c r="T347">
        <f>_xlfn.IF(B347&lt;6,IFERROR(VLOOKUP(E347,'BS Mapping std'!A:F,6,0),VLOOKUP(D347,'BS Mapping std'!A:F,6,0)),IFERROR(VLOOKUP(E347,'PL mapping Std'!A:G,7,0),VLOOKUP(D347,'PL mapping Std'!A:G,7,0)))</f>
        <v/>
      </c>
      <c r="V347">
        <f>IF(IF(A347="BS",IFERROR(VLOOKUP(TRIM($E347),'BS Mapping std'!$A:$H,8,0),VLOOKUP(TRIM($D347),'BS Mapping std'!$A:$H,8,0)),IFERROR(VLOOKUP(TRIM($E347),'PL mapping Std'!$A:$E,5,0),VLOOKUP(TRIM($D347),'PL mapping Std'!$A:$E,5,0)))=0,"",IF(A347="BS",IFERROR(VLOOKUP(TRIM($E347),'BS Mapping std'!$A:$H,8,0),VLOOKUP(TRIM($D347),'BS Mapping std'!$A:$H,8,0)),IFERROR(VLOOKUP(TRIM($E347),'PL mapping Std'!$A:$E,5,0),VLOOKUP(TRIM($D347),'PL mapping Std'!$A:$E,5,0))))</f>
        <v/>
      </c>
      <c r="W347">
        <f>_xlfn.IFERROR(VLOOKUP(E347,'F30 mapping'!A:D,4,0),VLOOKUP(D347,'F30 mapping'!A:D,4,0))</f>
        <v/>
      </c>
      <c r="X347">
        <f>IF(B347&lt;6,IFERROR(VLOOKUP(E347,'BS Mapping std'!A:M,13,0),VLOOKUP(D347,'BS Mapping std'!A:M,13,0)),0)</f>
        <v/>
      </c>
      <c r="Y347">
        <f>IF(B347&lt;6,IFERROR(VLOOKUP(E347,'BS Mapping std'!A:N,14,0),VLOOKUP(D347,'BS Mapping std'!A:N,14,0)),0)</f>
        <v/>
      </c>
    </row>
    <row r="348" spans="1:25">
      <c r="A348">
        <f>IF(B348&lt;6,"BS",IF(B348=6,"Exp","Rev"))</f>
        <v/>
      </c>
      <c r="B348">
        <f>_xlfn.NUMBERVALUE(LEFT(F348,1))</f>
        <v/>
      </c>
      <c r="C348">
        <f>Left(F348,2)</f>
        <v/>
      </c>
      <c r="D348">
        <f>Left(F348,3)</f>
        <v/>
      </c>
      <c r="E348">
        <f>IF(F348="121",Left(F348,3)&amp;"0",Left(F348,4))</f>
        <v/>
      </c>
      <c r="F348" t="n">
        <v>71109987</v>
      </c>
      <c r="G348" t="s">
        <v>363</v>
      </c>
      <c r="H348" s="9" t="n">
        <v>103283.39</v>
      </c>
      <c r="I348" s="9" t="n">
        <v>-35034.27999999997</v>
      </c>
      <c r="J348" s="9" t="n">
        <v>-35034.27999999997</v>
      </c>
      <c r="K348" s="9" t="n">
        <v>35034.27999999997</v>
      </c>
      <c r="L348" s="9">
        <f>K348-H348</f>
        <v/>
      </c>
      <c r="M348" s="32">
        <f>IFERROR(L348/H348," ")</f>
        <v/>
      </c>
      <c r="N348">
        <f>IF(A348="BS",IFERROR(VLOOKUP(TRIM($E348),'BS Mapping std'!$A:$D,4,0),VLOOKUP(TRIM($D348),'BS Mapping std'!$A:$D,4,0)),IFERROR(VLOOKUP(TRIM($E348),'PL mapping Std'!$A:$D,4,0),VLOOKUP(TRIM($D348),'PL mapping Std'!$A:$D,4,0)))</f>
        <v/>
      </c>
      <c r="O348">
        <f>_xlfn.IFERROR(VLOOKUP(E348,'F30 mapping'!A:C,3,0),VLOOKUP(D348,'F30 mapping'!A:C,3,0))</f>
        <v/>
      </c>
      <c r="P348">
        <f>_xlfn.IFERROR(IFERROR(VLOOKUP(E348,'F40 mapping'!A:C,3,0),VLOOKUP(D348,'F40 mapping'!A:C,3,0)),0)</f>
        <v/>
      </c>
      <c r="Q348">
        <f>_xlfn.IFERROR(IFERROR(VLOOKUP(E348,'F40 mapping'!A:D,4,0),VLOOKUP(D348,'F40 mapping'!A:D,4,0)),0)</f>
        <v/>
      </c>
      <c r="R348">
        <f>_xlfn.IFERROR(IFERROR(VLOOKUP(E348,'F40 mapping'!A:E,5,0),VLOOKUP(D348,'F40 mapping'!A:E,5,0)),0)</f>
        <v/>
      </c>
      <c r="S348">
        <f>_xlfn.IF(B348&lt;6,IFERROR(VLOOKUP(E348,'BS Mapping std'!A:E,5,0),VLOOKUP(D348,'BS Mapping std'!A:E,5,0)),IFERROR(VLOOKUP(E348,'PL mapping Std'!A:F,6,0),VLOOKUP(D348,'PL mapping Std'!A:F,6,0)))</f>
        <v/>
      </c>
      <c r="T348">
        <f>_xlfn.IF(B348&lt;6,IFERROR(VLOOKUP(E348,'BS Mapping std'!A:F,6,0),VLOOKUP(D348,'BS Mapping std'!A:F,6,0)),IFERROR(VLOOKUP(E348,'PL mapping Std'!A:G,7,0),VLOOKUP(D348,'PL mapping Std'!A:G,7,0)))</f>
        <v/>
      </c>
      <c r="V348">
        <f>IF(IF(A348="BS",IFERROR(VLOOKUP(TRIM($E348),'BS Mapping std'!$A:$H,8,0),VLOOKUP(TRIM($D348),'BS Mapping std'!$A:$H,8,0)),IFERROR(VLOOKUP(TRIM($E348),'PL mapping Std'!$A:$E,5,0),VLOOKUP(TRIM($D348),'PL mapping Std'!$A:$E,5,0)))=0,"",IF(A348="BS",IFERROR(VLOOKUP(TRIM($E348),'BS Mapping std'!$A:$H,8,0),VLOOKUP(TRIM($D348),'BS Mapping std'!$A:$H,8,0)),IFERROR(VLOOKUP(TRIM($E348),'PL mapping Std'!$A:$E,5,0),VLOOKUP(TRIM($D348),'PL mapping Std'!$A:$E,5,0))))</f>
        <v/>
      </c>
      <c r="W348">
        <f>_xlfn.IFERROR(VLOOKUP(E348,'F30 mapping'!A:D,4,0),VLOOKUP(D348,'F30 mapping'!A:D,4,0))</f>
        <v/>
      </c>
      <c r="X348">
        <f>IF(B348&lt;6,IFERROR(VLOOKUP(E348,'BS Mapping std'!A:M,13,0),VLOOKUP(D348,'BS Mapping std'!A:M,13,0)),0)</f>
        <v/>
      </c>
      <c r="Y348">
        <f>IF(B348&lt;6,IFERROR(VLOOKUP(E348,'BS Mapping std'!A:N,14,0),VLOOKUP(D348,'BS Mapping std'!A:N,14,0)),0)</f>
        <v/>
      </c>
    </row>
    <row r="349" spans="1:25">
      <c r="A349">
        <f>IF(B349&lt;6,"BS",IF(B349=6,"Exp","Rev"))</f>
        <v/>
      </c>
      <c r="B349">
        <f>_xlfn.NUMBERVALUE(LEFT(F349,1))</f>
        <v/>
      </c>
      <c r="C349">
        <f>Left(F349,2)</f>
        <v/>
      </c>
      <c r="D349">
        <f>Left(F349,3)</f>
        <v/>
      </c>
      <c r="E349">
        <f>IF(F349="121",Left(F349,3)&amp;"0",Left(F349,4))</f>
        <v/>
      </c>
      <c r="F349" t="n">
        <v>71109988</v>
      </c>
      <c r="G349" t="s">
        <v>364</v>
      </c>
      <c r="H349" s="9" t="n">
        <v>-342522.16</v>
      </c>
      <c r="I349" s="9" t="n">
        <v>-839307.88</v>
      </c>
      <c r="J349" s="9" t="n">
        <v>-839307.88</v>
      </c>
      <c r="K349" s="9" t="n">
        <v>839307.88</v>
      </c>
      <c r="L349" s="9">
        <f>K349-H349</f>
        <v/>
      </c>
      <c r="M349" s="32">
        <f>IFERROR(L349/H349," ")</f>
        <v/>
      </c>
      <c r="N349">
        <f>IF(A349="BS",IFERROR(VLOOKUP(TRIM($E349),'BS Mapping std'!$A:$D,4,0),VLOOKUP(TRIM($D349),'BS Mapping std'!$A:$D,4,0)),IFERROR(VLOOKUP(TRIM($E349),'PL mapping Std'!$A:$D,4,0),VLOOKUP(TRIM($D349),'PL mapping Std'!$A:$D,4,0)))</f>
        <v/>
      </c>
      <c r="O349">
        <f>_xlfn.IFERROR(VLOOKUP(E349,'F30 mapping'!A:C,3,0),VLOOKUP(D349,'F30 mapping'!A:C,3,0))</f>
        <v/>
      </c>
      <c r="P349">
        <f>_xlfn.IFERROR(IFERROR(VLOOKUP(E349,'F40 mapping'!A:C,3,0),VLOOKUP(D349,'F40 mapping'!A:C,3,0)),0)</f>
        <v/>
      </c>
      <c r="Q349">
        <f>_xlfn.IFERROR(IFERROR(VLOOKUP(E349,'F40 mapping'!A:D,4,0),VLOOKUP(D349,'F40 mapping'!A:D,4,0)),0)</f>
        <v/>
      </c>
      <c r="R349">
        <f>_xlfn.IFERROR(IFERROR(VLOOKUP(E349,'F40 mapping'!A:E,5,0),VLOOKUP(D349,'F40 mapping'!A:E,5,0)),0)</f>
        <v/>
      </c>
      <c r="S349">
        <f>_xlfn.IF(B349&lt;6,IFERROR(VLOOKUP(E349,'BS Mapping std'!A:E,5,0),VLOOKUP(D349,'BS Mapping std'!A:E,5,0)),IFERROR(VLOOKUP(E349,'PL mapping Std'!A:F,6,0),VLOOKUP(D349,'PL mapping Std'!A:F,6,0)))</f>
        <v/>
      </c>
      <c r="T349">
        <f>_xlfn.IF(B349&lt;6,IFERROR(VLOOKUP(E349,'BS Mapping std'!A:F,6,0),VLOOKUP(D349,'BS Mapping std'!A:F,6,0)),IFERROR(VLOOKUP(E349,'PL mapping Std'!A:G,7,0),VLOOKUP(D349,'PL mapping Std'!A:G,7,0)))</f>
        <v/>
      </c>
      <c r="V349">
        <f>IF(IF(A349="BS",IFERROR(VLOOKUP(TRIM($E349),'BS Mapping std'!$A:$H,8,0),VLOOKUP(TRIM($D349),'BS Mapping std'!$A:$H,8,0)),IFERROR(VLOOKUP(TRIM($E349),'PL mapping Std'!$A:$E,5,0),VLOOKUP(TRIM($D349),'PL mapping Std'!$A:$E,5,0)))=0,"",IF(A349="BS",IFERROR(VLOOKUP(TRIM($E349),'BS Mapping std'!$A:$H,8,0),VLOOKUP(TRIM($D349),'BS Mapping std'!$A:$H,8,0)),IFERROR(VLOOKUP(TRIM($E349),'PL mapping Std'!$A:$E,5,0),VLOOKUP(TRIM($D349),'PL mapping Std'!$A:$E,5,0))))</f>
        <v/>
      </c>
      <c r="W349">
        <f>_xlfn.IFERROR(VLOOKUP(E349,'F30 mapping'!A:D,4,0),VLOOKUP(D349,'F30 mapping'!A:D,4,0))</f>
        <v/>
      </c>
      <c r="X349">
        <f>IF(B349&lt;6,IFERROR(VLOOKUP(E349,'BS Mapping std'!A:M,13,0),VLOOKUP(D349,'BS Mapping std'!A:M,13,0)),0)</f>
        <v/>
      </c>
      <c r="Y349">
        <f>IF(B349&lt;6,IFERROR(VLOOKUP(E349,'BS Mapping std'!A:N,14,0),VLOOKUP(D349,'BS Mapping std'!A:N,14,0)),0)</f>
        <v/>
      </c>
    </row>
    <row r="350" spans="1:25">
      <c r="A350">
        <f>IF(B350&lt;6,"BS",IF(B350=6,"Exp","Rev"))</f>
        <v/>
      </c>
      <c r="B350">
        <f>_xlfn.NUMBERVALUE(LEFT(F350,1))</f>
        <v/>
      </c>
      <c r="C350">
        <f>Left(F350,2)</f>
        <v/>
      </c>
      <c r="D350">
        <f>Left(F350,3)</f>
        <v/>
      </c>
      <c r="E350">
        <f>IF(F350="121",Left(F350,3)&amp;"0",Left(F350,4))</f>
        <v/>
      </c>
      <c r="F350" t="n">
        <v>71109989</v>
      </c>
      <c r="G350" t="s">
        <v>365</v>
      </c>
      <c r="H350" s="9" t="n">
        <v>-2318.46</v>
      </c>
      <c r="I350" s="9" t="n">
        <v>3916.03</v>
      </c>
      <c r="J350" s="9" t="n">
        <v>3916.03</v>
      </c>
      <c r="K350" s="9" t="n">
        <v>-3916.03</v>
      </c>
      <c r="L350" s="9">
        <f>K350-H350</f>
        <v/>
      </c>
      <c r="M350" s="32">
        <f>IFERROR(L350/H350," ")</f>
        <v/>
      </c>
      <c r="N350">
        <f>IF(A350="BS",IFERROR(VLOOKUP(TRIM($E350),'BS Mapping std'!$A:$D,4,0),VLOOKUP(TRIM($D350),'BS Mapping std'!$A:$D,4,0)),IFERROR(VLOOKUP(TRIM($E350),'PL mapping Std'!$A:$D,4,0),VLOOKUP(TRIM($D350),'PL mapping Std'!$A:$D,4,0)))</f>
        <v/>
      </c>
      <c r="O350">
        <f>_xlfn.IFERROR(VLOOKUP(E350,'F30 mapping'!A:C,3,0),VLOOKUP(D350,'F30 mapping'!A:C,3,0))</f>
        <v/>
      </c>
      <c r="P350">
        <f>_xlfn.IFERROR(IFERROR(VLOOKUP(E350,'F40 mapping'!A:C,3,0),VLOOKUP(D350,'F40 mapping'!A:C,3,0)),0)</f>
        <v/>
      </c>
      <c r="Q350">
        <f>_xlfn.IFERROR(IFERROR(VLOOKUP(E350,'F40 mapping'!A:D,4,0),VLOOKUP(D350,'F40 mapping'!A:D,4,0)),0)</f>
        <v/>
      </c>
      <c r="R350">
        <f>_xlfn.IFERROR(IFERROR(VLOOKUP(E350,'F40 mapping'!A:E,5,0),VLOOKUP(D350,'F40 mapping'!A:E,5,0)),0)</f>
        <v/>
      </c>
      <c r="S350">
        <f>_xlfn.IF(B350&lt;6,IFERROR(VLOOKUP(E350,'BS Mapping std'!A:E,5,0),VLOOKUP(D350,'BS Mapping std'!A:E,5,0)),IFERROR(VLOOKUP(E350,'PL mapping Std'!A:F,6,0),VLOOKUP(D350,'PL mapping Std'!A:F,6,0)))</f>
        <v/>
      </c>
      <c r="T350">
        <f>_xlfn.IF(B350&lt;6,IFERROR(VLOOKUP(E350,'BS Mapping std'!A:F,6,0),VLOOKUP(D350,'BS Mapping std'!A:F,6,0)),IFERROR(VLOOKUP(E350,'PL mapping Std'!A:G,7,0),VLOOKUP(D350,'PL mapping Std'!A:G,7,0)))</f>
        <v/>
      </c>
      <c r="V350">
        <f>IF(IF(A350="BS",IFERROR(VLOOKUP(TRIM($E350),'BS Mapping std'!$A:$H,8,0),VLOOKUP(TRIM($D350),'BS Mapping std'!$A:$H,8,0)),IFERROR(VLOOKUP(TRIM($E350),'PL mapping Std'!$A:$E,5,0),VLOOKUP(TRIM($D350),'PL mapping Std'!$A:$E,5,0)))=0,"",IF(A350="BS",IFERROR(VLOOKUP(TRIM($E350),'BS Mapping std'!$A:$H,8,0),VLOOKUP(TRIM($D350),'BS Mapping std'!$A:$H,8,0)),IFERROR(VLOOKUP(TRIM($E350),'PL mapping Std'!$A:$E,5,0),VLOOKUP(TRIM($D350),'PL mapping Std'!$A:$E,5,0))))</f>
        <v/>
      </c>
      <c r="W350">
        <f>_xlfn.IFERROR(VLOOKUP(E350,'F30 mapping'!A:D,4,0),VLOOKUP(D350,'F30 mapping'!A:D,4,0))</f>
        <v/>
      </c>
      <c r="X350">
        <f>IF(B350&lt;6,IFERROR(VLOOKUP(E350,'BS Mapping std'!A:M,13,0),VLOOKUP(D350,'BS Mapping std'!A:M,13,0)),0)</f>
        <v/>
      </c>
      <c r="Y350">
        <f>IF(B350&lt;6,IFERROR(VLOOKUP(E350,'BS Mapping std'!A:N,14,0),VLOOKUP(D350,'BS Mapping std'!A:N,14,0)),0)</f>
        <v/>
      </c>
    </row>
    <row r="351" spans="1:25">
      <c r="A351">
        <f>IF(B351&lt;6,"BS",IF(B351=6,"Exp","Rev"))</f>
        <v/>
      </c>
      <c r="B351">
        <f>_xlfn.NUMBERVALUE(LEFT(F351,1))</f>
        <v/>
      </c>
      <c r="C351">
        <f>Left(F351,2)</f>
        <v/>
      </c>
      <c r="D351">
        <f>Left(F351,3)</f>
        <v/>
      </c>
      <c r="E351">
        <f>IF(F351="121",Left(F351,3)&amp;"0",Left(F351,4))</f>
        <v/>
      </c>
      <c r="F351" t="n">
        <v>71109990</v>
      </c>
      <c r="G351" t="s">
        <v>366</v>
      </c>
      <c r="H351" s="9" t="n">
        <v>1144.46</v>
      </c>
      <c r="I351" s="9" t="n">
        <v>-7637.92</v>
      </c>
      <c r="J351" s="9" t="n">
        <v>-7637.92</v>
      </c>
      <c r="K351" s="9" t="n">
        <v>7637.92</v>
      </c>
      <c r="L351" s="9">
        <f>K351-H351</f>
        <v/>
      </c>
      <c r="M351" s="32">
        <f>IFERROR(L351/H351," ")</f>
        <v/>
      </c>
      <c r="N351">
        <f>IF(A351="BS",IFERROR(VLOOKUP(TRIM($E351),'BS Mapping std'!$A:$D,4,0),VLOOKUP(TRIM($D351),'BS Mapping std'!$A:$D,4,0)),IFERROR(VLOOKUP(TRIM($E351),'PL mapping Std'!$A:$D,4,0),VLOOKUP(TRIM($D351),'PL mapping Std'!$A:$D,4,0)))</f>
        <v/>
      </c>
      <c r="O351">
        <f>_xlfn.IFERROR(VLOOKUP(E351,'F30 mapping'!A:C,3,0),VLOOKUP(D351,'F30 mapping'!A:C,3,0))</f>
        <v/>
      </c>
      <c r="P351">
        <f>_xlfn.IFERROR(IFERROR(VLOOKUP(E351,'F40 mapping'!A:C,3,0),VLOOKUP(D351,'F40 mapping'!A:C,3,0)),0)</f>
        <v/>
      </c>
      <c r="Q351">
        <f>_xlfn.IFERROR(IFERROR(VLOOKUP(E351,'F40 mapping'!A:D,4,0),VLOOKUP(D351,'F40 mapping'!A:D,4,0)),0)</f>
        <v/>
      </c>
      <c r="R351">
        <f>_xlfn.IFERROR(IFERROR(VLOOKUP(E351,'F40 mapping'!A:E,5,0),VLOOKUP(D351,'F40 mapping'!A:E,5,0)),0)</f>
        <v/>
      </c>
      <c r="S351">
        <f>_xlfn.IF(B351&lt;6,IFERROR(VLOOKUP(E351,'BS Mapping std'!A:E,5,0),VLOOKUP(D351,'BS Mapping std'!A:E,5,0)),IFERROR(VLOOKUP(E351,'PL mapping Std'!A:F,6,0),VLOOKUP(D351,'PL mapping Std'!A:F,6,0)))</f>
        <v/>
      </c>
      <c r="T351">
        <f>_xlfn.IF(B351&lt;6,IFERROR(VLOOKUP(E351,'BS Mapping std'!A:F,6,0),VLOOKUP(D351,'BS Mapping std'!A:F,6,0)),IFERROR(VLOOKUP(E351,'PL mapping Std'!A:G,7,0),VLOOKUP(D351,'PL mapping Std'!A:G,7,0)))</f>
        <v/>
      </c>
      <c r="V351">
        <f>IF(IF(A351="BS",IFERROR(VLOOKUP(TRIM($E351),'BS Mapping std'!$A:$H,8,0),VLOOKUP(TRIM($D351),'BS Mapping std'!$A:$H,8,0)),IFERROR(VLOOKUP(TRIM($E351),'PL mapping Std'!$A:$E,5,0),VLOOKUP(TRIM($D351),'PL mapping Std'!$A:$E,5,0)))=0,"",IF(A351="BS",IFERROR(VLOOKUP(TRIM($E351),'BS Mapping std'!$A:$H,8,0),VLOOKUP(TRIM($D351),'BS Mapping std'!$A:$H,8,0)),IFERROR(VLOOKUP(TRIM($E351),'PL mapping Std'!$A:$E,5,0),VLOOKUP(TRIM($D351),'PL mapping Std'!$A:$E,5,0))))</f>
        <v/>
      </c>
      <c r="W351">
        <f>_xlfn.IFERROR(VLOOKUP(E351,'F30 mapping'!A:D,4,0),VLOOKUP(D351,'F30 mapping'!A:D,4,0))</f>
        <v/>
      </c>
      <c r="X351">
        <f>IF(B351&lt;6,IFERROR(VLOOKUP(E351,'BS Mapping std'!A:M,13,0),VLOOKUP(D351,'BS Mapping std'!A:M,13,0)),0)</f>
        <v/>
      </c>
      <c r="Y351">
        <f>IF(B351&lt;6,IFERROR(VLOOKUP(E351,'BS Mapping std'!A:N,14,0),VLOOKUP(D351,'BS Mapping std'!A:N,14,0)),0)</f>
        <v/>
      </c>
    </row>
    <row r="352" spans="1:25">
      <c r="A352">
        <f>IF(B352&lt;6,"BS",IF(B352=6,"Exp","Rev"))</f>
        <v/>
      </c>
      <c r="B352">
        <f>_xlfn.NUMBERVALUE(LEFT(F352,1))</f>
        <v/>
      </c>
      <c r="C352">
        <f>Left(F352,2)</f>
        <v/>
      </c>
      <c r="D352">
        <f>Left(F352,3)</f>
        <v/>
      </c>
      <c r="E352">
        <f>IF(F352="121",Left(F352,3)&amp;"0",Left(F352,4))</f>
        <v/>
      </c>
      <c r="F352" t="n">
        <v>71109991</v>
      </c>
      <c r="G352" t="s">
        <v>367</v>
      </c>
      <c r="H352" s="9" t="n">
        <v>-3933.61</v>
      </c>
      <c r="I352" s="9" t="n">
        <v>7377.540000000001</v>
      </c>
      <c r="J352" s="9" t="n">
        <v>7377.540000000001</v>
      </c>
      <c r="K352" s="9" t="n">
        <v>-7377.540000000001</v>
      </c>
      <c r="L352" s="9">
        <f>K352-H352</f>
        <v/>
      </c>
      <c r="M352" s="32">
        <f>IFERROR(L352/H352," ")</f>
        <v/>
      </c>
      <c r="N352">
        <f>IF(A352="BS",IFERROR(VLOOKUP(TRIM($E352),'BS Mapping std'!$A:$D,4,0),VLOOKUP(TRIM($D352),'BS Mapping std'!$A:$D,4,0)),IFERROR(VLOOKUP(TRIM($E352),'PL mapping Std'!$A:$D,4,0),VLOOKUP(TRIM($D352),'PL mapping Std'!$A:$D,4,0)))</f>
        <v/>
      </c>
      <c r="O352">
        <f>_xlfn.IFERROR(VLOOKUP(E352,'F30 mapping'!A:C,3,0),VLOOKUP(D352,'F30 mapping'!A:C,3,0))</f>
        <v/>
      </c>
      <c r="P352">
        <f>_xlfn.IFERROR(IFERROR(VLOOKUP(E352,'F40 mapping'!A:C,3,0),VLOOKUP(D352,'F40 mapping'!A:C,3,0)),0)</f>
        <v/>
      </c>
      <c r="Q352">
        <f>_xlfn.IFERROR(IFERROR(VLOOKUP(E352,'F40 mapping'!A:D,4,0),VLOOKUP(D352,'F40 mapping'!A:D,4,0)),0)</f>
        <v/>
      </c>
      <c r="R352">
        <f>_xlfn.IFERROR(IFERROR(VLOOKUP(E352,'F40 mapping'!A:E,5,0),VLOOKUP(D352,'F40 mapping'!A:E,5,0)),0)</f>
        <v/>
      </c>
      <c r="S352">
        <f>_xlfn.IF(B352&lt;6,IFERROR(VLOOKUP(E352,'BS Mapping std'!A:E,5,0),VLOOKUP(D352,'BS Mapping std'!A:E,5,0)),IFERROR(VLOOKUP(E352,'PL mapping Std'!A:F,6,0),VLOOKUP(D352,'PL mapping Std'!A:F,6,0)))</f>
        <v/>
      </c>
      <c r="T352">
        <f>_xlfn.IF(B352&lt;6,IFERROR(VLOOKUP(E352,'BS Mapping std'!A:F,6,0),VLOOKUP(D352,'BS Mapping std'!A:F,6,0)),IFERROR(VLOOKUP(E352,'PL mapping Std'!A:G,7,0),VLOOKUP(D352,'PL mapping Std'!A:G,7,0)))</f>
        <v/>
      </c>
      <c r="V352">
        <f>IF(IF(A352="BS",IFERROR(VLOOKUP(TRIM($E352),'BS Mapping std'!$A:$H,8,0),VLOOKUP(TRIM($D352),'BS Mapping std'!$A:$H,8,0)),IFERROR(VLOOKUP(TRIM($E352),'PL mapping Std'!$A:$E,5,0),VLOOKUP(TRIM($D352),'PL mapping Std'!$A:$E,5,0)))=0,"",IF(A352="BS",IFERROR(VLOOKUP(TRIM($E352),'BS Mapping std'!$A:$H,8,0),VLOOKUP(TRIM($D352),'BS Mapping std'!$A:$H,8,0)),IFERROR(VLOOKUP(TRIM($E352),'PL mapping Std'!$A:$E,5,0),VLOOKUP(TRIM($D352),'PL mapping Std'!$A:$E,5,0))))</f>
        <v/>
      </c>
      <c r="W352">
        <f>_xlfn.IFERROR(VLOOKUP(E352,'F30 mapping'!A:D,4,0),VLOOKUP(D352,'F30 mapping'!A:D,4,0))</f>
        <v/>
      </c>
      <c r="X352">
        <f>IF(B352&lt;6,IFERROR(VLOOKUP(E352,'BS Mapping std'!A:M,13,0),VLOOKUP(D352,'BS Mapping std'!A:M,13,0)),0)</f>
        <v/>
      </c>
      <c r="Y352">
        <f>IF(B352&lt;6,IFERROR(VLOOKUP(E352,'BS Mapping std'!A:N,14,0),VLOOKUP(D352,'BS Mapping std'!A:N,14,0)),0)</f>
        <v/>
      </c>
    </row>
    <row r="353" spans="1:25">
      <c r="A353">
        <f>IF(B353&lt;6,"BS",IF(B353=6,"Exp","Rev"))</f>
        <v/>
      </c>
      <c r="B353">
        <f>_xlfn.NUMBERVALUE(LEFT(F353,1))</f>
        <v/>
      </c>
      <c r="C353">
        <f>Left(F353,2)</f>
        <v/>
      </c>
      <c r="D353">
        <f>Left(F353,3)</f>
        <v/>
      </c>
      <c r="E353">
        <f>IF(F353="121",Left(F353,3)&amp;"0",Left(F353,4))</f>
        <v/>
      </c>
      <c r="F353" t="n">
        <v>71109992</v>
      </c>
      <c r="G353" t="s">
        <v>368</v>
      </c>
      <c r="H353" s="9" t="n">
        <v>2346465.17</v>
      </c>
      <c r="I353" s="9" t="n">
        <v>-1284756.81</v>
      </c>
      <c r="J353" s="9" t="n">
        <v>-1284756.81</v>
      </c>
      <c r="K353" s="9" t="n">
        <v>1284756.81</v>
      </c>
      <c r="L353" s="9">
        <f>K353-H353</f>
        <v/>
      </c>
      <c r="M353" s="32">
        <f>IFERROR(L353/H353," ")</f>
        <v/>
      </c>
      <c r="N353">
        <f>IF(A353="BS",IFERROR(VLOOKUP(TRIM($E353),'BS Mapping std'!$A:$D,4,0),VLOOKUP(TRIM($D353),'BS Mapping std'!$A:$D,4,0)),IFERROR(VLOOKUP(TRIM($E353),'PL mapping Std'!$A:$D,4,0),VLOOKUP(TRIM($D353),'PL mapping Std'!$A:$D,4,0)))</f>
        <v/>
      </c>
      <c r="O353">
        <f>_xlfn.IFERROR(VLOOKUP(E353,'F30 mapping'!A:C,3,0),VLOOKUP(D353,'F30 mapping'!A:C,3,0))</f>
        <v/>
      </c>
      <c r="P353">
        <f>_xlfn.IFERROR(IFERROR(VLOOKUP(E353,'F40 mapping'!A:C,3,0),VLOOKUP(D353,'F40 mapping'!A:C,3,0)),0)</f>
        <v/>
      </c>
      <c r="Q353">
        <f>_xlfn.IFERROR(IFERROR(VLOOKUP(E353,'F40 mapping'!A:D,4,0),VLOOKUP(D353,'F40 mapping'!A:D,4,0)),0)</f>
        <v/>
      </c>
      <c r="R353">
        <f>_xlfn.IFERROR(IFERROR(VLOOKUP(E353,'F40 mapping'!A:E,5,0),VLOOKUP(D353,'F40 mapping'!A:E,5,0)),0)</f>
        <v/>
      </c>
      <c r="S353">
        <f>_xlfn.IF(B353&lt;6,IFERROR(VLOOKUP(E353,'BS Mapping std'!A:E,5,0),VLOOKUP(D353,'BS Mapping std'!A:E,5,0)),IFERROR(VLOOKUP(E353,'PL mapping Std'!A:F,6,0),VLOOKUP(D353,'PL mapping Std'!A:F,6,0)))</f>
        <v/>
      </c>
      <c r="T353">
        <f>_xlfn.IF(B353&lt;6,IFERROR(VLOOKUP(E353,'BS Mapping std'!A:F,6,0),VLOOKUP(D353,'BS Mapping std'!A:F,6,0)),IFERROR(VLOOKUP(E353,'PL mapping Std'!A:G,7,0),VLOOKUP(D353,'PL mapping Std'!A:G,7,0)))</f>
        <v/>
      </c>
      <c r="V353">
        <f>IF(IF(A353="BS",IFERROR(VLOOKUP(TRIM($E353),'BS Mapping std'!$A:$H,8,0),VLOOKUP(TRIM($D353),'BS Mapping std'!$A:$H,8,0)),IFERROR(VLOOKUP(TRIM($E353),'PL mapping Std'!$A:$E,5,0),VLOOKUP(TRIM($D353),'PL mapping Std'!$A:$E,5,0)))=0,"",IF(A353="BS",IFERROR(VLOOKUP(TRIM($E353),'BS Mapping std'!$A:$H,8,0),VLOOKUP(TRIM($D353),'BS Mapping std'!$A:$H,8,0)),IFERROR(VLOOKUP(TRIM($E353),'PL mapping Std'!$A:$E,5,0),VLOOKUP(TRIM($D353),'PL mapping Std'!$A:$E,5,0))))</f>
        <v/>
      </c>
      <c r="W353">
        <f>_xlfn.IFERROR(VLOOKUP(E353,'F30 mapping'!A:D,4,0),VLOOKUP(D353,'F30 mapping'!A:D,4,0))</f>
        <v/>
      </c>
      <c r="X353">
        <f>IF(B353&lt;6,IFERROR(VLOOKUP(E353,'BS Mapping std'!A:M,13,0),VLOOKUP(D353,'BS Mapping std'!A:M,13,0)),0)</f>
        <v/>
      </c>
      <c r="Y353">
        <f>IF(B353&lt;6,IFERROR(VLOOKUP(E353,'BS Mapping std'!A:N,14,0),VLOOKUP(D353,'BS Mapping std'!A:N,14,0)),0)</f>
        <v/>
      </c>
    </row>
    <row r="354" spans="1:25">
      <c r="A354">
        <f>IF(B354&lt;6,"BS",IF(B354=6,"Exp","Rev"))</f>
        <v/>
      </c>
      <c r="B354">
        <f>_xlfn.NUMBERVALUE(LEFT(F354,1))</f>
        <v/>
      </c>
      <c r="C354">
        <f>Left(F354,2)</f>
        <v/>
      </c>
      <c r="D354">
        <f>Left(F354,3)</f>
        <v/>
      </c>
      <c r="E354">
        <f>IF(F354="121",Left(F354,3)&amp;"0",Left(F354,4))</f>
        <v/>
      </c>
      <c r="F354" t="n">
        <v>71109993</v>
      </c>
      <c r="G354" t="s">
        <v>369</v>
      </c>
      <c r="H354" s="9" t="n">
        <v>-213057.3399999999</v>
      </c>
      <c r="I354" s="9" t="n">
        <v>-204636.1999999993</v>
      </c>
      <c r="J354" s="9" t="n">
        <v>-204636.1999999993</v>
      </c>
      <c r="K354" s="9" t="n">
        <v>204636.1999999993</v>
      </c>
      <c r="L354" s="9">
        <f>K354-H354</f>
        <v/>
      </c>
      <c r="M354" s="32">
        <f>IFERROR(L354/H354," ")</f>
        <v/>
      </c>
      <c r="N354">
        <f>IF(A354="BS",IFERROR(VLOOKUP(TRIM($E354),'BS Mapping std'!$A:$D,4,0),VLOOKUP(TRIM($D354),'BS Mapping std'!$A:$D,4,0)),IFERROR(VLOOKUP(TRIM($E354),'PL mapping Std'!$A:$D,4,0),VLOOKUP(TRIM($D354),'PL mapping Std'!$A:$D,4,0)))</f>
        <v/>
      </c>
      <c r="O354">
        <f>_xlfn.IFERROR(VLOOKUP(E354,'F30 mapping'!A:C,3,0),VLOOKUP(D354,'F30 mapping'!A:C,3,0))</f>
        <v/>
      </c>
      <c r="P354">
        <f>_xlfn.IFERROR(IFERROR(VLOOKUP(E354,'F40 mapping'!A:C,3,0),VLOOKUP(D354,'F40 mapping'!A:C,3,0)),0)</f>
        <v/>
      </c>
      <c r="Q354">
        <f>_xlfn.IFERROR(IFERROR(VLOOKUP(E354,'F40 mapping'!A:D,4,0),VLOOKUP(D354,'F40 mapping'!A:D,4,0)),0)</f>
        <v/>
      </c>
      <c r="R354">
        <f>_xlfn.IFERROR(IFERROR(VLOOKUP(E354,'F40 mapping'!A:E,5,0),VLOOKUP(D354,'F40 mapping'!A:E,5,0)),0)</f>
        <v/>
      </c>
      <c r="S354">
        <f>_xlfn.IF(B354&lt;6,IFERROR(VLOOKUP(E354,'BS Mapping std'!A:E,5,0),VLOOKUP(D354,'BS Mapping std'!A:E,5,0)),IFERROR(VLOOKUP(E354,'PL mapping Std'!A:F,6,0),VLOOKUP(D354,'PL mapping Std'!A:F,6,0)))</f>
        <v/>
      </c>
      <c r="T354">
        <f>_xlfn.IF(B354&lt;6,IFERROR(VLOOKUP(E354,'BS Mapping std'!A:F,6,0),VLOOKUP(D354,'BS Mapping std'!A:F,6,0)),IFERROR(VLOOKUP(E354,'PL mapping Std'!A:G,7,0),VLOOKUP(D354,'PL mapping Std'!A:G,7,0)))</f>
        <v/>
      </c>
      <c r="V354">
        <f>IF(IF(A354="BS",IFERROR(VLOOKUP(TRIM($E354),'BS Mapping std'!$A:$H,8,0),VLOOKUP(TRIM($D354),'BS Mapping std'!$A:$H,8,0)),IFERROR(VLOOKUP(TRIM($E354),'PL mapping Std'!$A:$E,5,0),VLOOKUP(TRIM($D354),'PL mapping Std'!$A:$E,5,0)))=0,"",IF(A354="BS",IFERROR(VLOOKUP(TRIM($E354),'BS Mapping std'!$A:$H,8,0),VLOOKUP(TRIM($D354),'BS Mapping std'!$A:$H,8,0)),IFERROR(VLOOKUP(TRIM($E354),'PL mapping Std'!$A:$E,5,0),VLOOKUP(TRIM($D354),'PL mapping Std'!$A:$E,5,0))))</f>
        <v/>
      </c>
      <c r="W354">
        <f>_xlfn.IFERROR(VLOOKUP(E354,'F30 mapping'!A:D,4,0),VLOOKUP(D354,'F30 mapping'!A:D,4,0))</f>
        <v/>
      </c>
      <c r="X354">
        <f>IF(B354&lt;6,IFERROR(VLOOKUP(E354,'BS Mapping std'!A:M,13,0),VLOOKUP(D354,'BS Mapping std'!A:M,13,0)),0)</f>
        <v/>
      </c>
      <c r="Y354">
        <f>IF(B354&lt;6,IFERROR(VLOOKUP(E354,'BS Mapping std'!A:N,14,0),VLOOKUP(D354,'BS Mapping std'!A:N,14,0)),0)</f>
        <v/>
      </c>
    </row>
    <row r="355" spans="1:25">
      <c r="A355">
        <f>IF(B355&lt;6,"BS",IF(B355=6,"Exp","Rev"))</f>
        <v/>
      </c>
      <c r="B355">
        <f>_xlfn.NUMBERVALUE(LEFT(F355,1))</f>
        <v/>
      </c>
      <c r="C355">
        <f>Left(F355,2)</f>
        <v/>
      </c>
      <c r="D355">
        <f>Left(F355,3)</f>
        <v/>
      </c>
      <c r="E355">
        <f>IF(F355="121",Left(F355,3)&amp;"0",Left(F355,4))</f>
        <v/>
      </c>
      <c r="F355" t="n">
        <v>71109994</v>
      </c>
      <c r="G355" t="s">
        <v>370</v>
      </c>
      <c r="H355" s="9" t="n">
        <v>77217510.06</v>
      </c>
      <c r="I355" s="9" t="n">
        <v>-110624440.42</v>
      </c>
      <c r="J355" s="9" t="n">
        <v>-110624440.42</v>
      </c>
      <c r="K355" s="9" t="n">
        <v>110624440.42</v>
      </c>
      <c r="L355" s="9">
        <f>K355-H355</f>
        <v/>
      </c>
      <c r="M355" s="32">
        <f>IFERROR(L355/H355," ")</f>
        <v/>
      </c>
      <c r="N355">
        <f>IF(A355="BS",IFERROR(VLOOKUP(TRIM($E355),'BS Mapping std'!$A:$D,4,0),VLOOKUP(TRIM($D355),'BS Mapping std'!$A:$D,4,0)),IFERROR(VLOOKUP(TRIM($E355),'PL mapping Std'!$A:$D,4,0),VLOOKUP(TRIM($D355),'PL mapping Std'!$A:$D,4,0)))</f>
        <v/>
      </c>
      <c r="O355">
        <f>_xlfn.IFERROR(VLOOKUP(E355,'F30 mapping'!A:C,3,0),VLOOKUP(D355,'F30 mapping'!A:C,3,0))</f>
        <v/>
      </c>
      <c r="P355">
        <f>_xlfn.IFERROR(IFERROR(VLOOKUP(E355,'F40 mapping'!A:C,3,0),VLOOKUP(D355,'F40 mapping'!A:C,3,0)),0)</f>
        <v/>
      </c>
      <c r="Q355">
        <f>_xlfn.IFERROR(IFERROR(VLOOKUP(E355,'F40 mapping'!A:D,4,0),VLOOKUP(D355,'F40 mapping'!A:D,4,0)),0)</f>
        <v/>
      </c>
      <c r="R355">
        <f>_xlfn.IFERROR(IFERROR(VLOOKUP(E355,'F40 mapping'!A:E,5,0),VLOOKUP(D355,'F40 mapping'!A:E,5,0)),0)</f>
        <v/>
      </c>
      <c r="S355">
        <f>_xlfn.IF(B355&lt;6,IFERROR(VLOOKUP(E355,'BS Mapping std'!A:E,5,0),VLOOKUP(D355,'BS Mapping std'!A:E,5,0)),IFERROR(VLOOKUP(E355,'PL mapping Std'!A:F,6,0),VLOOKUP(D355,'PL mapping Std'!A:F,6,0)))</f>
        <v/>
      </c>
      <c r="T355">
        <f>_xlfn.IF(B355&lt;6,IFERROR(VLOOKUP(E355,'BS Mapping std'!A:F,6,0),VLOOKUP(D355,'BS Mapping std'!A:F,6,0)),IFERROR(VLOOKUP(E355,'PL mapping Std'!A:G,7,0),VLOOKUP(D355,'PL mapping Std'!A:G,7,0)))</f>
        <v/>
      </c>
      <c r="V355">
        <f>IF(IF(A355="BS",IFERROR(VLOOKUP(TRIM($E355),'BS Mapping std'!$A:$H,8,0),VLOOKUP(TRIM($D355),'BS Mapping std'!$A:$H,8,0)),IFERROR(VLOOKUP(TRIM($E355),'PL mapping Std'!$A:$E,5,0),VLOOKUP(TRIM($D355),'PL mapping Std'!$A:$E,5,0)))=0,"",IF(A355="BS",IFERROR(VLOOKUP(TRIM($E355),'BS Mapping std'!$A:$H,8,0),VLOOKUP(TRIM($D355),'BS Mapping std'!$A:$H,8,0)),IFERROR(VLOOKUP(TRIM($E355),'PL mapping Std'!$A:$E,5,0),VLOOKUP(TRIM($D355),'PL mapping Std'!$A:$E,5,0))))</f>
        <v/>
      </c>
      <c r="W355">
        <f>_xlfn.IFERROR(VLOOKUP(E355,'F30 mapping'!A:D,4,0),VLOOKUP(D355,'F30 mapping'!A:D,4,0))</f>
        <v/>
      </c>
      <c r="X355">
        <f>IF(B355&lt;6,IFERROR(VLOOKUP(E355,'BS Mapping std'!A:M,13,0),VLOOKUP(D355,'BS Mapping std'!A:M,13,0)),0)</f>
        <v/>
      </c>
      <c r="Y355">
        <f>IF(B355&lt;6,IFERROR(VLOOKUP(E355,'BS Mapping std'!A:N,14,0),VLOOKUP(D355,'BS Mapping std'!A:N,14,0)),0)</f>
        <v/>
      </c>
    </row>
    <row r="356" spans="1:25">
      <c r="A356">
        <f>IF(B356&lt;6,"BS",IF(B356=6,"Exp","Rev"))</f>
        <v/>
      </c>
      <c r="B356">
        <f>_xlfn.NUMBERVALUE(LEFT(F356,1))</f>
        <v/>
      </c>
      <c r="C356">
        <f>Left(F356,2)</f>
        <v/>
      </c>
      <c r="D356">
        <f>Left(F356,3)</f>
        <v/>
      </c>
      <c r="E356">
        <f>IF(F356="121",Left(F356,3)&amp;"0",Left(F356,4))</f>
        <v/>
      </c>
      <c r="F356" t="n">
        <v>71109995</v>
      </c>
      <c r="G356" t="s">
        <v>371</v>
      </c>
      <c r="H356" s="9" t="n">
        <v>20678213.83</v>
      </c>
      <c r="I356" s="9" t="n">
        <v>-34362625.71</v>
      </c>
      <c r="J356" s="9" t="n">
        <v>-34362625.71</v>
      </c>
      <c r="K356" s="9" t="n">
        <v>34362625.71</v>
      </c>
      <c r="L356" s="9">
        <f>K356-H356</f>
        <v/>
      </c>
      <c r="M356" s="32">
        <f>IFERROR(L356/H356," ")</f>
        <v/>
      </c>
      <c r="N356">
        <f>IF(A356="BS",IFERROR(VLOOKUP(TRIM($E356),'BS Mapping std'!$A:$D,4,0),VLOOKUP(TRIM($D356),'BS Mapping std'!$A:$D,4,0)),IFERROR(VLOOKUP(TRIM($E356),'PL mapping Std'!$A:$D,4,0),VLOOKUP(TRIM($D356),'PL mapping Std'!$A:$D,4,0)))</f>
        <v/>
      </c>
      <c r="O356">
        <f>_xlfn.IFERROR(VLOOKUP(E356,'F30 mapping'!A:C,3,0),VLOOKUP(D356,'F30 mapping'!A:C,3,0))</f>
        <v/>
      </c>
      <c r="P356">
        <f>_xlfn.IFERROR(IFERROR(VLOOKUP(E356,'F40 mapping'!A:C,3,0),VLOOKUP(D356,'F40 mapping'!A:C,3,0)),0)</f>
        <v/>
      </c>
      <c r="Q356">
        <f>_xlfn.IFERROR(IFERROR(VLOOKUP(E356,'F40 mapping'!A:D,4,0),VLOOKUP(D356,'F40 mapping'!A:D,4,0)),0)</f>
        <v/>
      </c>
      <c r="R356">
        <f>_xlfn.IFERROR(IFERROR(VLOOKUP(E356,'F40 mapping'!A:E,5,0),VLOOKUP(D356,'F40 mapping'!A:E,5,0)),0)</f>
        <v/>
      </c>
      <c r="S356">
        <f>_xlfn.IF(B356&lt;6,IFERROR(VLOOKUP(E356,'BS Mapping std'!A:E,5,0),VLOOKUP(D356,'BS Mapping std'!A:E,5,0)),IFERROR(VLOOKUP(E356,'PL mapping Std'!A:F,6,0),VLOOKUP(D356,'PL mapping Std'!A:F,6,0)))</f>
        <v/>
      </c>
      <c r="T356">
        <f>_xlfn.IF(B356&lt;6,IFERROR(VLOOKUP(E356,'BS Mapping std'!A:F,6,0),VLOOKUP(D356,'BS Mapping std'!A:F,6,0)),IFERROR(VLOOKUP(E356,'PL mapping Std'!A:G,7,0),VLOOKUP(D356,'PL mapping Std'!A:G,7,0)))</f>
        <v/>
      </c>
      <c r="V356">
        <f>IF(IF(A356="BS",IFERROR(VLOOKUP(TRIM($E356),'BS Mapping std'!$A:$H,8,0),VLOOKUP(TRIM($D356),'BS Mapping std'!$A:$H,8,0)),IFERROR(VLOOKUP(TRIM($E356),'PL mapping Std'!$A:$E,5,0),VLOOKUP(TRIM($D356),'PL mapping Std'!$A:$E,5,0)))=0,"",IF(A356="BS",IFERROR(VLOOKUP(TRIM($E356),'BS Mapping std'!$A:$H,8,0),VLOOKUP(TRIM($D356),'BS Mapping std'!$A:$H,8,0)),IFERROR(VLOOKUP(TRIM($E356),'PL mapping Std'!$A:$E,5,0),VLOOKUP(TRIM($D356),'PL mapping Std'!$A:$E,5,0))))</f>
        <v/>
      </c>
      <c r="W356">
        <f>_xlfn.IFERROR(VLOOKUP(E356,'F30 mapping'!A:D,4,0),VLOOKUP(D356,'F30 mapping'!A:D,4,0))</f>
        <v/>
      </c>
      <c r="X356">
        <f>IF(B356&lt;6,IFERROR(VLOOKUP(E356,'BS Mapping std'!A:M,13,0),VLOOKUP(D356,'BS Mapping std'!A:M,13,0)),0)</f>
        <v/>
      </c>
      <c r="Y356">
        <f>IF(B356&lt;6,IFERROR(VLOOKUP(E356,'BS Mapping std'!A:N,14,0),VLOOKUP(D356,'BS Mapping std'!A:N,14,0)),0)</f>
        <v/>
      </c>
    </row>
    <row r="357" spans="1:25">
      <c r="A357">
        <f>IF(B357&lt;6,"BS",IF(B357=6,"Exp","Rev"))</f>
        <v/>
      </c>
      <c r="B357">
        <f>_xlfn.NUMBERVALUE(LEFT(F357,1))</f>
        <v/>
      </c>
      <c r="C357">
        <f>Left(F357,2)</f>
        <v/>
      </c>
      <c r="D357">
        <f>Left(F357,3)</f>
        <v/>
      </c>
      <c r="E357">
        <f>IF(F357="121",Left(F357,3)&amp;"0",Left(F357,4))</f>
        <v/>
      </c>
      <c r="F357" t="n">
        <v>71109996</v>
      </c>
      <c r="G357" t="s">
        <v>372</v>
      </c>
      <c r="H357" s="9" t="n">
        <v>-78018250.83000001</v>
      </c>
      <c r="I357" s="9" t="n">
        <v>110165570.79</v>
      </c>
      <c r="J357" s="9" t="n">
        <v>110165570.79</v>
      </c>
      <c r="K357" s="9" t="n">
        <v>-110165570.79</v>
      </c>
      <c r="L357" s="9">
        <f>K357-H357</f>
        <v/>
      </c>
      <c r="M357" s="32">
        <f>IFERROR(L357/H357," ")</f>
        <v/>
      </c>
      <c r="N357">
        <f>IF(A357="BS",IFERROR(VLOOKUP(TRIM($E357),'BS Mapping std'!$A:$D,4,0),VLOOKUP(TRIM($D357),'BS Mapping std'!$A:$D,4,0)),IFERROR(VLOOKUP(TRIM($E357),'PL mapping Std'!$A:$D,4,0),VLOOKUP(TRIM($D357),'PL mapping Std'!$A:$D,4,0)))</f>
        <v/>
      </c>
      <c r="O357">
        <f>_xlfn.IFERROR(VLOOKUP(E357,'F30 mapping'!A:C,3,0),VLOOKUP(D357,'F30 mapping'!A:C,3,0))</f>
        <v/>
      </c>
      <c r="P357">
        <f>_xlfn.IFERROR(IFERROR(VLOOKUP(E357,'F40 mapping'!A:C,3,0),VLOOKUP(D357,'F40 mapping'!A:C,3,0)),0)</f>
        <v/>
      </c>
      <c r="Q357">
        <f>_xlfn.IFERROR(IFERROR(VLOOKUP(E357,'F40 mapping'!A:D,4,0),VLOOKUP(D357,'F40 mapping'!A:D,4,0)),0)</f>
        <v/>
      </c>
      <c r="R357">
        <f>_xlfn.IFERROR(IFERROR(VLOOKUP(E357,'F40 mapping'!A:E,5,0),VLOOKUP(D357,'F40 mapping'!A:E,5,0)),0)</f>
        <v/>
      </c>
      <c r="S357">
        <f>_xlfn.IF(B357&lt;6,IFERROR(VLOOKUP(E357,'BS Mapping std'!A:E,5,0),VLOOKUP(D357,'BS Mapping std'!A:E,5,0)),IFERROR(VLOOKUP(E357,'PL mapping Std'!A:F,6,0),VLOOKUP(D357,'PL mapping Std'!A:F,6,0)))</f>
        <v/>
      </c>
      <c r="T357">
        <f>_xlfn.IF(B357&lt;6,IFERROR(VLOOKUP(E357,'BS Mapping std'!A:F,6,0),VLOOKUP(D357,'BS Mapping std'!A:F,6,0)),IFERROR(VLOOKUP(E357,'PL mapping Std'!A:G,7,0),VLOOKUP(D357,'PL mapping Std'!A:G,7,0)))</f>
        <v/>
      </c>
      <c r="V357">
        <f>IF(IF(A357="BS",IFERROR(VLOOKUP(TRIM($E357),'BS Mapping std'!$A:$H,8,0),VLOOKUP(TRIM($D357),'BS Mapping std'!$A:$H,8,0)),IFERROR(VLOOKUP(TRIM($E357),'PL mapping Std'!$A:$E,5,0),VLOOKUP(TRIM($D357),'PL mapping Std'!$A:$E,5,0)))=0,"",IF(A357="BS",IFERROR(VLOOKUP(TRIM($E357),'BS Mapping std'!$A:$H,8,0),VLOOKUP(TRIM($D357),'BS Mapping std'!$A:$H,8,0)),IFERROR(VLOOKUP(TRIM($E357),'PL mapping Std'!$A:$E,5,0),VLOOKUP(TRIM($D357),'PL mapping Std'!$A:$E,5,0))))</f>
        <v/>
      </c>
      <c r="W357">
        <f>_xlfn.IFERROR(VLOOKUP(E357,'F30 mapping'!A:D,4,0),VLOOKUP(D357,'F30 mapping'!A:D,4,0))</f>
        <v/>
      </c>
      <c r="X357">
        <f>IF(B357&lt;6,IFERROR(VLOOKUP(E357,'BS Mapping std'!A:M,13,0),VLOOKUP(D357,'BS Mapping std'!A:M,13,0)),0)</f>
        <v/>
      </c>
      <c r="Y357">
        <f>IF(B357&lt;6,IFERROR(VLOOKUP(E357,'BS Mapping std'!A:N,14,0),VLOOKUP(D357,'BS Mapping std'!A:N,14,0)),0)</f>
        <v/>
      </c>
    </row>
    <row r="358" spans="1:25">
      <c r="A358">
        <f>IF(B358&lt;6,"BS",IF(B358=6,"Exp","Rev"))</f>
        <v/>
      </c>
      <c r="B358">
        <f>_xlfn.NUMBERVALUE(LEFT(F358,1))</f>
        <v/>
      </c>
      <c r="C358">
        <f>Left(F358,2)</f>
        <v/>
      </c>
      <c r="D358">
        <f>Left(F358,3)</f>
        <v/>
      </c>
      <c r="E358">
        <f>IF(F358="121",Left(F358,3)&amp;"0",Left(F358,4))</f>
        <v/>
      </c>
      <c r="F358" t="n">
        <v>71109997</v>
      </c>
      <c r="G358" t="s">
        <v>373</v>
      </c>
      <c r="H358" s="9" t="n">
        <v>5944246.050000001</v>
      </c>
      <c r="I358" s="9" t="n">
        <v>-9253148.58</v>
      </c>
      <c r="J358" s="9" t="n">
        <v>-9253148.58</v>
      </c>
      <c r="K358" s="9" t="n">
        <v>9253148.58</v>
      </c>
      <c r="L358" s="9">
        <f>K358-H358</f>
        <v/>
      </c>
      <c r="M358" s="32">
        <f>IFERROR(L358/H358," ")</f>
        <v/>
      </c>
      <c r="N358">
        <f>IF(A358="BS",IFERROR(VLOOKUP(TRIM($E358),'BS Mapping std'!$A:$D,4,0),VLOOKUP(TRIM($D358),'BS Mapping std'!$A:$D,4,0)),IFERROR(VLOOKUP(TRIM($E358),'PL mapping Std'!$A:$D,4,0),VLOOKUP(TRIM($D358),'PL mapping Std'!$A:$D,4,0)))</f>
        <v/>
      </c>
      <c r="O358">
        <f>_xlfn.IFERROR(VLOOKUP(E358,'F30 mapping'!A:C,3,0),VLOOKUP(D358,'F30 mapping'!A:C,3,0))</f>
        <v/>
      </c>
      <c r="P358">
        <f>_xlfn.IFERROR(IFERROR(VLOOKUP(E358,'F40 mapping'!A:C,3,0),VLOOKUP(D358,'F40 mapping'!A:C,3,0)),0)</f>
        <v/>
      </c>
      <c r="Q358">
        <f>_xlfn.IFERROR(IFERROR(VLOOKUP(E358,'F40 mapping'!A:D,4,0),VLOOKUP(D358,'F40 mapping'!A:D,4,0)),0)</f>
        <v/>
      </c>
      <c r="R358">
        <f>_xlfn.IFERROR(IFERROR(VLOOKUP(E358,'F40 mapping'!A:E,5,0),VLOOKUP(D358,'F40 mapping'!A:E,5,0)),0)</f>
        <v/>
      </c>
      <c r="S358">
        <f>_xlfn.IF(B358&lt;6,IFERROR(VLOOKUP(E358,'BS Mapping std'!A:E,5,0),VLOOKUP(D358,'BS Mapping std'!A:E,5,0)),IFERROR(VLOOKUP(E358,'PL mapping Std'!A:F,6,0),VLOOKUP(D358,'PL mapping Std'!A:F,6,0)))</f>
        <v/>
      </c>
      <c r="T358">
        <f>_xlfn.IF(B358&lt;6,IFERROR(VLOOKUP(E358,'BS Mapping std'!A:F,6,0),VLOOKUP(D358,'BS Mapping std'!A:F,6,0)),IFERROR(VLOOKUP(E358,'PL mapping Std'!A:G,7,0),VLOOKUP(D358,'PL mapping Std'!A:G,7,0)))</f>
        <v/>
      </c>
      <c r="V358">
        <f>IF(IF(A358="BS",IFERROR(VLOOKUP(TRIM($E358),'BS Mapping std'!$A:$H,8,0),VLOOKUP(TRIM($D358),'BS Mapping std'!$A:$H,8,0)),IFERROR(VLOOKUP(TRIM($E358),'PL mapping Std'!$A:$E,5,0),VLOOKUP(TRIM($D358),'PL mapping Std'!$A:$E,5,0)))=0,"",IF(A358="BS",IFERROR(VLOOKUP(TRIM($E358),'BS Mapping std'!$A:$H,8,0),VLOOKUP(TRIM($D358),'BS Mapping std'!$A:$H,8,0)),IFERROR(VLOOKUP(TRIM($E358),'PL mapping Std'!$A:$E,5,0),VLOOKUP(TRIM($D358),'PL mapping Std'!$A:$E,5,0))))</f>
        <v/>
      </c>
      <c r="W358">
        <f>_xlfn.IFERROR(VLOOKUP(E358,'F30 mapping'!A:D,4,0),VLOOKUP(D358,'F30 mapping'!A:D,4,0))</f>
        <v/>
      </c>
      <c r="X358">
        <f>IF(B358&lt;6,IFERROR(VLOOKUP(E358,'BS Mapping std'!A:M,13,0),VLOOKUP(D358,'BS Mapping std'!A:M,13,0)),0)</f>
        <v/>
      </c>
      <c r="Y358">
        <f>IF(B358&lt;6,IFERROR(VLOOKUP(E358,'BS Mapping std'!A:N,14,0),VLOOKUP(D358,'BS Mapping std'!A:N,14,0)),0)</f>
        <v/>
      </c>
    </row>
    <row r="359" spans="1:25">
      <c r="A359">
        <f>IF(B359&lt;6,"BS",IF(B359=6,"Exp","Rev"))</f>
        <v/>
      </c>
      <c r="B359">
        <f>_xlfn.NUMBERVALUE(LEFT(F359,1))</f>
        <v/>
      </c>
      <c r="C359">
        <f>Left(F359,2)</f>
        <v/>
      </c>
      <c r="D359">
        <f>Left(F359,3)</f>
        <v/>
      </c>
      <c r="E359">
        <f>IF(F359="121",Left(F359,3)&amp;"0",Left(F359,4))</f>
        <v/>
      </c>
      <c r="F359" t="n">
        <v>71109999</v>
      </c>
      <c r="G359" t="s">
        <v>374</v>
      </c>
      <c r="H359" s="9" t="n">
        <v>68718.00999999999</v>
      </c>
      <c r="I359" s="9" t="n">
        <v>-30822.04</v>
      </c>
      <c r="J359" s="9" t="n">
        <v>-30822.04</v>
      </c>
      <c r="K359" s="9" t="n">
        <v>30822.04</v>
      </c>
      <c r="L359" s="9">
        <f>K359-H359</f>
        <v/>
      </c>
      <c r="M359" s="32">
        <f>IFERROR(L359/H359," ")</f>
        <v/>
      </c>
      <c r="N359">
        <f>IF(A359="BS",IFERROR(VLOOKUP(TRIM($E359),'BS Mapping std'!$A:$D,4,0),VLOOKUP(TRIM($D359),'BS Mapping std'!$A:$D,4,0)),IFERROR(VLOOKUP(TRIM($E359),'PL mapping Std'!$A:$D,4,0),VLOOKUP(TRIM($D359),'PL mapping Std'!$A:$D,4,0)))</f>
        <v/>
      </c>
      <c r="O359">
        <f>_xlfn.IFERROR(VLOOKUP(E359,'F30 mapping'!A:C,3,0),VLOOKUP(D359,'F30 mapping'!A:C,3,0))</f>
        <v/>
      </c>
      <c r="P359">
        <f>_xlfn.IFERROR(IFERROR(VLOOKUP(E359,'F40 mapping'!A:C,3,0),VLOOKUP(D359,'F40 mapping'!A:C,3,0)),0)</f>
        <v/>
      </c>
      <c r="Q359">
        <f>_xlfn.IFERROR(IFERROR(VLOOKUP(E359,'F40 mapping'!A:D,4,0),VLOOKUP(D359,'F40 mapping'!A:D,4,0)),0)</f>
        <v/>
      </c>
      <c r="R359">
        <f>_xlfn.IFERROR(IFERROR(VLOOKUP(E359,'F40 mapping'!A:E,5,0),VLOOKUP(D359,'F40 mapping'!A:E,5,0)),0)</f>
        <v/>
      </c>
      <c r="S359">
        <f>_xlfn.IF(B359&lt;6,IFERROR(VLOOKUP(E359,'BS Mapping std'!A:E,5,0),VLOOKUP(D359,'BS Mapping std'!A:E,5,0)),IFERROR(VLOOKUP(E359,'PL mapping Std'!A:F,6,0),VLOOKUP(D359,'PL mapping Std'!A:F,6,0)))</f>
        <v/>
      </c>
      <c r="T359">
        <f>_xlfn.IF(B359&lt;6,IFERROR(VLOOKUP(E359,'BS Mapping std'!A:F,6,0),VLOOKUP(D359,'BS Mapping std'!A:F,6,0)),IFERROR(VLOOKUP(E359,'PL mapping Std'!A:G,7,0),VLOOKUP(D359,'PL mapping Std'!A:G,7,0)))</f>
        <v/>
      </c>
      <c r="V359">
        <f>IF(IF(A359="BS",IFERROR(VLOOKUP(TRIM($E359),'BS Mapping std'!$A:$H,8,0),VLOOKUP(TRIM($D359),'BS Mapping std'!$A:$H,8,0)),IFERROR(VLOOKUP(TRIM($E359),'PL mapping Std'!$A:$E,5,0),VLOOKUP(TRIM($D359),'PL mapping Std'!$A:$E,5,0)))=0,"",IF(A359="BS",IFERROR(VLOOKUP(TRIM($E359),'BS Mapping std'!$A:$H,8,0),VLOOKUP(TRIM($D359),'BS Mapping std'!$A:$H,8,0)),IFERROR(VLOOKUP(TRIM($E359),'PL mapping Std'!$A:$E,5,0),VLOOKUP(TRIM($D359),'PL mapping Std'!$A:$E,5,0))))</f>
        <v/>
      </c>
      <c r="W359">
        <f>_xlfn.IFERROR(VLOOKUP(E359,'F30 mapping'!A:D,4,0),VLOOKUP(D359,'F30 mapping'!A:D,4,0))</f>
        <v/>
      </c>
      <c r="X359">
        <f>IF(B359&lt;6,IFERROR(VLOOKUP(E359,'BS Mapping std'!A:M,13,0),VLOOKUP(D359,'BS Mapping std'!A:M,13,0)),0)</f>
        <v/>
      </c>
      <c r="Y359">
        <f>IF(B359&lt;6,IFERROR(VLOOKUP(E359,'BS Mapping std'!A:N,14,0),VLOOKUP(D359,'BS Mapping std'!A:N,14,0)),0)</f>
        <v/>
      </c>
    </row>
    <row r="360" spans="1:25">
      <c r="A360">
        <f>IF(B360&lt;6,"BS",IF(B360=6,"Exp","Rev"))</f>
        <v/>
      </c>
      <c r="B360">
        <f>_xlfn.NUMBERVALUE(LEFT(F360,1))</f>
        <v/>
      </c>
      <c r="C360">
        <f>Left(F360,2)</f>
        <v/>
      </c>
      <c r="D360">
        <f>Left(F360,3)</f>
        <v/>
      </c>
      <c r="E360">
        <f>IF(F360="121",Left(F360,3)&amp;"0",Left(F360,4))</f>
        <v/>
      </c>
      <c r="F360" t="n">
        <v>75810010</v>
      </c>
      <c r="G360" t="s">
        <v>375</v>
      </c>
      <c r="H360" s="9" t="n">
        <v>-35</v>
      </c>
      <c r="I360" s="9" t="n">
        <v>28509.19</v>
      </c>
      <c r="J360" s="9" t="n">
        <v>28509.19</v>
      </c>
      <c r="K360" s="9" t="n">
        <v>-28509.19</v>
      </c>
      <c r="L360" s="9">
        <f>K360-H360</f>
        <v/>
      </c>
      <c r="M360" s="32">
        <f>IFERROR(L360/H360," ")</f>
        <v/>
      </c>
      <c r="N360">
        <f>IF(A360="BS",IFERROR(VLOOKUP(TRIM($E360),'BS Mapping std'!$A:$D,4,0),VLOOKUP(TRIM($D360),'BS Mapping std'!$A:$D,4,0)),IFERROR(VLOOKUP(TRIM($E360),'PL mapping Std'!$A:$D,4,0),VLOOKUP(TRIM($D360),'PL mapping Std'!$A:$D,4,0)))</f>
        <v/>
      </c>
      <c r="O360">
        <f>_xlfn.IFERROR(VLOOKUP(E360,'F30 mapping'!A:C,3,0),VLOOKUP(D360,'F30 mapping'!A:C,3,0))</f>
        <v/>
      </c>
      <c r="P360">
        <f>_xlfn.IFERROR(IFERROR(VLOOKUP(E360,'F40 mapping'!A:C,3,0),VLOOKUP(D360,'F40 mapping'!A:C,3,0)),0)</f>
        <v/>
      </c>
      <c r="Q360">
        <f>_xlfn.IFERROR(IFERROR(VLOOKUP(E360,'F40 mapping'!A:D,4,0),VLOOKUP(D360,'F40 mapping'!A:D,4,0)),0)</f>
        <v/>
      </c>
      <c r="R360">
        <f>_xlfn.IFERROR(IFERROR(VLOOKUP(E360,'F40 mapping'!A:E,5,0),VLOOKUP(D360,'F40 mapping'!A:E,5,0)),0)</f>
        <v/>
      </c>
      <c r="S360">
        <f>_xlfn.IF(B360&lt;6,IFERROR(VLOOKUP(E360,'BS Mapping std'!A:E,5,0),VLOOKUP(D360,'BS Mapping std'!A:E,5,0)),IFERROR(VLOOKUP(E360,'PL mapping Std'!A:F,6,0),VLOOKUP(D360,'PL mapping Std'!A:F,6,0)))</f>
        <v/>
      </c>
      <c r="T360">
        <f>_xlfn.IF(B360&lt;6,IFERROR(VLOOKUP(E360,'BS Mapping std'!A:F,6,0),VLOOKUP(D360,'BS Mapping std'!A:F,6,0)),IFERROR(VLOOKUP(E360,'PL mapping Std'!A:G,7,0),VLOOKUP(D360,'PL mapping Std'!A:G,7,0)))</f>
        <v/>
      </c>
      <c r="V360">
        <f>IF(IF(A360="BS",IFERROR(VLOOKUP(TRIM($E360),'BS Mapping std'!$A:$H,8,0),VLOOKUP(TRIM($D360),'BS Mapping std'!$A:$H,8,0)),IFERROR(VLOOKUP(TRIM($E360),'PL mapping Std'!$A:$E,5,0),VLOOKUP(TRIM($D360),'PL mapping Std'!$A:$E,5,0)))=0,"",IF(A360="BS",IFERROR(VLOOKUP(TRIM($E360),'BS Mapping std'!$A:$H,8,0),VLOOKUP(TRIM($D360),'BS Mapping std'!$A:$H,8,0)),IFERROR(VLOOKUP(TRIM($E360),'PL mapping Std'!$A:$E,5,0),VLOOKUP(TRIM($D360),'PL mapping Std'!$A:$E,5,0))))</f>
        <v/>
      </c>
      <c r="W360">
        <f>_xlfn.IFERROR(VLOOKUP(E360,'F30 mapping'!A:D,4,0),VLOOKUP(D360,'F30 mapping'!A:D,4,0))</f>
        <v/>
      </c>
      <c r="X360">
        <f>IF(B360&lt;6,IFERROR(VLOOKUP(E360,'BS Mapping std'!A:M,13,0),VLOOKUP(D360,'BS Mapping std'!A:M,13,0)),0)</f>
        <v/>
      </c>
      <c r="Y360">
        <f>IF(B360&lt;6,IFERROR(VLOOKUP(E360,'BS Mapping std'!A:N,14,0),VLOOKUP(D360,'BS Mapping std'!A:N,14,0)),0)</f>
        <v/>
      </c>
    </row>
    <row r="361" spans="1:25">
      <c r="A361">
        <f>IF(B361&lt;6,"BS",IF(B361=6,"Exp","Rev"))</f>
        <v/>
      </c>
      <c r="B361">
        <f>_xlfn.NUMBERVALUE(LEFT(F361,1))</f>
        <v/>
      </c>
      <c r="C361">
        <f>Left(F361,2)</f>
        <v/>
      </c>
      <c r="D361">
        <f>Left(F361,3)</f>
        <v/>
      </c>
      <c r="E361">
        <f>IF(F361="121",Left(F361,3)&amp;"0",Left(F361,4))</f>
        <v/>
      </c>
      <c r="F361" t="n">
        <v>75830010</v>
      </c>
      <c r="G361" t="s">
        <v>376</v>
      </c>
      <c r="H361" s="9" t="n">
        <v>0</v>
      </c>
      <c r="I361" s="9" t="n">
        <v>1671</v>
      </c>
      <c r="J361" s="9" t="n">
        <v>1671</v>
      </c>
      <c r="K361" s="9" t="n">
        <v>-1671</v>
      </c>
      <c r="L361" s="9">
        <f>K361-H361</f>
        <v/>
      </c>
      <c r="M361" s="32">
        <f>IFERROR(L361/H361," ")</f>
        <v/>
      </c>
      <c r="N361">
        <f>IF(A361="BS",IFERROR(VLOOKUP(TRIM($E361),'BS Mapping std'!$A:$D,4,0),VLOOKUP(TRIM($D361),'BS Mapping std'!$A:$D,4,0)),IFERROR(VLOOKUP(TRIM($E361),'PL mapping Std'!$A:$D,4,0),VLOOKUP(TRIM($D361),'PL mapping Std'!$A:$D,4,0)))</f>
        <v/>
      </c>
      <c r="O361">
        <f>_xlfn.IFERROR(VLOOKUP(E361,'F30 mapping'!A:C,3,0),VLOOKUP(D361,'F30 mapping'!A:C,3,0))</f>
        <v/>
      </c>
      <c r="P361">
        <f>_xlfn.IFERROR(IFERROR(VLOOKUP(E361,'F40 mapping'!A:C,3,0),VLOOKUP(D361,'F40 mapping'!A:C,3,0)),0)</f>
        <v/>
      </c>
      <c r="Q361">
        <f>_xlfn.IFERROR(IFERROR(VLOOKUP(E361,'F40 mapping'!A:D,4,0),VLOOKUP(D361,'F40 mapping'!A:D,4,0)),0)</f>
        <v/>
      </c>
      <c r="R361">
        <f>_xlfn.IFERROR(IFERROR(VLOOKUP(E361,'F40 mapping'!A:E,5,0),VLOOKUP(D361,'F40 mapping'!A:E,5,0)),0)</f>
        <v/>
      </c>
      <c r="S361">
        <f>_xlfn.IF(B361&lt;6,IFERROR(VLOOKUP(E361,'BS Mapping std'!A:E,5,0),VLOOKUP(D361,'BS Mapping std'!A:E,5,0)),IFERROR(VLOOKUP(E361,'PL mapping Std'!A:F,6,0),VLOOKUP(D361,'PL mapping Std'!A:F,6,0)))</f>
        <v/>
      </c>
      <c r="T361">
        <f>_xlfn.IF(B361&lt;6,IFERROR(VLOOKUP(E361,'BS Mapping std'!A:F,6,0),VLOOKUP(D361,'BS Mapping std'!A:F,6,0)),IFERROR(VLOOKUP(E361,'PL mapping Std'!A:G,7,0),VLOOKUP(D361,'PL mapping Std'!A:G,7,0)))</f>
        <v/>
      </c>
      <c r="V361">
        <f>IF(IF(A361="BS",IFERROR(VLOOKUP(TRIM($E361),'BS Mapping std'!$A:$H,8,0),VLOOKUP(TRIM($D361),'BS Mapping std'!$A:$H,8,0)),IFERROR(VLOOKUP(TRIM($E361),'PL mapping Std'!$A:$E,5,0),VLOOKUP(TRIM($D361),'PL mapping Std'!$A:$E,5,0)))=0,"",IF(A361="BS",IFERROR(VLOOKUP(TRIM($E361),'BS Mapping std'!$A:$H,8,0),VLOOKUP(TRIM($D361),'BS Mapping std'!$A:$H,8,0)),IFERROR(VLOOKUP(TRIM($E361),'PL mapping Std'!$A:$E,5,0),VLOOKUP(TRIM($D361),'PL mapping Std'!$A:$E,5,0))))</f>
        <v/>
      </c>
      <c r="W361">
        <f>_xlfn.IFERROR(VLOOKUP(E361,'F30 mapping'!A:D,4,0),VLOOKUP(D361,'F30 mapping'!A:D,4,0))</f>
        <v/>
      </c>
      <c r="X361">
        <f>IF(B361&lt;6,IFERROR(VLOOKUP(E361,'BS Mapping std'!A:M,13,0),VLOOKUP(D361,'BS Mapping std'!A:M,13,0)),0)</f>
        <v/>
      </c>
      <c r="Y361">
        <f>IF(B361&lt;6,IFERROR(VLOOKUP(E361,'BS Mapping std'!A:N,14,0),VLOOKUP(D361,'BS Mapping std'!A:N,14,0)),0)</f>
        <v/>
      </c>
    </row>
    <row r="362" spans="1:25">
      <c r="A362">
        <f>IF(B362&lt;6,"BS",IF(B362=6,"Exp","Rev"))</f>
        <v/>
      </c>
      <c r="B362">
        <f>_xlfn.NUMBERVALUE(LEFT(F362,1))</f>
        <v/>
      </c>
      <c r="C362">
        <f>Left(F362,2)</f>
        <v/>
      </c>
      <c r="D362">
        <f>Left(F362,3)</f>
        <v/>
      </c>
      <c r="E362">
        <f>IF(F362="121",Left(F362,3)&amp;"0",Left(F362,4))</f>
        <v/>
      </c>
      <c r="F362" t="n">
        <v>75830030</v>
      </c>
      <c r="G362" t="s">
        <v>377</v>
      </c>
      <c r="H362" s="9" t="n">
        <v>0</v>
      </c>
      <c r="I362" s="9" t="n">
        <v>12362</v>
      </c>
      <c r="J362" s="9" t="n">
        <v>12362</v>
      </c>
      <c r="K362" s="9" t="n">
        <v>-12362</v>
      </c>
      <c r="L362" s="9">
        <f>K362-H362</f>
        <v/>
      </c>
      <c r="M362" s="32">
        <f>IFERROR(L362/H362," ")</f>
        <v/>
      </c>
      <c r="N362">
        <f>IF(A362="BS",IFERROR(VLOOKUP(TRIM($E362),'BS Mapping std'!$A:$D,4,0),VLOOKUP(TRIM($D362),'BS Mapping std'!$A:$D,4,0)),IFERROR(VLOOKUP(TRIM($E362),'PL mapping Std'!$A:$D,4,0),VLOOKUP(TRIM($D362),'PL mapping Std'!$A:$D,4,0)))</f>
        <v/>
      </c>
      <c r="O362">
        <f>_xlfn.IFERROR(VLOOKUP(E362,'F30 mapping'!A:C,3,0),VLOOKUP(D362,'F30 mapping'!A:C,3,0))</f>
        <v/>
      </c>
      <c r="P362">
        <f>_xlfn.IFERROR(IFERROR(VLOOKUP(E362,'F40 mapping'!A:C,3,0),VLOOKUP(D362,'F40 mapping'!A:C,3,0)),0)</f>
        <v/>
      </c>
      <c r="Q362">
        <f>_xlfn.IFERROR(IFERROR(VLOOKUP(E362,'F40 mapping'!A:D,4,0),VLOOKUP(D362,'F40 mapping'!A:D,4,0)),0)</f>
        <v/>
      </c>
      <c r="R362">
        <f>_xlfn.IFERROR(IFERROR(VLOOKUP(E362,'F40 mapping'!A:E,5,0),VLOOKUP(D362,'F40 mapping'!A:E,5,0)),0)</f>
        <v/>
      </c>
      <c r="S362">
        <f>_xlfn.IF(B362&lt;6,IFERROR(VLOOKUP(E362,'BS Mapping std'!A:E,5,0),VLOOKUP(D362,'BS Mapping std'!A:E,5,0)),IFERROR(VLOOKUP(E362,'PL mapping Std'!A:F,6,0),VLOOKUP(D362,'PL mapping Std'!A:F,6,0)))</f>
        <v/>
      </c>
      <c r="T362">
        <f>_xlfn.IF(B362&lt;6,IFERROR(VLOOKUP(E362,'BS Mapping std'!A:F,6,0),VLOOKUP(D362,'BS Mapping std'!A:F,6,0)),IFERROR(VLOOKUP(E362,'PL mapping Std'!A:G,7,0),VLOOKUP(D362,'PL mapping Std'!A:G,7,0)))</f>
        <v/>
      </c>
      <c r="V362">
        <f>IF(IF(A362="BS",IFERROR(VLOOKUP(TRIM($E362),'BS Mapping std'!$A:$H,8,0),VLOOKUP(TRIM($D362),'BS Mapping std'!$A:$H,8,0)),IFERROR(VLOOKUP(TRIM($E362),'PL mapping Std'!$A:$E,5,0),VLOOKUP(TRIM($D362),'PL mapping Std'!$A:$E,5,0)))=0,"",IF(A362="BS",IFERROR(VLOOKUP(TRIM($E362),'BS Mapping std'!$A:$H,8,0),VLOOKUP(TRIM($D362),'BS Mapping std'!$A:$H,8,0)),IFERROR(VLOOKUP(TRIM($E362),'PL mapping Std'!$A:$E,5,0),VLOOKUP(TRIM($D362),'PL mapping Std'!$A:$E,5,0))))</f>
        <v/>
      </c>
      <c r="W362">
        <f>_xlfn.IFERROR(VLOOKUP(E362,'F30 mapping'!A:D,4,0),VLOOKUP(D362,'F30 mapping'!A:D,4,0))</f>
        <v/>
      </c>
      <c r="X362">
        <f>IF(B362&lt;6,IFERROR(VLOOKUP(E362,'BS Mapping std'!A:M,13,0),VLOOKUP(D362,'BS Mapping std'!A:M,13,0)),0)</f>
        <v/>
      </c>
      <c r="Y362">
        <f>IF(B362&lt;6,IFERROR(VLOOKUP(E362,'BS Mapping std'!A:N,14,0),VLOOKUP(D362,'BS Mapping std'!A:N,14,0)),0)</f>
        <v/>
      </c>
    </row>
    <row r="363" spans="1:25">
      <c r="A363">
        <f>IF(B363&lt;6,"BS",IF(B363=6,"Exp","Rev"))</f>
        <v/>
      </c>
      <c r="B363">
        <f>_xlfn.NUMBERVALUE(LEFT(F363,1))</f>
        <v/>
      </c>
      <c r="C363">
        <f>Left(F363,2)</f>
        <v/>
      </c>
      <c r="D363">
        <f>Left(F363,3)</f>
        <v/>
      </c>
      <c r="E363">
        <f>IF(F363="121",Left(F363,3)&amp;"0",Left(F363,4))</f>
        <v/>
      </c>
      <c r="F363" t="n">
        <v>75880000</v>
      </c>
      <c r="G363" t="s">
        <v>378</v>
      </c>
      <c r="H363" s="9" t="n">
        <v>-30423.42</v>
      </c>
      <c r="I363" s="9" t="n">
        <v>95016.74000000001</v>
      </c>
      <c r="J363" s="9" t="n">
        <v>95016.74000000001</v>
      </c>
      <c r="K363" s="9" t="n">
        <v>-95016.74000000001</v>
      </c>
      <c r="L363" s="9">
        <f>K363-H363</f>
        <v/>
      </c>
      <c r="M363" s="32">
        <f>IFERROR(L363/H363," ")</f>
        <v/>
      </c>
      <c r="N363">
        <f>IF(A363="BS",IFERROR(VLOOKUP(TRIM($E363),'BS Mapping std'!$A:$D,4,0),VLOOKUP(TRIM($D363),'BS Mapping std'!$A:$D,4,0)),IFERROR(VLOOKUP(TRIM($E363),'PL mapping Std'!$A:$D,4,0),VLOOKUP(TRIM($D363),'PL mapping Std'!$A:$D,4,0)))</f>
        <v/>
      </c>
      <c r="O363">
        <f>_xlfn.IFERROR(VLOOKUP(E363,'F30 mapping'!A:C,3,0),VLOOKUP(D363,'F30 mapping'!A:C,3,0))</f>
        <v/>
      </c>
      <c r="P363">
        <f>_xlfn.IFERROR(IFERROR(VLOOKUP(E363,'F40 mapping'!A:C,3,0),VLOOKUP(D363,'F40 mapping'!A:C,3,0)),0)</f>
        <v/>
      </c>
      <c r="Q363">
        <f>_xlfn.IFERROR(IFERROR(VLOOKUP(E363,'F40 mapping'!A:D,4,0),VLOOKUP(D363,'F40 mapping'!A:D,4,0)),0)</f>
        <v/>
      </c>
      <c r="R363">
        <f>_xlfn.IFERROR(IFERROR(VLOOKUP(E363,'F40 mapping'!A:E,5,0),VLOOKUP(D363,'F40 mapping'!A:E,5,0)),0)</f>
        <v/>
      </c>
      <c r="S363">
        <f>_xlfn.IF(B363&lt;6,IFERROR(VLOOKUP(E363,'BS Mapping std'!A:E,5,0),VLOOKUP(D363,'BS Mapping std'!A:E,5,0)),IFERROR(VLOOKUP(E363,'PL mapping Std'!A:F,6,0),VLOOKUP(D363,'PL mapping Std'!A:F,6,0)))</f>
        <v/>
      </c>
      <c r="T363">
        <f>_xlfn.IF(B363&lt;6,IFERROR(VLOOKUP(E363,'BS Mapping std'!A:F,6,0),VLOOKUP(D363,'BS Mapping std'!A:F,6,0)),IFERROR(VLOOKUP(E363,'PL mapping Std'!A:G,7,0),VLOOKUP(D363,'PL mapping Std'!A:G,7,0)))</f>
        <v/>
      </c>
      <c r="V363">
        <f>IF(IF(A363="BS",IFERROR(VLOOKUP(TRIM($E363),'BS Mapping std'!$A:$H,8,0),VLOOKUP(TRIM($D363),'BS Mapping std'!$A:$H,8,0)),IFERROR(VLOOKUP(TRIM($E363),'PL mapping Std'!$A:$E,5,0),VLOOKUP(TRIM($D363),'PL mapping Std'!$A:$E,5,0)))=0,"",IF(A363="BS",IFERROR(VLOOKUP(TRIM($E363),'BS Mapping std'!$A:$H,8,0),VLOOKUP(TRIM($D363),'BS Mapping std'!$A:$H,8,0)),IFERROR(VLOOKUP(TRIM($E363),'PL mapping Std'!$A:$E,5,0),VLOOKUP(TRIM($D363),'PL mapping Std'!$A:$E,5,0))))</f>
        <v/>
      </c>
      <c r="W363">
        <f>_xlfn.IFERROR(VLOOKUP(E363,'F30 mapping'!A:D,4,0),VLOOKUP(D363,'F30 mapping'!A:D,4,0))</f>
        <v/>
      </c>
      <c r="X363">
        <f>IF(B363&lt;6,IFERROR(VLOOKUP(E363,'BS Mapping std'!A:M,13,0),VLOOKUP(D363,'BS Mapping std'!A:M,13,0)),0)</f>
        <v/>
      </c>
      <c r="Y363">
        <f>IF(B363&lt;6,IFERROR(VLOOKUP(E363,'BS Mapping std'!A:N,14,0),VLOOKUP(D363,'BS Mapping std'!A:N,14,0)),0)</f>
        <v/>
      </c>
    </row>
    <row r="364" spans="1:25">
      <c r="A364">
        <f>IF(B364&lt;6,"BS",IF(B364=6,"Exp","Rev"))</f>
        <v/>
      </c>
      <c r="B364">
        <f>_xlfn.NUMBERVALUE(LEFT(F364,1))</f>
        <v/>
      </c>
      <c r="C364">
        <f>Left(F364,2)</f>
        <v/>
      </c>
      <c r="D364">
        <f>Left(F364,3)</f>
        <v/>
      </c>
      <c r="E364">
        <f>IF(F364="121",Left(F364,3)&amp;"0",Left(F364,4))</f>
        <v/>
      </c>
      <c r="F364" t="n">
        <v>75880020</v>
      </c>
      <c r="G364" t="s">
        <v>379</v>
      </c>
      <c r="H364" s="9" t="n">
        <v>-10536.78</v>
      </c>
      <c r="I364" s="9" t="n">
        <v>10505.46</v>
      </c>
      <c r="J364" s="9" t="n">
        <v>10505.46</v>
      </c>
      <c r="K364" s="9" t="n">
        <v>-10505.46</v>
      </c>
      <c r="L364" s="9">
        <f>K364-H364</f>
        <v/>
      </c>
      <c r="M364" s="32">
        <f>IFERROR(L364/H364," ")</f>
        <v/>
      </c>
      <c r="N364">
        <f>IF(A364="BS",IFERROR(VLOOKUP(TRIM($E364),'BS Mapping std'!$A:$D,4,0),VLOOKUP(TRIM($D364),'BS Mapping std'!$A:$D,4,0)),IFERROR(VLOOKUP(TRIM($E364),'PL mapping Std'!$A:$D,4,0),VLOOKUP(TRIM($D364),'PL mapping Std'!$A:$D,4,0)))</f>
        <v/>
      </c>
      <c r="O364">
        <f>_xlfn.IFERROR(VLOOKUP(E364,'F30 mapping'!A:C,3,0),VLOOKUP(D364,'F30 mapping'!A:C,3,0))</f>
        <v/>
      </c>
      <c r="P364">
        <f>_xlfn.IFERROR(IFERROR(VLOOKUP(E364,'F40 mapping'!A:C,3,0),VLOOKUP(D364,'F40 mapping'!A:C,3,0)),0)</f>
        <v/>
      </c>
      <c r="Q364">
        <f>_xlfn.IFERROR(IFERROR(VLOOKUP(E364,'F40 mapping'!A:D,4,0),VLOOKUP(D364,'F40 mapping'!A:D,4,0)),0)</f>
        <v/>
      </c>
      <c r="R364">
        <f>_xlfn.IFERROR(IFERROR(VLOOKUP(E364,'F40 mapping'!A:E,5,0),VLOOKUP(D364,'F40 mapping'!A:E,5,0)),0)</f>
        <v/>
      </c>
      <c r="S364">
        <f>_xlfn.IF(B364&lt;6,IFERROR(VLOOKUP(E364,'BS Mapping std'!A:E,5,0),VLOOKUP(D364,'BS Mapping std'!A:E,5,0)),IFERROR(VLOOKUP(E364,'PL mapping Std'!A:F,6,0),VLOOKUP(D364,'PL mapping Std'!A:F,6,0)))</f>
        <v/>
      </c>
      <c r="T364">
        <f>_xlfn.IF(B364&lt;6,IFERROR(VLOOKUP(E364,'BS Mapping std'!A:F,6,0),VLOOKUP(D364,'BS Mapping std'!A:F,6,0)),IFERROR(VLOOKUP(E364,'PL mapping Std'!A:G,7,0),VLOOKUP(D364,'PL mapping Std'!A:G,7,0)))</f>
        <v/>
      </c>
      <c r="V364">
        <f>IF(IF(A364="BS",IFERROR(VLOOKUP(TRIM($E364),'BS Mapping std'!$A:$H,8,0),VLOOKUP(TRIM($D364),'BS Mapping std'!$A:$H,8,0)),IFERROR(VLOOKUP(TRIM($E364),'PL mapping Std'!$A:$E,5,0),VLOOKUP(TRIM($D364),'PL mapping Std'!$A:$E,5,0)))=0,"",IF(A364="BS",IFERROR(VLOOKUP(TRIM($E364),'BS Mapping std'!$A:$H,8,0),VLOOKUP(TRIM($D364),'BS Mapping std'!$A:$H,8,0)),IFERROR(VLOOKUP(TRIM($E364),'PL mapping Std'!$A:$E,5,0),VLOOKUP(TRIM($D364),'PL mapping Std'!$A:$E,5,0))))</f>
        <v/>
      </c>
      <c r="W364">
        <f>_xlfn.IFERROR(VLOOKUP(E364,'F30 mapping'!A:D,4,0),VLOOKUP(D364,'F30 mapping'!A:D,4,0))</f>
        <v/>
      </c>
      <c r="X364">
        <f>IF(B364&lt;6,IFERROR(VLOOKUP(E364,'BS Mapping std'!A:M,13,0),VLOOKUP(D364,'BS Mapping std'!A:M,13,0)),0)</f>
        <v/>
      </c>
      <c r="Y364">
        <f>IF(B364&lt;6,IFERROR(VLOOKUP(E364,'BS Mapping std'!A:N,14,0),VLOOKUP(D364,'BS Mapping std'!A:N,14,0)),0)</f>
        <v/>
      </c>
    </row>
    <row r="365" spans="1:25">
      <c r="A365">
        <f>IF(B365&lt;6,"BS",IF(B365=6,"Exp","Rev"))</f>
        <v/>
      </c>
      <c r="B365">
        <f>_xlfn.NUMBERVALUE(LEFT(F365,1))</f>
        <v/>
      </c>
      <c r="C365">
        <f>Left(F365,2)</f>
        <v/>
      </c>
      <c r="D365">
        <f>Left(F365,3)</f>
        <v/>
      </c>
      <c r="E365">
        <f>IF(F365="121",Left(F365,3)&amp;"0",Left(F365,4))</f>
        <v/>
      </c>
      <c r="F365" t="n">
        <v>75880021</v>
      </c>
      <c r="G365" t="s">
        <v>379</v>
      </c>
      <c r="H365" s="9" t="n">
        <v>-9.4</v>
      </c>
      <c r="I365" s="9" t="n">
        <v>1824.19</v>
      </c>
      <c r="J365" s="9" t="n">
        <v>1824.19</v>
      </c>
      <c r="K365" s="9" t="n">
        <v>-1824.19</v>
      </c>
      <c r="L365" s="9">
        <f>K365-H365</f>
        <v/>
      </c>
      <c r="M365" s="32">
        <f>IFERROR(L365/H365," ")</f>
        <v/>
      </c>
      <c r="N365">
        <f>IF(A365="BS",IFERROR(VLOOKUP(TRIM($E365),'BS Mapping std'!$A:$D,4,0),VLOOKUP(TRIM($D365),'BS Mapping std'!$A:$D,4,0)),IFERROR(VLOOKUP(TRIM($E365),'PL mapping Std'!$A:$D,4,0),VLOOKUP(TRIM($D365),'PL mapping Std'!$A:$D,4,0)))</f>
        <v/>
      </c>
      <c r="O365">
        <f>_xlfn.IFERROR(VLOOKUP(E365,'F30 mapping'!A:C,3,0),VLOOKUP(D365,'F30 mapping'!A:C,3,0))</f>
        <v/>
      </c>
      <c r="P365">
        <f>_xlfn.IFERROR(IFERROR(VLOOKUP(E365,'F40 mapping'!A:C,3,0),VLOOKUP(D365,'F40 mapping'!A:C,3,0)),0)</f>
        <v/>
      </c>
      <c r="Q365">
        <f>_xlfn.IFERROR(IFERROR(VLOOKUP(E365,'F40 mapping'!A:D,4,0),VLOOKUP(D365,'F40 mapping'!A:D,4,0)),0)</f>
        <v/>
      </c>
      <c r="R365">
        <f>_xlfn.IFERROR(IFERROR(VLOOKUP(E365,'F40 mapping'!A:E,5,0),VLOOKUP(D365,'F40 mapping'!A:E,5,0)),0)</f>
        <v/>
      </c>
      <c r="S365">
        <f>_xlfn.IF(B365&lt;6,IFERROR(VLOOKUP(E365,'BS Mapping std'!A:E,5,0),VLOOKUP(D365,'BS Mapping std'!A:E,5,0)),IFERROR(VLOOKUP(E365,'PL mapping Std'!A:F,6,0),VLOOKUP(D365,'PL mapping Std'!A:F,6,0)))</f>
        <v/>
      </c>
      <c r="T365">
        <f>_xlfn.IF(B365&lt;6,IFERROR(VLOOKUP(E365,'BS Mapping std'!A:F,6,0),VLOOKUP(D365,'BS Mapping std'!A:F,6,0)),IFERROR(VLOOKUP(E365,'PL mapping Std'!A:G,7,0),VLOOKUP(D365,'PL mapping Std'!A:G,7,0)))</f>
        <v/>
      </c>
      <c r="V365">
        <f>IF(IF(A365="BS",IFERROR(VLOOKUP(TRIM($E365),'BS Mapping std'!$A:$H,8,0),VLOOKUP(TRIM($D365),'BS Mapping std'!$A:$H,8,0)),IFERROR(VLOOKUP(TRIM($E365),'PL mapping Std'!$A:$E,5,0),VLOOKUP(TRIM($D365),'PL mapping Std'!$A:$E,5,0)))=0,"",IF(A365="BS",IFERROR(VLOOKUP(TRIM($E365),'BS Mapping std'!$A:$H,8,0),VLOOKUP(TRIM($D365),'BS Mapping std'!$A:$H,8,0)),IFERROR(VLOOKUP(TRIM($E365),'PL mapping Std'!$A:$E,5,0),VLOOKUP(TRIM($D365),'PL mapping Std'!$A:$E,5,0))))</f>
        <v/>
      </c>
      <c r="W365">
        <f>_xlfn.IFERROR(VLOOKUP(E365,'F30 mapping'!A:D,4,0),VLOOKUP(D365,'F30 mapping'!A:D,4,0))</f>
        <v/>
      </c>
      <c r="X365">
        <f>IF(B365&lt;6,IFERROR(VLOOKUP(E365,'BS Mapping std'!A:M,13,0),VLOOKUP(D365,'BS Mapping std'!A:M,13,0)),0)</f>
        <v/>
      </c>
      <c r="Y365">
        <f>IF(B365&lt;6,IFERROR(VLOOKUP(E365,'BS Mapping std'!A:N,14,0),VLOOKUP(D365,'BS Mapping std'!A:N,14,0)),0)</f>
        <v/>
      </c>
    </row>
    <row r="366" spans="1:25">
      <c r="A366">
        <f>IF(B366&lt;6,"BS",IF(B366=6,"Exp","Rev"))</f>
        <v/>
      </c>
      <c r="B366">
        <f>_xlfn.NUMBERVALUE(LEFT(F366,1))</f>
        <v/>
      </c>
      <c r="C366">
        <f>Left(F366,2)</f>
        <v/>
      </c>
      <c r="D366">
        <f>Left(F366,3)</f>
        <v/>
      </c>
      <c r="E366">
        <f>IF(F366="121",Left(F366,3)&amp;"0",Left(F366,4))</f>
        <v/>
      </c>
      <c r="F366" t="n">
        <v>75880022</v>
      </c>
      <c r="G366" t="s">
        <v>380</v>
      </c>
      <c r="H366" s="9" t="n">
        <v>-125839.48</v>
      </c>
      <c r="I366" s="9" t="n">
        <v>106255</v>
      </c>
      <c r="J366" s="9" t="n">
        <v>106255</v>
      </c>
      <c r="K366" s="9" t="n">
        <v>-106255</v>
      </c>
      <c r="L366" s="9">
        <f>K366-H366</f>
        <v/>
      </c>
      <c r="M366" s="32">
        <f>IFERROR(L366/H366," ")</f>
        <v/>
      </c>
      <c r="N366">
        <f>IF(A366="BS",IFERROR(VLOOKUP(TRIM($E366),'BS Mapping std'!$A:$D,4,0),VLOOKUP(TRIM($D366),'BS Mapping std'!$A:$D,4,0)),IFERROR(VLOOKUP(TRIM($E366),'PL mapping Std'!$A:$D,4,0),VLOOKUP(TRIM($D366),'PL mapping Std'!$A:$D,4,0)))</f>
        <v/>
      </c>
      <c r="O366">
        <f>_xlfn.IFERROR(VLOOKUP(E366,'F30 mapping'!A:C,3,0),VLOOKUP(D366,'F30 mapping'!A:C,3,0))</f>
        <v/>
      </c>
      <c r="P366">
        <f>_xlfn.IFERROR(IFERROR(VLOOKUP(E366,'F40 mapping'!A:C,3,0),VLOOKUP(D366,'F40 mapping'!A:C,3,0)),0)</f>
        <v/>
      </c>
      <c r="Q366">
        <f>_xlfn.IFERROR(IFERROR(VLOOKUP(E366,'F40 mapping'!A:D,4,0),VLOOKUP(D366,'F40 mapping'!A:D,4,0)),0)</f>
        <v/>
      </c>
      <c r="R366">
        <f>_xlfn.IFERROR(IFERROR(VLOOKUP(E366,'F40 mapping'!A:E,5,0),VLOOKUP(D366,'F40 mapping'!A:E,5,0)),0)</f>
        <v/>
      </c>
      <c r="S366">
        <f>_xlfn.IF(B366&lt;6,IFERROR(VLOOKUP(E366,'BS Mapping std'!A:E,5,0),VLOOKUP(D366,'BS Mapping std'!A:E,5,0)),IFERROR(VLOOKUP(E366,'PL mapping Std'!A:F,6,0),VLOOKUP(D366,'PL mapping Std'!A:F,6,0)))</f>
        <v/>
      </c>
      <c r="T366">
        <f>_xlfn.IF(B366&lt;6,IFERROR(VLOOKUP(E366,'BS Mapping std'!A:F,6,0),VLOOKUP(D366,'BS Mapping std'!A:F,6,0)),IFERROR(VLOOKUP(E366,'PL mapping Std'!A:G,7,0),VLOOKUP(D366,'PL mapping Std'!A:G,7,0)))</f>
        <v/>
      </c>
      <c r="V366">
        <f>IF(IF(A366="BS",IFERROR(VLOOKUP(TRIM($E366),'BS Mapping std'!$A:$H,8,0),VLOOKUP(TRIM($D366),'BS Mapping std'!$A:$H,8,0)),IFERROR(VLOOKUP(TRIM($E366),'PL mapping Std'!$A:$E,5,0),VLOOKUP(TRIM($D366),'PL mapping Std'!$A:$E,5,0)))=0,"",IF(A366="BS",IFERROR(VLOOKUP(TRIM($E366),'BS Mapping std'!$A:$H,8,0),VLOOKUP(TRIM($D366),'BS Mapping std'!$A:$H,8,0)),IFERROR(VLOOKUP(TRIM($E366),'PL mapping Std'!$A:$E,5,0),VLOOKUP(TRIM($D366),'PL mapping Std'!$A:$E,5,0))))</f>
        <v/>
      </c>
      <c r="W366">
        <f>_xlfn.IFERROR(VLOOKUP(E366,'F30 mapping'!A:D,4,0),VLOOKUP(D366,'F30 mapping'!A:D,4,0))</f>
        <v/>
      </c>
      <c r="X366">
        <f>IF(B366&lt;6,IFERROR(VLOOKUP(E366,'BS Mapping std'!A:M,13,0),VLOOKUP(D366,'BS Mapping std'!A:M,13,0)),0)</f>
        <v/>
      </c>
      <c r="Y366">
        <f>IF(B366&lt;6,IFERROR(VLOOKUP(E366,'BS Mapping std'!A:N,14,0),VLOOKUP(D366,'BS Mapping std'!A:N,14,0)),0)</f>
        <v/>
      </c>
    </row>
    <row r="367" spans="1:25">
      <c r="A367">
        <f>IF(B367&lt;6,"BS",IF(B367=6,"Exp","Rev"))</f>
        <v/>
      </c>
      <c r="B367">
        <f>_xlfn.NUMBERVALUE(LEFT(F367,1))</f>
        <v/>
      </c>
      <c r="C367">
        <f>Left(F367,2)</f>
        <v/>
      </c>
      <c r="D367">
        <f>Left(F367,3)</f>
        <v/>
      </c>
      <c r="E367">
        <f>IF(F367="121",Left(F367,3)&amp;"0",Left(F367,4))</f>
        <v/>
      </c>
      <c r="F367" t="n">
        <v>75880050</v>
      </c>
      <c r="G367" t="s">
        <v>381</v>
      </c>
      <c r="H367" s="9" t="n">
        <v>-284405.19</v>
      </c>
      <c r="I367" s="9" t="n">
        <v>275366.39</v>
      </c>
      <c r="J367" s="9" t="n">
        <v>275366.39</v>
      </c>
      <c r="K367" s="9" t="n">
        <v>-275366.39</v>
      </c>
      <c r="L367" s="9">
        <f>K367-H367</f>
        <v/>
      </c>
      <c r="M367" s="32">
        <f>IFERROR(L367/H367," ")</f>
        <v/>
      </c>
      <c r="N367">
        <f>IF(A367="BS",IFERROR(VLOOKUP(TRIM($E367),'BS Mapping std'!$A:$D,4,0),VLOOKUP(TRIM($D367),'BS Mapping std'!$A:$D,4,0)),IFERROR(VLOOKUP(TRIM($E367),'PL mapping Std'!$A:$D,4,0),VLOOKUP(TRIM($D367),'PL mapping Std'!$A:$D,4,0)))</f>
        <v/>
      </c>
      <c r="O367">
        <f>_xlfn.IFERROR(VLOOKUP(E367,'F30 mapping'!A:C,3,0),VLOOKUP(D367,'F30 mapping'!A:C,3,0))</f>
        <v/>
      </c>
      <c r="P367">
        <f>_xlfn.IFERROR(IFERROR(VLOOKUP(E367,'F40 mapping'!A:C,3,0),VLOOKUP(D367,'F40 mapping'!A:C,3,0)),0)</f>
        <v/>
      </c>
      <c r="Q367">
        <f>_xlfn.IFERROR(IFERROR(VLOOKUP(E367,'F40 mapping'!A:D,4,0),VLOOKUP(D367,'F40 mapping'!A:D,4,0)),0)</f>
        <v/>
      </c>
      <c r="R367">
        <f>_xlfn.IFERROR(IFERROR(VLOOKUP(E367,'F40 mapping'!A:E,5,0),VLOOKUP(D367,'F40 mapping'!A:E,5,0)),0)</f>
        <v/>
      </c>
      <c r="S367">
        <f>_xlfn.IF(B367&lt;6,IFERROR(VLOOKUP(E367,'BS Mapping std'!A:E,5,0),VLOOKUP(D367,'BS Mapping std'!A:E,5,0)),IFERROR(VLOOKUP(E367,'PL mapping Std'!A:F,6,0),VLOOKUP(D367,'PL mapping Std'!A:F,6,0)))</f>
        <v/>
      </c>
      <c r="T367">
        <f>_xlfn.IF(B367&lt;6,IFERROR(VLOOKUP(E367,'BS Mapping std'!A:F,6,0),VLOOKUP(D367,'BS Mapping std'!A:F,6,0)),IFERROR(VLOOKUP(E367,'PL mapping Std'!A:G,7,0),VLOOKUP(D367,'PL mapping Std'!A:G,7,0)))</f>
        <v/>
      </c>
      <c r="V367">
        <f>IF(IF(A367="BS",IFERROR(VLOOKUP(TRIM($E367),'BS Mapping std'!$A:$H,8,0),VLOOKUP(TRIM($D367),'BS Mapping std'!$A:$H,8,0)),IFERROR(VLOOKUP(TRIM($E367),'PL mapping Std'!$A:$E,5,0),VLOOKUP(TRIM($D367),'PL mapping Std'!$A:$E,5,0)))=0,"",IF(A367="BS",IFERROR(VLOOKUP(TRIM($E367),'BS Mapping std'!$A:$H,8,0),VLOOKUP(TRIM($D367),'BS Mapping std'!$A:$H,8,0)),IFERROR(VLOOKUP(TRIM($E367),'PL mapping Std'!$A:$E,5,0),VLOOKUP(TRIM($D367),'PL mapping Std'!$A:$E,5,0))))</f>
        <v/>
      </c>
      <c r="W367">
        <f>_xlfn.IFERROR(VLOOKUP(E367,'F30 mapping'!A:D,4,0),VLOOKUP(D367,'F30 mapping'!A:D,4,0))</f>
        <v/>
      </c>
      <c r="X367">
        <f>IF(B367&lt;6,IFERROR(VLOOKUP(E367,'BS Mapping std'!A:M,13,0),VLOOKUP(D367,'BS Mapping std'!A:M,13,0)),0)</f>
        <v/>
      </c>
      <c r="Y367">
        <f>IF(B367&lt;6,IFERROR(VLOOKUP(E367,'BS Mapping std'!A:N,14,0),VLOOKUP(D367,'BS Mapping std'!A:N,14,0)),0)</f>
        <v/>
      </c>
    </row>
    <row r="368" spans="1:25">
      <c r="A368">
        <f>IF(B368&lt;6,"BS",IF(B368=6,"Exp","Rev"))</f>
        <v/>
      </c>
      <c r="B368">
        <f>_xlfn.NUMBERVALUE(LEFT(F368,1))</f>
        <v/>
      </c>
      <c r="C368">
        <f>Left(F368,2)</f>
        <v/>
      </c>
      <c r="D368">
        <f>Left(F368,3)</f>
        <v/>
      </c>
      <c r="E368">
        <f>IF(F368="121",Left(F368,3)&amp;"0",Left(F368,4))</f>
        <v/>
      </c>
      <c r="F368" t="n">
        <v>76500010</v>
      </c>
      <c r="G368" t="s">
        <v>382</v>
      </c>
      <c r="H368" s="9" t="n">
        <v>-119477.68</v>
      </c>
      <c r="I368" s="9" t="n">
        <v>369750.03</v>
      </c>
      <c r="J368" s="9" t="n">
        <v>369750.03</v>
      </c>
      <c r="K368" s="9" t="n">
        <v>-369750.03</v>
      </c>
      <c r="L368" s="9">
        <f>K368-H368</f>
        <v/>
      </c>
      <c r="M368" s="32">
        <f>IFERROR(L368/H368," ")</f>
        <v/>
      </c>
      <c r="N368">
        <f>IF(A368="BS",IFERROR(VLOOKUP(TRIM($E368),'BS Mapping std'!$A:$D,4,0),VLOOKUP(TRIM($D368),'BS Mapping std'!$A:$D,4,0)),IFERROR(VLOOKUP(TRIM($E368),'PL mapping Std'!$A:$D,4,0),VLOOKUP(TRIM($D368),'PL mapping Std'!$A:$D,4,0)))</f>
        <v/>
      </c>
      <c r="O368">
        <f>_xlfn.IFERROR(VLOOKUP(E368,'F30 mapping'!A:C,3,0),VLOOKUP(D368,'F30 mapping'!A:C,3,0))</f>
        <v/>
      </c>
      <c r="P368">
        <f>_xlfn.IFERROR(IFERROR(VLOOKUP(E368,'F40 mapping'!A:C,3,0),VLOOKUP(D368,'F40 mapping'!A:C,3,0)),0)</f>
        <v/>
      </c>
      <c r="Q368">
        <f>_xlfn.IFERROR(IFERROR(VLOOKUP(E368,'F40 mapping'!A:D,4,0),VLOOKUP(D368,'F40 mapping'!A:D,4,0)),0)</f>
        <v/>
      </c>
      <c r="R368">
        <f>_xlfn.IFERROR(IFERROR(VLOOKUP(E368,'F40 mapping'!A:E,5,0),VLOOKUP(D368,'F40 mapping'!A:E,5,0)),0)</f>
        <v/>
      </c>
      <c r="S368">
        <f>_xlfn.IF(B368&lt;6,IFERROR(VLOOKUP(E368,'BS Mapping std'!A:E,5,0),VLOOKUP(D368,'BS Mapping std'!A:E,5,0)),IFERROR(VLOOKUP(E368,'PL mapping Std'!A:F,6,0),VLOOKUP(D368,'PL mapping Std'!A:F,6,0)))</f>
        <v/>
      </c>
      <c r="T368">
        <f>_xlfn.IF(B368&lt;6,IFERROR(VLOOKUP(E368,'BS Mapping std'!A:F,6,0),VLOOKUP(D368,'BS Mapping std'!A:F,6,0)),IFERROR(VLOOKUP(E368,'PL mapping Std'!A:G,7,0),VLOOKUP(D368,'PL mapping Std'!A:G,7,0)))</f>
        <v/>
      </c>
      <c r="V368">
        <f>IF(IF(A368="BS",IFERROR(VLOOKUP(TRIM($E368),'BS Mapping std'!$A:$H,8,0),VLOOKUP(TRIM($D368),'BS Mapping std'!$A:$H,8,0)),IFERROR(VLOOKUP(TRIM($E368),'PL mapping Std'!$A:$E,5,0),VLOOKUP(TRIM($D368),'PL mapping Std'!$A:$E,5,0)))=0,"",IF(A368="BS",IFERROR(VLOOKUP(TRIM($E368),'BS Mapping std'!$A:$H,8,0),VLOOKUP(TRIM($D368),'BS Mapping std'!$A:$H,8,0)),IFERROR(VLOOKUP(TRIM($E368),'PL mapping Std'!$A:$E,5,0),VLOOKUP(TRIM($D368),'PL mapping Std'!$A:$E,5,0))))</f>
        <v/>
      </c>
      <c r="W368">
        <f>_xlfn.IFERROR(VLOOKUP(E368,'F30 mapping'!A:D,4,0),VLOOKUP(D368,'F30 mapping'!A:D,4,0))</f>
        <v/>
      </c>
      <c r="X368">
        <f>IF(B368&lt;6,IFERROR(VLOOKUP(E368,'BS Mapping std'!A:M,13,0),VLOOKUP(D368,'BS Mapping std'!A:M,13,0)),0)</f>
        <v/>
      </c>
      <c r="Y368">
        <f>IF(B368&lt;6,IFERROR(VLOOKUP(E368,'BS Mapping std'!A:N,14,0),VLOOKUP(D368,'BS Mapping std'!A:N,14,0)),0)</f>
        <v/>
      </c>
    </row>
    <row r="369" spans="1:25">
      <c r="A369">
        <f>IF(B369&lt;6,"BS",IF(B369=6,"Exp","Rev"))</f>
        <v/>
      </c>
      <c r="B369">
        <f>_xlfn.NUMBERVALUE(LEFT(F369,1))</f>
        <v/>
      </c>
      <c r="C369">
        <f>Left(F369,2)</f>
        <v/>
      </c>
      <c r="D369">
        <f>Left(F369,3)</f>
        <v/>
      </c>
      <c r="E369">
        <f>IF(F369="121",Left(F369,3)&amp;"0",Left(F369,4))</f>
        <v/>
      </c>
      <c r="F369" t="n">
        <v>76500020</v>
      </c>
      <c r="G369" t="s">
        <v>383</v>
      </c>
      <c r="H369" s="9" t="n">
        <v>-857443.51</v>
      </c>
      <c r="I369" s="9" t="n">
        <v>3275408.74</v>
      </c>
      <c r="J369" s="9" t="n">
        <v>3275408.74</v>
      </c>
      <c r="K369" s="9" t="n">
        <v>-3275408.74</v>
      </c>
      <c r="L369" s="9">
        <f>K369-H369</f>
        <v/>
      </c>
      <c r="M369" s="32">
        <f>IFERROR(L369/H369," ")</f>
        <v/>
      </c>
      <c r="N369">
        <f>IF(A369="BS",IFERROR(VLOOKUP(TRIM($E369),'BS Mapping std'!$A:$D,4,0),VLOOKUP(TRIM($D369),'BS Mapping std'!$A:$D,4,0)),IFERROR(VLOOKUP(TRIM($E369),'PL mapping Std'!$A:$D,4,0),VLOOKUP(TRIM($D369),'PL mapping Std'!$A:$D,4,0)))</f>
        <v/>
      </c>
      <c r="O369">
        <f>_xlfn.IFERROR(VLOOKUP(E369,'F30 mapping'!A:C,3,0),VLOOKUP(D369,'F30 mapping'!A:C,3,0))</f>
        <v/>
      </c>
      <c r="P369">
        <f>_xlfn.IFERROR(IFERROR(VLOOKUP(E369,'F40 mapping'!A:C,3,0),VLOOKUP(D369,'F40 mapping'!A:C,3,0)),0)</f>
        <v/>
      </c>
      <c r="Q369">
        <f>_xlfn.IFERROR(IFERROR(VLOOKUP(E369,'F40 mapping'!A:D,4,0),VLOOKUP(D369,'F40 mapping'!A:D,4,0)),0)</f>
        <v/>
      </c>
      <c r="R369">
        <f>_xlfn.IFERROR(IFERROR(VLOOKUP(E369,'F40 mapping'!A:E,5,0),VLOOKUP(D369,'F40 mapping'!A:E,5,0)),0)</f>
        <v/>
      </c>
      <c r="S369">
        <f>_xlfn.IF(B369&lt;6,IFERROR(VLOOKUP(E369,'BS Mapping std'!A:E,5,0),VLOOKUP(D369,'BS Mapping std'!A:E,5,0)),IFERROR(VLOOKUP(E369,'PL mapping Std'!A:F,6,0),VLOOKUP(D369,'PL mapping Std'!A:F,6,0)))</f>
        <v/>
      </c>
      <c r="T369">
        <f>_xlfn.IF(B369&lt;6,IFERROR(VLOOKUP(E369,'BS Mapping std'!A:F,6,0),VLOOKUP(D369,'BS Mapping std'!A:F,6,0)),IFERROR(VLOOKUP(E369,'PL mapping Std'!A:G,7,0),VLOOKUP(D369,'PL mapping Std'!A:G,7,0)))</f>
        <v/>
      </c>
      <c r="V369">
        <f>IF(IF(A369="BS",IFERROR(VLOOKUP(TRIM($E369),'BS Mapping std'!$A:$H,8,0),VLOOKUP(TRIM($D369),'BS Mapping std'!$A:$H,8,0)),IFERROR(VLOOKUP(TRIM($E369),'PL mapping Std'!$A:$E,5,0),VLOOKUP(TRIM($D369),'PL mapping Std'!$A:$E,5,0)))=0,"",IF(A369="BS",IFERROR(VLOOKUP(TRIM($E369),'BS Mapping std'!$A:$H,8,0),VLOOKUP(TRIM($D369),'BS Mapping std'!$A:$H,8,0)),IFERROR(VLOOKUP(TRIM($E369),'PL mapping Std'!$A:$E,5,0),VLOOKUP(TRIM($D369),'PL mapping Std'!$A:$E,5,0))))</f>
        <v/>
      </c>
      <c r="W369">
        <f>_xlfn.IFERROR(VLOOKUP(E369,'F30 mapping'!A:D,4,0),VLOOKUP(D369,'F30 mapping'!A:D,4,0))</f>
        <v/>
      </c>
      <c r="X369">
        <f>IF(B369&lt;6,IFERROR(VLOOKUP(E369,'BS Mapping std'!A:M,13,0),VLOOKUP(D369,'BS Mapping std'!A:M,13,0)),0)</f>
        <v/>
      </c>
      <c r="Y369">
        <f>IF(B369&lt;6,IFERROR(VLOOKUP(E369,'BS Mapping std'!A:N,14,0),VLOOKUP(D369,'BS Mapping std'!A:N,14,0)),0)</f>
        <v/>
      </c>
    </row>
    <row r="370" spans="1:25">
      <c r="A370">
        <f>IF(B370&lt;6,"BS",IF(B370=6,"Exp","Rev"))</f>
        <v/>
      </c>
      <c r="B370">
        <f>_xlfn.NUMBERVALUE(LEFT(F370,1))</f>
        <v/>
      </c>
      <c r="C370">
        <f>Left(F370,2)</f>
        <v/>
      </c>
      <c r="D370">
        <f>Left(F370,3)</f>
        <v/>
      </c>
      <c r="E370">
        <f>IF(F370="121",Left(F370,3)&amp;"0",Left(F370,4))</f>
        <v/>
      </c>
      <c r="F370" t="n">
        <v>76500030</v>
      </c>
      <c r="G370" t="s">
        <v>384</v>
      </c>
      <c r="H370" s="9" t="n">
        <v>-996.7700000000001</v>
      </c>
      <c r="I370" s="9" t="n">
        <v>2769.959999999963</v>
      </c>
      <c r="J370" s="9" t="n">
        <v>2769.959999999963</v>
      </c>
      <c r="K370" s="9" t="n">
        <v>-2769.959999999963</v>
      </c>
      <c r="L370" s="9">
        <f>K370-H370</f>
        <v/>
      </c>
      <c r="M370" s="32">
        <f>IFERROR(L370/H370," ")</f>
        <v/>
      </c>
      <c r="N370">
        <f>IF(A370="BS",IFERROR(VLOOKUP(TRIM($E370),'BS Mapping std'!$A:$D,4,0),VLOOKUP(TRIM($D370),'BS Mapping std'!$A:$D,4,0)),IFERROR(VLOOKUP(TRIM($E370),'PL mapping Std'!$A:$D,4,0),VLOOKUP(TRIM($D370),'PL mapping Std'!$A:$D,4,0)))</f>
        <v/>
      </c>
      <c r="O370">
        <f>_xlfn.IFERROR(VLOOKUP(E370,'F30 mapping'!A:C,3,0),VLOOKUP(D370,'F30 mapping'!A:C,3,0))</f>
        <v/>
      </c>
      <c r="P370">
        <f>_xlfn.IFERROR(IFERROR(VLOOKUP(E370,'F40 mapping'!A:C,3,0),VLOOKUP(D370,'F40 mapping'!A:C,3,0)),0)</f>
        <v/>
      </c>
      <c r="Q370">
        <f>_xlfn.IFERROR(IFERROR(VLOOKUP(E370,'F40 mapping'!A:D,4,0),VLOOKUP(D370,'F40 mapping'!A:D,4,0)),0)</f>
        <v/>
      </c>
      <c r="R370">
        <f>_xlfn.IFERROR(IFERROR(VLOOKUP(E370,'F40 mapping'!A:E,5,0),VLOOKUP(D370,'F40 mapping'!A:E,5,0)),0)</f>
        <v/>
      </c>
      <c r="S370">
        <f>_xlfn.IF(B370&lt;6,IFERROR(VLOOKUP(E370,'BS Mapping std'!A:E,5,0),VLOOKUP(D370,'BS Mapping std'!A:E,5,0)),IFERROR(VLOOKUP(E370,'PL mapping Std'!A:F,6,0),VLOOKUP(D370,'PL mapping Std'!A:F,6,0)))</f>
        <v/>
      </c>
      <c r="T370">
        <f>_xlfn.IF(B370&lt;6,IFERROR(VLOOKUP(E370,'BS Mapping std'!A:F,6,0),VLOOKUP(D370,'BS Mapping std'!A:F,6,0)),IFERROR(VLOOKUP(E370,'PL mapping Std'!A:G,7,0),VLOOKUP(D370,'PL mapping Std'!A:G,7,0)))</f>
        <v/>
      </c>
      <c r="V370">
        <f>IF(IF(A370="BS",IFERROR(VLOOKUP(TRIM($E370),'BS Mapping std'!$A:$H,8,0),VLOOKUP(TRIM($D370),'BS Mapping std'!$A:$H,8,0)),IFERROR(VLOOKUP(TRIM($E370),'PL mapping Std'!$A:$E,5,0),VLOOKUP(TRIM($D370),'PL mapping Std'!$A:$E,5,0)))=0,"",IF(A370="BS",IFERROR(VLOOKUP(TRIM($E370),'BS Mapping std'!$A:$H,8,0),VLOOKUP(TRIM($D370),'BS Mapping std'!$A:$H,8,0)),IFERROR(VLOOKUP(TRIM($E370),'PL mapping Std'!$A:$E,5,0),VLOOKUP(TRIM($D370),'PL mapping Std'!$A:$E,5,0))))</f>
        <v/>
      </c>
      <c r="W370">
        <f>_xlfn.IFERROR(VLOOKUP(E370,'F30 mapping'!A:D,4,0),VLOOKUP(D370,'F30 mapping'!A:D,4,0))</f>
        <v/>
      </c>
      <c r="X370">
        <f>IF(B370&lt;6,IFERROR(VLOOKUP(E370,'BS Mapping std'!A:M,13,0),VLOOKUP(D370,'BS Mapping std'!A:M,13,0)),0)</f>
        <v/>
      </c>
      <c r="Y370">
        <f>IF(B370&lt;6,IFERROR(VLOOKUP(E370,'BS Mapping std'!A:N,14,0),VLOOKUP(D370,'BS Mapping std'!A:N,14,0)),0)</f>
        <v/>
      </c>
    </row>
    <row r="371" spans="1:25">
      <c r="A371">
        <f>IF(B371&lt;6,"BS",IF(B371=6,"Exp","Rev"))</f>
        <v/>
      </c>
      <c r="B371">
        <f>_xlfn.NUMBERVALUE(LEFT(F371,1))</f>
        <v/>
      </c>
      <c r="C371">
        <f>Left(F371,2)</f>
        <v/>
      </c>
      <c r="D371">
        <f>Left(F371,3)</f>
        <v/>
      </c>
      <c r="E371">
        <f>IF(F371="121",Left(F371,3)&amp;"0",Left(F371,4))</f>
        <v/>
      </c>
      <c r="F371" t="n">
        <v>76505000</v>
      </c>
      <c r="G371" t="s">
        <v>385</v>
      </c>
      <c r="H371" s="9" t="n">
        <v>-386889.55</v>
      </c>
      <c r="I371" s="9" t="n">
        <v>781921.0699999999</v>
      </c>
      <c r="J371" s="9" t="n">
        <v>781921.0699999999</v>
      </c>
      <c r="K371" s="9" t="n">
        <v>-781921.0699999999</v>
      </c>
      <c r="L371" s="9">
        <f>K371-H371</f>
        <v/>
      </c>
      <c r="M371" s="32">
        <f>IFERROR(L371/H371," ")</f>
        <v/>
      </c>
      <c r="N371">
        <f>IF(A371="BS",IFERROR(VLOOKUP(TRIM($E371),'BS Mapping std'!$A:$D,4,0),VLOOKUP(TRIM($D371),'BS Mapping std'!$A:$D,4,0)),IFERROR(VLOOKUP(TRIM($E371),'PL mapping Std'!$A:$D,4,0),VLOOKUP(TRIM($D371),'PL mapping Std'!$A:$D,4,0)))</f>
        <v/>
      </c>
      <c r="O371">
        <f>_xlfn.IFERROR(VLOOKUP(E371,'F30 mapping'!A:C,3,0),VLOOKUP(D371,'F30 mapping'!A:C,3,0))</f>
        <v/>
      </c>
      <c r="P371">
        <f>_xlfn.IFERROR(IFERROR(VLOOKUP(E371,'F40 mapping'!A:C,3,0),VLOOKUP(D371,'F40 mapping'!A:C,3,0)),0)</f>
        <v/>
      </c>
      <c r="Q371">
        <f>_xlfn.IFERROR(IFERROR(VLOOKUP(E371,'F40 mapping'!A:D,4,0),VLOOKUP(D371,'F40 mapping'!A:D,4,0)),0)</f>
        <v/>
      </c>
      <c r="R371">
        <f>_xlfn.IFERROR(IFERROR(VLOOKUP(E371,'F40 mapping'!A:E,5,0),VLOOKUP(D371,'F40 mapping'!A:E,5,0)),0)</f>
        <v/>
      </c>
      <c r="S371">
        <f>_xlfn.IF(B371&lt;6,IFERROR(VLOOKUP(E371,'BS Mapping std'!A:E,5,0),VLOOKUP(D371,'BS Mapping std'!A:E,5,0)),IFERROR(VLOOKUP(E371,'PL mapping Std'!A:F,6,0),VLOOKUP(D371,'PL mapping Std'!A:F,6,0)))</f>
        <v/>
      </c>
      <c r="T371">
        <f>_xlfn.IF(B371&lt;6,IFERROR(VLOOKUP(E371,'BS Mapping std'!A:F,6,0),VLOOKUP(D371,'BS Mapping std'!A:F,6,0)),IFERROR(VLOOKUP(E371,'PL mapping Std'!A:G,7,0),VLOOKUP(D371,'PL mapping Std'!A:G,7,0)))</f>
        <v/>
      </c>
      <c r="V371">
        <f>IF(IF(A371="BS",IFERROR(VLOOKUP(TRIM($E371),'BS Mapping std'!$A:$H,8,0),VLOOKUP(TRIM($D371),'BS Mapping std'!$A:$H,8,0)),IFERROR(VLOOKUP(TRIM($E371),'PL mapping Std'!$A:$E,5,0),VLOOKUP(TRIM($D371),'PL mapping Std'!$A:$E,5,0)))=0,"",IF(A371="BS",IFERROR(VLOOKUP(TRIM($E371),'BS Mapping std'!$A:$H,8,0),VLOOKUP(TRIM($D371),'BS Mapping std'!$A:$H,8,0)),IFERROR(VLOOKUP(TRIM($E371),'PL mapping Std'!$A:$E,5,0),VLOOKUP(TRIM($D371),'PL mapping Std'!$A:$E,5,0))))</f>
        <v/>
      </c>
      <c r="W371">
        <f>_xlfn.IFERROR(VLOOKUP(E371,'F30 mapping'!A:D,4,0),VLOOKUP(D371,'F30 mapping'!A:D,4,0))</f>
        <v/>
      </c>
      <c r="X371">
        <f>IF(B371&lt;6,IFERROR(VLOOKUP(E371,'BS Mapping std'!A:M,13,0),VLOOKUP(D371,'BS Mapping std'!A:M,13,0)),0)</f>
        <v/>
      </c>
      <c r="Y371">
        <f>IF(B371&lt;6,IFERROR(VLOOKUP(E371,'BS Mapping std'!A:N,14,0),VLOOKUP(D371,'BS Mapping std'!A:N,14,0)),0)</f>
        <v/>
      </c>
    </row>
    <row r="372" spans="1:25">
      <c r="A372">
        <f>IF(B372&lt;6,"BS",IF(B372=6,"Exp","Rev"))</f>
        <v/>
      </c>
      <c r="B372">
        <f>_xlfn.NUMBERVALUE(LEFT(F372,1))</f>
        <v/>
      </c>
      <c r="C372">
        <f>Left(F372,2)</f>
        <v/>
      </c>
      <c r="D372">
        <f>Left(F372,3)</f>
        <v/>
      </c>
      <c r="E372">
        <f>IF(F372="121",Left(F372,3)&amp;"0",Left(F372,4))</f>
        <v/>
      </c>
      <c r="F372" t="n">
        <v>76600000</v>
      </c>
      <c r="G372" t="s">
        <v>386</v>
      </c>
      <c r="H372" s="9" t="n">
        <v>-341.15</v>
      </c>
      <c r="I372" s="9" t="n">
        <v>3887.51</v>
      </c>
      <c r="J372" s="9" t="n">
        <v>3887.51</v>
      </c>
      <c r="K372" s="9" t="n">
        <v>-3887.51</v>
      </c>
      <c r="L372" s="9">
        <f>K372-H372</f>
        <v/>
      </c>
      <c r="M372" s="32">
        <f>IFERROR(L372/H372," ")</f>
        <v/>
      </c>
      <c r="N372">
        <f>IF(A372="BS",IFERROR(VLOOKUP(TRIM($E372),'BS Mapping std'!$A:$D,4,0),VLOOKUP(TRIM($D372),'BS Mapping std'!$A:$D,4,0)),IFERROR(VLOOKUP(TRIM($E372),'PL mapping Std'!$A:$D,4,0),VLOOKUP(TRIM($D372),'PL mapping Std'!$A:$D,4,0)))</f>
        <v/>
      </c>
      <c r="O372">
        <f>_xlfn.IFERROR(VLOOKUP(E372,'F30 mapping'!A:C,3,0),VLOOKUP(D372,'F30 mapping'!A:C,3,0))</f>
        <v/>
      </c>
      <c r="P372">
        <f>_xlfn.IFERROR(IFERROR(VLOOKUP(E372,'F40 mapping'!A:C,3,0),VLOOKUP(D372,'F40 mapping'!A:C,3,0)),0)</f>
        <v/>
      </c>
      <c r="Q372">
        <f>_xlfn.IFERROR(IFERROR(VLOOKUP(E372,'F40 mapping'!A:D,4,0),VLOOKUP(D372,'F40 mapping'!A:D,4,0)),0)</f>
        <v/>
      </c>
      <c r="R372">
        <f>_xlfn.IFERROR(IFERROR(VLOOKUP(E372,'F40 mapping'!A:E,5,0),VLOOKUP(D372,'F40 mapping'!A:E,5,0)),0)</f>
        <v/>
      </c>
      <c r="S372">
        <f>_xlfn.IF(B372&lt;6,IFERROR(VLOOKUP(E372,'BS Mapping std'!A:E,5,0),VLOOKUP(D372,'BS Mapping std'!A:E,5,0)),IFERROR(VLOOKUP(E372,'PL mapping Std'!A:F,6,0),VLOOKUP(D372,'PL mapping Std'!A:F,6,0)))</f>
        <v/>
      </c>
      <c r="T372">
        <f>_xlfn.IF(B372&lt;6,IFERROR(VLOOKUP(E372,'BS Mapping std'!A:F,6,0),VLOOKUP(D372,'BS Mapping std'!A:F,6,0)),IFERROR(VLOOKUP(E372,'PL mapping Std'!A:G,7,0),VLOOKUP(D372,'PL mapping Std'!A:G,7,0)))</f>
        <v/>
      </c>
      <c r="V372">
        <f>IF(IF(A372="BS",IFERROR(VLOOKUP(TRIM($E372),'BS Mapping std'!$A:$H,8,0),VLOOKUP(TRIM($D372),'BS Mapping std'!$A:$H,8,0)),IFERROR(VLOOKUP(TRIM($E372),'PL mapping Std'!$A:$E,5,0),VLOOKUP(TRIM($D372),'PL mapping Std'!$A:$E,5,0)))=0,"",IF(A372="BS",IFERROR(VLOOKUP(TRIM($E372),'BS Mapping std'!$A:$H,8,0),VLOOKUP(TRIM($D372),'BS Mapping std'!$A:$H,8,0)),IFERROR(VLOOKUP(TRIM($E372),'PL mapping Std'!$A:$E,5,0),VLOOKUP(TRIM($D372),'PL mapping Std'!$A:$E,5,0))))</f>
        <v/>
      </c>
      <c r="W372">
        <f>_xlfn.IFERROR(VLOOKUP(E372,'F30 mapping'!A:D,4,0),VLOOKUP(D372,'F30 mapping'!A:D,4,0))</f>
        <v/>
      </c>
      <c r="X372">
        <f>IF(B372&lt;6,IFERROR(VLOOKUP(E372,'BS Mapping std'!A:M,13,0),VLOOKUP(D372,'BS Mapping std'!A:M,13,0)),0)</f>
        <v/>
      </c>
      <c r="Y372">
        <f>IF(B372&lt;6,IFERROR(VLOOKUP(E372,'BS Mapping std'!A:N,14,0),VLOOKUP(D372,'BS Mapping std'!A:N,14,0)),0)</f>
        <v/>
      </c>
    </row>
    <row r="373" spans="1:25">
      <c r="A373">
        <f>IF(B373&lt;6,"BS",IF(B373=6,"Exp","Rev"))</f>
        <v/>
      </c>
      <c r="B373">
        <f>_xlfn.NUMBERVALUE(LEFT(F373,1))</f>
        <v/>
      </c>
      <c r="C373">
        <f>Left(F373,2)</f>
        <v/>
      </c>
      <c r="D373">
        <f>Left(F373,3)</f>
        <v/>
      </c>
      <c r="E373">
        <f>IF(F373="121",Left(F373,3)&amp;"0",Left(F373,4))</f>
        <v/>
      </c>
      <c r="F373" t="n">
        <v>76700000</v>
      </c>
      <c r="G373" t="s">
        <v>387</v>
      </c>
      <c r="H373" s="9" t="n">
        <v>-214453.49</v>
      </c>
      <c r="I373" s="9" t="n">
        <v>254244.26</v>
      </c>
      <c r="J373" s="9" t="n">
        <v>254244.26</v>
      </c>
      <c r="K373" s="9" t="n">
        <v>-254244.26</v>
      </c>
      <c r="L373" s="9">
        <f>K373-H373</f>
        <v/>
      </c>
      <c r="M373" s="32">
        <f>IFERROR(L373/H373," ")</f>
        <v/>
      </c>
      <c r="N373">
        <f>IF(A373="BS",IFERROR(VLOOKUP(TRIM($E373),'BS Mapping std'!$A:$D,4,0),VLOOKUP(TRIM($D373),'BS Mapping std'!$A:$D,4,0)),IFERROR(VLOOKUP(TRIM($E373),'PL mapping Std'!$A:$D,4,0),VLOOKUP(TRIM($D373),'PL mapping Std'!$A:$D,4,0)))</f>
        <v/>
      </c>
      <c r="O373">
        <f>_xlfn.IFERROR(VLOOKUP(E373,'F30 mapping'!A:C,3,0),VLOOKUP(D373,'F30 mapping'!A:C,3,0))</f>
        <v/>
      </c>
      <c r="P373">
        <f>_xlfn.IFERROR(IFERROR(VLOOKUP(E373,'F40 mapping'!A:C,3,0),VLOOKUP(D373,'F40 mapping'!A:C,3,0)),0)</f>
        <v/>
      </c>
      <c r="Q373">
        <f>_xlfn.IFERROR(IFERROR(VLOOKUP(E373,'F40 mapping'!A:D,4,0),VLOOKUP(D373,'F40 mapping'!A:D,4,0)),0)</f>
        <v/>
      </c>
      <c r="R373">
        <f>_xlfn.IFERROR(IFERROR(VLOOKUP(E373,'F40 mapping'!A:E,5,0),VLOOKUP(D373,'F40 mapping'!A:E,5,0)),0)</f>
        <v/>
      </c>
      <c r="S373">
        <f>_xlfn.IF(B373&lt;6,IFERROR(VLOOKUP(E373,'BS Mapping std'!A:E,5,0),VLOOKUP(D373,'BS Mapping std'!A:E,5,0)),IFERROR(VLOOKUP(E373,'PL mapping Std'!A:F,6,0),VLOOKUP(D373,'PL mapping Std'!A:F,6,0)))</f>
        <v/>
      </c>
      <c r="T373">
        <f>_xlfn.IF(B373&lt;6,IFERROR(VLOOKUP(E373,'BS Mapping std'!A:F,6,0),VLOOKUP(D373,'BS Mapping std'!A:F,6,0)),IFERROR(VLOOKUP(E373,'PL mapping Std'!A:G,7,0),VLOOKUP(D373,'PL mapping Std'!A:G,7,0)))</f>
        <v/>
      </c>
      <c r="V373">
        <f>IF(IF(A373="BS",IFERROR(VLOOKUP(TRIM($E373),'BS Mapping std'!$A:$H,8,0),VLOOKUP(TRIM($D373),'BS Mapping std'!$A:$H,8,0)),IFERROR(VLOOKUP(TRIM($E373),'PL mapping Std'!$A:$E,5,0),VLOOKUP(TRIM($D373),'PL mapping Std'!$A:$E,5,0)))=0,"",IF(A373="BS",IFERROR(VLOOKUP(TRIM($E373),'BS Mapping std'!$A:$H,8,0),VLOOKUP(TRIM($D373),'BS Mapping std'!$A:$H,8,0)),IFERROR(VLOOKUP(TRIM($E373),'PL mapping Std'!$A:$E,5,0),VLOOKUP(TRIM($D373),'PL mapping Std'!$A:$E,5,0))))</f>
        <v/>
      </c>
      <c r="W373">
        <f>_xlfn.IFERROR(VLOOKUP(E373,'F30 mapping'!A:D,4,0),VLOOKUP(D373,'F30 mapping'!A:D,4,0))</f>
        <v/>
      </c>
      <c r="X373">
        <f>IF(B373&lt;6,IFERROR(VLOOKUP(E373,'BS Mapping std'!A:M,13,0),VLOOKUP(D373,'BS Mapping std'!A:M,13,0)),0)</f>
        <v/>
      </c>
      <c r="Y373">
        <f>IF(B373&lt;6,IFERROR(VLOOKUP(E373,'BS Mapping std'!A:N,14,0),VLOOKUP(D373,'BS Mapping std'!A:N,14,0)),0)</f>
        <v/>
      </c>
    </row>
    <row r="374" spans="1:25">
      <c r="A374">
        <f>IF(B374&lt;6,"BS",IF(B374=6,"Exp","Rev"))</f>
        <v/>
      </c>
      <c r="B374">
        <f>_xlfn.NUMBERVALUE(LEFT(F374,1))</f>
        <v/>
      </c>
      <c r="C374">
        <f>Left(F374,2)</f>
        <v/>
      </c>
      <c r="D374">
        <f>Left(F374,3)</f>
        <v/>
      </c>
      <c r="E374">
        <f>IF(F374="121",Left(F374,3)&amp;"0",Left(F374,4))</f>
        <v/>
      </c>
      <c r="F374" t="n">
        <v>78120000</v>
      </c>
      <c r="G374" t="s">
        <v>388</v>
      </c>
      <c r="H374" s="9" t="n">
        <v>-156859.92</v>
      </c>
      <c r="I374" s="9" t="n">
        <v>142274.99</v>
      </c>
      <c r="J374" s="9" t="n">
        <v>142274.99</v>
      </c>
      <c r="K374" s="9" t="n">
        <v>-142274.99</v>
      </c>
      <c r="L374" s="9">
        <f>K374-H374</f>
        <v/>
      </c>
      <c r="M374" s="32">
        <f>IFERROR(L374/H374," ")</f>
        <v/>
      </c>
      <c r="N374">
        <f>IF(A374="BS",IFERROR(VLOOKUP(TRIM($E374),'BS Mapping std'!$A:$D,4,0),VLOOKUP(TRIM($D374),'BS Mapping std'!$A:$D,4,0)),IFERROR(VLOOKUP(TRIM($E374),'PL mapping Std'!$A:$D,4,0),VLOOKUP(TRIM($D374),'PL mapping Std'!$A:$D,4,0)))</f>
        <v/>
      </c>
      <c r="O374">
        <f>_xlfn.IFERROR(VLOOKUP(E374,'F30 mapping'!A:C,3,0),VLOOKUP(D374,'F30 mapping'!A:C,3,0))</f>
        <v/>
      </c>
      <c r="P374">
        <f>_xlfn.IFERROR(IFERROR(VLOOKUP(E374,'F40 mapping'!A:C,3,0),VLOOKUP(D374,'F40 mapping'!A:C,3,0)),0)</f>
        <v/>
      </c>
      <c r="Q374">
        <f>_xlfn.IFERROR(IFERROR(VLOOKUP(E374,'F40 mapping'!A:D,4,0),VLOOKUP(D374,'F40 mapping'!A:D,4,0)),0)</f>
        <v/>
      </c>
      <c r="R374">
        <f>_xlfn.IFERROR(IFERROR(VLOOKUP(E374,'F40 mapping'!A:E,5,0),VLOOKUP(D374,'F40 mapping'!A:E,5,0)),0)</f>
        <v/>
      </c>
      <c r="S374">
        <f>_xlfn.IF(B374&lt;6,IFERROR(VLOOKUP(E374,'BS Mapping std'!A:E,5,0),VLOOKUP(D374,'BS Mapping std'!A:E,5,0)),IFERROR(VLOOKUP(E374,'PL mapping Std'!A:F,6,0),VLOOKUP(D374,'PL mapping Std'!A:F,6,0)))</f>
        <v/>
      </c>
      <c r="T374">
        <f>_xlfn.IF(B374&lt;6,IFERROR(VLOOKUP(E374,'BS Mapping std'!A:F,6,0),VLOOKUP(D374,'BS Mapping std'!A:F,6,0)),IFERROR(VLOOKUP(E374,'PL mapping Std'!A:G,7,0),VLOOKUP(D374,'PL mapping Std'!A:G,7,0)))</f>
        <v/>
      </c>
      <c r="V374">
        <f>IF(IF(A374="BS",IFERROR(VLOOKUP(TRIM($E374),'BS Mapping std'!$A:$H,8,0),VLOOKUP(TRIM($D374),'BS Mapping std'!$A:$H,8,0)),IFERROR(VLOOKUP(TRIM($E374),'PL mapping Std'!$A:$E,5,0),VLOOKUP(TRIM($D374),'PL mapping Std'!$A:$E,5,0)))=0,"",IF(A374="BS",IFERROR(VLOOKUP(TRIM($E374),'BS Mapping std'!$A:$H,8,0),VLOOKUP(TRIM($D374),'BS Mapping std'!$A:$H,8,0)),IFERROR(VLOOKUP(TRIM($E374),'PL mapping Std'!$A:$E,5,0),VLOOKUP(TRIM($D374),'PL mapping Std'!$A:$E,5,0))))</f>
        <v/>
      </c>
      <c r="W374">
        <f>_xlfn.IFERROR(VLOOKUP(E374,'F30 mapping'!A:D,4,0),VLOOKUP(D374,'F30 mapping'!A:D,4,0))</f>
        <v/>
      </c>
      <c r="X374">
        <f>IF(B374&lt;6,IFERROR(VLOOKUP(E374,'BS Mapping std'!A:M,13,0),VLOOKUP(D374,'BS Mapping std'!A:M,13,0)),0)</f>
        <v/>
      </c>
      <c r="Y374">
        <f>IF(B374&lt;6,IFERROR(VLOOKUP(E374,'BS Mapping std'!A:N,14,0),VLOOKUP(D374,'BS Mapping std'!A:N,14,0)),0)</f>
        <v/>
      </c>
    </row>
    <row r="375" spans="1:25">
      <c r="A375">
        <f>IF(B375&lt;6,"BS",IF(B375=6,"Exp","Rev"))</f>
        <v/>
      </c>
      <c r="B375">
        <f>_xlfn.NUMBERVALUE(LEFT(F375,1))</f>
        <v/>
      </c>
      <c r="C375">
        <f>Left(F375,2)</f>
        <v/>
      </c>
      <c r="D375">
        <f>Left(F375,3)</f>
        <v/>
      </c>
      <c r="E375">
        <f>IF(F375="121",Left(F375,3)&amp;"0",Left(F375,4))</f>
        <v/>
      </c>
      <c r="F375" t="n">
        <v>78120010</v>
      </c>
      <c r="G375" t="s">
        <v>389</v>
      </c>
      <c r="H375" s="9" t="n">
        <v>-66236</v>
      </c>
      <c r="I375" s="9" t="n">
        <v>90431</v>
      </c>
      <c r="J375" s="9" t="n">
        <v>90431</v>
      </c>
      <c r="K375" s="9" t="n">
        <v>-90431</v>
      </c>
      <c r="L375" s="9">
        <f>K375-H375</f>
        <v/>
      </c>
      <c r="M375" s="32">
        <f>IFERROR(L375/H375," ")</f>
        <v/>
      </c>
      <c r="N375">
        <f>IF(A375="BS",IFERROR(VLOOKUP(TRIM($E375),'BS Mapping std'!$A:$D,4,0),VLOOKUP(TRIM($D375),'BS Mapping std'!$A:$D,4,0)),IFERROR(VLOOKUP(TRIM($E375),'PL mapping Std'!$A:$D,4,0),VLOOKUP(TRIM($D375),'PL mapping Std'!$A:$D,4,0)))</f>
        <v/>
      </c>
      <c r="O375">
        <f>_xlfn.IFERROR(VLOOKUP(E375,'F30 mapping'!A:C,3,0),VLOOKUP(D375,'F30 mapping'!A:C,3,0))</f>
        <v/>
      </c>
      <c r="P375">
        <f>_xlfn.IFERROR(IFERROR(VLOOKUP(E375,'F40 mapping'!A:C,3,0),VLOOKUP(D375,'F40 mapping'!A:C,3,0)),0)</f>
        <v/>
      </c>
      <c r="Q375">
        <f>_xlfn.IFERROR(IFERROR(VLOOKUP(E375,'F40 mapping'!A:D,4,0),VLOOKUP(D375,'F40 mapping'!A:D,4,0)),0)</f>
        <v/>
      </c>
      <c r="R375">
        <f>_xlfn.IFERROR(IFERROR(VLOOKUP(E375,'F40 mapping'!A:E,5,0),VLOOKUP(D375,'F40 mapping'!A:E,5,0)),0)</f>
        <v/>
      </c>
      <c r="S375">
        <f>_xlfn.IF(B375&lt;6,IFERROR(VLOOKUP(E375,'BS Mapping std'!A:E,5,0),VLOOKUP(D375,'BS Mapping std'!A:E,5,0)),IFERROR(VLOOKUP(E375,'PL mapping Std'!A:F,6,0),VLOOKUP(D375,'PL mapping Std'!A:F,6,0)))</f>
        <v/>
      </c>
      <c r="T375">
        <f>_xlfn.IF(B375&lt;6,IFERROR(VLOOKUP(E375,'BS Mapping std'!A:F,6,0),VLOOKUP(D375,'BS Mapping std'!A:F,6,0)),IFERROR(VLOOKUP(E375,'PL mapping Std'!A:G,7,0),VLOOKUP(D375,'PL mapping Std'!A:G,7,0)))</f>
        <v/>
      </c>
      <c r="V375">
        <f>IF(IF(A375="BS",IFERROR(VLOOKUP(TRIM($E375),'BS Mapping std'!$A:$H,8,0),VLOOKUP(TRIM($D375),'BS Mapping std'!$A:$H,8,0)),IFERROR(VLOOKUP(TRIM($E375),'PL mapping Std'!$A:$E,5,0),VLOOKUP(TRIM($D375),'PL mapping Std'!$A:$E,5,0)))=0,"",IF(A375="BS",IFERROR(VLOOKUP(TRIM($E375),'BS Mapping std'!$A:$H,8,0),VLOOKUP(TRIM($D375),'BS Mapping std'!$A:$H,8,0)),IFERROR(VLOOKUP(TRIM($E375),'PL mapping Std'!$A:$E,5,0),VLOOKUP(TRIM($D375),'PL mapping Std'!$A:$E,5,0))))</f>
        <v/>
      </c>
      <c r="W375">
        <f>_xlfn.IFERROR(VLOOKUP(E375,'F30 mapping'!A:D,4,0),VLOOKUP(D375,'F30 mapping'!A:D,4,0))</f>
        <v/>
      </c>
      <c r="X375">
        <f>IF(B375&lt;6,IFERROR(VLOOKUP(E375,'BS Mapping std'!A:M,13,0),VLOOKUP(D375,'BS Mapping std'!A:M,13,0)),0)</f>
        <v/>
      </c>
      <c r="Y375">
        <f>IF(B375&lt;6,IFERROR(VLOOKUP(E375,'BS Mapping std'!A:N,14,0),VLOOKUP(D375,'BS Mapping std'!A:N,14,0)),0)</f>
        <v/>
      </c>
    </row>
    <row r="376" spans="1:25">
      <c r="A376">
        <f>IF(B376&lt;6,"BS",IF(B376=6,"Exp","Rev"))</f>
        <v/>
      </c>
      <c r="B376">
        <f>_xlfn.NUMBERVALUE(LEFT(F376,1))</f>
        <v/>
      </c>
      <c r="C376">
        <f>Left(F376,2)</f>
        <v/>
      </c>
      <c r="D376">
        <f>Left(F376,3)</f>
        <v/>
      </c>
      <c r="E376">
        <f>IF(F376="121",Left(F376,3)&amp;"0",Left(F376,4))</f>
        <v/>
      </c>
      <c r="F376" t="n">
        <v>78120040</v>
      </c>
      <c r="G376" t="s">
        <v>390</v>
      </c>
      <c r="H376" s="9" t="n">
        <v>-132967</v>
      </c>
      <c r="I376" s="9" t="n">
        <v>244014</v>
      </c>
      <c r="J376" s="9" t="n">
        <v>244014</v>
      </c>
      <c r="K376" s="9" t="n">
        <v>-244014</v>
      </c>
      <c r="L376" s="9">
        <f>K376-H376</f>
        <v/>
      </c>
      <c r="M376" s="32">
        <f>IFERROR(L376/H376," ")</f>
        <v/>
      </c>
      <c r="N376">
        <f>IF(A376="BS",IFERROR(VLOOKUP(TRIM($E376),'BS Mapping std'!$A:$D,4,0),VLOOKUP(TRIM($D376),'BS Mapping std'!$A:$D,4,0)),IFERROR(VLOOKUP(TRIM($E376),'PL mapping Std'!$A:$D,4,0),VLOOKUP(TRIM($D376),'PL mapping Std'!$A:$D,4,0)))</f>
        <v/>
      </c>
      <c r="O376">
        <f>_xlfn.IFERROR(VLOOKUP(E376,'F30 mapping'!A:C,3,0),VLOOKUP(D376,'F30 mapping'!A:C,3,0))</f>
        <v/>
      </c>
      <c r="P376">
        <f>_xlfn.IFERROR(IFERROR(VLOOKUP(E376,'F40 mapping'!A:C,3,0),VLOOKUP(D376,'F40 mapping'!A:C,3,0)),0)</f>
        <v/>
      </c>
      <c r="Q376">
        <f>_xlfn.IFERROR(IFERROR(VLOOKUP(E376,'F40 mapping'!A:D,4,0),VLOOKUP(D376,'F40 mapping'!A:D,4,0)),0)</f>
        <v/>
      </c>
      <c r="R376">
        <f>_xlfn.IFERROR(IFERROR(VLOOKUP(E376,'F40 mapping'!A:E,5,0),VLOOKUP(D376,'F40 mapping'!A:E,5,0)),0)</f>
        <v/>
      </c>
      <c r="S376">
        <f>_xlfn.IF(B376&lt;6,IFERROR(VLOOKUP(E376,'BS Mapping std'!A:E,5,0),VLOOKUP(D376,'BS Mapping std'!A:E,5,0)),IFERROR(VLOOKUP(E376,'PL mapping Std'!A:F,6,0),VLOOKUP(D376,'PL mapping Std'!A:F,6,0)))</f>
        <v/>
      </c>
      <c r="T376">
        <f>_xlfn.IF(B376&lt;6,IFERROR(VLOOKUP(E376,'BS Mapping std'!A:F,6,0),VLOOKUP(D376,'BS Mapping std'!A:F,6,0)),IFERROR(VLOOKUP(E376,'PL mapping Std'!A:G,7,0),VLOOKUP(D376,'PL mapping Std'!A:G,7,0)))</f>
        <v/>
      </c>
      <c r="V376">
        <f>IF(IF(A376="BS",IFERROR(VLOOKUP(TRIM($E376),'BS Mapping std'!$A:$H,8,0),VLOOKUP(TRIM($D376),'BS Mapping std'!$A:$H,8,0)),IFERROR(VLOOKUP(TRIM($E376),'PL mapping Std'!$A:$E,5,0),VLOOKUP(TRIM($D376),'PL mapping Std'!$A:$E,5,0)))=0,"",IF(A376="BS",IFERROR(VLOOKUP(TRIM($E376),'BS Mapping std'!$A:$H,8,0),VLOOKUP(TRIM($D376),'BS Mapping std'!$A:$H,8,0)),IFERROR(VLOOKUP(TRIM($E376),'PL mapping Std'!$A:$E,5,0),VLOOKUP(TRIM($D376),'PL mapping Std'!$A:$E,5,0))))</f>
        <v/>
      </c>
      <c r="W376">
        <f>_xlfn.IFERROR(VLOOKUP(E376,'F30 mapping'!A:D,4,0),VLOOKUP(D376,'F30 mapping'!A:D,4,0))</f>
        <v/>
      </c>
      <c r="X376">
        <f>IF(B376&lt;6,IFERROR(VLOOKUP(E376,'BS Mapping std'!A:M,13,0),VLOOKUP(D376,'BS Mapping std'!A:M,13,0)),0)</f>
        <v/>
      </c>
      <c r="Y376">
        <f>IF(B376&lt;6,IFERROR(VLOOKUP(E376,'BS Mapping std'!A:N,14,0),VLOOKUP(D376,'BS Mapping std'!A:N,14,0)),0)</f>
        <v/>
      </c>
    </row>
    <row r="377" spans="1:25">
      <c r="A377">
        <f>IF(B377&lt;6,"BS",IF(B377=6,"Exp","Rev"))</f>
        <v/>
      </c>
      <c r="B377">
        <f>_xlfn.NUMBERVALUE(LEFT(F377,1))</f>
        <v/>
      </c>
      <c r="C377">
        <f>Left(F377,2)</f>
        <v/>
      </c>
      <c r="D377">
        <f>Left(F377,3)</f>
        <v/>
      </c>
      <c r="E377">
        <f>IF(F377="121",Left(F377,3)&amp;"0",Left(F377,4))</f>
        <v/>
      </c>
      <c r="F377" t="n">
        <v>78120050</v>
      </c>
      <c r="G377" t="s">
        <v>391</v>
      </c>
      <c r="H377" t="n">
        <v>-4482</v>
      </c>
      <c r="I377" t="n">
        <v>7525</v>
      </c>
      <c r="J377" t="n">
        <v>7525</v>
      </c>
      <c r="K377" t="n">
        <v>-7525</v>
      </c>
      <c r="L377">
        <f>K377-H377</f>
        <v/>
      </c>
      <c r="M377">
        <f>IFERROR(L377/H377," ")</f>
        <v/>
      </c>
      <c r="N377">
        <f>IF(A377="BS",IFERROR(VLOOKUP(TRIM($E377),'BS Mapping std'!$A:$D,4,0),VLOOKUP(TRIM($D377),'BS Mapping std'!$A:$D,4,0)),IFERROR(VLOOKUP(TRIM($E377),'PL mapping Std'!$A:$D,4,0),VLOOKUP(TRIM($D377),'PL mapping Std'!$A:$D,4,0)))</f>
        <v/>
      </c>
      <c r="O377">
        <f>_xlfn.IFERROR(VLOOKUP(E377,'F30 mapping'!A:C,3,0),VLOOKUP(D377,'F30 mapping'!A:C,3,0))</f>
        <v/>
      </c>
      <c r="P377">
        <f>_xlfn.IFERROR(IFERROR(VLOOKUP(E377,'F40 mapping'!A:C,3,0),VLOOKUP(D377,'F40 mapping'!A:C,3,0)),0)</f>
        <v/>
      </c>
      <c r="Q377">
        <f>_xlfn.IFERROR(IFERROR(VLOOKUP(E377,'F40 mapping'!A:D,4,0),VLOOKUP(D377,'F40 mapping'!A:D,4,0)),0)</f>
        <v/>
      </c>
      <c r="R377">
        <f>_xlfn.IFERROR(IFERROR(VLOOKUP(E377,'F40 mapping'!A:E,5,0),VLOOKUP(D377,'F40 mapping'!A:E,5,0)),0)</f>
        <v/>
      </c>
      <c r="S377">
        <f>_xlfn.IF(B377&lt;6,IFERROR(VLOOKUP(E377,'BS Mapping std'!A:E,5,0),VLOOKUP(D377,'BS Mapping std'!A:E,5,0)),IFERROR(VLOOKUP(E377,'PL mapping Std'!A:F,6,0),VLOOKUP(D377,'PL mapping Std'!A:F,6,0)))</f>
        <v/>
      </c>
      <c r="T377">
        <f>_xlfn.IF(B377&lt;6,IFERROR(VLOOKUP(E377,'BS Mapping std'!A:F,6,0),VLOOKUP(D377,'BS Mapping std'!A:F,6,0)),IFERROR(VLOOKUP(E377,'PL mapping Std'!A:G,7,0),VLOOKUP(D377,'PL mapping Std'!A:G,7,0)))</f>
        <v/>
      </c>
      <c r="V377">
        <f>IF(IF(A377="BS",IFERROR(VLOOKUP(TRIM($E377),'BS Mapping std'!$A:$H,8,0),VLOOKUP(TRIM($D377),'BS Mapping std'!$A:$H,8,0)),IFERROR(VLOOKUP(TRIM($E377),'PL mapping Std'!$A:$E,5,0),VLOOKUP(TRIM($D377),'PL mapping Std'!$A:$E,5,0)))=0,"",IF(A377="BS",IFERROR(VLOOKUP(TRIM($E377),'BS Mapping std'!$A:$H,8,0),VLOOKUP(TRIM($D377),'BS Mapping std'!$A:$H,8,0)),IFERROR(VLOOKUP(TRIM($E377),'PL mapping Std'!$A:$E,5,0),VLOOKUP(TRIM($D377),'PL mapping Std'!$A:$E,5,0))))</f>
        <v/>
      </c>
      <c r="W377">
        <f>_xlfn.IFERROR(VLOOKUP(E377,'F30 mapping'!A:D,4,0),VLOOKUP(D377,'F30 mapping'!A:D,4,0))</f>
        <v/>
      </c>
      <c r="X377">
        <f>IF(B377&lt;6,IFERROR(VLOOKUP(E377,'BS Mapping std'!A:M,13,0),VLOOKUP(D377,'BS Mapping std'!A:M,13,0)),0)</f>
        <v/>
      </c>
      <c r="Y377">
        <f>IF(B377&lt;6,IFERROR(VLOOKUP(E377,'BS Mapping std'!A:N,14,0),VLOOKUP(D377,'BS Mapping std'!A:N,14,0)),0)</f>
        <v/>
      </c>
    </row>
    <row r="378" spans="1:25">
      <c r="A378">
        <f>IF(B378&lt;6,"BS",IF(B378=6,"Exp","Rev"))</f>
        <v/>
      </c>
      <c r="B378">
        <f>_xlfn.NUMBERVALUE(LEFT(F378,1))</f>
        <v/>
      </c>
      <c r="C378">
        <f>Left(F378,2)</f>
        <v/>
      </c>
      <c r="D378">
        <f>Left(F378,3)</f>
        <v/>
      </c>
      <c r="E378">
        <f>IF(F378="121",Left(F378,3)&amp;"0",Left(F378,4))</f>
        <v/>
      </c>
      <c r="F378" t="n">
        <v>78140010</v>
      </c>
      <c r="G378" t="s">
        <v>392</v>
      </c>
      <c r="H378" t="n">
        <v>-256308.68</v>
      </c>
      <c r="I378" t="n">
        <v>453410.02</v>
      </c>
      <c r="J378" t="n">
        <v>453410.02</v>
      </c>
      <c r="K378" t="n">
        <v>-453410.02</v>
      </c>
      <c r="L378">
        <f>K378-H378</f>
        <v/>
      </c>
      <c r="M378">
        <f>IFERROR(L378/H378," ")</f>
        <v/>
      </c>
      <c r="N378">
        <f>IF(A378="BS",IFERROR(VLOOKUP(TRIM($E378),'BS Mapping std'!$A:$D,4,0),VLOOKUP(TRIM($D378),'BS Mapping std'!$A:$D,4,0)),IFERROR(VLOOKUP(TRIM($E378),'PL mapping Std'!$A:$D,4,0),VLOOKUP(TRIM($D378),'PL mapping Std'!$A:$D,4,0)))</f>
        <v/>
      </c>
      <c r="O378">
        <f>_xlfn.IFERROR(VLOOKUP(E378,'F30 mapping'!A:C,3,0),VLOOKUP(D378,'F30 mapping'!A:C,3,0))</f>
        <v/>
      </c>
      <c r="P378">
        <f>_xlfn.IFERROR(IFERROR(VLOOKUP(E378,'F40 mapping'!A:C,3,0),VLOOKUP(D378,'F40 mapping'!A:C,3,0)),0)</f>
        <v/>
      </c>
      <c r="Q378">
        <f>_xlfn.IFERROR(IFERROR(VLOOKUP(E378,'F40 mapping'!A:D,4,0),VLOOKUP(D378,'F40 mapping'!A:D,4,0)),0)</f>
        <v/>
      </c>
      <c r="R378">
        <f>_xlfn.IFERROR(IFERROR(VLOOKUP(E378,'F40 mapping'!A:E,5,0),VLOOKUP(D378,'F40 mapping'!A:E,5,0)),0)</f>
        <v/>
      </c>
      <c r="S378">
        <f>_xlfn.IF(B378&lt;6,IFERROR(VLOOKUP(E378,'BS Mapping std'!A:E,5,0),VLOOKUP(D378,'BS Mapping std'!A:E,5,0)),IFERROR(VLOOKUP(E378,'PL mapping Std'!A:F,6,0),VLOOKUP(D378,'PL mapping Std'!A:F,6,0)))</f>
        <v/>
      </c>
      <c r="T378">
        <f>_xlfn.IF(B378&lt;6,IFERROR(VLOOKUP(E378,'BS Mapping std'!A:F,6,0),VLOOKUP(D378,'BS Mapping std'!A:F,6,0)),IFERROR(VLOOKUP(E378,'PL mapping Std'!A:G,7,0),VLOOKUP(D378,'PL mapping Std'!A:G,7,0)))</f>
        <v/>
      </c>
      <c r="V378">
        <f>IF(IF(A378="BS",IFERROR(VLOOKUP(TRIM($E378),'BS Mapping std'!$A:$H,8,0),VLOOKUP(TRIM($D378),'BS Mapping std'!$A:$H,8,0)),IFERROR(VLOOKUP(TRIM($E378),'PL mapping Std'!$A:$E,5,0),VLOOKUP(TRIM($D378),'PL mapping Std'!$A:$E,5,0)))=0,"",IF(A378="BS",IFERROR(VLOOKUP(TRIM($E378),'BS Mapping std'!$A:$H,8,0),VLOOKUP(TRIM($D378),'BS Mapping std'!$A:$H,8,0)),IFERROR(VLOOKUP(TRIM($E378),'PL mapping Std'!$A:$E,5,0),VLOOKUP(TRIM($D378),'PL mapping Std'!$A:$E,5,0))))</f>
        <v/>
      </c>
      <c r="W378">
        <f>_xlfn.IFERROR(VLOOKUP(E378,'F30 mapping'!A:D,4,0),VLOOKUP(D378,'F30 mapping'!A:D,4,0))</f>
        <v/>
      </c>
      <c r="X378">
        <f>IF(B378&lt;6,IFERROR(VLOOKUP(E378,'BS Mapping std'!A:M,13,0),VLOOKUP(D378,'BS Mapping std'!A:M,13,0)),0)</f>
        <v/>
      </c>
      <c r="Y378">
        <f>IF(B378&lt;6,IFERROR(VLOOKUP(E378,'BS Mapping std'!A:N,14,0),VLOOKUP(D378,'BS Mapping std'!A:N,14,0)),0)</f>
        <v/>
      </c>
    </row>
    <row r="379" spans="1:25">
      <c r="A379">
        <f>IF(B379&lt;6,"BS",IF(B379=6,"Exp","Rev"))</f>
        <v/>
      </c>
      <c r="B379">
        <f>_xlfn.NUMBERVALUE(LEFT(F379,1))</f>
        <v/>
      </c>
      <c r="C379">
        <f>Left(F379,2)</f>
        <v/>
      </c>
      <c r="D379">
        <f>Left(F379,3)</f>
        <v/>
      </c>
      <c r="E379">
        <f>IF(F379="121",Left(F379,3)&amp;"0",Left(F379,4))</f>
        <v/>
      </c>
      <c r="F379" t="n">
        <v>78140020</v>
      </c>
      <c r="G379" t="s">
        <v>393</v>
      </c>
      <c r="H379" t="n">
        <v>-11.25</v>
      </c>
      <c r="I379" t="n">
        <v>3410.25</v>
      </c>
      <c r="J379" t="n">
        <v>3410.25</v>
      </c>
      <c r="K379" t="n">
        <v>-3410.25</v>
      </c>
      <c r="L379">
        <f>K379-H379</f>
        <v/>
      </c>
      <c r="M379">
        <f>IFERROR(L379/H379," ")</f>
        <v/>
      </c>
      <c r="N379">
        <f>IF(A379="BS",IFERROR(VLOOKUP(TRIM($E379),'BS Mapping std'!$A:$D,4,0),VLOOKUP(TRIM($D379),'BS Mapping std'!$A:$D,4,0)),IFERROR(VLOOKUP(TRIM($E379),'PL mapping Std'!$A:$D,4,0),VLOOKUP(TRIM($D379),'PL mapping Std'!$A:$D,4,0)))</f>
        <v/>
      </c>
      <c r="O379">
        <f>_xlfn.IFERROR(VLOOKUP(E379,'F30 mapping'!A:C,3,0),VLOOKUP(D379,'F30 mapping'!A:C,3,0))</f>
        <v/>
      </c>
      <c r="P379">
        <f>_xlfn.IFERROR(IFERROR(VLOOKUP(E379,'F40 mapping'!A:C,3,0),VLOOKUP(D379,'F40 mapping'!A:C,3,0)),0)</f>
        <v/>
      </c>
      <c r="Q379">
        <f>_xlfn.IFERROR(IFERROR(VLOOKUP(E379,'F40 mapping'!A:D,4,0),VLOOKUP(D379,'F40 mapping'!A:D,4,0)),0)</f>
        <v/>
      </c>
      <c r="R379">
        <f>_xlfn.IFERROR(IFERROR(VLOOKUP(E379,'F40 mapping'!A:E,5,0),VLOOKUP(D379,'F40 mapping'!A:E,5,0)),0)</f>
        <v/>
      </c>
      <c r="S379">
        <f>_xlfn.IF(B379&lt;6,IFERROR(VLOOKUP(E379,'BS Mapping std'!A:E,5,0),VLOOKUP(D379,'BS Mapping std'!A:E,5,0)),IFERROR(VLOOKUP(E379,'PL mapping Std'!A:F,6,0),VLOOKUP(D379,'PL mapping Std'!A:F,6,0)))</f>
        <v/>
      </c>
      <c r="T379">
        <f>_xlfn.IF(B379&lt;6,IFERROR(VLOOKUP(E379,'BS Mapping std'!A:F,6,0),VLOOKUP(D379,'BS Mapping std'!A:F,6,0)),IFERROR(VLOOKUP(E379,'PL mapping Std'!A:G,7,0),VLOOKUP(D379,'PL mapping Std'!A:G,7,0)))</f>
        <v/>
      </c>
      <c r="V379">
        <f>IF(IF(A379="BS",IFERROR(VLOOKUP(TRIM($E379),'BS Mapping std'!$A:$H,8,0),VLOOKUP(TRIM($D379),'BS Mapping std'!$A:$H,8,0)),IFERROR(VLOOKUP(TRIM($E379),'PL mapping Std'!$A:$E,5,0),VLOOKUP(TRIM($D379),'PL mapping Std'!$A:$E,5,0)))=0,"",IF(A379="BS",IFERROR(VLOOKUP(TRIM($E379),'BS Mapping std'!$A:$H,8,0),VLOOKUP(TRIM($D379),'BS Mapping std'!$A:$H,8,0)),IFERROR(VLOOKUP(TRIM($E379),'PL mapping Std'!$A:$E,5,0),VLOOKUP(TRIM($D379),'PL mapping Std'!$A:$E,5,0))))</f>
        <v/>
      </c>
      <c r="W379">
        <f>_xlfn.IFERROR(VLOOKUP(E379,'F30 mapping'!A:D,4,0),VLOOKUP(D379,'F30 mapping'!A:D,4,0))</f>
        <v/>
      </c>
      <c r="X379">
        <f>IF(B379&lt;6,IFERROR(VLOOKUP(E379,'BS Mapping std'!A:M,13,0),VLOOKUP(D379,'BS Mapping std'!A:M,13,0)),0)</f>
        <v/>
      </c>
      <c r="Y379">
        <f>IF(B379&lt;6,IFERROR(VLOOKUP(E379,'BS Mapping std'!A:N,14,0),VLOOKUP(D379,'BS Mapping std'!A:N,14,0)),0)</f>
        <v/>
      </c>
    </row>
    <row r="380" spans="1:25">
      <c r="A380">
        <f>IF(B380&lt;6,"BS",IF(B380=6,"Exp","Rev"))</f>
        <v/>
      </c>
      <c r="B380">
        <f>_xlfn.NUMBERVALUE(LEFT(F380,1))</f>
        <v/>
      </c>
      <c r="C380">
        <f>Left(F380,2)</f>
        <v/>
      </c>
      <c r="D380">
        <f>Left(F380,3)</f>
        <v/>
      </c>
      <c r="E380">
        <f>IF(F380="121",Left(F380,3)&amp;"0",Left(F380,4))</f>
        <v/>
      </c>
      <c r="F380" t="n">
        <v>60409999</v>
      </c>
      <c r="G380" t="s">
        <v>394</v>
      </c>
      <c r="H380" t="n">
        <v>124</v>
      </c>
      <c r="L380">
        <f>K380-H380</f>
        <v/>
      </c>
      <c r="M380">
        <f>IFERROR(L380/H380," ")</f>
        <v/>
      </c>
      <c r="N380">
        <f>IF(A380="BS",IFERROR(VLOOKUP(TRIM($E380),'BS Mapping std'!$A:$D,4,0),VLOOKUP(TRIM($D380),'BS Mapping std'!$A:$D,4,0)),IFERROR(VLOOKUP(TRIM($E380),'PL mapping Std'!$A:$D,4,0),VLOOKUP(TRIM($D380),'PL mapping Std'!$A:$D,4,0)))</f>
        <v/>
      </c>
      <c r="O380">
        <f>_xlfn.IFERROR(VLOOKUP(E380,'F30 mapping'!A:C,3,0),VLOOKUP(D380,'F30 mapping'!A:C,3,0))</f>
        <v/>
      </c>
      <c r="P380">
        <f>_xlfn.IFERROR(IFERROR(VLOOKUP(E380,'F40 mapping'!A:C,3,0),VLOOKUP(D380,'F40 mapping'!A:C,3,0)),0)</f>
        <v/>
      </c>
      <c r="Q380">
        <f>_xlfn.IFERROR(IFERROR(VLOOKUP(E380,'F40 mapping'!A:D,4,0),VLOOKUP(D380,'F40 mapping'!A:D,4,0)),0)</f>
        <v/>
      </c>
      <c r="R380">
        <f>_xlfn.IFERROR(IFERROR(VLOOKUP(E380,'F40 mapping'!A:E,5,0),VLOOKUP(D380,'F40 mapping'!A:E,5,0)),0)</f>
        <v/>
      </c>
      <c r="S380">
        <f>_xlfn.IF(B380&lt;6,IFERROR(VLOOKUP(E380,'BS Mapping std'!A:E,5,0),VLOOKUP(D380,'BS Mapping std'!A:E,5,0)),IFERROR(VLOOKUP(E380,'PL mapping Std'!A:F,6,0),VLOOKUP(D380,'PL mapping Std'!A:F,6,0)))</f>
        <v/>
      </c>
      <c r="T380">
        <f>_xlfn.IF(B380&lt;6,IFERROR(VLOOKUP(E380,'BS Mapping std'!A:F,6,0),VLOOKUP(D380,'BS Mapping std'!A:F,6,0)),IFERROR(VLOOKUP(E380,'PL mapping Std'!A:G,7,0),VLOOKUP(D380,'PL mapping Std'!A:G,7,0)))</f>
        <v/>
      </c>
      <c r="V380">
        <f>IF(IF(A380="BS",IFERROR(VLOOKUP(TRIM($E380),'BS Mapping std'!$A:$H,8,0),VLOOKUP(TRIM($D380),'BS Mapping std'!$A:$H,8,0)),IFERROR(VLOOKUP(TRIM($E380),'PL mapping Std'!$A:$E,5,0),VLOOKUP(TRIM($D380),'PL mapping Std'!$A:$E,5,0)))=0,"",IF(A380="BS",IFERROR(VLOOKUP(TRIM($E380),'BS Mapping std'!$A:$H,8,0),VLOOKUP(TRIM($D380),'BS Mapping std'!$A:$H,8,0)),IFERROR(VLOOKUP(TRIM($E380),'PL mapping Std'!$A:$E,5,0),VLOOKUP(TRIM($D380),'PL mapping Std'!$A:$E,5,0))))</f>
        <v/>
      </c>
      <c r="W380">
        <f>_xlfn.IFERROR(VLOOKUP(E380,'F30 mapping'!A:D,4,0),VLOOKUP(D380,'F30 mapping'!A:D,4,0))</f>
        <v/>
      </c>
      <c r="X380">
        <f>IF(B380&lt;6,IFERROR(VLOOKUP(E380,'BS Mapping std'!A:M,13,0),VLOOKUP(D380,'BS Mapping std'!A:M,13,0)),0)</f>
        <v/>
      </c>
      <c r="Y380">
        <f>IF(B380&lt;6,IFERROR(VLOOKUP(E380,'BS Mapping std'!A:N,14,0),VLOOKUP(D380,'BS Mapping std'!A:N,14,0)),0)</f>
        <v/>
      </c>
    </row>
    <row r="381" spans="1:25">
      <c r="A381">
        <f>IF(B381&lt;6,"BS",IF(B381=6,"Exp","Rev"))</f>
        <v/>
      </c>
      <c r="B381">
        <f>_xlfn.NUMBERVALUE(LEFT(F381,1))</f>
        <v/>
      </c>
      <c r="C381">
        <f>Left(F381,2)</f>
        <v/>
      </c>
      <c r="D381">
        <f>Left(F381,3)</f>
        <v/>
      </c>
      <c r="E381">
        <f>IF(F381="121",Left(F381,3)&amp;"0",Left(F381,4))</f>
        <v/>
      </c>
      <c r="F381" t="n">
        <v>61309999</v>
      </c>
      <c r="G381" t="s">
        <v>395</v>
      </c>
      <c r="H381" t="n">
        <v>51.07999999999998</v>
      </c>
      <c r="L381">
        <f>K381-H381</f>
        <v/>
      </c>
      <c r="M381">
        <f>IFERROR(L381/H381," ")</f>
        <v/>
      </c>
      <c r="N381">
        <f>IF(A381="BS",IFERROR(VLOOKUP(TRIM($E381),'BS Mapping std'!$A:$D,4,0),VLOOKUP(TRIM($D381),'BS Mapping std'!$A:$D,4,0)),IFERROR(VLOOKUP(TRIM($E381),'PL mapping Std'!$A:$D,4,0),VLOOKUP(TRIM($D381),'PL mapping Std'!$A:$D,4,0)))</f>
        <v/>
      </c>
      <c r="O381">
        <f>_xlfn.IFERROR(VLOOKUP(E381,'F30 mapping'!A:C,3,0),VLOOKUP(D381,'F30 mapping'!A:C,3,0))</f>
        <v/>
      </c>
      <c r="P381">
        <f>_xlfn.IFERROR(IFERROR(VLOOKUP(E381,'F40 mapping'!A:C,3,0),VLOOKUP(D381,'F40 mapping'!A:C,3,0)),0)</f>
        <v/>
      </c>
      <c r="Q381">
        <f>_xlfn.IFERROR(IFERROR(VLOOKUP(E381,'F40 mapping'!A:D,4,0),VLOOKUP(D381,'F40 mapping'!A:D,4,0)),0)</f>
        <v/>
      </c>
      <c r="R381">
        <f>_xlfn.IFERROR(IFERROR(VLOOKUP(E381,'F40 mapping'!A:E,5,0),VLOOKUP(D381,'F40 mapping'!A:E,5,0)),0)</f>
        <v/>
      </c>
      <c r="S381">
        <f>_xlfn.IF(B381&lt;6,IFERROR(VLOOKUP(E381,'BS Mapping std'!A:E,5,0),VLOOKUP(D381,'BS Mapping std'!A:E,5,0)),IFERROR(VLOOKUP(E381,'PL mapping Std'!A:F,6,0),VLOOKUP(D381,'PL mapping Std'!A:F,6,0)))</f>
        <v/>
      </c>
      <c r="T381">
        <f>_xlfn.IF(B381&lt;6,IFERROR(VLOOKUP(E381,'BS Mapping std'!A:F,6,0),VLOOKUP(D381,'BS Mapping std'!A:F,6,0)),IFERROR(VLOOKUP(E381,'PL mapping Std'!A:G,7,0),VLOOKUP(D381,'PL mapping Std'!A:G,7,0)))</f>
        <v/>
      </c>
      <c r="V381">
        <f>IF(IF(A381="BS",IFERROR(VLOOKUP(TRIM($E381),'BS Mapping std'!$A:$H,8,0),VLOOKUP(TRIM($D381),'BS Mapping std'!$A:$H,8,0)),IFERROR(VLOOKUP(TRIM($E381),'PL mapping Std'!$A:$E,5,0),VLOOKUP(TRIM($D381),'PL mapping Std'!$A:$E,5,0)))=0,"",IF(A381="BS",IFERROR(VLOOKUP(TRIM($E381),'BS Mapping std'!$A:$H,8,0),VLOOKUP(TRIM($D381),'BS Mapping std'!$A:$H,8,0)),IFERROR(VLOOKUP(TRIM($E381),'PL mapping Std'!$A:$E,5,0),VLOOKUP(TRIM($D381),'PL mapping Std'!$A:$E,5,0))))</f>
        <v/>
      </c>
      <c r="W381">
        <f>_xlfn.IFERROR(VLOOKUP(E381,'F30 mapping'!A:D,4,0),VLOOKUP(D381,'F30 mapping'!A:D,4,0))</f>
        <v/>
      </c>
      <c r="X381">
        <f>IF(B381&lt;6,IFERROR(VLOOKUP(E381,'BS Mapping std'!A:M,13,0),VLOOKUP(D381,'BS Mapping std'!A:M,13,0)),0)</f>
        <v/>
      </c>
      <c r="Y381">
        <f>IF(B381&lt;6,IFERROR(VLOOKUP(E381,'BS Mapping std'!A:N,14,0),VLOOKUP(D381,'BS Mapping std'!A:N,14,0)),0)</f>
        <v/>
      </c>
    </row>
    <row r="382" spans="1:25">
      <c r="A382">
        <f>IF(B382&lt;6,"BS",IF(B382=6,"Exp","Rev"))</f>
        <v/>
      </c>
      <c r="B382">
        <f>_xlfn.NUMBERVALUE(LEFT(F382,1))</f>
        <v/>
      </c>
      <c r="C382">
        <f>Left(F382,2)</f>
        <v/>
      </c>
      <c r="D382">
        <f>Left(F382,3)</f>
        <v/>
      </c>
      <c r="E382">
        <f>IF(F382="121",Left(F382,3)&amp;"0",Left(F382,4))</f>
        <v/>
      </c>
      <c r="F382" t="n">
        <v>62800120</v>
      </c>
      <c r="G382" t="s">
        <v>396</v>
      </c>
      <c r="H382" t="n">
        <v>25502.52</v>
      </c>
      <c r="L382">
        <f>K382-H382</f>
        <v/>
      </c>
      <c r="M382">
        <f>IFERROR(L382/H382," ")</f>
        <v/>
      </c>
      <c r="N382">
        <f>IF(A382="BS",IFERROR(VLOOKUP(TRIM($E382),'BS Mapping std'!$A:$D,4,0),VLOOKUP(TRIM($D382),'BS Mapping std'!$A:$D,4,0)),IFERROR(VLOOKUP(TRIM($E382),'PL mapping Std'!$A:$D,4,0),VLOOKUP(TRIM($D382),'PL mapping Std'!$A:$D,4,0)))</f>
        <v/>
      </c>
      <c r="O382">
        <f>_xlfn.IFERROR(VLOOKUP(E382,'F30 mapping'!A:C,3,0),VLOOKUP(D382,'F30 mapping'!A:C,3,0))</f>
        <v/>
      </c>
      <c r="P382">
        <f>_xlfn.IFERROR(IFERROR(VLOOKUP(E382,'F40 mapping'!A:C,3,0),VLOOKUP(D382,'F40 mapping'!A:C,3,0)),0)</f>
        <v/>
      </c>
      <c r="Q382">
        <f>_xlfn.IFERROR(IFERROR(VLOOKUP(E382,'F40 mapping'!A:D,4,0),VLOOKUP(D382,'F40 mapping'!A:D,4,0)),0)</f>
        <v/>
      </c>
      <c r="R382">
        <f>_xlfn.IFERROR(IFERROR(VLOOKUP(E382,'F40 mapping'!A:E,5,0),VLOOKUP(D382,'F40 mapping'!A:E,5,0)),0)</f>
        <v/>
      </c>
      <c r="S382">
        <f>_xlfn.IF(B382&lt;6,IFERROR(VLOOKUP(E382,'BS Mapping std'!A:E,5,0),VLOOKUP(D382,'BS Mapping std'!A:E,5,0)),IFERROR(VLOOKUP(E382,'PL mapping Std'!A:F,6,0),VLOOKUP(D382,'PL mapping Std'!A:F,6,0)))</f>
        <v/>
      </c>
      <c r="T382">
        <f>_xlfn.IF(B382&lt;6,IFERROR(VLOOKUP(E382,'BS Mapping std'!A:F,6,0),VLOOKUP(D382,'BS Mapping std'!A:F,6,0)),IFERROR(VLOOKUP(E382,'PL mapping Std'!A:G,7,0),VLOOKUP(D382,'PL mapping Std'!A:G,7,0)))</f>
        <v/>
      </c>
      <c r="V382">
        <f>IF(IF(A382="BS",IFERROR(VLOOKUP(TRIM($E382),'BS Mapping std'!$A:$H,8,0),VLOOKUP(TRIM($D382),'BS Mapping std'!$A:$H,8,0)),IFERROR(VLOOKUP(TRIM($E382),'PL mapping Std'!$A:$E,5,0),VLOOKUP(TRIM($D382),'PL mapping Std'!$A:$E,5,0)))=0,"",IF(A382="BS",IFERROR(VLOOKUP(TRIM($E382),'BS Mapping std'!$A:$H,8,0),VLOOKUP(TRIM($D382),'BS Mapping std'!$A:$H,8,0)),IFERROR(VLOOKUP(TRIM($E382),'PL mapping Std'!$A:$E,5,0),VLOOKUP(TRIM($D382),'PL mapping Std'!$A:$E,5,0))))</f>
        <v/>
      </c>
      <c r="W382">
        <f>_xlfn.IFERROR(VLOOKUP(E382,'F30 mapping'!A:D,4,0),VLOOKUP(D382,'F30 mapping'!A:D,4,0))</f>
        <v/>
      </c>
      <c r="X382">
        <f>IF(B382&lt;6,IFERROR(VLOOKUP(E382,'BS Mapping std'!A:M,13,0),VLOOKUP(D382,'BS Mapping std'!A:M,13,0)),0)</f>
        <v/>
      </c>
      <c r="Y382">
        <f>IF(B382&lt;6,IFERROR(VLOOKUP(E382,'BS Mapping std'!A:N,14,0),VLOOKUP(D382,'BS Mapping std'!A:N,14,0)),0)</f>
        <v/>
      </c>
    </row>
    <row r="383" spans="1:25">
      <c r="A383">
        <f>IF(B383&lt;6,"BS",IF(B383=6,"Exp","Rev"))</f>
        <v/>
      </c>
      <c r="B383">
        <f>_xlfn.NUMBERVALUE(LEFT(F383,1))</f>
        <v/>
      </c>
      <c r="C383">
        <f>Left(F383,2)</f>
        <v/>
      </c>
      <c r="D383">
        <f>Left(F383,3)</f>
        <v/>
      </c>
      <c r="E383">
        <f>IF(F383="121",Left(F383,3)&amp;"0",Left(F383,4))</f>
        <v/>
      </c>
      <c r="F383" t="n">
        <v>63500000</v>
      </c>
      <c r="G383" t="s">
        <v>397</v>
      </c>
      <c r="H383" t="n">
        <v>0</v>
      </c>
      <c r="L383">
        <f>K383-H383</f>
        <v/>
      </c>
      <c r="M383">
        <f>IFERROR(L383/H383," ")</f>
        <v/>
      </c>
      <c r="N383">
        <f>IF(A383="BS",IFERROR(VLOOKUP(TRIM($E383),'BS Mapping std'!$A:$D,4,0),VLOOKUP(TRIM($D383),'BS Mapping std'!$A:$D,4,0)),IFERROR(VLOOKUP(TRIM($E383),'PL mapping Std'!$A:$D,4,0),VLOOKUP(TRIM($D383),'PL mapping Std'!$A:$D,4,0)))</f>
        <v/>
      </c>
      <c r="O383">
        <f>_xlfn.IFERROR(VLOOKUP(E383,'F30 mapping'!A:C,3,0),VLOOKUP(D383,'F30 mapping'!A:C,3,0))</f>
        <v/>
      </c>
      <c r="P383">
        <f>_xlfn.IFERROR(IFERROR(VLOOKUP(E383,'F40 mapping'!A:C,3,0),VLOOKUP(D383,'F40 mapping'!A:C,3,0)),0)</f>
        <v/>
      </c>
      <c r="Q383">
        <f>_xlfn.IFERROR(IFERROR(VLOOKUP(E383,'F40 mapping'!A:D,4,0),VLOOKUP(D383,'F40 mapping'!A:D,4,0)),0)</f>
        <v/>
      </c>
      <c r="R383">
        <f>_xlfn.IFERROR(IFERROR(VLOOKUP(E383,'F40 mapping'!A:E,5,0),VLOOKUP(D383,'F40 mapping'!A:E,5,0)),0)</f>
        <v/>
      </c>
      <c r="S383">
        <f>_xlfn.IF(B383&lt;6,IFERROR(VLOOKUP(E383,'BS Mapping std'!A:E,5,0),VLOOKUP(D383,'BS Mapping std'!A:E,5,0)),IFERROR(VLOOKUP(E383,'PL mapping Std'!A:F,6,0),VLOOKUP(D383,'PL mapping Std'!A:F,6,0)))</f>
        <v/>
      </c>
      <c r="T383">
        <f>_xlfn.IF(B383&lt;6,IFERROR(VLOOKUP(E383,'BS Mapping std'!A:F,6,0),VLOOKUP(D383,'BS Mapping std'!A:F,6,0)),IFERROR(VLOOKUP(E383,'PL mapping Std'!A:G,7,0),VLOOKUP(D383,'PL mapping Std'!A:G,7,0)))</f>
        <v/>
      </c>
      <c r="V383">
        <f>IF(IF(A383="BS",IFERROR(VLOOKUP(TRIM($E383),'BS Mapping std'!$A:$H,8,0),VLOOKUP(TRIM($D383),'BS Mapping std'!$A:$H,8,0)),IFERROR(VLOOKUP(TRIM($E383),'PL mapping Std'!$A:$E,5,0),VLOOKUP(TRIM($D383),'PL mapping Std'!$A:$E,5,0)))=0,"",IF(A383="BS",IFERROR(VLOOKUP(TRIM($E383),'BS Mapping std'!$A:$H,8,0),VLOOKUP(TRIM($D383),'BS Mapping std'!$A:$H,8,0)),IFERROR(VLOOKUP(TRIM($E383),'PL mapping Std'!$A:$E,5,0),VLOOKUP(TRIM($D383),'PL mapping Std'!$A:$E,5,0))))</f>
        <v/>
      </c>
      <c r="W383">
        <f>_xlfn.IFERROR(VLOOKUP(E383,'F30 mapping'!A:D,4,0),VLOOKUP(D383,'F30 mapping'!A:D,4,0))</f>
        <v/>
      </c>
      <c r="X383">
        <f>IF(B383&lt;6,IFERROR(VLOOKUP(E383,'BS Mapping std'!A:M,13,0),VLOOKUP(D383,'BS Mapping std'!A:M,13,0)),0)</f>
        <v/>
      </c>
      <c r="Y383">
        <f>IF(B383&lt;6,IFERROR(VLOOKUP(E383,'BS Mapping std'!A:N,14,0),VLOOKUP(D383,'BS Mapping std'!A:N,14,0)),0)</f>
        <v/>
      </c>
    </row>
    <row r="384" spans="1:25">
      <c r="A384">
        <f>IF(B384&lt;6,"BS",IF(B384=6,"Exp","Rev"))</f>
        <v/>
      </c>
      <c r="B384">
        <f>_xlfn.NUMBERVALUE(LEFT(F384,1))</f>
        <v/>
      </c>
      <c r="C384">
        <f>Left(F384,2)</f>
        <v/>
      </c>
      <c r="D384">
        <f>Left(F384,3)</f>
        <v/>
      </c>
      <c r="E384">
        <f>IF(F384="121",Left(F384,3)&amp;"0",Left(F384,4))</f>
        <v/>
      </c>
      <c r="F384" t="n">
        <v>65500000</v>
      </c>
      <c r="G384" t="s">
        <v>398</v>
      </c>
      <c r="H384" t="n">
        <v>108576.16</v>
      </c>
      <c r="L384">
        <f>K384-H384</f>
        <v/>
      </c>
      <c r="M384">
        <f>IFERROR(L384/H384," ")</f>
        <v/>
      </c>
      <c r="N384">
        <f>IF(A384="BS",IFERROR(VLOOKUP(TRIM($E384),'BS Mapping std'!$A:$D,4,0),VLOOKUP(TRIM($D384),'BS Mapping std'!$A:$D,4,0)),IFERROR(VLOOKUP(TRIM($E384),'PL mapping Std'!$A:$D,4,0),VLOOKUP(TRIM($D384),'PL mapping Std'!$A:$D,4,0)))</f>
        <v/>
      </c>
      <c r="O384">
        <f>_xlfn.IFERROR(VLOOKUP(E384,'F30 mapping'!A:C,3,0),VLOOKUP(D384,'F30 mapping'!A:C,3,0))</f>
        <v/>
      </c>
      <c r="P384">
        <f>_xlfn.IFERROR(IFERROR(VLOOKUP(E384,'F40 mapping'!A:C,3,0),VLOOKUP(D384,'F40 mapping'!A:C,3,0)),0)</f>
        <v/>
      </c>
      <c r="Q384">
        <f>_xlfn.IFERROR(IFERROR(VLOOKUP(E384,'F40 mapping'!A:D,4,0),VLOOKUP(D384,'F40 mapping'!A:D,4,0)),0)</f>
        <v/>
      </c>
      <c r="R384">
        <f>_xlfn.IFERROR(IFERROR(VLOOKUP(E384,'F40 mapping'!A:E,5,0),VLOOKUP(D384,'F40 mapping'!A:E,5,0)),0)</f>
        <v/>
      </c>
      <c r="S384">
        <f>_xlfn.IF(B384&lt;6,IFERROR(VLOOKUP(E384,'BS Mapping std'!A:E,5,0),VLOOKUP(D384,'BS Mapping std'!A:E,5,0)),IFERROR(VLOOKUP(E384,'PL mapping Std'!A:F,6,0),VLOOKUP(D384,'PL mapping Std'!A:F,6,0)))</f>
        <v/>
      </c>
      <c r="T384">
        <f>_xlfn.IF(B384&lt;6,IFERROR(VLOOKUP(E384,'BS Mapping std'!A:F,6,0),VLOOKUP(D384,'BS Mapping std'!A:F,6,0)),IFERROR(VLOOKUP(E384,'PL mapping Std'!A:G,7,0),VLOOKUP(D384,'PL mapping Std'!A:G,7,0)))</f>
        <v/>
      </c>
      <c r="V384">
        <f>IF(IF(A384="BS",IFERROR(VLOOKUP(TRIM($E384),'BS Mapping std'!$A:$H,8,0),VLOOKUP(TRIM($D384),'BS Mapping std'!$A:$H,8,0)),IFERROR(VLOOKUP(TRIM($E384),'PL mapping Std'!$A:$E,5,0),VLOOKUP(TRIM($D384),'PL mapping Std'!$A:$E,5,0)))=0,"",IF(A384="BS",IFERROR(VLOOKUP(TRIM($E384),'BS Mapping std'!$A:$H,8,0),VLOOKUP(TRIM($D384),'BS Mapping std'!$A:$H,8,0)),IFERROR(VLOOKUP(TRIM($E384),'PL mapping Std'!$A:$E,5,0),VLOOKUP(TRIM($D384),'PL mapping Std'!$A:$E,5,0))))</f>
        <v/>
      </c>
      <c r="W384">
        <f>_xlfn.IFERROR(VLOOKUP(E384,'F30 mapping'!A:D,4,0),VLOOKUP(D384,'F30 mapping'!A:D,4,0))</f>
        <v/>
      </c>
      <c r="X384">
        <f>IF(B384&lt;6,IFERROR(VLOOKUP(E384,'BS Mapping std'!A:M,13,0),VLOOKUP(D384,'BS Mapping std'!A:M,13,0)),0)</f>
        <v/>
      </c>
      <c r="Y384">
        <f>IF(B384&lt;6,IFERROR(VLOOKUP(E384,'BS Mapping std'!A:N,14,0),VLOOKUP(D384,'BS Mapping std'!A:N,14,0)),0)</f>
        <v/>
      </c>
    </row>
    <row r="385" spans="1:25">
      <c r="A385">
        <f>IF(B385&lt;6,"BS",IF(B385=6,"Exp","Rev"))</f>
        <v/>
      </c>
      <c r="B385">
        <f>_xlfn.NUMBERVALUE(LEFT(F385,1))</f>
        <v/>
      </c>
      <c r="C385">
        <f>Left(F385,2)</f>
        <v/>
      </c>
      <c r="D385">
        <f>Left(F385,3)</f>
        <v/>
      </c>
      <c r="E385">
        <f>IF(F385="121",Left(F385,3)&amp;"0",Left(F385,4))</f>
        <v/>
      </c>
      <c r="F385" t="n">
        <v>65820000</v>
      </c>
      <c r="G385" t="s">
        <v>399</v>
      </c>
      <c r="H385" t="n">
        <v>9.75</v>
      </c>
      <c r="L385">
        <f>K385-H385</f>
        <v/>
      </c>
      <c r="M385">
        <f>IFERROR(L385/H385," ")</f>
        <v/>
      </c>
      <c r="N385">
        <f>IF(A385="BS",IFERROR(VLOOKUP(TRIM($E385),'BS Mapping std'!$A:$D,4,0),VLOOKUP(TRIM($D385),'BS Mapping std'!$A:$D,4,0)),IFERROR(VLOOKUP(TRIM($E385),'PL mapping Std'!$A:$D,4,0),VLOOKUP(TRIM($D385),'PL mapping Std'!$A:$D,4,0)))</f>
        <v/>
      </c>
      <c r="O385">
        <f>_xlfn.IFERROR(VLOOKUP(E385,'F30 mapping'!A:C,3,0),VLOOKUP(D385,'F30 mapping'!A:C,3,0))</f>
        <v/>
      </c>
      <c r="P385">
        <f>_xlfn.IFERROR(IFERROR(VLOOKUP(E385,'F40 mapping'!A:C,3,0),VLOOKUP(D385,'F40 mapping'!A:C,3,0)),0)</f>
        <v/>
      </c>
      <c r="Q385">
        <f>_xlfn.IFERROR(IFERROR(VLOOKUP(E385,'F40 mapping'!A:D,4,0),VLOOKUP(D385,'F40 mapping'!A:D,4,0)),0)</f>
        <v/>
      </c>
      <c r="R385">
        <f>_xlfn.IFERROR(IFERROR(VLOOKUP(E385,'F40 mapping'!A:E,5,0),VLOOKUP(D385,'F40 mapping'!A:E,5,0)),0)</f>
        <v/>
      </c>
      <c r="S385">
        <f>_xlfn.IF(B385&lt;6,IFERROR(VLOOKUP(E385,'BS Mapping std'!A:E,5,0),VLOOKUP(D385,'BS Mapping std'!A:E,5,0)),IFERROR(VLOOKUP(E385,'PL mapping Std'!A:F,6,0),VLOOKUP(D385,'PL mapping Std'!A:F,6,0)))</f>
        <v/>
      </c>
      <c r="T385">
        <f>_xlfn.IF(B385&lt;6,IFERROR(VLOOKUP(E385,'BS Mapping std'!A:F,6,0),VLOOKUP(D385,'BS Mapping std'!A:F,6,0)),IFERROR(VLOOKUP(E385,'PL mapping Std'!A:G,7,0),VLOOKUP(D385,'PL mapping Std'!A:G,7,0)))</f>
        <v/>
      </c>
      <c r="V385">
        <f>IF(IF(A385="BS",IFERROR(VLOOKUP(TRIM($E385),'BS Mapping std'!$A:$H,8,0),VLOOKUP(TRIM($D385),'BS Mapping std'!$A:$H,8,0)),IFERROR(VLOOKUP(TRIM($E385),'PL mapping Std'!$A:$E,5,0),VLOOKUP(TRIM($D385),'PL mapping Std'!$A:$E,5,0)))=0,"",IF(A385="BS",IFERROR(VLOOKUP(TRIM($E385),'BS Mapping std'!$A:$H,8,0),VLOOKUP(TRIM($D385),'BS Mapping std'!$A:$H,8,0)),IFERROR(VLOOKUP(TRIM($E385),'PL mapping Std'!$A:$E,5,0),VLOOKUP(TRIM($D385),'PL mapping Std'!$A:$E,5,0))))</f>
        <v/>
      </c>
      <c r="W385">
        <f>_xlfn.IFERROR(VLOOKUP(E385,'F30 mapping'!A:D,4,0),VLOOKUP(D385,'F30 mapping'!A:D,4,0))</f>
        <v/>
      </c>
      <c r="X385">
        <f>IF(B385&lt;6,IFERROR(VLOOKUP(E385,'BS Mapping std'!A:M,13,0),VLOOKUP(D385,'BS Mapping std'!A:M,13,0)),0)</f>
        <v/>
      </c>
      <c r="Y385">
        <f>IF(B385&lt;6,IFERROR(VLOOKUP(E385,'BS Mapping std'!A:N,14,0),VLOOKUP(D385,'BS Mapping std'!A:N,14,0)),0)</f>
        <v/>
      </c>
    </row>
    <row r="386" spans="1:25">
      <c r="A386">
        <f>IF(B386&lt;6,"BS",IF(B386=6,"Exp","Rev"))</f>
        <v/>
      </c>
      <c r="B386">
        <f>_xlfn.NUMBERVALUE(LEFT(F386,1))</f>
        <v/>
      </c>
      <c r="C386">
        <f>Left(F386,2)</f>
        <v/>
      </c>
      <c r="D386">
        <f>Left(F386,3)</f>
        <v/>
      </c>
      <c r="E386">
        <f>IF(F386="121",Left(F386,3)&amp;"0",Left(F386,4))</f>
        <v/>
      </c>
      <c r="F386" t="n">
        <v>68120000</v>
      </c>
      <c r="G386" t="s">
        <v>400</v>
      </c>
      <c r="H386" t="n">
        <v>600</v>
      </c>
      <c r="L386">
        <f>K386-H386</f>
        <v/>
      </c>
      <c r="M386">
        <f>IFERROR(L386/H386," ")</f>
        <v/>
      </c>
      <c r="N386">
        <f>IF(A386="BS",IFERROR(VLOOKUP(TRIM($E386),'BS Mapping std'!$A:$D,4,0),VLOOKUP(TRIM($D386),'BS Mapping std'!$A:$D,4,0)),IFERROR(VLOOKUP(TRIM($E386),'PL mapping Std'!$A:$D,4,0),VLOOKUP(TRIM($D386),'PL mapping Std'!$A:$D,4,0)))</f>
        <v/>
      </c>
      <c r="O386">
        <f>_xlfn.IFERROR(VLOOKUP(E386,'F30 mapping'!A:C,3,0),VLOOKUP(D386,'F30 mapping'!A:C,3,0))</f>
        <v/>
      </c>
      <c r="P386">
        <f>_xlfn.IFERROR(IFERROR(VLOOKUP(E386,'F40 mapping'!A:C,3,0),VLOOKUP(D386,'F40 mapping'!A:C,3,0)),0)</f>
        <v/>
      </c>
      <c r="Q386">
        <f>_xlfn.IFERROR(IFERROR(VLOOKUP(E386,'F40 mapping'!A:D,4,0),VLOOKUP(D386,'F40 mapping'!A:D,4,0)),0)</f>
        <v/>
      </c>
      <c r="R386">
        <f>_xlfn.IFERROR(IFERROR(VLOOKUP(E386,'F40 mapping'!A:E,5,0),VLOOKUP(D386,'F40 mapping'!A:E,5,0)),0)</f>
        <v/>
      </c>
      <c r="S386">
        <f>_xlfn.IF(B386&lt;6,IFERROR(VLOOKUP(E386,'BS Mapping std'!A:E,5,0),VLOOKUP(D386,'BS Mapping std'!A:E,5,0)),IFERROR(VLOOKUP(E386,'PL mapping Std'!A:F,6,0),VLOOKUP(D386,'PL mapping Std'!A:F,6,0)))</f>
        <v/>
      </c>
      <c r="T386">
        <f>_xlfn.IF(B386&lt;6,IFERROR(VLOOKUP(E386,'BS Mapping std'!A:F,6,0),VLOOKUP(D386,'BS Mapping std'!A:F,6,0)),IFERROR(VLOOKUP(E386,'PL mapping Std'!A:G,7,0),VLOOKUP(D386,'PL mapping Std'!A:G,7,0)))</f>
        <v/>
      </c>
      <c r="V386">
        <f>IF(IF(A386="BS",IFERROR(VLOOKUP(TRIM($E386),'BS Mapping std'!$A:$H,8,0),VLOOKUP(TRIM($D386),'BS Mapping std'!$A:$H,8,0)),IFERROR(VLOOKUP(TRIM($E386),'PL mapping Std'!$A:$E,5,0),VLOOKUP(TRIM($D386),'PL mapping Std'!$A:$E,5,0)))=0,"",IF(A386="BS",IFERROR(VLOOKUP(TRIM($E386),'BS Mapping std'!$A:$H,8,0),VLOOKUP(TRIM($D386),'BS Mapping std'!$A:$H,8,0)),IFERROR(VLOOKUP(TRIM($E386),'PL mapping Std'!$A:$E,5,0),VLOOKUP(TRIM($D386),'PL mapping Std'!$A:$E,5,0))))</f>
        <v/>
      </c>
      <c r="W386">
        <f>_xlfn.IFERROR(VLOOKUP(E386,'F30 mapping'!A:D,4,0),VLOOKUP(D386,'F30 mapping'!A:D,4,0))</f>
        <v/>
      </c>
      <c r="X386">
        <f>IF(B386&lt;6,IFERROR(VLOOKUP(E386,'BS Mapping std'!A:M,13,0),VLOOKUP(D386,'BS Mapping std'!A:M,13,0)),0)</f>
        <v/>
      </c>
      <c r="Y386">
        <f>IF(B386&lt;6,IFERROR(VLOOKUP(E386,'BS Mapping std'!A:N,14,0),VLOOKUP(D386,'BS Mapping std'!A:N,14,0)),0)</f>
        <v/>
      </c>
    </row>
    <row r="387" spans="1:25">
      <c r="A387">
        <f>IF(B387&lt;6,"BS",IF(B387=6,"Exp","Rev"))</f>
        <v/>
      </c>
      <c r="B387">
        <f>_xlfn.NUMBERVALUE(LEFT(F387,1))</f>
        <v/>
      </c>
      <c r="C387">
        <f>Left(F387,2)</f>
        <v/>
      </c>
      <c r="D387">
        <f>Left(F387,3)</f>
        <v/>
      </c>
      <c r="E387">
        <f>IF(F387="121",Left(F387,3)&amp;"0",Left(F387,4))</f>
        <v/>
      </c>
      <c r="F387" t="n">
        <v>70100020</v>
      </c>
      <c r="G387" t="s">
        <v>329</v>
      </c>
      <c r="H387" t="n">
        <v>-49.83</v>
      </c>
      <c r="L387">
        <f>K387-H387</f>
        <v/>
      </c>
      <c r="M387">
        <f>IFERROR(L387/H387," ")</f>
        <v/>
      </c>
      <c r="N387">
        <f>IF(A387="BS",IFERROR(VLOOKUP(TRIM($E387),'BS Mapping std'!$A:$D,4,0),VLOOKUP(TRIM($D387),'BS Mapping std'!$A:$D,4,0)),IFERROR(VLOOKUP(TRIM($E387),'PL mapping Std'!$A:$D,4,0),VLOOKUP(TRIM($D387),'PL mapping Std'!$A:$D,4,0)))</f>
        <v/>
      </c>
      <c r="O387">
        <f>_xlfn.IFERROR(VLOOKUP(E387,'F30 mapping'!A:C,3,0),VLOOKUP(D387,'F30 mapping'!A:C,3,0))</f>
        <v/>
      </c>
      <c r="P387">
        <f>_xlfn.IFERROR(IFERROR(VLOOKUP(E387,'F40 mapping'!A:C,3,0),VLOOKUP(D387,'F40 mapping'!A:C,3,0)),0)</f>
        <v/>
      </c>
      <c r="Q387">
        <f>_xlfn.IFERROR(IFERROR(VLOOKUP(E387,'F40 mapping'!A:D,4,0),VLOOKUP(D387,'F40 mapping'!A:D,4,0)),0)</f>
        <v/>
      </c>
      <c r="R387">
        <f>_xlfn.IFERROR(IFERROR(VLOOKUP(E387,'F40 mapping'!A:E,5,0),VLOOKUP(D387,'F40 mapping'!A:E,5,0)),0)</f>
        <v/>
      </c>
      <c r="S387">
        <f>_xlfn.IF(B387&lt;6,IFERROR(VLOOKUP(E387,'BS Mapping std'!A:E,5,0),VLOOKUP(D387,'BS Mapping std'!A:E,5,0)),IFERROR(VLOOKUP(E387,'PL mapping Std'!A:F,6,0),VLOOKUP(D387,'PL mapping Std'!A:F,6,0)))</f>
        <v/>
      </c>
      <c r="T387">
        <f>_xlfn.IF(B387&lt;6,IFERROR(VLOOKUP(E387,'BS Mapping std'!A:F,6,0),VLOOKUP(D387,'BS Mapping std'!A:F,6,0)),IFERROR(VLOOKUP(E387,'PL mapping Std'!A:G,7,0),VLOOKUP(D387,'PL mapping Std'!A:G,7,0)))</f>
        <v/>
      </c>
      <c r="V387">
        <f>IF(IF(A387="BS",IFERROR(VLOOKUP(TRIM($E387),'BS Mapping std'!$A:$H,8,0),VLOOKUP(TRIM($D387),'BS Mapping std'!$A:$H,8,0)),IFERROR(VLOOKUP(TRIM($E387),'PL mapping Std'!$A:$E,5,0),VLOOKUP(TRIM($D387),'PL mapping Std'!$A:$E,5,0)))=0,"",IF(A387="BS",IFERROR(VLOOKUP(TRIM($E387),'BS Mapping std'!$A:$H,8,0),VLOOKUP(TRIM($D387),'BS Mapping std'!$A:$H,8,0)),IFERROR(VLOOKUP(TRIM($E387),'PL mapping Std'!$A:$E,5,0),VLOOKUP(TRIM($D387),'PL mapping Std'!$A:$E,5,0))))</f>
        <v/>
      </c>
      <c r="W387">
        <f>_xlfn.IFERROR(VLOOKUP(E387,'F30 mapping'!A:D,4,0),VLOOKUP(D387,'F30 mapping'!A:D,4,0))</f>
        <v/>
      </c>
      <c r="X387">
        <f>IF(B387&lt;6,IFERROR(VLOOKUP(E387,'BS Mapping std'!A:M,13,0),VLOOKUP(D387,'BS Mapping std'!A:M,13,0)),0)</f>
        <v/>
      </c>
      <c r="Y387">
        <f>IF(B387&lt;6,IFERROR(VLOOKUP(E387,'BS Mapping std'!A:N,14,0),VLOOKUP(D387,'BS Mapping std'!A:N,14,0)),0)</f>
        <v/>
      </c>
    </row>
    <row r="388" spans="1:25">
      <c r="A388">
        <f>IF(B388&lt;6,"BS",IF(B388=6,"Exp","Rev"))</f>
        <v/>
      </c>
      <c r="B388">
        <f>_xlfn.NUMBERVALUE(LEFT(F388,1))</f>
        <v/>
      </c>
      <c r="C388">
        <f>Left(F388,2)</f>
        <v/>
      </c>
      <c r="D388">
        <f>Left(F388,3)</f>
        <v/>
      </c>
      <c r="E388">
        <f>IF(F388="121",Left(F388,3)&amp;"0",Left(F388,4))</f>
        <v/>
      </c>
      <c r="F388" t="n">
        <v>74130000</v>
      </c>
      <c r="G388" t="s">
        <v>401</v>
      </c>
      <c r="H388" t="n">
        <v>-233512.49</v>
      </c>
      <c r="L388">
        <f>K388-H388</f>
        <v/>
      </c>
      <c r="M388">
        <f>IFERROR(L388/H388," ")</f>
        <v/>
      </c>
      <c r="N388">
        <f>IF(A388="BS",IFERROR(VLOOKUP(TRIM($E388),'BS Mapping std'!$A:$D,4,0),VLOOKUP(TRIM($D388),'BS Mapping std'!$A:$D,4,0)),IFERROR(VLOOKUP(TRIM($E388),'PL mapping Std'!$A:$D,4,0),VLOOKUP(TRIM($D388),'PL mapping Std'!$A:$D,4,0)))</f>
        <v/>
      </c>
      <c r="O388">
        <f>_xlfn.IFERROR(VLOOKUP(E388,'F30 mapping'!A:C,3,0),VLOOKUP(D388,'F30 mapping'!A:C,3,0))</f>
        <v/>
      </c>
      <c r="P388">
        <f>_xlfn.IFERROR(IFERROR(VLOOKUP(E388,'F40 mapping'!A:C,3,0),VLOOKUP(D388,'F40 mapping'!A:C,3,0)),0)</f>
        <v/>
      </c>
      <c r="Q388">
        <f>_xlfn.IFERROR(IFERROR(VLOOKUP(E388,'F40 mapping'!A:D,4,0),VLOOKUP(D388,'F40 mapping'!A:D,4,0)),0)</f>
        <v/>
      </c>
      <c r="R388">
        <f>_xlfn.IFERROR(IFERROR(VLOOKUP(E388,'F40 mapping'!A:E,5,0),VLOOKUP(D388,'F40 mapping'!A:E,5,0)),0)</f>
        <v/>
      </c>
      <c r="S388">
        <f>_xlfn.IF(B388&lt;6,IFERROR(VLOOKUP(E388,'BS Mapping std'!A:E,5,0),VLOOKUP(D388,'BS Mapping std'!A:E,5,0)),IFERROR(VLOOKUP(E388,'PL mapping Std'!A:F,6,0),VLOOKUP(D388,'PL mapping Std'!A:F,6,0)))</f>
        <v/>
      </c>
      <c r="T388">
        <f>_xlfn.IF(B388&lt;6,IFERROR(VLOOKUP(E388,'BS Mapping std'!A:F,6,0),VLOOKUP(D388,'BS Mapping std'!A:F,6,0)),IFERROR(VLOOKUP(E388,'PL mapping Std'!A:G,7,0),VLOOKUP(D388,'PL mapping Std'!A:G,7,0)))</f>
        <v/>
      </c>
      <c r="V388">
        <f>IF(IF(A388="BS",IFERROR(VLOOKUP(TRIM($E388),'BS Mapping std'!$A:$H,8,0),VLOOKUP(TRIM($D388),'BS Mapping std'!$A:$H,8,0)),IFERROR(VLOOKUP(TRIM($E388),'PL mapping Std'!$A:$E,5,0),VLOOKUP(TRIM($D388),'PL mapping Std'!$A:$E,5,0)))=0,"",IF(A388="BS",IFERROR(VLOOKUP(TRIM($E388),'BS Mapping std'!$A:$H,8,0),VLOOKUP(TRIM($D388),'BS Mapping std'!$A:$H,8,0)),IFERROR(VLOOKUP(TRIM($E388),'PL mapping Std'!$A:$E,5,0),VLOOKUP(TRIM($D388),'PL mapping Std'!$A:$E,5,0))))</f>
        <v/>
      </c>
      <c r="W388">
        <f>_xlfn.IFERROR(VLOOKUP(E388,'F30 mapping'!A:D,4,0),VLOOKUP(D388,'F30 mapping'!A:D,4,0))</f>
        <v/>
      </c>
      <c r="X388">
        <f>IF(B388&lt;6,IFERROR(VLOOKUP(E388,'BS Mapping std'!A:M,13,0),VLOOKUP(D388,'BS Mapping std'!A:M,13,0)),0)</f>
        <v/>
      </c>
      <c r="Y388">
        <f>IF(B388&lt;6,IFERROR(VLOOKUP(E388,'BS Mapping std'!A:N,14,0),VLOOKUP(D388,'BS Mapping std'!A:N,14,0)),0)</f>
        <v/>
      </c>
    </row>
    <row r="389" spans="1:25">
      <c r="A389">
        <f>IF(B389&lt;6,"BS",IF(B389=6,"Exp","Rev"))</f>
        <v/>
      </c>
      <c r="B389">
        <f>_xlfn.NUMBERVALUE(LEFT(F389,1))</f>
        <v/>
      </c>
      <c r="C389">
        <f>Left(F389,2)</f>
        <v/>
      </c>
      <c r="D389">
        <f>Left(F389,3)</f>
        <v/>
      </c>
      <c r="E389">
        <f>IF(F389="121",Left(F389,3)&amp;"0",Left(F389,4))</f>
        <v/>
      </c>
      <c r="F389" t="n">
        <v>74140000</v>
      </c>
      <c r="G389" t="s">
        <v>402</v>
      </c>
      <c r="H389" t="n">
        <v>-14752</v>
      </c>
      <c r="L389">
        <f>K389-H389</f>
        <v/>
      </c>
      <c r="M389">
        <f>IFERROR(L389/H389," ")</f>
        <v/>
      </c>
      <c r="N389">
        <f>IF(A389="BS",IFERROR(VLOOKUP(TRIM($E389),'BS Mapping std'!$A:$D,4,0),VLOOKUP(TRIM($D389),'BS Mapping std'!$A:$D,4,0)),IFERROR(VLOOKUP(TRIM($E389),'PL mapping Std'!$A:$D,4,0),VLOOKUP(TRIM($D389),'PL mapping Std'!$A:$D,4,0)))</f>
        <v/>
      </c>
      <c r="O389">
        <f>_xlfn.IFERROR(VLOOKUP(E389,'F30 mapping'!A:C,3,0),VLOOKUP(D389,'F30 mapping'!A:C,3,0))</f>
        <v/>
      </c>
      <c r="P389">
        <f>_xlfn.IFERROR(IFERROR(VLOOKUP(E389,'F40 mapping'!A:C,3,0),VLOOKUP(D389,'F40 mapping'!A:C,3,0)),0)</f>
        <v/>
      </c>
      <c r="Q389">
        <f>_xlfn.IFERROR(IFERROR(VLOOKUP(E389,'F40 mapping'!A:D,4,0),VLOOKUP(D389,'F40 mapping'!A:D,4,0)),0)</f>
        <v/>
      </c>
      <c r="R389">
        <f>_xlfn.IFERROR(IFERROR(VLOOKUP(E389,'F40 mapping'!A:E,5,0),VLOOKUP(D389,'F40 mapping'!A:E,5,0)),0)</f>
        <v/>
      </c>
      <c r="S389">
        <f>_xlfn.IF(B389&lt;6,IFERROR(VLOOKUP(E389,'BS Mapping std'!A:E,5,0),VLOOKUP(D389,'BS Mapping std'!A:E,5,0)),IFERROR(VLOOKUP(E389,'PL mapping Std'!A:F,6,0),VLOOKUP(D389,'PL mapping Std'!A:F,6,0)))</f>
        <v/>
      </c>
      <c r="T389">
        <f>_xlfn.IF(B389&lt;6,IFERROR(VLOOKUP(E389,'BS Mapping std'!A:F,6,0),VLOOKUP(D389,'BS Mapping std'!A:F,6,0)),IFERROR(VLOOKUP(E389,'PL mapping Std'!A:G,7,0),VLOOKUP(D389,'PL mapping Std'!A:G,7,0)))</f>
        <v/>
      </c>
      <c r="V389">
        <f>IF(IF(A389="BS",IFERROR(VLOOKUP(TRIM($E389),'BS Mapping std'!$A:$H,8,0),VLOOKUP(TRIM($D389),'BS Mapping std'!$A:$H,8,0)),IFERROR(VLOOKUP(TRIM($E389),'PL mapping Std'!$A:$E,5,0),VLOOKUP(TRIM($D389),'PL mapping Std'!$A:$E,5,0)))=0,"",IF(A389="BS",IFERROR(VLOOKUP(TRIM($E389),'BS Mapping std'!$A:$H,8,0),VLOOKUP(TRIM($D389),'BS Mapping std'!$A:$H,8,0)),IFERROR(VLOOKUP(TRIM($E389),'PL mapping Std'!$A:$E,5,0),VLOOKUP(TRIM($D389),'PL mapping Std'!$A:$E,5,0))))</f>
        <v/>
      </c>
      <c r="W389">
        <f>_xlfn.IFERROR(VLOOKUP(E389,'F30 mapping'!A:D,4,0),VLOOKUP(D389,'F30 mapping'!A:D,4,0))</f>
        <v/>
      </c>
      <c r="X389">
        <f>IF(B389&lt;6,IFERROR(VLOOKUP(E389,'BS Mapping std'!A:M,13,0),VLOOKUP(D389,'BS Mapping std'!A:M,13,0)),0)</f>
        <v/>
      </c>
      <c r="Y389">
        <f>IF(B389&lt;6,IFERROR(VLOOKUP(E389,'BS Mapping std'!A:N,14,0),VLOOKUP(D389,'BS Mapping std'!A:N,14,0)),0)</f>
        <v/>
      </c>
    </row>
    <row r="390" spans="1:25">
      <c r="A390">
        <f>IF(B390&lt;6,"BS",IF(B390=6,"Exp","Rev"))</f>
        <v/>
      </c>
      <c r="B390">
        <f>_xlfn.NUMBERVALUE(LEFT(F390,1))</f>
        <v/>
      </c>
      <c r="C390">
        <f>Left(F390,2)</f>
        <v/>
      </c>
      <c r="D390">
        <f>Left(F390,3)</f>
        <v/>
      </c>
      <c r="E390">
        <f>IF(F390="121",Left(F390,3)&amp;"0",Left(F390,4))</f>
        <v/>
      </c>
      <c r="F390" t="n">
        <v>75500000</v>
      </c>
      <c r="G390" t="s">
        <v>403</v>
      </c>
      <c r="H390" t="n">
        <v>-17194.15</v>
      </c>
      <c r="L390">
        <f>K390-H390</f>
        <v/>
      </c>
      <c r="M390">
        <f>IFERROR(L390/H390," ")</f>
        <v/>
      </c>
      <c r="N390">
        <f>IF(A390="BS",IFERROR(VLOOKUP(TRIM($E390),'BS Mapping std'!$A:$D,4,0),VLOOKUP(TRIM($D390),'BS Mapping std'!$A:$D,4,0)),IFERROR(VLOOKUP(TRIM($E390),'PL mapping Std'!$A:$D,4,0),VLOOKUP(TRIM($D390),'PL mapping Std'!$A:$D,4,0)))</f>
        <v/>
      </c>
      <c r="O390">
        <f>_xlfn.IFERROR(VLOOKUP(E390,'F30 mapping'!A:C,3,0),VLOOKUP(D390,'F30 mapping'!A:C,3,0))</f>
        <v/>
      </c>
      <c r="P390">
        <f>_xlfn.IFERROR(IFERROR(VLOOKUP(E390,'F40 mapping'!A:C,3,0),VLOOKUP(D390,'F40 mapping'!A:C,3,0)),0)</f>
        <v/>
      </c>
      <c r="Q390">
        <f>_xlfn.IFERROR(IFERROR(VLOOKUP(E390,'F40 mapping'!A:D,4,0),VLOOKUP(D390,'F40 mapping'!A:D,4,0)),0)</f>
        <v/>
      </c>
      <c r="R390">
        <f>_xlfn.IFERROR(IFERROR(VLOOKUP(E390,'F40 mapping'!A:E,5,0),VLOOKUP(D390,'F40 mapping'!A:E,5,0)),0)</f>
        <v/>
      </c>
      <c r="S390">
        <f>_xlfn.IF(B390&lt;6,IFERROR(VLOOKUP(E390,'BS Mapping std'!A:E,5,0),VLOOKUP(D390,'BS Mapping std'!A:E,5,0)),IFERROR(VLOOKUP(E390,'PL mapping Std'!A:F,6,0),VLOOKUP(D390,'PL mapping Std'!A:F,6,0)))</f>
        <v/>
      </c>
      <c r="T390">
        <f>_xlfn.IF(B390&lt;6,IFERROR(VLOOKUP(E390,'BS Mapping std'!A:F,6,0),VLOOKUP(D390,'BS Mapping std'!A:F,6,0)),IFERROR(VLOOKUP(E390,'PL mapping Std'!A:G,7,0),VLOOKUP(D390,'PL mapping Std'!A:G,7,0)))</f>
        <v/>
      </c>
      <c r="V390">
        <f>IF(IF(A390="BS",IFERROR(VLOOKUP(TRIM($E390),'BS Mapping std'!$A:$H,8,0),VLOOKUP(TRIM($D390),'BS Mapping std'!$A:$H,8,0)),IFERROR(VLOOKUP(TRIM($E390),'PL mapping Std'!$A:$E,5,0),VLOOKUP(TRIM($D390),'PL mapping Std'!$A:$E,5,0)))=0,"",IF(A390="BS",IFERROR(VLOOKUP(TRIM($E390),'BS Mapping std'!$A:$H,8,0),VLOOKUP(TRIM($D390),'BS Mapping std'!$A:$H,8,0)),IFERROR(VLOOKUP(TRIM($E390),'PL mapping Std'!$A:$E,5,0),VLOOKUP(TRIM($D390),'PL mapping Std'!$A:$E,5,0))))</f>
        <v/>
      </c>
      <c r="W390">
        <f>_xlfn.IFERROR(VLOOKUP(E390,'F30 mapping'!A:D,4,0),VLOOKUP(D390,'F30 mapping'!A:D,4,0))</f>
        <v/>
      </c>
      <c r="X390">
        <f>IF(B390&lt;6,IFERROR(VLOOKUP(E390,'BS Mapping std'!A:M,13,0),VLOOKUP(D390,'BS Mapping std'!A:M,13,0)),0)</f>
        <v/>
      </c>
      <c r="Y390">
        <f>IF(B390&lt;6,IFERROR(VLOOKUP(E390,'BS Mapping std'!A:N,14,0),VLOOKUP(D390,'BS Mapping std'!A:N,14,0)),0)</f>
        <v/>
      </c>
    </row>
    <row r="391" spans="1:25">
      <c r="A391">
        <f>IF(B391&lt;6,"BS",IF(B391=6,"Exp","Rev"))</f>
        <v/>
      </c>
      <c r="B391">
        <f>_xlfn.NUMBERVALUE(LEFT(F391,1))</f>
        <v/>
      </c>
      <c r="C391">
        <f>Left(F391,2)</f>
        <v/>
      </c>
      <c r="D391">
        <f>Left(F391,3)</f>
        <v/>
      </c>
      <c r="E391">
        <f>IF(F391="121",Left(F391,3)&amp;"0",Left(F391,4))</f>
        <v/>
      </c>
      <c r="F391" t="n">
        <v>75880030</v>
      </c>
      <c r="G391" t="s">
        <v>404</v>
      </c>
      <c r="H391" t="n">
        <v>-73969.73</v>
      </c>
      <c r="L391">
        <f>K391-H391</f>
        <v/>
      </c>
      <c r="M391">
        <f>IFERROR(L391/H391," ")</f>
        <v/>
      </c>
      <c r="N391">
        <f>IF(A391="BS",IFERROR(VLOOKUP(TRIM($E391),'BS Mapping std'!$A:$D,4,0),VLOOKUP(TRIM($D391),'BS Mapping std'!$A:$D,4,0)),IFERROR(VLOOKUP(TRIM($E391),'PL mapping Std'!$A:$D,4,0),VLOOKUP(TRIM($D391),'PL mapping Std'!$A:$D,4,0)))</f>
        <v/>
      </c>
      <c r="O391">
        <f>_xlfn.IFERROR(VLOOKUP(E391,'F30 mapping'!A:C,3,0),VLOOKUP(D391,'F30 mapping'!A:C,3,0))</f>
        <v/>
      </c>
      <c r="P391">
        <f>_xlfn.IFERROR(IFERROR(VLOOKUP(E391,'F40 mapping'!A:C,3,0),VLOOKUP(D391,'F40 mapping'!A:C,3,0)),0)</f>
        <v/>
      </c>
      <c r="Q391">
        <f>_xlfn.IFERROR(IFERROR(VLOOKUP(E391,'F40 mapping'!A:D,4,0),VLOOKUP(D391,'F40 mapping'!A:D,4,0)),0)</f>
        <v/>
      </c>
      <c r="R391">
        <f>_xlfn.IFERROR(IFERROR(VLOOKUP(E391,'F40 mapping'!A:E,5,0),VLOOKUP(D391,'F40 mapping'!A:E,5,0)),0)</f>
        <v/>
      </c>
      <c r="S391">
        <f>_xlfn.IF(B391&lt;6,IFERROR(VLOOKUP(E391,'BS Mapping std'!A:E,5,0),VLOOKUP(D391,'BS Mapping std'!A:E,5,0)),IFERROR(VLOOKUP(E391,'PL mapping Std'!A:F,6,0),VLOOKUP(D391,'PL mapping Std'!A:F,6,0)))</f>
        <v/>
      </c>
      <c r="T391">
        <f>_xlfn.IF(B391&lt;6,IFERROR(VLOOKUP(E391,'BS Mapping std'!A:F,6,0),VLOOKUP(D391,'BS Mapping std'!A:F,6,0)),IFERROR(VLOOKUP(E391,'PL mapping Std'!A:G,7,0),VLOOKUP(D391,'PL mapping Std'!A:G,7,0)))</f>
        <v/>
      </c>
      <c r="V391">
        <f>IF(IF(A391="BS",IFERROR(VLOOKUP(TRIM($E391),'BS Mapping std'!$A:$H,8,0),VLOOKUP(TRIM($D391),'BS Mapping std'!$A:$H,8,0)),IFERROR(VLOOKUP(TRIM($E391),'PL mapping Std'!$A:$E,5,0),VLOOKUP(TRIM($D391),'PL mapping Std'!$A:$E,5,0)))=0,"",IF(A391="BS",IFERROR(VLOOKUP(TRIM($E391),'BS Mapping std'!$A:$H,8,0),VLOOKUP(TRIM($D391),'BS Mapping std'!$A:$H,8,0)),IFERROR(VLOOKUP(TRIM($E391),'PL mapping Std'!$A:$E,5,0),VLOOKUP(TRIM($D391),'PL mapping Std'!$A:$E,5,0))))</f>
        <v/>
      </c>
      <c r="W391">
        <f>_xlfn.IFERROR(VLOOKUP(E391,'F30 mapping'!A:D,4,0),VLOOKUP(D391,'F30 mapping'!A:D,4,0))</f>
        <v/>
      </c>
      <c r="X391">
        <f>IF(B391&lt;6,IFERROR(VLOOKUP(E391,'BS Mapping std'!A:M,13,0),VLOOKUP(D391,'BS Mapping std'!A:M,13,0)),0)</f>
        <v/>
      </c>
      <c r="Y391">
        <f>IF(B391&lt;6,IFERROR(VLOOKUP(E391,'BS Mapping std'!A:N,14,0),VLOOKUP(D391,'BS Mapping std'!A:N,14,0)),0)</f>
        <v/>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T75"/>
  <sheetViews>
    <sheetView showGridLines="0" zoomScale="80" zoomScaleNormal="80" workbookViewId="0">
      <selection activeCell="B1" sqref="B1:B7"/>
    </sheetView>
  </sheetViews>
  <sheetFormatPr baseColWidth="8" defaultRowHeight="12" outlineLevelCol="1"/>
  <cols>
    <col width="92.33203125" bestFit="1" customWidth="1" min="1" max="1"/>
    <col width="15.77734375" bestFit="1" customWidth="1" min="2" max="2"/>
    <col width="14.44140625" bestFit="1" customWidth="1" min="3" max="3"/>
    <col width="11.44140625" bestFit="1" customWidth="1" min="4" max="4"/>
    <col width="22.44140625" customWidth="1" min="5" max="5"/>
    <col width="5" bestFit="1" customWidth="1" min="6" max="6"/>
    <col width="18.77734375" bestFit="1" customWidth="1" min="7" max="7"/>
    <col width="15.44140625" bestFit="1" customWidth="1" min="8" max="8"/>
    <col width="13.109375" bestFit="1" customWidth="1" min="9" max="9"/>
    <col width="13.33203125" bestFit="1" customWidth="1" min="10" max="10"/>
    <col width="16.44140625" bestFit="1" customWidth="1" min="11" max="11"/>
    <col width="8.109375" bestFit="1" customWidth="1" min="12" max="12"/>
    <col width="18" bestFit="1" customWidth="1" min="13" max="13"/>
    <col width="15.77734375" bestFit="1" customWidth="1" min="14" max="15"/>
    <col width="12.44140625" bestFit="1" customWidth="1" style="3" min="17" max="17"/>
    <col width="13.44140625" bestFit="1" customWidth="1" style="26" min="18" max="18"/>
    <col hidden="1" outlineLevel="1" width="85.6640625" customWidth="1" min="20" max="20"/>
    <col collapsed="1" width="8.77734375" customWidth="1" min="21" max="21"/>
  </cols>
  <sheetData>
    <row r="1" spans="1:20">
      <c r="A1" s="1">
        <f>'Trial Balance'!A1</f>
        <v/>
      </c>
      <c r="B1" s="18">
        <f>'Trial Balance'!B1</f>
        <v/>
      </c>
    </row>
    <row r="2" spans="1:20">
      <c r="A2" s="1">
        <f>'Trial Balance'!A2</f>
        <v/>
      </c>
      <c r="B2" s="18">
        <f>'Trial Balance'!B2</f>
        <v/>
      </c>
    </row>
    <row r="3" spans="1:20">
      <c r="A3" s="1">
        <f>'Trial Balance'!A3</f>
        <v/>
      </c>
      <c r="B3" s="18">
        <f>'Trial Balance'!B3</f>
        <v/>
      </c>
    </row>
    <row r="4" spans="1:20">
      <c r="A4" s="1">
        <f>'Trial Balance'!A4</f>
        <v/>
      </c>
      <c r="B4" s="18">
        <f>'Trial Balance'!B4</f>
        <v/>
      </c>
    </row>
    <row r="5" spans="1:20">
      <c r="A5" s="1">
        <f>'Trial Balance'!A5</f>
        <v/>
      </c>
      <c r="B5" s="18">
        <f>'Trial Balance'!B5</f>
        <v/>
      </c>
    </row>
    <row r="6" spans="1:20">
      <c r="A6" s="1">
        <f>'Trial Balance'!A6</f>
        <v/>
      </c>
      <c r="B6" s="18">
        <f>'Trial Balance'!B6</f>
        <v/>
      </c>
    </row>
    <row r="7" spans="1:20">
      <c r="A7" s="1">
        <f>'Trial Balance'!A7</f>
        <v/>
      </c>
      <c r="B7" s="18">
        <f>'Trial Balance'!B7</f>
        <v/>
      </c>
    </row>
    <row r="9" spans="1:20">
      <c r="A9" s="3" t="s">
        <v>2182</v>
      </c>
    </row>
    <row r="11" spans="1:20" ht="13.75" customHeight="1">
      <c r="A11" s="176" t="s">
        <v>2183</v>
      </c>
      <c r="B11" s="176" t="n"/>
      <c r="C11" s="177" t="n"/>
      <c r="D11" s="177" t="s">
        <v>2184</v>
      </c>
      <c r="E11" s="177" t="n"/>
      <c r="F11" s="178" t="n"/>
      <c r="G11" s="177" t="n"/>
      <c r="H11" s="177" t="n"/>
      <c r="I11" s="177" t="s">
        <v>2185</v>
      </c>
      <c r="J11" s="177" t="n"/>
      <c r="K11" s="177" t="n"/>
      <c r="L11" s="177" t="n"/>
      <c r="M11" s="176" t="n"/>
      <c r="N11" s="177" t="s">
        <v>2186</v>
      </c>
      <c r="O11" s="178" t="n"/>
    </row>
    <row r="12" spans="1:20" ht="14.5" customHeight="1">
      <c r="A12" s="183" t="n"/>
      <c r="B12" s="179" t="n"/>
      <c r="C12" s="180" t="n"/>
      <c r="D12" s="180" t="n"/>
      <c r="E12" s="180" t="n"/>
      <c r="F12" s="181" t="n"/>
      <c r="G12" s="180" t="n"/>
      <c r="H12" s="180" t="n"/>
      <c r="I12" s="180" t="s">
        <v>2187</v>
      </c>
      <c r="J12" s="180" t="n"/>
      <c r="K12" s="180" t="n"/>
      <c r="L12" s="180" t="n"/>
      <c r="M12" s="179" t="n"/>
      <c r="N12" s="180" t="n"/>
      <c r="O12" s="181" t="n"/>
    </row>
    <row r="13" spans="1:20">
      <c r="A13" s="179" t="n"/>
      <c r="B13" s="179" t="s">
        <v>2188</v>
      </c>
      <c r="C13" s="180" t="s">
        <v>2189</v>
      </c>
      <c r="D13" s="180" t="s">
        <v>2190</v>
      </c>
      <c r="E13" s="180" t="s">
        <v>2191</v>
      </c>
      <c r="F13" s="181" t="s">
        <v>2192</v>
      </c>
      <c r="G13" s="181" t="s">
        <v>2193</v>
      </c>
      <c r="H13" s="152" t="s">
        <v>2188</v>
      </c>
      <c r="I13" s="152" t="s">
        <v>2189</v>
      </c>
      <c r="J13" s="152" t="s">
        <v>2190</v>
      </c>
      <c r="K13" s="152" t="s">
        <v>2191</v>
      </c>
      <c r="L13" s="152" t="s">
        <v>2192</v>
      </c>
      <c r="M13" s="152" t="s">
        <v>2193</v>
      </c>
      <c r="N13" s="152" t="s">
        <v>2188</v>
      </c>
      <c r="O13" s="152" t="s">
        <v>2193</v>
      </c>
    </row>
    <row r="14" spans="1:20" ht="42" customFormat="1" customHeight="1" s="132">
      <c r="A14" s="131" t="n">
        <v>0</v>
      </c>
      <c r="B14" s="152" t="n">
        <v>1</v>
      </c>
      <c r="C14" s="152" t="n">
        <v>2</v>
      </c>
      <c r="D14" s="152" t="n">
        <v>3</v>
      </c>
      <c r="E14" s="152" t="n">
        <v>4</v>
      </c>
      <c r="F14" s="152" t="n">
        <v>5</v>
      </c>
      <c r="G14" s="131" t="s">
        <v>2194</v>
      </c>
      <c r="H14" s="131" t="n">
        <v>6</v>
      </c>
      <c r="I14" s="131" t="n">
        <v>7</v>
      </c>
      <c r="J14" s="131" t="n">
        <v>8</v>
      </c>
      <c r="K14" s="131" t="n">
        <v>9</v>
      </c>
      <c r="L14" s="131" t="n">
        <v>10</v>
      </c>
      <c r="M14" s="131" t="s">
        <v>2195</v>
      </c>
      <c r="N14" s="131" t="s">
        <v>2196</v>
      </c>
      <c r="O14" s="131" t="s">
        <v>2197</v>
      </c>
      <c r="Q14" s="70" t="n"/>
      <c r="R14" s="38" t="n"/>
    </row>
    <row r="15" spans="1:20" customFormat="1" s="3">
      <c r="A15" s="44" t="s">
        <v>2198</v>
      </c>
      <c r="B15" s="44" t="n"/>
      <c r="C15" s="44" t="n"/>
      <c r="D15" s="44" t="n"/>
      <c r="E15" s="44" t="n"/>
      <c r="F15" s="44" t="n"/>
      <c r="G15" s="44" t="n"/>
      <c r="H15" s="44" t="n"/>
      <c r="I15" s="44" t="n"/>
      <c r="J15" s="44" t="n"/>
      <c r="K15" s="44" t="n"/>
      <c r="L15" s="44" t="n"/>
      <c r="M15" s="44" t="n"/>
      <c r="N15" s="44" t="n"/>
      <c r="O15" s="44" t="n"/>
      <c r="R15" s="26" t="n"/>
    </row>
    <row r="16" spans="1:20">
      <c r="A16" s="45" t="s">
        <v>2199</v>
      </c>
      <c r="B16" s="46">
        <f>ROUND(SUMIF('Trial Balance'!S:S,A16,'Trial Balance'!H:H),0)</f>
        <v/>
      </c>
      <c r="C16" s="46">
        <f>ROUND(SUMIF('Trial Balance'!S:S,A16,'Trial Balance'!I:I),0)</f>
        <v/>
      </c>
      <c r="D16" s="133" t="n"/>
      <c r="E16" s="46">
        <f>ROUND(SUMIF('Trial Balance'!S:S,A16,'Trial Balance'!J:J),0)</f>
        <v/>
      </c>
      <c r="F16" s="133" t="n"/>
      <c r="G16" s="46">
        <f>B16+C16+D16-E16-F16</f>
        <v/>
      </c>
      <c r="H16" s="46">
        <f>-ROUND(SUMIF('Trial Balance'!T:T,A16,'Trial Balance'!H:H),0)</f>
        <v/>
      </c>
      <c r="I16" s="46">
        <f>ROUND(SUMIF('Trial Balance'!T:T,A16,'Trial Balance'!J:J),0)</f>
        <v/>
      </c>
      <c r="J16" s="133" t="n"/>
      <c r="K16" s="46">
        <f>ROUND(SUMIF('Trial Balance'!T:T,A16,'Trial Balance'!I:I),0)</f>
        <v/>
      </c>
      <c r="L16" s="133" t="n"/>
      <c r="M16" s="46">
        <f>H16+I16-K16</f>
        <v/>
      </c>
      <c r="N16" s="46">
        <f>B16-H16</f>
        <v/>
      </c>
      <c r="O16" s="46">
        <f>G16-M16</f>
        <v/>
      </c>
    </row>
    <row r="17" spans="1:20">
      <c r="A17" s="45" t="s">
        <v>2200</v>
      </c>
      <c r="B17" s="46">
        <f>ROUND(SUMIF('Trial Balance'!S:S,A17,'Trial Balance'!H:H),0)</f>
        <v/>
      </c>
      <c r="C17" s="46">
        <f>ROUND(SUMIF('Trial Balance'!S:S,A17,'Trial Balance'!I:I),0)</f>
        <v/>
      </c>
      <c r="D17" s="133" t="n"/>
      <c r="E17" s="46">
        <f>ROUND(SUMIF('Trial Balance'!S:S,A17,'Trial Balance'!J:J),0)</f>
        <v/>
      </c>
      <c r="F17" s="133" t="n"/>
      <c r="G17" s="46">
        <f>B17+C17+D17-E17-F17</f>
        <v/>
      </c>
      <c r="H17" s="46">
        <f>-ROUND(SUMIF('Trial Balance'!T:T,A17,'Trial Balance'!H:H),0)</f>
        <v/>
      </c>
      <c r="I17" s="46">
        <f>ROUND(SUMIF('Trial Balance'!T:T,A17,'Trial Balance'!J:J),0)</f>
        <v/>
      </c>
      <c r="J17" s="133" t="n"/>
      <c r="K17" s="46">
        <f>ROUND(SUMIF('Trial Balance'!T:T,A17,'Trial Balance'!I:I),0)</f>
        <v/>
      </c>
      <c r="L17" s="133" t="n"/>
      <c r="M17" s="46">
        <f>H17+I17-K17</f>
        <v/>
      </c>
      <c r="N17" s="46">
        <f>B17-H17</f>
        <v/>
      </c>
      <c r="O17" s="46">
        <f>G17-M17</f>
        <v/>
      </c>
    </row>
    <row r="18" spans="1:20">
      <c r="A18" s="45" t="s">
        <v>2201</v>
      </c>
      <c r="B18" s="46">
        <f>ROUND(SUMIF('Trial Balance'!S:S,A18,'Trial Balance'!H:H),0)</f>
        <v/>
      </c>
      <c r="C18" s="46">
        <f>ROUND(SUMIF('Trial Balance'!S:S,A18,'Trial Balance'!I:I),0)</f>
        <v/>
      </c>
      <c r="D18" s="133" t="n"/>
      <c r="E18" s="46">
        <f>ROUND(SUMIF('Trial Balance'!S:S,A18,'Trial Balance'!J:J),0)</f>
        <v/>
      </c>
      <c r="F18" s="133" t="n"/>
      <c r="G18" s="46">
        <f>B18+C18+D18-E18-F18</f>
        <v/>
      </c>
      <c r="H18" s="46">
        <f>-ROUND(SUMIF('Trial Balance'!T:T,A18,'Trial Balance'!H:H),0)</f>
        <v/>
      </c>
      <c r="I18" s="46">
        <f>ROUND(SUMIF('Trial Balance'!T:T,A18,'Trial Balance'!J:J),0)</f>
        <v/>
      </c>
      <c r="J18" s="133" t="n"/>
      <c r="K18" s="46">
        <f>ROUND(SUMIF('Trial Balance'!T:T,A18,'Trial Balance'!I:I),0)</f>
        <v/>
      </c>
      <c r="L18" s="133" t="n"/>
      <c r="M18" s="46">
        <f>H18+I18-K18</f>
        <v/>
      </c>
      <c r="N18" s="46">
        <f>B18-H18</f>
        <v/>
      </c>
      <c r="O18" s="46">
        <f>G18-M18</f>
        <v/>
      </c>
    </row>
    <row r="19" spans="1:20">
      <c r="A19" s="45" t="s">
        <v>2202</v>
      </c>
      <c r="B19" s="46">
        <f>ROUND(SUMIF('Trial Balance'!S:S,A19,'Trial Balance'!H:H),0)</f>
        <v/>
      </c>
      <c r="C19" s="46">
        <f>ROUND(SUMIF('Trial Balance'!S:S,A19,'Trial Balance'!I:I),0)</f>
        <v/>
      </c>
      <c r="D19" s="133" t="n"/>
      <c r="E19" s="46">
        <f>ROUND(SUMIF('Trial Balance'!S:S,A19,'Trial Balance'!J:J),0)</f>
        <v/>
      </c>
      <c r="F19" s="133" t="n"/>
      <c r="G19" s="46">
        <f>B19+C19+D19-E19-F19</f>
        <v/>
      </c>
      <c r="H19" s="46">
        <f>-ROUND(SUMIF('Trial Balance'!T:T,A19,'Trial Balance'!H:H),0)</f>
        <v/>
      </c>
      <c r="I19" s="46">
        <f>ROUND(SUMIF('Trial Balance'!T:T,A19,'Trial Balance'!J:J),0)</f>
        <v/>
      </c>
      <c r="J19" s="133" t="n"/>
      <c r="K19" s="46">
        <f>ROUND(SUMIF('Trial Balance'!T:T,A19,'Trial Balance'!I:I),0)</f>
        <v/>
      </c>
      <c r="L19" s="133" t="n"/>
      <c r="M19" s="46">
        <f>H19+I19-K19</f>
        <v/>
      </c>
      <c r="N19" s="46">
        <f>B19-H19</f>
        <v/>
      </c>
      <c r="O19" s="46">
        <f>G19-M19</f>
        <v/>
      </c>
    </row>
    <row r="20" spans="1:20">
      <c r="A20" s="45" t="s">
        <v>2203</v>
      </c>
      <c r="B20" s="46">
        <f>ROUND(SUMIF('Trial Balance'!S:S,A20,'Trial Balance'!H:H),0)</f>
        <v/>
      </c>
      <c r="C20" s="46">
        <f>ROUND(SUMIF('Trial Balance'!S:S,A20,'Trial Balance'!I:I),0)</f>
        <v/>
      </c>
      <c r="D20" s="133" t="n"/>
      <c r="E20" s="46">
        <f>ROUND(SUMIF('Trial Balance'!S:S,A20,'Trial Balance'!J:J),0)</f>
        <v/>
      </c>
      <c r="F20" s="133" t="n"/>
      <c r="G20" s="46">
        <f>B20+C20+D20-E20-F20</f>
        <v/>
      </c>
      <c r="H20" s="46">
        <f>-ROUND(SUMIF('Trial Balance'!T:T,A20,'Trial Balance'!H:H),0)</f>
        <v/>
      </c>
      <c r="I20" s="46">
        <f>ROUND(SUMIF('Trial Balance'!T:T,A20,'Trial Balance'!J:J),0)</f>
        <v/>
      </c>
      <c r="J20" s="133" t="n"/>
      <c r="K20" s="46">
        <f>ROUND(SUMIF('Trial Balance'!T:T,A20,'Trial Balance'!I:I),0)</f>
        <v/>
      </c>
      <c r="L20" s="133" t="n"/>
      <c r="M20" s="46">
        <f>H20+I20-K20</f>
        <v/>
      </c>
      <c r="N20" s="46">
        <f>B20-H20</f>
        <v/>
      </c>
      <c r="O20" s="46">
        <f>G20-M20</f>
        <v/>
      </c>
    </row>
    <row r="21" spans="1:20">
      <c r="A21" s="45" t="s">
        <v>2204</v>
      </c>
      <c r="B21" s="46">
        <f>ROUND(SUMIF('Trial Balance'!S:S,A21,'Trial Balance'!H:H),0)</f>
        <v/>
      </c>
      <c r="C21" s="46">
        <f>ROUND(SUMIF('Trial Balance'!S:S,A21,'Trial Balance'!I:I),0)</f>
        <v/>
      </c>
      <c r="D21" s="133" t="n"/>
      <c r="E21" s="46">
        <f>ROUND(SUMIF('Trial Balance'!S:S,A21,'Trial Balance'!J:J),0)</f>
        <v/>
      </c>
      <c r="F21" s="133" t="n"/>
      <c r="G21" s="46">
        <f>B21+C21+D21-E21-F21</f>
        <v/>
      </c>
      <c r="H21" s="46">
        <f>-ROUND(SUMIF('Trial Balance'!T:T,A21,'Trial Balance'!H:H),0)</f>
        <v/>
      </c>
      <c r="I21" s="46">
        <f>ROUND(SUMIF('Trial Balance'!T:T,A21,'Trial Balance'!J:J),0)</f>
        <v/>
      </c>
      <c r="J21" s="133" t="n"/>
      <c r="K21" s="46">
        <f>ROUND(SUMIF('Trial Balance'!T:T,A21,'Trial Balance'!I:I),0)</f>
        <v/>
      </c>
      <c r="L21" s="133" t="n"/>
      <c r="M21" s="46">
        <f>H21+I21-K21</f>
        <v/>
      </c>
      <c r="N21" s="46">
        <f>B21-H21</f>
        <v/>
      </c>
      <c r="O21" s="46">
        <f>G21-M21</f>
        <v/>
      </c>
    </row>
    <row r="22" spans="1:20" customFormat="1" s="3">
      <c r="A22" s="44" t="s">
        <v>2205</v>
      </c>
      <c r="B22" s="76">
        <f>SUM(B16:B21)</f>
        <v/>
      </c>
      <c r="C22" s="76">
        <f>SUM(C16:C21)</f>
        <v/>
      </c>
      <c r="D22" s="134">
        <f>SUM(D16:D21)</f>
        <v/>
      </c>
      <c r="E22" s="76">
        <f>SUM(E16:E21)</f>
        <v/>
      </c>
      <c r="F22" s="134" t="n"/>
      <c r="G22" s="76">
        <f>B22+C22+D22-E22-F22</f>
        <v/>
      </c>
      <c r="H22" s="76">
        <f>SUM(H16:H21)</f>
        <v/>
      </c>
      <c r="I22" s="76">
        <f>SUM(I16:I21)</f>
        <v/>
      </c>
      <c r="J22" s="134">
        <f>SUM(J16:J21)</f>
        <v/>
      </c>
      <c r="K22" s="76">
        <f>SUM(K16:K21)</f>
        <v/>
      </c>
      <c r="L22" s="134" t="n"/>
      <c r="M22" s="76">
        <f>H22+I22-K22</f>
        <v/>
      </c>
      <c r="N22" s="76">
        <f>B22-H22</f>
        <v/>
      </c>
      <c r="O22" s="76">
        <f>G22-M22</f>
        <v/>
      </c>
      <c r="Q22" s="25" t="n"/>
      <c r="R22" s="27" t="n"/>
    </row>
    <row r="23" spans="1:20">
      <c r="A23" s="45" t="n"/>
      <c r="B23" s="46" t="n"/>
      <c r="C23" s="46" t="n"/>
      <c r="D23" s="133" t="n"/>
      <c r="E23" s="46" t="n"/>
      <c r="F23" s="133" t="n"/>
      <c r="G23" s="46" t="n"/>
      <c r="H23" s="46" t="n"/>
      <c r="I23" s="46" t="n"/>
      <c r="J23" s="133" t="n"/>
      <c r="K23" s="46" t="n"/>
      <c r="L23" s="133" t="n"/>
      <c r="M23" s="46" t="n"/>
      <c r="N23" s="46" t="n"/>
      <c r="O23" s="46" t="n"/>
      <c r="Q23" s="25" t="n"/>
      <c r="R23" s="27" t="n"/>
    </row>
    <row r="24" spans="1:20" customFormat="1" s="3">
      <c r="A24" s="44" t="s">
        <v>2206</v>
      </c>
      <c r="B24" s="76" t="n"/>
      <c r="C24" s="76" t="n"/>
      <c r="D24" s="134" t="n"/>
      <c r="E24" s="76" t="n"/>
      <c r="F24" s="134" t="n"/>
      <c r="G24" s="76" t="n"/>
      <c r="H24" s="76">
        <f>G24</f>
        <v/>
      </c>
      <c r="I24" s="76" t="n"/>
      <c r="J24" s="134" t="n"/>
      <c r="K24" s="76" t="n"/>
      <c r="L24" s="134" t="n"/>
      <c r="M24" s="76" t="n"/>
      <c r="N24" s="76" t="n"/>
      <c r="O24" s="76" t="n"/>
      <c r="Q24" s="25" t="n"/>
      <c r="R24" s="27" t="n"/>
    </row>
    <row r="25" spans="1:20">
      <c r="A25" s="45" t="s">
        <v>2207</v>
      </c>
      <c r="B25" s="46">
        <f>ROUND(SUMIF('Trial Balance'!S:S,A25,'Trial Balance'!H:H),0)</f>
        <v/>
      </c>
      <c r="C25" s="46">
        <f>ROUND(SUMIF('Trial Balance'!S:S,A25,'Trial Balance'!I:I),0)</f>
        <v/>
      </c>
      <c r="D25" s="133" t="n"/>
      <c r="E25" s="46">
        <f>ROUND(SUMIF('Trial Balance'!S:S,A25,'Trial Balance'!J:J),0)</f>
        <v/>
      </c>
      <c r="F25" s="133" t="n"/>
      <c r="G25" s="46">
        <f>B25+C25+D25-E25-F25</f>
        <v/>
      </c>
      <c r="H25" s="46">
        <f>-ROUND(SUMIF('Trial Balance'!T:T,A25,'Trial Balance'!H:H),0)</f>
        <v/>
      </c>
      <c r="I25" s="46">
        <f>ROUND(SUMIF('Trial Balance'!T:T,A25,'Trial Balance'!J:J),0)</f>
        <v/>
      </c>
      <c r="J25" s="133" t="n"/>
      <c r="K25" s="46">
        <f>ROUND(SUMIF('Trial Balance'!T:T,A25,'Trial Balance'!I:I),0)</f>
        <v/>
      </c>
      <c r="L25" s="133" t="n"/>
      <c r="M25" s="46">
        <f>H25+I25-K25</f>
        <v/>
      </c>
      <c r="N25" s="46">
        <f>B25-H25</f>
        <v/>
      </c>
      <c r="O25" s="46">
        <f>G25-M25</f>
        <v/>
      </c>
      <c r="Q25" s="25" t="n"/>
      <c r="R25" s="27" t="n"/>
    </row>
    <row r="26" spans="1:20">
      <c r="A26" s="45" t="s">
        <v>2208</v>
      </c>
      <c r="B26" s="46">
        <f>ROUND(SUMIF('Trial Balance'!S:S,A26,'Trial Balance'!H:H),0)</f>
        <v/>
      </c>
      <c r="C26" s="46">
        <f>ROUND(SUMIF('Trial Balance'!S:S,A26,'Trial Balance'!I:I),0)</f>
        <v/>
      </c>
      <c r="D26" s="133" t="n"/>
      <c r="E26" s="46">
        <f>ROUND(SUMIF('Trial Balance'!S:S,A26,'Trial Balance'!J:J),0)</f>
        <v/>
      </c>
      <c r="F26" s="133" t="n"/>
      <c r="G26" s="46">
        <f>B26+C26+D26-E26-F26</f>
        <v/>
      </c>
      <c r="H26" s="46">
        <f>-ROUND(SUMIF('Trial Balance'!T:T,A26,'Trial Balance'!H:H),0)</f>
        <v/>
      </c>
      <c r="I26" s="46">
        <f>ROUND(SUMIF('Trial Balance'!T:T,A26,'Trial Balance'!J:J),0)</f>
        <v/>
      </c>
      <c r="J26" s="133" t="n"/>
      <c r="K26" s="46">
        <f>ROUND(SUMIF('Trial Balance'!T:T,A26,'Trial Balance'!I:I),0)</f>
        <v/>
      </c>
      <c r="L26" s="133" t="n"/>
      <c r="M26" s="46">
        <f>H26+I26-K26</f>
        <v/>
      </c>
      <c r="N26" s="46">
        <f>B26-H26</f>
        <v/>
      </c>
      <c r="O26" s="46">
        <f>G26-M26</f>
        <v/>
      </c>
      <c r="Q26" s="25" t="n"/>
      <c r="R26" s="27" t="n"/>
    </row>
    <row r="27" spans="1:20">
      <c r="A27" s="45" t="s">
        <v>2209</v>
      </c>
      <c r="B27" s="46">
        <f>ROUND(SUMIF('Trial Balance'!S:S,A27,'Trial Balance'!H:H),0)</f>
        <v/>
      </c>
      <c r="C27" s="46">
        <f>ROUND(SUMIF('Trial Balance'!S:S,A27,'Trial Balance'!I:I),0)</f>
        <v/>
      </c>
      <c r="D27" s="133" t="n"/>
      <c r="E27" s="46">
        <f>ROUND(SUMIF('Trial Balance'!S:S,A27,'Trial Balance'!J:J),0)</f>
        <v/>
      </c>
      <c r="F27" s="133" t="n"/>
      <c r="G27" s="46">
        <f>B27+C27+D27-E27-F27</f>
        <v/>
      </c>
      <c r="H27" s="46">
        <f>-ROUND(SUMIF('Trial Balance'!T:T,A27,'Trial Balance'!H:H),0)</f>
        <v/>
      </c>
      <c r="I27" s="46">
        <f>ROUND(SUMIF('Trial Balance'!T:T,A27,'Trial Balance'!J:J),0)</f>
        <v/>
      </c>
      <c r="J27" s="133" t="n"/>
      <c r="K27" s="46">
        <f>ROUND(SUMIF('Trial Balance'!T:T,A27,'Trial Balance'!I:I),0)</f>
        <v/>
      </c>
      <c r="L27" s="133" t="n"/>
      <c r="M27" s="46">
        <f>H27+I27-K27</f>
        <v/>
      </c>
      <c r="N27" s="46">
        <f>B27-H27</f>
        <v/>
      </c>
      <c r="O27" s="46">
        <f>G27-M27</f>
        <v/>
      </c>
      <c r="Q27" s="25" t="n"/>
      <c r="R27" s="27" t="n"/>
    </row>
    <row r="28" spans="1:20">
      <c r="A28" s="45" t="s">
        <v>2210</v>
      </c>
      <c r="B28" s="46">
        <f>ROUND(SUMIF('Trial Balance'!S:S,A28,'Trial Balance'!H:H),0)</f>
        <v/>
      </c>
      <c r="C28" s="46">
        <f>ROUND(SUMIF('Trial Balance'!S:S,A28,'Trial Balance'!I:I),0)</f>
        <v/>
      </c>
      <c r="D28" s="133" t="n"/>
      <c r="E28" s="46">
        <f>ROUND(SUMIF('Trial Balance'!S:S,A28,'Trial Balance'!J:J),0)</f>
        <v/>
      </c>
      <c r="F28" s="133" t="n"/>
      <c r="G28" s="46">
        <f>B28+C28+D28-E28-F28</f>
        <v/>
      </c>
      <c r="H28" s="46">
        <f>-ROUND(SUMIF('Trial Balance'!T:T,A28,'Trial Balance'!H:H),0)</f>
        <v/>
      </c>
      <c r="I28" s="46">
        <f>ROUND(SUMIF('Trial Balance'!T:T,A28,'Trial Balance'!J:J),0)</f>
        <v/>
      </c>
      <c r="J28" s="133" t="n"/>
      <c r="K28" s="46">
        <f>ROUND(SUMIF('Trial Balance'!T:T,A28,'Trial Balance'!I:I),0)</f>
        <v/>
      </c>
      <c r="L28" s="133" t="n"/>
      <c r="M28" s="46">
        <f>H28+I28-K28</f>
        <v/>
      </c>
      <c r="N28" s="46">
        <f>B28-H28</f>
        <v/>
      </c>
      <c r="O28" s="46">
        <f>G28-M28</f>
        <v/>
      </c>
      <c r="Q28" s="25" t="n"/>
      <c r="R28" s="27" t="n"/>
    </row>
    <row r="29" spans="1:20">
      <c r="A29" s="45" t="s">
        <v>2211</v>
      </c>
      <c r="B29" s="46">
        <f>ROUND(SUMIF('Trial Balance'!S:S,A29,'Trial Balance'!H:H),0)</f>
        <v/>
      </c>
      <c r="C29" s="46">
        <f>ROUND(SUMIF('Trial Balance'!S:S,A29,'Trial Balance'!I:I),0)</f>
        <v/>
      </c>
      <c r="D29" s="133" t="n"/>
      <c r="E29" s="46">
        <f>ROUND(SUMIF('Trial Balance'!S:S,A29,'Trial Balance'!J:J),0)</f>
        <v/>
      </c>
      <c r="F29" s="133" t="n"/>
      <c r="G29" s="46">
        <f>B29+C29+D29-E29-F29</f>
        <v/>
      </c>
      <c r="H29" s="46">
        <f>-ROUND(SUMIF('Trial Balance'!T:T,A29,'Trial Balance'!H:H),0)</f>
        <v/>
      </c>
      <c r="I29" s="46">
        <f>ROUND(SUMIF('Trial Balance'!T:T,A29,'Trial Balance'!J:J),0)</f>
        <v/>
      </c>
      <c r="J29" s="133" t="n"/>
      <c r="K29" s="46">
        <f>ROUND(SUMIF('Trial Balance'!T:T,A29,'Trial Balance'!I:I),0)</f>
        <v/>
      </c>
      <c r="L29" s="133" t="n"/>
      <c r="M29" s="46">
        <f>H29+I29-K29</f>
        <v/>
      </c>
      <c r="N29" s="46">
        <f>B29-H29</f>
        <v/>
      </c>
      <c r="O29" s="46">
        <f>G29-M29</f>
        <v/>
      </c>
      <c r="Q29" s="25" t="n"/>
      <c r="R29" s="27" t="n"/>
    </row>
    <row r="30" spans="1:20">
      <c r="A30" s="45" t="s">
        <v>2212</v>
      </c>
      <c r="B30" s="46">
        <f>ROUND(SUMIF('Trial Balance'!S:S,A30,'Trial Balance'!H:H),0)</f>
        <v/>
      </c>
      <c r="C30" s="46">
        <f>ROUND(SUMIF('Trial Balance'!S:S,A30,'Trial Balance'!I:I),0)</f>
        <v/>
      </c>
      <c r="D30" s="133" t="n"/>
      <c r="E30" s="46">
        <f>ROUND(SUMIF('Trial Balance'!S:S,A30,'Trial Balance'!J:J),0)</f>
        <v/>
      </c>
      <c r="F30" s="133" t="n"/>
      <c r="G30" s="46">
        <f>B30+C30+D30-E30-F30</f>
        <v/>
      </c>
      <c r="H30" s="46">
        <f>-ROUND(SUMIF('Trial Balance'!T:T,A30,'Trial Balance'!H:H),0)</f>
        <v/>
      </c>
      <c r="I30" s="46">
        <f>ROUND(SUMIF('Trial Balance'!T:T,A30,'Trial Balance'!J:J),0)</f>
        <v/>
      </c>
      <c r="J30" s="133" t="n"/>
      <c r="K30" s="46">
        <f>ROUND(SUMIF('Trial Balance'!T:T,A30,'Trial Balance'!I:I),0)</f>
        <v/>
      </c>
      <c r="L30" s="133" t="n"/>
      <c r="M30" s="46">
        <f>H30+I30-K30</f>
        <v/>
      </c>
      <c r="N30" s="46">
        <f>B30-H30</f>
        <v/>
      </c>
      <c r="O30" s="46">
        <f>G30-M30</f>
        <v/>
      </c>
      <c r="Q30" s="25" t="n"/>
      <c r="R30" s="27" t="n"/>
    </row>
    <row r="31" spans="1:20">
      <c r="A31" s="45" t="s">
        <v>2213</v>
      </c>
      <c r="B31" s="46">
        <f>ROUND(SUMIF('Trial Balance'!S:S,A31,'Trial Balance'!H:H),0)</f>
        <v/>
      </c>
      <c r="C31" s="46">
        <f>ROUND(SUMIF('Trial Balance'!S:S,A31,'Trial Balance'!I:I),0)</f>
        <v/>
      </c>
      <c r="D31" s="133" t="n"/>
      <c r="E31" s="46">
        <f>ROUND(SUMIF('Trial Balance'!S:S,A31,'Trial Balance'!J:J),0)</f>
        <v/>
      </c>
      <c r="F31" s="133" t="n"/>
      <c r="G31" s="46">
        <f>B31+C31+D31-E31-F31</f>
        <v/>
      </c>
      <c r="H31" s="46">
        <f>-ROUND(SUMIF('Trial Balance'!T:T,A31,'Trial Balance'!H:H),0)</f>
        <v/>
      </c>
      <c r="I31" s="46">
        <f>ROUND(SUMIF('Trial Balance'!T:T,A31,'Trial Balance'!J:J),0)</f>
        <v/>
      </c>
      <c r="J31" s="133" t="n"/>
      <c r="K31" s="46">
        <f>ROUND(SUMIF('Trial Balance'!T:T,A31,'Trial Balance'!I:I),0)</f>
        <v/>
      </c>
      <c r="L31" s="133" t="n"/>
      <c r="M31" s="46">
        <f>H31+I31-K31</f>
        <v/>
      </c>
      <c r="N31" s="46">
        <f>B31-H31</f>
        <v/>
      </c>
      <c r="O31" s="46">
        <f>G31-M31</f>
        <v/>
      </c>
      <c r="Q31" s="25" t="n"/>
      <c r="R31" s="27" t="n"/>
    </row>
    <row r="32" spans="1:20">
      <c r="A32" s="45" t="s">
        <v>2214</v>
      </c>
      <c r="B32" s="46">
        <f>ROUND(SUMIF('Trial Balance'!S:S,A32,'Trial Balance'!H:H),0)</f>
        <v/>
      </c>
      <c r="C32" s="46">
        <f>ROUND(SUMIF('Trial Balance'!S:S,A32,'Trial Balance'!I:I),0)</f>
        <v/>
      </c>
      <c r="D32" s="133" t="n"/>
      <c r="E32" s="46">
        <f>ROUND(SUMIF('Trial Balance'!S:S,A32,'Trial Balance'!J:J),0)</f>
        <v/>
      </c>
      <c r="F32" s="133" t="n"/>
      <c r="G32" s="46">
        <f>B32+C32+D32-E32-F32</f>
        <v/>
      </c>
      <c r="H32" s="46">
        <f>-ROUND(SUMIF('Trial Balance'!T:T,A32,'Trial Balance'!H:H),0)</f>
        <v/>
      </c>
      <c r="I32" s="46">
        <f>ROUND(SUMIF('Trial Balance'!T:T,A32,'Trial Balance'!J:J),0)</f>
        <v/>
      </c>
      <c r="J32" s="133" t="n"/>
      <c r="K32" s="46">
        <f>ROUND(SUMIF('Trial Balance'!T:T,A32,'Trial Balance'!I:I),0)</f>
        <v/>
      </c>
      <c r="L32" s="133" t="n"/>
      <c r="M32" s="46">
        <f>H32+I32-K32</f>
        <v/>
      </c>
      <c r="N32" s="46">
        <f>B32-H32</f>
        <v/>
      </c>
      <c r="O32" s="46">
        <f>G32-M32</f>
        <v/>
      </c>
      <c r="Q32" s="25" t="n"/>
      <c r="R32" s="27" t="n"/>
    </row>
    <row r="33" spans="1:20">
      <c r="A33" s="45" t="s">
        <v>2215</v>
      </c>
      <c r="B33" s="46">
        <f>ROUND(SUMIF('Trial Balance'!S:S,A33,'Trial Balance'!H:H),0)</f>
        <v/>
      </c>
      <c r="C33" s="46">
        <f>ROUND(SUMIF('Trial Balance'!S:S,A33,'Trial Balance'!I:I),0)</f>
        <v/>
      </c>
      <c r="D33" s="133" t="n"/>
      <c r="E33" s="46">
        <f>ROUND(SUMIF('Trial Balance'!S:S,A33,'Trial Balance'!J:J),0)</f>
        <v/>
      </c>
      <c r="F33" s="133" t="n"/>
      <c r="G33" s="46">
        <f>B33+C33+D33-E33-F33</f>
        <v/>
      </c>
      <c r="H33" s="46">
        <f>-ROUND(SUMIF('Trial Balance'!T:T,A33,'Trial Balance'!H:H),0)</f>
        <v/>
      </c>
      <c r="I33" s="46">
        <f>ROUND(SUMIF('Trial Balance'!T:T,A33,'Trial Balance'!J:J),0)</f>
        <v/>
      </c>
      <c r="J33" s="133" t="n"/>
      <c r="K33" s="46">
        <f>ROUND(SUMIF('Trial Balance'!T:T,A33,'Trial Balance'!I:I),0)</f>
        <v/>
      </c>
      <c r="L33" s="133" t="n"/>
      <c r="M33" s="46">
        <f>H33+I33-K33</f>
        <v/>
      </c>
      <c r="N33" s="46">
        <f>B33-H33</f>
        <v/>
      </c>
      <c r="O33" s="46">
        <f>G33-M33</f>
        <v/>
      </c>
      <c r="Q33" s="25" t="n"/>
      <c r="R33" s="27" t="n"/>
    </row>
    <row r="34" spans="1:20">
      <c r="A34" s="45" t="s">
        <v>2216</v>
      </c>
      <c r="B34" s="46">
        <f>ROUND(SUMIF('Trial Balance'!S:S,A34,'Trial Balance'!H:H),0)</f>
        <v/>
      </c>
      <c r="C34" s="46">
        <f>ROUND(SUMIF('Trial Balance'!S:S,A34,'Trial Balance'!I:I),0)</f>
        <v/>
      </c>
      <c r="D34" s="133" t="n"/>
      <c r="E34" s="46">
        <f>ROUND(SUMIF('Trial Balance'!S:S,A34,'Trial Balance'!J:J),0)</f>
        <v/>
      </c>
      <c r="F34" s="133" t="n"/>
      <c r="G34" s="46">
        <f>B34+C34+D34-E34-F34</f>
        <v/>
      </c>
      <c r="H34" s="46">
        <f>-ROUND(SUMIF('Trial Balance'!T:T,A34,'Trial Balance'!H:H),0)</f>
        <v/>
      </c>
      <c r="I34" s="46">
        <f>ROUND(SUMIF('Trial Balance'!T:T,A34,'Trial Balance'!J:J),0)</f>
        <v/>
      </c>
      <c r="J34" s="133" t="n"/>
      <c r="K34" s="46">
        <f>ROUND(SUMIF('Trial Balance'!T:T,A34,'Trial Balance'!I:I),0)</f>
        <v/>
      </c>
      <c r="L34" s="133" t="n"/>
      <c r="M34" s="46">
        <f>H34+I34-K34</f>
        <v/>
      </c>
      <c r="N34" s="46">
        <f>B34-H34</f>
        <v/>
      </c>
      <c r="O34" s="46">
        <f>G34-M34</f>
        <v/>
      </c>
      <c r="Q34" s="25" t="n"/>
      <c r="R34" s="27" t="n"/>
    </row>
    <row r="35" spans="1:20">
      <c r="A35" s="45" t="s">
        <v>2217</v>
      </c>
      <c r="B35" s="46">
        <f>ROUND(SUMIF('Trial Balance'!S:S,A35,'Trial Balance'!H:H),0)</f>
        <v/>
      </c>
      <c r="C35" s="46">
        <f>ROUND(SUMIF('Trial Balance'!S:S,A35,'Trial Balance'!I:I),0)</f>
        <v/>
      </c>
      <c r="D35" s="133" t="n"/>
      <c r="E35" s="46">
        <f>ROUND(SUMIF('Trial Balance'!S:S,A35,'Trial Balance'!J:J),0)</f>
        <v/>
      </c>
      <c r="F35" s="133" t="n"/>
      <c r="G35" s="46">
        <f>B35+C35+D35-E35-F35</f>
        <v/>
      </c>
      <c r="H35" s="46">
        <f>-ROUND(SUMIF('Trial Balance'!T:T,A35,'Trial Balance'!H:H),0)</f>
        <v/>
      </c>
      <c r="I35" s="46">
        <f>ROUND(SUMIF('Trial Balance'!T:T,A35,'Trial Balance'!J:J),0)</f>
        <v/>
      </c>
      <c r="J35" s="133" t="n"/>
      <c r="K35" s="46">
        <f>ROUND(SUMIF('Trial Balance'!T:T,A35,'Trial Balance'!I:I),0)</f>
        <v/>
      </c>
      <c r="L35" s="133" t="n"/>
      <c r="M35" s="46">
        <f>H35+I35-K35</f>
        <v/>
      </c>
      <c r="N35" s="46">
        <f>B35-H35</f>
        <v/>
      </c>
      <c r="O35" s="46">
        <f>G35-M35</f>
        <v/>
      </c>
      <c r="Q35" s="25" t="n"/>
      <c r="R35" s="27" t="n"/>
    </row>
    <row r="36" spans="1:20">
      <c r="A36" s="45" t="s">
        <v>2218</v>
      </c>
      <c r="B36" s="46">
        <f>ROUND(SUMIF('Trial Balance'!S:S,A36,'Trial Balance'!H:H),0)</f>
        <v/>
      </c>
      <c r="C36" s="46">
        <f>ROUND(SUMIF('Trial Balance'!S:S,A36,'Trial Balance'!I:I),0)</f>
        <v/>
      </c>
      <c r="D36" s="133" t="n"/>
      <c r="E36" s="46">
        <f>ROUND(SUMIF('Trial Balance'!S:S,A36,'Trial Balance'!J:J),0)</f>
        <v/>
      </c>
      <c r="F36" s="133" t="n"/>
      <c r="G36" s="46">
        <f>B36+C36+D36-E36-F36</f>
        <v/>
      </c>
      <c r="H36" s="46">
        <f>-ROUND(SUMIF('Trial Balance'!T:T,A36,'Trial Balance'!H:H),0)</f>
        <v/>
      </c>
      <c r="I36" s="46">
        <f>ROUND(SUMIF('Trial Balance'!T:T,A36,'Trial Balance'!J:J),0)</f>
        <v/>
      </c>
      <c r="J36" s="133" t="n"/>
      <c r="K36" s="46">
        <f>ROUND(SUMIF('Trial Balance'!T:T,A36,'Trial Balance'!I:I),0)</f>
        <v/>
      </c>
      <c r="L36" s="133" t="n"/>
      <c r="M36" s="46">
        <f>H36+I36-K36</f>
        <v/>
      </c>
      <c r="N36" s="46">
        <f>B36-H36</f>
        <v/>
      </c>
      <c r="O36" s="46">
        <f>G36-M36</f>
        <v/>
      </c>
      <c r="Q36" s="25" t="n"/>
      <c r="R36" s="27" t="n"/>
    </row>
    <row r="37" spans="1:20" customFormat="1" s="3">
      <c r="A37" s="44" t="s">
        <v>2219</v>
      </c>
      <c r="B37" s="76">
        <f>SUM(B25:B36)</f>
        <v/>
      </c>
      <c r="C37" s="76">
        <f>SUM(C25:C36)</f>
        <v/>
      </c>
      <c r="D37" s="134">
        <f>SUM(D25:D36)</f>
        <v/>
      </c>
      <c r="E37" s="76">
        <f>SUM(E25:E36)</f>
        <v/>
      </c>
      <c r="F37" s="134">
        <f>SUM(F25:F36)</f>
        <v/>
      </c>
      <c r="G37" s="76">
        <f>SUM(G25:G36)</f>
        <v/>
      </c>
      <c r="H37" s="76">
        <f>SUM(H25:H36)</f>
        <v/>
      </c>
      <c r="I37" s="76">
        <f>SUM(I25:I36)</f>
        <v/>
      </c>
      <c r="J37" s="134" t="n"/>
      <c r="K37" s="76">
        <f>SUM(K25:K36)</f>
        <v/>
      </c>
      <c r="L37" s="134" t="n"/>
      <c r="M37" s="76">
        <f>H37+I37-K37</f>
        <v/>
      </c>
      <c r="N37" s="76">
        <f>B37-H37</f>
        <v/>
      </c>
      <c r="O37" s="76">
        <f>G37-M37</f>
        <v/>
      </c>
      <c r="Q37" s="135" t="n"/>
      <c r="R37" s="27" t="n"/>
    </row>
    <row r="38" spans="1:20">
      <c r="A38" s="45" t="n"/>
      <c r="B38" s="46" t="n"/>
      <c r="C38" s="46" t="n"/>
      <c r="D38" s="133" t="n"/>
      <c r="E38" s="46" t="n"/>
      <c r="F38" s="133" t="n"/>
      <c r="G38" s="46" t="n"/>
      <c r="H38" s="46" t="n"/>
      <c r="I38" s="46" t="n"/>
      <c r="J38" s="133" t="n"/>
      <c r="K38" s="46" t="n"/>
      <c r="L38" s="133" t="n"/>
      <c r="M38" s="46" t="n"/>
      <c r="N38" s="46" t="n"/>
      <c r="O38" s="46" t="n"/>
      <c r="Q38" s="25" t="n"/>
      <c r="R38" s="27" t="n"/>
    </row>
    <row r="39" spans="1:20" customFormat="1" s="3">
      <c r="A39" s="44" t="s">
        <v>2220</v>
      </c>
      <c r="B39" s="76" t="n"/>
      <c r="C39" s="76" t="n"/>
      <c r="D39" s="134" t="n"/>
      <c r="E39" s="76" t="n"/>
      <c r="F39" s="134" t="n"/>
      <c r="G39" s="76" t="n"/>
      <c r="H39" s="76" t="n"/>
      <c r="I39" s="76" t="n"/>
      <c r="J39" s="134" t="n"/>
      <c r="K39" s="76" t="n"/>
      <c r="L39" s="134" t="n"/>
      <c r="M39" s="76" t="n"/>
      <c r="N39" s="76" t="n"/>
      <c r="O39" s="76" t="n"/>
      <c r="Q39" s="25" t="n"/>
      <c r="R39" s="27" t="n"/>
    </row>
    <row r="40" spans="1:20">
      <c r="A40" s="45" t="s">
        <v>2221</v>
      </c>
      <c r="B40" s="46">
        <f>ROUND(SUMIF('Trial Balance'!S:S,A40,'Trial Balance'!H:H),0)</f>
        <v/>
      </c>
      <c r="C40" s="46">
        <f>ROUND(SUMIF('Trial Balance'!S:S,A40,'Trial Balance'!I:I),0)</f>
        <v/>
      </c>
      <c r="D40" s="133" t="n"/>
      <c r="E40" s="46">
        <f>ROUND(SUMIF('Trial Balance'!S:S,A40,'Trial Balance'!J:J),0)</f>
        <v/>
      </c>
      <c r="F40" s="133" t="n"/>
      <c r="G40" s="46">
        <f>B40+C40+D40-E40-F40</f>
        <v/>
      </c>
      <c r="H40" s="46">
        <f>-ROUND(SUMIF('Trial Balance'!T:T,A40,'Trial Balance'!H:H),0)</f>
        <v/>
      </c>
      <c r="I40" s="46">
        <f>ROUND(SUMIF('Trial Balance'!T:T,A40,'Trial Balance'!J:J),0)</f>
        <v/>
      </c>
      <c r="J40" s="133" t="n"/>
      <c r="K40" s="46">
        <f>ROUND(SUMIF('Trial Balance'!T:T,A40,'Trial Balance'!I:I),0)</f>
        <v/>
      </c>
      <c r="L40" s="133" t="n"/>
      <c r="M40" s="46">
        <f>H40+I40-K40</f>
        <v/>
      </c>
      <c r="N40" s="46">
        <f>B40-H40</f>
        <v/>
      </c>
      <c r="O40" s="46">
        <f>G40-M40</f>
        <v/>
      </c>
      <c r="Q40" s="25" t="n"/>
      <c r="R40" s="27" t="n"/>
    </row>
    <row r="41" spans="1:20">
      <c r="A41" s="45" t="s">
        <v>2222</v>
      </c>
      <c r="B41" s="46">
        <f>ROUND(SUMIF('Trial Balance'!S:S,A41,'Trial Balance'!H:H),0)</f>
        <v/>
      </c>
      <c r="C41" s="46">
        <f>ROUND(SUMIF('Trial Balance'!S:S,A41,'Trial Balance'!I:I),0)</f>
        <v/>
      </c>
      <c r="D41" s="133" t="n"/>
      <c r="E41" s="46">
        <f>ROUND(SUMIF('Trial Balance'!S:S,A41,'Trial Balance'!J:J),0)</f>
        <v/>
      </c>
      <c r="F41" s="133" t="n"/>
      <c r="G41" s="46">
        <f>B41+C41+D41-E41-F41</f>
        <v/>
      </c>
      <c r="H41" s="46">
        <f>-ROUND(SUMIF('Trial Balance'!T:T,A41,'Trial Balance'!H:H),0)</f>
        <v/>
      </c>
      <c r="I41" s="46">
        <f>ROUND(SUMIF('Trial Balance'!T:T,A41,'Trial Balance'!J:J),0)</f>
        <v/>
      </c>
      <c r="J41" s="133" t="n"/>
      <c r="K41" s="46">
        <f>ROUND(SUMIF('Trial Balance'!T:T,A41,'Trial Balance'!I:I),0)</f>
        <v/>
      </c>
      <c r="L41" s="133" t="n"/>
      <c r="M41" s="46">
        <f>H41+I41-K41</f>
        <v/>
      </c>
      <c r="N41" s="46">
        <f>B41-H41</f>
        <v/>
      </c>
      <c r="O41" s="46">
        <f>G41-M41</f>
        <v/>
      </c>
      <c r="Q41" s="25" t="n"/>
      <c r="R41" s="27" t="n"/>
    </row>
    <row r="42" spans="1:20">
      <c r="A42" s="45" t="s">
        <v>2223</v>
      </c>
      <c r="B42" s="46">
        <f>ROUND(SUMIF('Trial Balance'!S:S,A42,'Trial Balance'!H:H),0)</f>
        <v/>
      </c>
      <c r="C42" s="46">
        <f>ROUND(SUMIF('Trial Balance'!S:S,A42,'Trial Balance'!I:I),0)</f>
        <v/>
      </c>
      <c r="D42" s="133" t="n"/>
      <c r="E42" s="46">
        <f>ROUND(SUMIF('Trial Balance'!S:S,A42,'Trial Balance'!J:J),0)</f>
        <v/>
      </c>
      <c r="F42" s="133" t="n"/>
      <c r="G42" s="46">
        <f>B42+C42+D42-E42-F42</f>
        <v/>
      </c>
      <c r="H42" s="46">
        <f>-ROUND(SUMIF('Trial Balance'!T:T,A42,'Trial Balance'!H:H),0)</f>
        <v/>
      </c>
      <c r="I42" s="46">
        <f>ROUND(SUMIF('Trial Balance'!T:T,A42,'Trial Balance'!J:J),0)</f>
        <v/>
      </c>
      <c r="J42" s="133" t="n"/>
      <c r="K42" s="46">
        <f>ROUND(SUMIF('Trial Balance'!T:T,A42,'Trial Balance'!I:I),0)</f>
        <v/>
      </c>
      <c r="L42" s="133" t="n"/>
      <c r="M42" s="46">
        <f>H42+I42-K42</f>
        <v/>
      </c>
      <c r="N42" s="46">
        <f>B42-H42</f>
        <v/>
      </c>
      <c r="O42" s="46">
        <f>G42-M42</f>
        <v/>
      </c>
      <c r="Q42" s="25" t="n"/>
      <c r="R42" s="27" t="n"/>
    </row>
    <row r="43" spans="1:20">
      <c r="A43" s="45" t="s">
        <v>2224</v>
      </c>
      <c r="B43" s="46">
        <f>ROUND(SUMIF('Trial Balance'!S:S,A43,'Trial Balance'!H:H),0)</f>
        <v/>
      </c>
      <c r="C43" s="46">
        <f>ROUND(SUMIF('Trial Balance'!S:S,A43,'Trial Balance'!I:I),0)</f>
        <v/>
      </c>
      <c r="D43" s="133" t="n"/>
      <c r="E43" s="46">
        <f>ROUND(SUMIF('Trial Balance'!S:S,A43,'Trial Balance'!J:J),0)</f>
        <v/>
      </c>
      <c r="F43" s="133" t="n"/>
      <c r="G43" s="46">
        <f>B43+C43+D43-E43-F43</f>
        <v/>
      </c>
      <c r="H43" s="46">
        <f>-ROUND(SUMIF('Trial Balance'!T:T,A43,'Trial Balance'!H:H),0)</f>
        <v/>
      </c>
      <c r="I43" s="46">
        <f>ROUND(SUMIF('Trial Balance'!T:T,A43,'Trial Balance'!J:J),0)</f>
        <v/>
      </c>
      <c r="J43" s="133" t="n"/>
      <c r="K43" s="46">
        <f>ROUND(SUMIF('Trial Balance'!T:T,A43,'Trial Balance'!I:I),0)</f>
        <v/>
      </c>
      <c r="L43" s="133" t="n"/>
      <c r="M43" s="46">
        <f>H43+I43-K43</f>
        <v/>
      </c>
      <c r="N43" s="46">
        <f>B43-H43</f>
        <v/>
      </c>
      <c r="O43" s="46">
        <f>G43-M43</f>
        <v/>
      </c>
      <c r="Q43" s="25" t="n"/>
      <c r="R43" s="27" t="n"/>
    </row>
    <row r="44" spans="1:20">
      <c r="A44" s="45" t="s">
        <v>2225</v>
      </c>
      <c r="B44" s="46">
        <f>ROUND(SUMIF('Trial Balance'!S:S,A44,'Trial Balance'!H:H),0)</f>
        <v/>
      </c>
      <c r="C44" s="46">
        <f>ROUND(SUMIF('Trial Balance'!S:S,A44,'Trial Balance'!I:I),0)</f>
        <v/>
      </c>
      <c r="D44" s="133" t="n"/>
      <c r="E44" s="46">
        <f>ROUND(SUMIF('Trial Balance'!S:S,A44,'Trial Balance'!J:J),0)</f>
        <v/>
      </c>
      <c r="F44" s="133" t="n"/>
      <c r="G44" s="46">
        <f>B44+C44+D44-E44-F44</f>
        <v/>
      </c>
      <c r="H44" s="46">
        <f>-ROUND(SUMIF('Trial Balance'!T:T,A44,'Trial Balance'!H:H),0)</f>
        <v/>
      </c>
      <c r="I44" s="46">
        <f>ROUND(SUMIF('Trial Balance'!T:T,A44,'Trial Balance'!J:J),0)</f>
        <v/>
      </c>
      <c r="J44" s="133" t="n"/>
      <c r="K44" s="46">
        <f>ROUND(SUMIF('Trial Balance'!T:T,A44,'Trial Balance'!I:I),0)</f>
        <v/>
      </c>
      <c r="L44" s="133" t="n"/>
      <c r="M44" s="46">
        <f>H44+I44-K44</f>
        <v/>
      </c>
      <c r="N44" s="46">
        <f>B44-H44</f>
        <v/>
      </c>
      <c r="O44" s="46">
        <f>G44-M44</f>
        <v/>
      </c>
      <c r="Q44" s="25" t="n"/>
      <c r="R44" s="27" t="n"/>
    </row>
    <row r="45" spans="1:20">
      <c r="A45" s="45" t="s">
        <v>2226</v>
      </c>
      <c r="B45" s="46">
        <f>ROUND(SUMIF('Trial Balance'!S:S,A45,'Trial Balance'!H:H),0)</f>
        <v/>
      </c>
      <c r="C45" s="46">
        <f>ROUND(SUMIF('Trial Balance'!S:S,A45,'Trial Balance'!I:I),0)</f>
        <v/>
      </c>
      <c r="D45" s="133" t="n"/>
      <c r="E45" s="46">
        <f>ROUND(SUMIF('Trial Balance'!S:S,A45,'Trial Balance'!J:J),0)</f>
        <v/>
      </c>
      <c r="F45" s="133" t="n"/>
      <c r="G45" s="46">
        <f>B45+C45+D45-E45-F45</f>
        <v/>
      </c>
      <c r="H45" s="46">
        <f>-ROUND(SUMIF('Trial Balance'!T:T,A45,'Trial Balance'!H:H),0)</f>
        <v/>
      </c>
      <c r="I45" s="46">
        <f>ROUND(SUMIF('Trial Balance'!T:T,A45,'Trial Balance'!J:J),0)</f>
        <v/>
      </c>
      <c r="J45" s="133" t="n"/>
      <c r="K45" s="46">
        <f>ROUND(SUMIF('Trial Balance'!T:T,A45,'Trial Balance'!I:I),0)</f>
        <v/>
      </c>
      <c r="L45" s="133" t="n"/>
      <c r="M45" s="46">
        <f>H45+I45-K45</f>
        <v/>
      </c>
      <c r="N45" s="46">
        <f>B45-H45</f>
        <v/>
      </c>
      <c r="O45" s="46">
        <f>G45-M45</f>
        <v/>
      </c>
      <c r="Q45" s="25" t="n"/>
      <c r="R45" s="27" t="n"/>
    </row>
    <row r="46" spans="1:20" customFormat="1" s="3">
      <c r="A46" s="44" t="s">
        <v>2227</v>
      </c>
      <c r="B46" s="76">
        <f>SUM(B40:B45)</f>
        <v/>
      </c>
      <c r="C46" s="76">
        <f>SUM(C40:C45)</f>
        <v/>
      </c>
      <c r="D46" s="134" t="n"/>
      <c r="E46" s="76">
        <f>SUM(E40:E45)</f>
        <v/>
      </c>
      <c r="F46" s="134" t="n"/>
      <c r="G46" s="76">
        <f>SUM(G40:G45)</f>
        <v/>
      </c>
      <c r="H46" s="76">
        <f>SUM(H40:H45)</f>
        <v/>
      </c>
      <c r="I46" s="76">
        <f>SUM(I40:I45)</f>
        <v/>
      </c>
      <c r="J46" s="134">
        <f>SUM(J40:J45)</f>
        <v/>
      </c>
      <c r="K46" s="76">
        <f>SUM(K40:K45)</f>
        <v/>
      </c>
      <c r="L46" s="134">
        <f>SUM(L40:L45)</f>
        <v/>
      </c>
      <c r="M46" s="76">
        <f>SUM(M40:M45)</f>
        <v/>
      </c>
      <c r="N46" s="76">
        <f>B46-H46</f>
        <v/>
      </c>
      <c r="O46" s="76">
        <f>G46-M46</f>
        <v/>
      </c>
      <c r="Q46" s="25" t="n"/>
      <c r="R46" s="27" t="n"/>
    </row>
    <row r="51" spans="1:20">
      <c r="A51" s="3" t="s">
        <v>2228</v>
      </c>
    </row>
    <row r="53" spans="1:20" ht="24" customHeight="1">
      <c r="A53" s="136" t="s">
        <v>2229</v>
      </c>
      <c r="B53" s="136" t="s">
        <v>2188</v>
      </c>
      <c r="C53" s="136" t="s">
        <v>2230</v>
      </c>
      <c r="D53" s="136" t="s">
        <v>2231</v>
      </c>
      <c r="E53" s="136" t="s">
        <v>2232</v>
      </c>
      <c r="G53" s="137" t="s">
        <v>2233</v>
      </c>
      <c r="H53" s="137" t="s">
        <v>2234</v>
      </c>
      <c r="I53" s="138" t="s">
        <v>2235</v>
      </c>
      <c r="J53" s="138" t="s">
        <v>2236</v>
      </c>
      <c r="K53" s="139" t="s">
        <v>420</v>
      </c>
      <c r="L53" s="139" t="s">
        <v>421</v>
      </c>
    </row>
    <row r="54" spans="1:20">
      <c r="A54" s="45" t="s">
        <v>2199</v>
      </c>
      <c r="B54" s="46">
        <f>ABS(ROUND(SUMIF('Trial Balance'!S:S,T54,'Trial Balance'!H:H),0))</f>
        <v/>
      </c>
      <c r="C54" s="46">
        <f>ABS(ROUND(SUMIF('Trial Balance'!S:S,T54,'Trial Balance'!J:J),0))</f>
        <v/>
      </c>
      <c r="D54" s="46">
        <f>ABS(ROUND(SUMIF('Trial Balance'!S:S,T54,'Trial Balance'!I:I),0))</f>
        <v/>
      </c>
      <c r="E54" s="46">
        <f>B54+C54-D54</f>
        <v/>
      </c>
      <c r="T54">
        <f>A54&amp;" - "&amp;"ADJE"</f>
        <v/>
      </c>
    </row>
    <row r="55" spans="1:20">
      <c r="A55" s="45" t="s">
        <v>2200</v>
      </c>
      <c r="B55" s="46">
        <f>ABS(ROUND(SUMIF('Trial Balance'!S:S,T55,'Trial Balance'!H:H),0))</f>
        <v/>
      </c>
      <c r="C55" s="46">
        <f>ABS(ROUND(SUMIF('Trial Balance'!S:S,T55,'Trial Balance'!J:J),0))</f>
        <v/>
      </c>
      <c r="D55" s="46">
        <f>ABS(ROUND(SUMIF('Trial Balance'!S:S,T55,'Trial Balance'!I:I),0))</f>
        <v/>
      </c>
      <c r="E55" s="46">
        <f>B55+C55-D55</f>
        <v/>
      </c>
      <c r="T55">
        <f>A55&amp;" - "&amp;"ADJE"</f>
        <v/>
      </c>
    </row>
    <row r="56" spans="1:20">
      <c r="A56" s="45" t="s">
        <v>2202</v>
      </c>
      <c r="B56" s="46">
        <f>ABS(ROUND(SUMIF('Trial Balance'!S:S,T56,'Trial Balance'!H:H),0))</f>
        <v/>
      </c>
      <c r="C56" s="46">
        <f>ABS(ROUND(SUMIF('Trial Balance'!S:S,T56,'Trial Balance'!J:J),0))</f>
        <v/>
      </c>
      <c r="D56" s="46">
        <f>ABS(ROUND(SUMIF('Trial Balance'!S:S,T56,'Trial Balance'!I:I),0))</f>
        <v/>
      </c>
      <c r="E56" s="46">
        <f>B56+C56-D56</f>
        <v/>
      </c>
      <c r="T56">
        <f>A56&amp;" - "&amp;"ADJE"</f>
        <v/>
      </c>
    </row>
    <row r="57" spans="1:20">
      <c r="A57" s="45" t="s">
        <v>2203</v>
      </c>
      <c r="B57" s="46">
        <f>ABS(ROUND(SUMIF('Trial Balance'!S:S,T57,'Trial Balance'!H:H),0))</f>
        <v/>
      </c>
      <c r="C57" s="46">
        <f>ABS(ROUND(SUMIF('Trial Balance'!S:S,T57,'Trial Balance'!J:J),0))</f>
        <v/>
      </c>
      <c r="D57" s="46">
        <f>ABS(ROUND(SUMIF('Trial Balance'!S:S,T57,'Trial Balance'!I:I),0))</f>
        <v/>
      </c>
      <c r="E57" s="46">
        <f>B57+C57-D57</f>
        <v/>
      </c>
      <c r="T57">
        <f>A57&amp;" - "&amp;"ADJE"</f>
        <v/>
      </c>
    </row>
    <row r="58" spans="1:20">
      <c r="A58" s="45" t="s">
        <v>2201</v>
      </c>
      <c r="B58" s="46">
        <f>ABS(ROUND(SUMIF('Trial Balance'!S:S,T58,'Trial Balance'!H:H),0))</f>
        <v/>
      </c>
      <c r="C58" s="46">
        <f>ABS(ROUND(SUMIF('Trial Balance'!S:S,T58,'Trial Balance'!J:J),0))</f>
        <v/>
      </c>
      <c r="D58" s="46">
        <f>ABS(ROUND(SUMIF('Trial Balance'!S:S,T58,'Trial Balance'!I:I),0))</f>
        <v/>
      </c>
      <c r="E58" s="46">
        <f>B58+C58-D58</f>
        <v/>
      </c>
      <c r="T58">
        <f>A58&amp;" - "&amp;"ADJE"</f>
        <v/>
      </c>
    </row>
    <row r="59" spans="1:20">
      <c r="A59" s="44" t="s">
        <v>2205</v>
      </c>
      <c r="B59" s="76">
        <f>SUM(B54:B58)</f>
        <v/>
      </c>
      <c r="C59" s="76">
        <f>SUM(C54:C58)</f>
        <v/>
      </c>
      <c r="D59" s="76">
        <f>SUM(D54:D58)</f>
        <v/>
      </c>
      <c r="E59" s="76">
        <f>SUM(E54:E58)</f>
        <v/>
      </c>
      <c r="G59" s="9">
        <f>N22-B59</f>
        <v/>
      </c>
      <c r="H59" s="9">
        <f>O22-E59</f>
        <v/>
      </c>
      <c r="I59" s="140">
        <f>'1. F10'!D20</f>
        <v/>
      </c>
      <c r="J59" s="140">
        <f>'1. F10'!E20</f>
        <v/>
      </c>
      <c r="K59" s="130">
        <f>G59-I59</f>
        <v/>
      </c>
      <c r="L59" s="130">
        <f>H59-J59</f>
        <v/>
      </c>
    </row>
    <row r="60" spans="1:20">
      <c r="A60" s="45" t="s">
        <v>2207</v>
      </c>
      <c r="B60" s="46">
        <f>ABS(ROUND(SUMIF('Trial Balance'!S:S,T60,'Trial Balance'!H:H),0))</f>
        <v/>
      </c>
      <c r="C60" s="46">
        <f>ABS(ROUND(SUMIF('Trial Balance'!S:S,T60,'Trial Balance'!J:J),0))</f>
        <v/>
      </c>
      <c r="D60" s="46">
        <f>ABS(ROUND(SUMIF('Trial Balance'!S:S,T60,'Trial Balance'!I:I),0))</f>
        <v/>
      </c>
      <c r="E60" s="46">
        <f>B60+C60-D60</f>
        <v/>
      </c>
      <c r="T60">
        <f>A60&amp;" - "&amp;"ADJE"</f>
        <v/>
      </c>
    </row>
    <row r="61" spans="1:20">
      <c r="A61" s="45" t="s">
        <v>2208</v>
      </c>
      <c r="B61" s="46">
        <f>ABS(ROUND(SUMIF('Trial Balance'!S:S,T61,'Trial Balance'!H:H),0))</f>
        <v/>
      </c>
      <c r="C61" s="46">
        <f>ABS(ROUND(SUMIF('Trial Balance'!S:S,T61,'Trial Balance'!J:J),0))</f>
        <v/>
      </c>
      <c r="D61" s="46">
        <f>ABS(ROUND(SUMIF('Trial Balance'!S:S,T61,'Trial Balance'!I:I),0))</f>
        <v/>
      </c>
      <c r="E61" s="46">
        <f>B61+C61-D61</f>
        <v/>
      </c>
      <c r="T61">
        <f>A61&amp;" - "&amp;"ADJE"</f>
        <v/>
      </c>
    </row>
    <row r="62" spans="1:20">
      <c r="A62" s="45" t="s">
        <v>2209</v>
      </c>
      <c r="B62" s="46">
        <f>ABS(ROUND(SUMIF('Trial Balance'!S:S,T62,'Trial Balance'!H:H),0))</f>
        <v/>
      </c>
      <c r="C62" s="46">
        <f>ABS(ROUND(SUMIF('Trial Balance'!S:S,T62,'Trial Balance'!J:J),0))</f>
        <v/>
      </c>
      <c r="D62" s="46">
        <f>ABS(ROUND(SUMIF('Trial Balance'!S:S,T62,'Trial Balance'!I:I),0))</f>
        <v/>
      </c>
      <c r="E62" s="46">
        <f>B62+C62-D62</f>
        <v/>
      </c>
      <c r="T62">
        <f>A62&amp;" - "&amp;"ADJE"</f>
        <v/>
      </c>
    </row>
    <row r="63" spans="1:20">
      <c r="A63" s="45" t="s">
        <v>2210</v>
      </c>
      <c r="B63" s="46">
        <f>ABS(ROUND(SUMIF('Trial Balance'!S:S,T63,'Trial Balance'!H:H),0))</f>
        <v/>
      </c>
      <c r="C63" s="46">
        <f>ABS(ROUND(SUMIF('Trial Balance'!S:S,T63,'Trial Balance'!J:J),0))</f>
        <v/>
      </c>
      <c r="D63" s="46">
        <f>ABS(ROUND(SUMIF('Trial Balance'!S:S,T63,'Trial Balance'!I:I),0))</f>
        <v/>
      </c>
      <c r="E63" s="46">
        <f>B63+C63-D63</f>
        <v/>
      </c>
      <c r="T63">
        <f>A63&amp;" - "&amp;"ADJE"</f>
        <v/>
      </c>
    </row>
    <row r="64" spans="1:20">
      <c r="A64" s="45" t="s">
        <v>2211</v>
      </c>
      <c r="B64" s="46">
        <f>ABS(ROUND(SUMIF('Trial Balance'!S:S,T64,'Trial Balance'!H:H),0))</f>
        <v/>
      </c>
      <c r="C64" s="46">
        <f>ABS(ROUND(SUMIF('Trial Balance'!S:S,T64,'Trial Balance'!J:J),0))</f>
        <v/>
      </c>
      <c r="D64" s="46">
        <f>ABS(ROUND(SUMIF('Trial Balance'!S:S,T64,'Trial Balance'!I:I),0))</f>
        <v/>
      </c>
      <c r="E64" s="46">
        <f>B64+C64-D64</f>
        <v/>
      </c>
      <c r="T64">
        <f>A64&amp;" - "&amp;"ADJE"</f>
        <v/>
      </c>
    </row>
    <row r="65" spans="1:20">
      <c r="A65" s="45" t="s">
        <v>2215</v>
      </c>
      <c r="B65" s="46">
        <f>ABS(ROUND(SUMIF('Trial Balance'!S:S,T65,'Trial Balance'!H:H),0))</f>
        <v/>
      </c>
      <c r="C65" s="46">
        <f>ABS(ROUND(SUMIF('Trial Balance'!S:S,T65,'Trial Balance'!J:J),0))</f>
        <v/>
      </c>
      <c r="D65" s="46">
        <f>ABS(ROUND(SUMIF('Trial Balance'!S:S,T65,'Trial Balance'!I:I),0))</f>
        <v/>
      </c>
      <c r="E65" s="46">
        <f>B65+C65-D65</f>
        <v/>
      </c>
      <c r="T65">
        <f>A65&amp;" - "&amp;"ADJE"</f>
        <v/>
      </c>
    </row>
    <row r="66" spans="1:20">
      <c r="A66" s="45" t="s">
        <v>2216</v>
      </c>
      <c r="B66" s="46">
        <f>ABS(ROUND(SUMIF('Trial Balance'!S:S,T66,'Trial Balance'!H:H),0))</f>
        <v/>
      </c>
      <c r="C66" s="46">
        <f>ABS(ROUND(SUMIF('Trial Balance'!S:S,T66,'Trial Balance'!J:J),0))</f>
        <v/>
      </c>
      <c r="D66" s="46">
        <f>ABS(ROUND(SUMIF('Trial Balance'!S:S,T66,'Trial Balance'!I:I),0))</f>
        <v/>
      </c>
      <c r="E66" s="46">
        <f>B66+C66-D66</f>
        <v/>
      </c>
      <c r="T66">
        <f>A66&amp;" - "&amp;"ADJE"</f>
        <v/>
      </c>
    </row>
    <row r="67" spans="1:20">
      <c r="A67" s="45" t="s">
        <v>2213</v>
      </c>
      <c r="B67" s="46">
        <f>ABS(ROUND(SUMIF('Trial Balance'!S:S,T67,'Trial Balance'!H:H),0))</f>
        <v/>
      </c>
      <c r="C67" s="46">
        <f>ABS(ROUND(SUMIF('Trial Balance'!S:S,T67,'Trial Balance'!J:J),0))</f>
        <v/>
      </c>
      <c r="D67" s="46">
        <f>ABS(ROUND(SUMIF('Trial Balance'!S:S,T67,'Trial Balance'!I:I),0))</f>
        <v/>
      </c>
      <c r="E67" s="46">
        <f>B67+C67-D67</f>
        <v/>
      </c>
      <c r="T67">
        <f>A67&amp;" - "&amp;"ADJE"</f>
        <v/>
      </c>
    </row>
    <row r="68" spans="1:20">
      <c r="A68" s="45" t="s">
        <v>2214</v>
      </c>
      <c r="B68" s="46">
        <f>ABS(ROUND(SUMIF('Trial Balance'!S:S,T68,'Trial Balance'!H:H),0))</f>
        <v/>
      </c>
      <c r="C68" s="46">
        <f>ABS(ROUND(SUMIF('Trial Balance'!S:S,T68,'Trial Balance'!J:J),0))</f>
        <v/>
      </c>
      <c r="D68" s="46">
        <f>ABS(ROUND(SUMIF('Trial Balance'!S:S,T68,'Trial Balance'!I:I),0))</f>
        <v/>
      </c>
      <c r="E68" s="46">
        <f>B68+C68-D68</f>
        <v/>
      </c>
      <c r="T68">
        <f>A68&amp;" - "&amp;"ADJE"</f>
        <v/>
      </c>
    </row>
    <row r="69" spans="1:20">
      <c r="A69" s="44" t="s">
        <v>2219</v>
      </c>
      <c r="B69" s="76">
        <f>SUM(B60:B68)</f>
        <v/>
      </c>
      <c r="C69" s="76">
        <f>SUM(C60:C68)</f>
        <v/>
      </c>
      <c r="D69" s="76">
        <f>SUM(D60:D68)</f>
        <v/>
      </c>
      <c r="E69" s="76">
        <f>SUM(E60:E68)</f>
        <v/>
      </c>
      <c r="G69" s="9">
        <f>N37-B69</f>
        <v/>
      </c>
      <c r="H69" s="9">
        <f>O37-E69</f>
        <v/>
      </c>
      <c r="I69" s="140">
        <f>'1. F10'!D31</f>
        <v/>
      </c>
      <c r="J69" s="140">
        <f>'1. F10'!E31</f>
        <v/>
      </c>
      <c r="K69" s="130">
        <f>G69-I69</f>
        <v/>
      </c>
      <c r="L69" s="130">
        <f>H69-J69</f>
        <v/>
      </c>
    </row>
    <row r="70" spans="1:20">
      <c r="A70" s="45" t="s">
        <v>2221</v>
      </c>
      <c r="B70" s="46">
        <f>ABS(ROUND(SUMIF('Trial Balance'!S:S,T70,'Trial Balance'!H:H),0))</f>
        <v/>
      </c>
      <c r="C70" s="46">
        <f>ABS(ROUND(SUMIF('Trial Balance'!S:S,T70,'Trial Balance'!J:J),0))</f>
        <v/>
      </c>
      <c r="D70" s="46">
        <f>ABS(ROUND(SUMIF('Trial Balance'!S:S,T70,'Trial Balance'!I:I),0))</f>
        <v/>
      </c>
      <c r="E70" s="46">
        <f>B70+C70-D70</f>
        <v/>
      </c>
      <c r="T70">
        <f>A70&amp;" - "&amp;"ADJE"</f>
        <v/>
      </c>
    </row>
    <row r="71" spans="1:20">
      <c r="A71" s="45" t="s">
        <v>2223</v>
      </c>
      <c r="B71" s="46">
        <f>ABS(ROUND(SUMIF('Trial Balance'!S:S,T71,'Trial Balance'!H:H),0))</f>
        <v/>
      </c>
      <c r="C71" s="46">
        <f>ABS(ROUND(SUMIF('Trial Balance'!S:S,T71,'Trial Balance'!J:J),0))</f>
        <v/>
      </c>
      <c r="D71" s="46">
        <f>ABS(ROUND(SUMIF('Trial Balance'!S:S,T71,'Trial Balance'!I:I),0))</f>
        <v/>
      </c>
      <c r="E71" s="46">
        <f>B71+C71-D71</f>
        <v/>
      </c>
      <c r="T71">
        <f>A71&amp;" - "&amp;"ADJE"</f>
        <v/>
      </c>
    </row>
    <row r="72" spans="1:20">
      <c r="A72" s="45" t="s">
        <v>2237</v>
      </c>
      <c r="B72" s="46">
        <f>ABS(ROUND(SUMIF('Trial Balance'!S:S,T72,'Trial Balance'!H:H),0))</f>
        <v/>
      </c>
      <c r="C72" s="46">
        <f>ABS(ROUND(SUMIF('Trial Balance'!S:S,T72,'Trial Balance'!J:J),0))</f>
        <v/>
      </c>
      <c r="D72" s="46">
        <f>ABS(ROUND(SUMIF('Trial Balance'!S:S,T72,'Trial Balance'!I:I),0))</f>
        <v/>
      </c>
      <c r="E72" s="46">
        <f>B72+C72-D72</f>
        <v/>
      </c>
      <c r="T72">
        <f>A72&amp;" - "&amp;"ADJE"</f>
        <v/>
      </c>
    </row>
    <row r="73" spans="1:20">
      <c r="A73" s="44" t="s">
        <v>2227</v>
      </c>
      <c r="B73" s="76">
        <f>SUM(B70:B72)</f>
        <v/>
      </c>
      <c r="C73" s="76">
        <f>SUM(C70:C72)</f>
        <v/>
      </c>
      <c r="D73" s="76">
        <f>SUM(D70:D72)</f>
        <v/>
      </c>
      <c r="E73" s="76">
        <f>SUM(E70:E72)</f>
        <v/>
      </c>
      <c r="G73" s="9">
        <f>N46-B73</f>
        <v/>
      </c>
      <c r="H73" s="9">
        <f>O46-E73</f>
        <v/>
      </c>
      <c r="I73" s="140">
        <f>'1. F10'!D39</f>
        <v/>
      </c>
      <c r="J73" s="140">
        <f>'1. F10'!E39</f>
        <v/>
      </c>
      <c r="K73" s="130">
        <f>G73-I73</f>
        <v/>
      </c>
      <c r="L73" s="130">
        <f>H73-J73</f>
        <v/>
      </c>
    </row>
    <row r="74" spans="1:20" ht="12.65" customHeight="1" thickBot="1"/>
    <row r="75" spans="1:20" ht="12.65" customHeight="1" thickBot="1">
      <c r="A75" s="141" t="s">
        <v>2238</v>
      </c>
      <c r="B75" s="142">
        <f>B73+B70+B59</f>
        <v/>
      </c>
      <c r="C75" s="142">
        <f>C73+C70+C59</f>
        <v/>
      </c>
      <c r="D75" s="142">
        <f>D73+D70+D59</f>
        <v/>
      </c>
      <c r="E75" s="143">
        <f>E73+E70+E59</f>
        <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I27"/>
  <sheetViews>
    <sheetView showGridLines="0" workbookViewId="0">
      <selection activeCell="B1" sqref="B1:B7"/>
    </sheetView>
  </sheetViews>
  <sheetFormatPr baseColWidth="8" defaultRowHeight="12" outlineLevelCol="1"/>
  <cols>
    <col width="33.33203125" bestFit="1" customWidth="1" min="1" max="1"/>
    <col width="11.6640625" bestFit="1" customWidth="1" min="2" max="2"/>
    <col width="18" bestFit="1" customWidth="1" min="3" max="3"/>
    <col width="11.6640625" bestFit="1" customWidth="1" min="4" max="4"/>
    <col width="11.44140625" bestFit="1" customWidth="1" min="5" max="5"/>
    <col width="19.44140625" bestFit="1" customWidth="1" min="6" max="6"/>
    <col width="11.6640625" bestFit="1" customWidth="1" min="7" max="7"/>
    <col outlineLevel="1" width="9.109375" customWidth="1" min="9" max="9"/>
  </cols>
  <sheetData>
    <row r="1" spans="1:9">
      <c r="A1" s="1">
        <f>'N3 - NCA'!A1</f>
        <v/>
      </c>
      <c r="B1" s="18">
        <f>'N3 - NCA'!B1</f>
        <v/>
      </c>
    </row>
    <row r="2" spans="1:9">
      <c r="A2" s="1">
        <f>'N3 - NCA'!A2</f>
        <v/>
      </c>
      <c r="B2" s="18">
        <f>'N3 - NCA'!B2</f>
        <v/>
      </c>
    </row>
    <row r="3" spans="1:9">
      <c r="A3" s="1">
        <f>'N3 - NCA'!A3</f>
        <v/>
      </c>
      <c r="B3" s="18">
        <f>'N3 - NCA'!B3</f>
        <v/>
      </c>
    </row>
    <row r="4" spans="1:9">
      <c r="A4" s="1">
        <f>'N3 - NCA'!A4</f>
        <v/>
      </c>
      <c r="B4" s="18">
        <f>'N3 - NCA'!B4</f>
        <v/>
      </c>
    </row>
    <row r="5" spans="1:9">
      <c r="A5" s="1">
        <f>'N3 - NCA'!A5</f>
        <v/>
      </c>
      <c r="B5" s="18">
        <f>'N3 - NCA'!B5</f>
        <v/>
      </c>
    </row>
    <row r="6" spans="1:9">
      <c r="A6" s="1">
        <f>'N3 - NCA'!A6</f>
        <v/>
      </c>
      <c r="B6" s="18">
        <f>'N3 - NCA'!B6</f>
        <v/>
      </c>
    </row>
    <row r="7" spans="1:9">
      <c r="A7" s="1">
        <f>'N3 - NCA'!A7</f>
        <v/>
      </c>
      <c r="B7" s="18">
        <f>'N3 - NCA'!B7</f>
        <v/>
      </c>
    </row>
    <row r="9" spans="1:9">
      <c r="A9" s="3" t="s">
        <v>2239</v>
      </c>
    </row>
    <row r="11" spans="1:9">
      <c r="A11" s="144" t="n"/>
      <c r="B11" s="122">
        <f>'Trial Balance'!J6</f>
        <v/>
      </c>
      <c r="C11" s="145" t="n"/>
      <c r="D11" s="145" t="n"/>
      <c r="E11" s="122">
        <f>'Trial Balance'!K6</f>
        <v/>
      </c>
      <c r="F11" s="145" t="n"/>
      <c r="G11" s="146" t="n"/>
    </row>
    <row r="12" spans="1:9">
      <c r="A12" s="125" t="n"/>
      <c r="B12" s="127" t="s">
        <v>2240</v>
      </c>
      <c r="C12" s="127" t="s">
        <v>2185</v>
      </c>
      <c r="D12" s="127" t="s">
        <v>2241</v>
      </c>
      <c r="E12" s="127" t="s">
        <v>2240</v>
      </c>
      <c r="F12" s="127" t="s">
        <v>2185</v>
      </c>
      <c r="G12" s="129" t="s">
        <v>1065</v>
      </c>
    </row>
    <row r="13" spans="1:9">
      <c r="A13" s="45" t="s">
        <v>2242</v>
      </c>
      <c r="B13" s="46">
        <f>ROUND(SUMIF('Trial Balance'!S:S,A13,'Trial Balance'!H:H),0)</f>
        <v/>
      </c>
      <c r="C13" s="46">
        <f>-ROUND(SUMIF('Trial Balance'!S:S,I13,'Trial Balance'!H:H),2)</f>
        <v/>
      </c>
      <c r="D13" s="46">
        <f>B13-C13</f>
        <v/>
      </c>
      <c r="E13" s="46">
        <f>ROUND(SUMIF('Trial Balance'!S:S,A13,'Trial Balance'!K:K),0)</f>
        <v/>
      </c>
      <c r="F13" s="46">
        <f>-ROUND(SUMIF('Trial Balance'!S:S,I13,'Trial Balance'!K:K),0)</f>
        <v/>
      </c>
      <c r="G13" s="46">
        <f>E13-F13</f>
        <v/>
      </c>
      <c r="I13" t="s">
        <v>2243</v>
      </c>
    </row>
    <row r="14" spans="1:9">
      <c r="A14" s="45" t="s">
        <v>2244</v>
      </c>
      <c r="B14" s="46">
        <f>SUMIF('Trial Balance'!S:S,A14,'Trial Balance'!H:H)</f>
        <v/>
      </c>
      <c r="C14" s="46">
        <f>-ROUND(SUMIF('Trial Balance'!S:S,I14,'Trial Balance'!H:H),2)</f>
        <v/>
      </c>
      <c r="D14" s="46">
        <f>B14-C14</f>
        <v/>
      </c>
      <c r="E14" s="46">
        <f>ROUND(SUMIF('Trial Balance'!S:S,A14,'Trial Balance'!K:K),0)</f>
        <v/>
      </c>
      <c r="F14" s="46">
        <f>-ROUND(SUMIF('Trial Balance'!S:S,I14,'Trial Balance'!K:K),0)</f>
        <v/>
      </c>
      <c r="G14" s="46">
        <f>E14-F14</f>
        <v/>
      </c>
      <c r="I14" t="s">
        <v>2245</v>
      </c>
    </row>
    <row r="15" spans="1:9">
      <c r="A15" s="45" t="s">
        <v>2246</v>
      </c>
      <c r="B15" s="46">
        <f>SUMIF('Trial Balance'!S:S,A15,'Trial Balance'!H:H)</f>
        <v/>
      </c>
      <c r="C15" s="46">
        <f>-ROUND(SUMIF('Trial Balance'!S:S,I15,'Trial Balance'!H:H),2)</f>
        <v/>
      </c>
      <c r="D15" s="46">
        <f>B15-C15</f>
        <v/>
      </c>
      <c r="E15" s="46">
        <f>ROUND(SUMIF('Trial Balance'!S:S,A15,'Trial Balance'!K:K),0)</f>
        <v/>
      </c>
      <c r="F15" s="46">
        <f>-ROUND(SUMIF('Trial Balance'!S:S,I15,'Trial Balance'!K:K),0)</f>
        <v/>
      </c>
      <c r="G15" s="46">
        <f>E15-F15</f>
        <v/>
      </c>
      <c r="I15" t="s">
        <v>2247</v>
      </c>
    </row>
    <row r="16" spans="1:9">
      <c r="A16" s="45" t="s">
        <v>2248</v>
      </c>
      <c r="B16" s="46">
        <f>SUMIF('Trial Balance'!S:S,A16,'Trial Balance'!H:H)</f>
        <v/>
      </c>
      <c r="C16" s="46">
        <f>-ROUND(SUMIF('Trial Balance'!S:S,I16,'Trial Balance'!H:H),2)</f>
        <v/>
      </c>
      <c r="D16" s="46">
        <f>B16-C16</f>
        <v/>
      </c>
      <c r="E16" s="46">
        <f>ROUND(SUMIF('Trial Balance'!S:S,A16,'Trial Balance'!K:K),0)</f>
        <v/>
      </c>
      <c r="F16" s="46">
        <f>-ROUND(SUMIF('Trial Balance'!S:S,I16,'Trial Balance'!K:K),0)</f>
        <v/>
      </c>
      <c r="G16" s="46">
        <f>E16-F16</f>
        <v/>
      </c>
      <c r="I16" t="s">
        <v>2249</v>
      </c>
    </row>
    <row r="17" spans="1:9">
      <c r="A17" s="45" t="s">
        <v>2250</v>
      </c>
      <c r="B17" s="46">
        <f>SUMIF('Trial Balance'!S:S,A17,'Trial Balance'!H:H)</f>
        <v/>
      </c>
      <c r="C17" s="46">
        <f>-ROUND(SUMIF('Trial Balance'!S:S,I17,'Trial Balance'!H:H),2)</f>
        <v/>
      </c>
      <c r="D17" s="46">
        <f>B17-C17</f>
        <v/>
      </c>
      <c r="E17" s="46">
        <f>ROUND(SUMIF('Trial Balance'!S:S,A17,'Trial Balance'!K:K),0)</f>
        <v/>
      </c>
      <c r="F17" s="46">
        <f>-ROUND(SUMIF('Trial Balance'!S:S,I17,'Trial Balance'!K:K),0)</f>
        <v/>
      </c>
      <c r="G17" s="46">
        <f>E17-F17</f>
        <v/>
      </c>
      <c r="I17" t="s">
        <v>2251</v>
      </c>
    </row>
    <row r="18" spans="1:9">
      <c r="A18" s="45" t="s">
        <v>2252</v>
      </c>
      <c r="B18" s="46">
        <f>SUMIF('Trial Balance'!S:S,A18,'Trial Balance'!H:H)</f>
        <v/>
      </c>
      <c r="C18" s="46">
        <f>-ROUND(SUMIF('Trial Balance'!S:S,I18,'Trial Balance'!H:H),2)</f>
        <v/>
      </c>
      <c r="D18" s="46">
        <f>B18-C18</f>
        <v/>
      </c>
      <c r="E18" s="46">
        <f>ROUND(SUMIF('Trial Balance'!S:S,A18,'Trial Balance'!K:K),0)</f>
        <v/>
      </c>
      <c r="F18" s="46">
        <f>-ROUND(SUMIF('Trial Balance'!S:S,I18,'Trial Balance'!K:K),0)</f>
        <v/>
      </c>
      <c r="G18" s="46">
        <f>E18-F18</f>
        <v/>
      </c>
      <c r="I18" t="s">
        <v>2253</v>
      </c>
    </row>
    <row r="19" spans="1:9">
      <c r="A19" s="45" t="s">
        <v>2254</v>
      </c>
      <c r="B19" s="46">
        <f>SUMIF('Trial Balance'!S:S,A19,'Trial Balance'!H:H)</f>
        <v/>
      </c>
      <c r="C19" s="46">
        <f>-ROUND(SUMIF('Trial Balance'!S:S,I19,'Trial Balance'!H:H),2)</f>
        <v/>
      </c>
      <c r="D19" s="46">
        <f>B19-C19</f>
        <v/>
      </c>
      <c r="E19" s="46">
        <f>ROUND(SUMIF('Trial Balance'!S:S,A19,'Trial Balance'!K:K),0)</f>
        <v/>
      </c>
      <c r="F19" s="46">
        <f>-ROUND(SUMIF('Trial Balance'!S:S,I19,'Trial Balance'!K:K),0)</f>
        <v/>
      </c>
      <c r="G19" s="46">
        <f>E19-F19</f>
        <v/>
      </c>
      <c r="I19" t="s">
        <v>2255</v>
      </c>
    </row>
    <row r="20" spans="1:9">
      <c r="A20" s="45" t="s">
        <v>2256</v>
      </c>
      <c r="B20" s="46">
        <f>SUMIF('Trial Balance'!S:S,A20,'Trial Balance'!H:H)</f>
        <v/>
      </c>
      <c r="C20" s="46">
        <f>-ROUND(SUMIF('Trial Balance'!S:S,I20,'Trial Balance'!H:H),2)</f>
        <v/>
      </c>
      <c r="D20" s="46">
        <f>B20-C20</f>
        <v/>
      </c>
      <c r="E20" s="46">
        <f>ROUND(SUMIF('Trial Balance'!S:S,A20,'Trial Balance'!K:K),0)</f>
        <v/>
      </c>
      <c r="F20" s="46">
        <f>-ROUND(SUMIF('Trial Balance'!S:S,I20,'Trial Balance'!K:K),0)</f>
        <v/>
      </c>
      <c r="G20" s="46">
        <f>E20-F20</f>
        <v/>
      </c>
      <c r="I20" t="s">
        <v>2257</v>
      </c>
    </row>
    <row r="21" spans="1:9">
      <c r="A21" s="45" t="s">
        <v>2258</v>
      </c>
      <c r="B21" s="46">
        <f>SUMIF('Trial Balance'!S:S,A21,'Trial Balance'!H:H)</f>
        <v/>
      </c>
      <c r="C21" s="46">
        <f>-ROUND(SUMIF('Trial Balance'!S:S,I21,'Trial Balance'!H:H),2)</f>
        <v/>
      </c>
      <c r="D21" s="46">
        <f>B21-C21</f>
        <v/>
      </c>
      <c r="E21" s="46">
        <f>ROUND(SUMIF('Trial Balance'!S:S,A21,'Trial Balance'!K:K),0)</f>
        <v/>
      </c>
      <c r="F21" s="46">
        <f>-ROUND(SUMIF('Trial Balance'!S:S,I21,'Trial Balance'!K:K),0)</f>
        <v/>
      </c>
      <c r="G21" s="46">
        <f>E21-F21</f>
        <v/>
      </c>
      <c r="I21" t="s">
        <v>2259</v>
      </c>
    </row>
    <row r="22" spans="1:9">
      <c r="A22" s="45" t="s">
        <v>2260</v>
      </c>
      <c r="B22" s="46">
        <f>SUMIF('Trial Balance'!S:S,A22,'Trial Balance'!H:H)</f>
        <v/>
      </c>
      <c r="C22" s="46">
        <f>-ROUND(SUMIF('Trial Balance'!S:S,I22,'Trial Balance'!H:H),2)</f>
        <v/>
      </c>
      <c r="D22" s="46">
        <f>B22-C22</f>
        <v/>
      </c>
      <c r="E22" s="46">
        <f>ROUND(SUMIF('Trial Balance'!S:S,A22,'Trial Balance'!K:K),0)</f>
        <v/>
      </c>
      <c r="F22" s="46">
        <f>-ROUND(SUMIF('Trial Balance'!S:S,I22,'Trial Balance'!K:K),0)</f>
        <v/>
      </c>
      <c r="G22" s="46">
        <f>E22-F22</f>
        <v/>
      </c>
      <c r="I22" t="s">
        <v>2261</v>
      </c>
    </row>
    <row r="23" spans="1:9">
      <c r="A23" s="45" t="s">
        <v>2262</v>
      </c>
      <c r="B23" s="46">
        <f>SUMIF('Trial Balance'!S:S,A23,'Trial Balance'!H:H)</f>
        <v/>
      </c>
      <c r="C23" s="46">
        <f>-ROUND(SUMIF('Trial Balance'!S:S,I23,'Trial Balance'!H:H),2)</f>
        <v/>
      </c>
      <c r="D23" s="46">
        <f>B23-C23</f>
        <v/>
      </c>
      <c r="E23" s="46">
        <f>ROUND(SUMIF('Trial Balance'!S:S,A23,'Trial Balance'!K:K),0)</f>
        <v/>
      </c>
      <c r="F23" s="46">
        <f>-ROUND(SUMIF('Trial Balance'!S:S,I23,'Trial Balance'!K:K),0)</f>
        <v/>
      </c>
      <c r="G23" s="46">
        <f>E23-F23</f>
        <v/>
      </c>
      <c r="I23" t="s">
        <v>2263</v>
      </c>
    </row>
    <row r="24" spans="1:9">
      <c r="A24" s="45" t="s">
        <v>2264</v>
      </c>
      <c r="B24" s="46">
        <f>SUMIF('Trial Balance'!S:S,A24,'Trial Balance'!H:H)</f>
        <v/>
      </c>
      <c r="C24" s="46">
        <f>-ROUND(SUMIF('Trial Balance'!S:S,I24,'Trial Balance'!H:H),2)</f>
        <v/>
      </c>
      <c r="D24" s="46">
        <f>B24-C24</f>
        <v/>
      </c>
      <c r="E24" s="46">
        <f>ROUND(SUMIF('Trial Balance'!S:S,A24,'Trial Balance'!K:K),0)</f>
        <v/>
      </c>
      <c r="F24" s="46">
        <f>-ROUND(SUMIF('Trial Balance'!S:S,I24,'Trial Balance'!K:K),0)</f>
        <v/>
      </c>
      <c r="G24" s="46">
        <f>E24-F24</f>
        <v/>
      </c>
      <c r="I24" t="s">
        <v>2265</v>
      </c>
    </row>
    <row r="25" spans="1:9">
      <c r="A25" s="3" t="s">
        <v>1065</v>
      </c>
      <c r="B25" s="25">
        <f>SUM(B13:B24)</f>
        <v/>
      </c>
      <c r="C25" s="25">
        <f>SUM(C13:C24)</f>
        <v/>
      </c>
      <c r="D25" s="25">
        <f>SUM(D13:D24)</f>
        <v/>
      </c>
      <c r="E25" s="25">
        <f>SUM(E13:E24)</f>
        <v/>
      </c>
      <c r="F25" s="25">
        <f>SUM(F13:F24)</f>
        <v/>
      </c>
      <c r="G25" s="25">
        <f>SUM(G13:G24)</f>
        <v/>
      </c>
    </row>
    <row r="26" spans="1:9" ht="12.65" customHeight="1" thickBot="1">
      <c r="F26" s="16" t="s">
        <v>2266</v>
      </c>
      <c r="G26" s="55">
        <f>'1. F10'!E47</f>
        <v/>
      </c>
    </row>
    <row r="27" spans="1:9" ht="12.65" customHeight="1" thickTop="1">
      <c r="F27" s="26" t="s">
        <v>796</v>
      </c>
      <c r="G27" s="130">
        <f>G25-G26</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48"/>
  <sheetViews>
    <sheetView showGridLines="0" workbookViewId="0">
      <selection activeCell="B1" sqref="B1:B7"/>
    </sheetView>
  </sheetViews>
  <sheetFormatPr baseColWidth="8" defaultColWidth="47.77734375" defaultRowHeight="12" outlineLevelCol="0"/>
  <cols>
    <col width="41.109375" bestFit="1" customWidth="1" min="1" max="1"/>
    <col width="77.109375" bestFit="1" customWidth="1" min="2" max="2"/>
    <col width="10.44140625" bestFit="1" customWidth="1" min="3" max="3"/>
    <col width="21.44140625" bestFit="1" customWidth="1" min="4" max="4"/>
    <col width="15.109375" bestFit="1" customWidth="1" min="5" max="5"/>
    <col width="15.33203125" bestFit="1" customWidth="1" min="6" max="6"/>
    <col width="10.44140625" bestFit="1" customWidth="1" min="7" max="7"/>
    <col width="11.109375" bestFit="1" customWidth="1" min="8" max="8"/>
  </cols>
  <sheetData>
    <row r="1" spans="1:8">
      <c r="A1" s="1">
        <f>'Trial Balance'!A1</f>
        <v/>
      </c>
      <c r="B1" s="18">
        <f>'Trial Balance'!B1</f>
        <v/>
      </c>
    </row>
    <row r="2" spans="1:8">
      <c r="A2" s="1">
        <f>'Trial Balance'!A2</f>
        <v/>
      </c>
      <c r="B2" s="18">
        <f>'Trial Balance'!B2</f>
        <v/>
      </c>
    </row>
    <row r="3" spans="1:8">
      <c r="A3" s="1">
        <f>'Trial Balance'!A3</f>
        <v/>
      </c>
      <c r="B3" s="18">
        <f>'Trial Balance'!B3</f>
        <v/>
      </c>
    </row>
    <row r="4" spans="1:8">
      <c r="A4" s="1">
        <f>'Trial Balance'!A4</f>
        <v/>
      </c>
      <c r="B4" s="18">
        <f>'Trial Balance'!B4</f>
        <v/>
      </c>
    </row>
    <row r="5" spans="1:8">
      <c r="A5" s="1">
        <f>'Trial Balance'!A5</f>
        <v/>
      </c>
      <c r="B5" s="18">
        <f>'Trial Balance'!B5</f>
        <v/>
      </c>
    </row>
    <row r="6" spans="1:8">
      <c r="A6" s="1">
        <f>'Trial Balance'!A6</f>
        <v/>
      </c>
      <c r="B6" s="18">
        <f>'Trial Balance'!B6</f>
        <v/>
      </c>
    </row>
    <row r="7" spans="1:8">
      <c r="A7" s="1">
        <f>'Trial Balance'!A7</f>
        <v/>
      </c>
      <c r="B7" s="18">
        <f>'Trial Balance'!B7</f>
        <v/>
      </c>
    </row>
    <row r="9" spans="1:8">
      <c r="A9" s="3" t="s">
        <v>2267</v>
      </c>
    </row>
    <row r="11" spans="1:8" ht="12" customHeight="1">
      <c r="A11" s="131" t="n"/>
      <c r="B11" s="131" t="s">
        <v>2268</v>
      </c>
      <c r="C11" s="131">
        <f>'Trial Balance'!J6</f>
        <v/>
      </c>
      <c r="D11" s="131">
        <f>'Trial Balance'!K6</f>
        <v/>
      </c>
      <c r="E11" s="184" t="s">
        <v>2269</v>
      </c>
      <c r="F11" s="185" t="s">
        <v>2270</v>
      </c>
    </row>
    <row r="12" spans="1:8" ht="12.65" customHeight="1">
      <c r="A12" s="131" t="n"/>
      <c r="B12" s="131" t="n"/>
      <c r="C12" s="131" t="n"/>
      <c r="D12" s="131" t="n"/>
      <c r="E12" s="131" t="n"/>
      <c r="F12" s="131" t="n"/>
    </row>
    <row r="13" spans="1:8">
      <c r="A13" s="131" t="n"/>
      <c r="B13" s="131" t="n"/>
      <c r="C13" s="131" t="n"/>
      <c r="D13" s="131" t="n"/>
      <c r="E13" s="147" t="s">
        <v>2271</v>
      </c>
      <c r="F13" s="147" t="s">
        <v>2272</v>
      </c>
    </row>
    <row r="14" spans="1:8">
      <c r="A14" s="45" t="n">
        <v>1</v>
      </c>
      <c r="B14" s="45" t="s">
        <v>2273</v>
      </c>
      <c r="C14" s="46">
        <f>ROUND(SUMIF('Trial Balance'!S:S,B14,'Trial Balance'!H:H),0)</f>
        <v/>
      </c>
      <c r="D14" s="46">
        <f>ROUND(SUMIF('Trial Balance'!S:S,B14,'Trial Balance'!K:K),0)</f>
        <v/>
      </c>
      <c r="E14" s="49" t="n"/>
      <c r="F14" s="49" t="n"/>
    </row>
    <row r="15" spans="1:8">
      <c r="A15" s="45" t="n">
        <v>2</v>
      </c>
      <c r="B15" s="45" t="s">
        <v>2274</v>
      </c>
      <c r="C15" s="46">
        <f>ROUND(SUMIF('Trial Balance'!S:S,B15,'Trial Balance'!H:H),0)</f>
        <v/>
      </c>
      <c r="D15" s="46">
        <f>ROUND(SUMIF('Trial Balance'!S:S,B15,'Trial Balance'!K:K),0)</f>
        <v/>
      </c>
      <c r="E15" s="49" t="n"/>
      <c r="F15" s="49" t="n"/>
    </row>
    <row r="16" spans="1:8">
      <c r="A16" s="45" t="n">
        <v>3</v>
      </c>
      <c r="B16" s="45" t="s">
        <v>2275</v>
      </c>
      <c r="C16" s="46">
        <f>ROUND(SUMIF('Trial Balance'!S:S,B16,'Trial Balance'!H:H),0)</f>
        <v/>
      </c>
      <c r="D16" s="46">
        <f>ROUND(SUMIF('Trial Balance'!S:S,B16,'Trial Balance'!K:K),0)</f>
        <v/>
      </c>
      <c r="E16" s="49" t="n"/>
      <c r="F16" s="49" t="n"/>
      <c r="G16" s="38" t="n"/>
      <c r="H16" s="38" t="n"/>
    </row>
    <row r="17" spans="1:8">
      <c r="A17" s="45" t="n">
        <v>3</v>
      </c>
      <c r="B17" s="45" t="s">
        <v>2276</v>
      </c>
      <c r="C17" s="76">
        <f>SUM(C14:C16)</f>
        <v/>
      </c>
      <c r="D17" s="76">
        <f>SUM(D14:D16)</f>
        <v/>
      </c>
      <c r="E17" s="49" t="n"/>
      <c r="F17" s="49" t="n"/>
    </row>
    <row r="18" spans="1:8">
      <c r="A18" s="45" t="n">
        <v>4</v>
      </c>
      <c r="B18" s="45" t="s">
        <v>2277</v>
      </c>
      <c r="C18" s="46">
        <f>-ROUND(SUMIF('Trial Balance'!S:S,B18,'Trial Balance'!H:H),0)</f>
        <v/>
      </c>
      <c r="D18" s="46">
        <f>-ROUND(SUMIF('Trial Balance'!S:S,B18,'Trial Balance'!K:K),0)</f>
        <v/>
      </c>
      <c r="E18" s="49" t="n"/>
      <c r="F18" s="49" t="n"/>
      <c r="G18" s="70" t="s">
        <v>1998</v>
      </c>
      <c r="H18" s="38" t="s">
        <v>796</v>
      </c>
    </row>
    <row r="19" spans="1:8">
      <c r="A19" s="44" t="s">
        <v>2278</v>
      </c>
      <c r="B19" s="44" t="s">
        <v>2279</v>
      </c>
      <c r="C19" s="76">
        <f>C17-C18</f>
        <v/>
      </c>
      <c r="D19" s="76">
        <f>D17-D18</f>
        <v/>
      </c>
      <c r="E19" s="49" t="n"/>
      <c r="F19" s="49" t="n"/>
      <c r="G19" s="25">
        <f>'1. F10'!E49</f>
        <v/>
      </c>
      <c r="H19" s="27">
        <f>D19-G19</f>
        <v/>
      </c>
    </row>
    <row r="20" spans="1:8">
      <c r="A20" s="45" t="n"/>
      <c r="B20" s="45" t="n"/>
      <c r="C20" s="45" t="n"/>
      <c r="D20" s="45" t="n"/>
      <c r="E20" s="49" t="n"/>
      <c r="F20" s="49" t="n"/>
    </row>
    <row r="21" spans="1:8">
      <c r="A21" s="45" t="n">
        <v>6</v>
      </c>
      <c r="B21" s="45" t="s">
        <v>2280</v>
      </c>
      <c r="C21" s="46">
        <f>ROUND(SUMIF('Trial Balance'!S:S,B21,'Trial Balance'!H:H),0)</f>
        <v/>
      </c>
      <c r="D21" s="46">
        <f>ROUND(SUMIF('Trial Balance'!S:S,B21,'Trial Balance'!K:K),0)</f>
        <v/>
      </c>
      <c r="E21" s="49" t="n"/>
      <c r="F21" s="49" t="n"/>
    </row>
    <row r="22" spans="1:8">
      <c r="A22" s="45" t="n">
        <v>7</v>
      </c>
      <c r="B22" s="45" t="s">
        <v>2281</v>
      </c>
      <c r="C22" s="46">
        <f>ROUND(SUMIF('Trial Balance'!S:S,B22,'Trial Balance'!H:H),0)</f>
        <v/>
      </c>
      <c r="D22" s="46">
        <f>ROUND(SUMIF('Trial Balance'!S:S,B22,'Trial Balance'!K:K),0)</f>
        <v/>
      </c>
      <c r="E22" s="49" t="n"/>
      <c r="F22" s="49" t="n"/>
    </row>
    <row r="23" spans="1:8">
      <c r="A23" s="45" t="n">
        <v>8</v>
      </c>
      <c r="B23" s="45" t="s">
        <v>2282</v>
      </c>
      <c r="C23" s="46">
        <f>ROUND(SUMIF('Trial Balance'!S:S,B23,'Trial Balance'!H:H),0)</f>
        <v/>
      </c>
      <c r="D23" s="46">
        <f>ROUND(SUMIF('Trial Balance'!S:S,B23,'Trial Balance'!K:K),0)</f>
        <v/>
      </c>
      <c r="E23" s="49" t="n"/>
      <c r="F23" s="49" t="n"/>
    </row>
    <row r="24" spans="1:8" customFormat="1" s="3">
      <c r="A24" s="44" t="n">
        <v>9</v>
      </c>
      <c r="B24" s="44" t="s">
        <v>2283</v>
      </c>
      <c r="C24" s="76">
        <f>SUM(C21:C23)</f>
        <v/>
      </c>
      <c r="D24" s="76">
        <f>SUM(D21:D23)</f>
        <v/>
      </c>
      <c r="E24" s="148" t="n"/>
      <c r="F24" s="148" t="n"/>
    </row>
    <row r="25" spans="1:8">
      <c r="A25" s="45" t="n">
        <v>10</v>
      </c>
      <c r="B25" s="45" t="s">
        <v>2284</v>
      </c>
      <c r="C25" s="46">
        <f>-ROUND(SUMIF('Trial Balance'!S:S,B25,'Trial Balance'!H:H),0)</f>
        <v/>
      </c>
      <c r="D25" s="46">
        <f>-ROUND(SUMIF('Trial Balance'!S:S,B25,'Trial Balance'!K:K),0)</f>
        <v/>
      </c>
      <c r="E25" s="49" t="n"/>
      <c r="F25" s="49" t="n"/>
    </row>
    <row r="26" spans="1:8">
      <c r="A26" s="44" t="s">
        <v>2285</v>
      </c>
      <c r="B26" s="45" t="s">
        <v>2286</v>
      </c>
      <c r="C26" s="76">
        <f>C24-C25</f>
        <v/>
      </c>
      <c r="D26" s="76">
        <f>D24-D25</f>
        <v/>
      </c>
      <c r="E26" s="49" t="n"/>
      <c r="F26" s="49" t="n"/>
      <c r="G26" s="25">
        <f>'1. F10'!E50</f>
        <v/>
      </c>
      <c r="H26" s="27">
        <f>D26-G26</f>
        <v/>
      </c>
    </row>
    <row r="27" spans="1:8">
      <c r="A27" s="45" t="n"/>
      <c r="B27" s="45" t="n"/>
      <c r="C27" s="45" t="n"/>
      <c r="D27" s="45" t="n"/>
      <c r="E27" s="49" t="n"/>
      <c r="F27" s="49" t="n"/>
    </row>
    <row r="28" spans="1:8">
      <c r="A28" s="45" t="n">
        <v>12</v>
      </c>
      <c r="B28" s="45" t="s">
        <v>2287</v>
      </c>
      <c r="C28" s="46">
        <f>ROUND(SUMIF('Trial Balance'!T:T,B28,'Trial Balance'!H:H),0)</f>
        <v/>
      </c>
      <c r="D28" s="46">
        <f>ROUND(SUMIF('Trial Balance'!T:T,B28,'Trial Balance'!K:K),0)</f>
        <v/>
      </c>
      <c r="E28" s="49" t="n"/>
      <c r="F28" s="49" t="n"/>
    </row>
    <row r="29" spans="1:8">
      <c r="A29" s="45" t="n">
        <v>13</v>
      </c>
      <c r="B29" s="45" t="s">
        <v>2288</v>
      </c>
      <c r="C29" s="46">
        <f>-ROUND(SUMIF('Trial Balance'!S:S,B29,'Trial Balance'!H:H),0)</f>
        <v/>
      </c>
      <c r="D29" s="46">
        <f>-ROUND(SUMIF('Trial Balance'!S:S,B29,'Trial Balance'!K:K),0)</f>
        <v/>
      </c>
      <c r="E29" s="49" t="n"/>
      <c r="F29" s="49" t="n"/>
    </row>
    <row r="30" spans="1:8">
      <c r="A30" s="44" t="s">
        <v>2289</v>
      </c>
      <c r="B30" s="44" t="s">
        <v>2290</v>
      </c>
      <c r="C30" s="76">
        <f>C28-C29</f>
        <v/>
      </c>
      <c r="D30" s="76">
        <f>D28-D29</f>
        <v/>
      </c>
      <c r="E30" s="49" t="n"/>
      <c r="F30" s="49" t="n"/>
      <c r="G30" s="9">
        <f>'1. F10'!E52</f>
        <v/>
      </c>
      <c r="H30" s="27">
        <f>D30-G30</f>
        <v/>
      </c>
    </row>
    <row r="31" spans="1:8">
      <c r="A31" s="45" t="n">
        <v>15</v>
      </c>
      <c r="B31" s="45" t="s">
        <v>2291</v>
      </c>
      <c r="C31" s="46">
        <f>ROUND(SUMIF('Trial Balance'!S:S,B31,'Trial Balance'!H:H),0)</f>
        <v/>
      </c>
      <c r="D31" s="46">
        <f>ROUND(SUMIF('Trial Balance'!S:S,B31,'Trial Balance'!K:K),0)</f>
        <v/>
      </c>
      <c r="E31" s="49" t="n"/>
      <c r="F31" s="49" t="n"/>
    </row>
    <row r="32" spans="1:8">
      <c r="A32" s="45" t="n"/>
      <c r="B32" s="45" t="n"/>
      <c r="C32" s="45" t="n"/>
      <c r="D32" s="45" t="n"/>
      <c r="E32" s="49" t="n"/>
      <c r="F32" s="49" t="n"/>
    </row>
    <row r="33" spans="1:8">
      <c r="A33" s="44" t="s">
        <v>2292</v>
      </c>
      <c r="B33" s="44" t="s">
        <v>2293</v>
      </c>
      <c r="C33" s="76">
        <f>C19+C26+C30+C31</f>
        <v/>
      </c>
      <c r="D33" s="76">
        <f>D19+D26+D30+D31</f>
        <v/>
      </c>
      <c r="E33" s="49" t="n"/>
      <c r="F33" s="49" t="n"/>
      <c r="G33" s="25">
        <f>'1. F10'!E55</f>
        <v/>
      </c>
      <c r="H33" s="27">
        <f>D33-G33</f>
        <v/>
      </c>
    </row>
    <row r="38" spans="1:8" ht="14.5" customHeight="1">
      <c r="A38" s="71" t="s">
        <v>2287</v>
      </c>
      <c r="B38" s="71">
        <f>C11</f>
        <v/>
      </c>
      <c r="C38" s="71">
        <f>D11</f>
        <v/>
      </c>
      <c r="D38" s="71" t="s">
        <v>2294</v>
      </c>
      <c r="E38" s="71" t="n"/>
      <c r="F38" s="71" t="n"/>
    </row>
    <row r="39" spans="1:8">
      <c r="A39" s="71" t="n"/>
      <c r="B39" s="71" t="n"/>
      <c r="C39" s="71" t="n"/>
      <c r="D39" s="44" t="s">
        <v>2271</v>
      </c>
      <c r="E39" s="44" t="s">
        <v>2295</v>
      </c>
      <c r="F39" s="44" t="s">
        <v>2296</v>
      </c>
    </row>
    <row r="40" spans="1:8">
      <c r="A40" s="45" t="s">
        <v>2297</v>
      </c>
      <c r="B40" s="46">
        <f>ROUND(SUMIF('Trial Balance'!S:S,A40,'Trial Balance'!H:H),0)</f>
        <v/>
      </c>
      <c r="C40" s="46">
        <f>ROUND(SUMIF('Trial Balance'!S:S,A40,'Trial Balance'!K:K),0)</f>
        <v/>
      </c>
      <c r="D40" s="49" t="n"/>
      <c r="E40" s="49" t="n"/>
      <c r="F40" s="49" t="n"/>
    </row>
    <row r="41" spans="1:8">
      <c r="A41" s="45" t="s">
        <v>2298</v>
      </c>
      <c r="B41" s="46">
        <f>ROUND(SUMIF('Trial Balance'!S:S,A41,'Trial Balance'!H:H),0)</f>
        <v/>
      </c>
      <c r="C41" s="46">
        <f>ROUND(SUMIF('Trial Balance'!S:S,A41,'Trial Balance'!K:K),0)</f>
        <v/>
      </c>
      <c r="D41" s="49" t="n"/>
      <c r="E41" s="49" t="n"/>
      <c r="F41" s="49" t="n"/>
    </row>
    <row r="42" spans="1:8">
      <c r="A42" s="45" t="s">
        <v>2299</v>
      </c>
      <c r="B42" s="46">
        <f>ROUND(SUMIF('Trial Balance'!S:S,A42,'Trial Balance'!H:H),0)</f>
        <v/>
      </c>
      <c r="C42" s="46">
        <f>ROUND(SUMIF('Trial Balance'!S:S,A42,'Trial Balance'!K:K),0)</f>
        <v/>
      </c>
      <c r="D42" s="49" t="n"/>
      <c r="E42" s="49" t="n"/>
      <c r="F42" s="49" t="n"/>
    </row>
    <row r="43" spans="1:8">
      <c r="A43" s="45" t="s">
        <v>2300</v>
      </c>
      <c r="B43" s="46">
        <f>ROUND(SUMIF('Trial Balance'!S:S,A43,'Trial Balance'!H:H),0)</f>
        <v/>
      </c>
      <c r="C43" s="46">
        <f>ROUND(SUMIF('Trial Balance'!S:S,A43,'Trial Balance'!K:K),0)</f>
        <v/>
      </c>
      <c r="D43" s="49" t="n"/>
      <c r="E43" s="49" t="n"/>
      <c r="F43" s="49" t="n"/>
    </row>
    <row r="44" spans="1:8">
      <c r="A44" s="45" t="s">
        <v>2287</v>
      </c>
      <c r="B44" s="46">
        <f>ROUND(SUMIF('Trial Balance'!S:S,A44,'Trial Balance'!H:H),0)</f>
        <v/>
      </c>
      <c r="C44" s="46">
        <f>ROUND(SUMIF('Trial Balance'!S:S,A44,'Trial Balance'!K:K),0)</f>
        <v/>
      </c>
      <c r="D44" s="49" t="n"/>
      <c r="E44" s="49" t="n"/>
      <c r="F44" s="49" t="n"/>
    </row>
    <row r="45" spans="1:8" customFormat="1" s="3">
      <c r="A45" s="44" t="s">
        <v>2301</v>
      </c>
      <c r="B45" s="76">
        <f>SUM(B40:B44)</f>
        <v/>
      </c>
      <c r="C45" s="76">
        <f>SUM(C40:C44)</f>
        <v/>
      </c>
      <c r="D45" s="148" t="n"/>
      <c r="E45" s="148" t="n"/>
      <c r="F45" s="148" t="n"/>
    </row>
    <row r="46" spans="1:8">
      <c r="A46" s="45" t="s">
        <v>2302</v>
      </c>
      <c r="B46" s="46">
        <f>C29</f>
        <v/>
      </c>
      <c r="C46" s="46">
        <f>D29</f>
        <v/>
      </c>
      <c r="D46" s="49" t="n"/>
      <c r="E46" s="49" t="n"/>
      <c r="F46" s="49" t="n"/>
    </row>
    <row r="47" spans="1:8" customFormat="1" s="3">
      <c r="A47" s="44" t="s">
        <v>2290</v>
      </c>
      <c r="B47" s="76">
        <f>B45-B46</f>
        <v/>
      </c>
      <c r="C47" s="76">
        <f>C45-C46</f>
        <v/>
      </c>
      <c r="D47" s="148" t="n"/>
      <c r="E47" s="148" t="n"/>
      <c r="F47" s="148" t="n"/>
    </row>
    <row r="48" spans="1:8">
      <c r="A48" s="26" t="s">
        <v>796</v>
      </c>
      <c r="B48" s="27">
        <f>B47-C28</f>
        <v/>
      </c>
      <c r="C48" s="27">
        <f>C47-D28</f>
        <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C21"/>
  <sheetViews>
    <sheetView showGridLines="0" workbookViewId="0">
      <selection activeCell="B1" sqref="B1:B7"/>
    </sheetView>
  </sheetViews>
  <sheetFormatPr baseColWidth="8" defaultColWidth="28.109375" defaultRowHeight="12"/>
  <sheetData>
    <row r="1" spans="1:3">
      <c r="A1" s="1">
        <f>'Trial Balance'!A1</f>
        <v/>
      </c>
      <c r="B1" s="18">
        <f>'Trial Balance'!B1</f>
        <v/>
      </c>
    </row>
    <row r="2" spans="1:3">
      <c r="A2" s="1">
        <f>'Trial Balance'!A2</f>
        <v/>
      </c>
      <c r="B2" s="18">
        <f>'Trial Balance'!B2</f>
        <v/>
      </c>
    </row>
    <row r="3" spans="1:3">
      <c r="A3" s="1">
        <f>'Trial Balance'!A3</f>
        <v/>
      </c>
      <c r="B3" s="18">
        <f>'Trial Balance'!B3</f>
        <v/>
      </c>
    </row>
    <row r="4" spans="1:3">
      <c r="A4" s="1">
        <f>'Trial Balance'!A4</f>
        <v/>
      </c>
      <c r="B4" s="18">
        <f>'Trial Balance'!B4</f>
        <v/>
      </c>
    </row>
    <row r="5" spans="1:3">
      <c r="A5" s="1">
        <f>'Trial Balance'!A5</f>
        <v/>
      </c>
      <c r="B5" s="18">
        <f>'Trial Balance'!B5</f>
        <v/>
      </c>
    </row>
    <row r="6" spans="1:3">
      <c r="A6" s="1">
        <f>'Trial Balance'!A6</f>
        <v/>
      </c>
      <c r="B6" s="18">
        <f>'Trial Balance'!B6</f>
        <v/>
      </c>
    </row>
    <row r="7" spans="1:3">
      <c r="A7" s="1">
        <f>'Trial Balance'!A7</f>
        <v/>
      </c>
      <c r="B7" s="18">
        <f>'Trial Balance'!B7</f>
        <v/>
      </c>
    </row>
    <row r="9" spans="1:3">
      <c r="A9" s="3" t="s">
        <v>2303</v>
      </c>
    </row>
    <row r="11" spans="1:3">
      <c r="A11" s="44" t="n"/>
      <c r="B11" s="44">
        <f>'Trial Balance'!J6</f>
        <v/>
      </c>
      <c r="C11" s="44">
        <f>'Trial Balance'!K6</f>
        <v/>
      </c>
    </row>
    <row r="12" spans="1:3">
      <c r="A12" s="45" t="s">
        <v>2304</v>
      </c>
      <c r="B12" s="46">
        <f>ROUND(SUMIF('Trial Balance'!S:S,A12,'Trial Balance'!H:H),0)</f>
        <v/>
      </c>
      <c r="C12" s="46">
        <f>ROUND(SUMIF('Trial Balance'!S:S,A12,'Trial Balance'!K:K),0)</f>
        <v/>
      </c>
    </row>
    <row r="13" spans="1:3">
      <c r="A13" s="45" t="s">
        <v>2305</v>
      </c>
      <c r="B13" s="46">
        <f>ROUND(SUMIF('Trial Balance'!S:S,A13,'Trial Balance'!H:H),0)</f>
        <v/>
      </c>
      <c r="C13" s="46">
        <f>ROUND(SUMIF('Trial Balance'!S:S,A13,'Trial Balance'!K:K),0)</f>
        <v/>
      </c>
    </row>
    <row r="14" spans="1:3">
      <c r="A14" s="45" t="s">
        <v>2306</v>
      </c>
      <c r="B14" s="46">
        <f>ROUND(SUMIF('Trial Balance'!S:S,A14,'Trial Balance'!H:H),0)</f>
        <v/>
      </c>
      <c r="C14" s="46">
        <f>ROUND(SUMIF('Trial Balance'!S:S,A14,'Trial Balance'!K:K),0)</f>
        <v/>
      </c>
    </row>
    <row r="15" spans="1:3">
      <c r="A15" s="45" t="s">
        <v>2307</v>
      </c>
      <c r="B15" s="46">
        <f>ROUND(SUMIF('Trial Balance'!S:S,A15,'Trial Balance'!H:H),0)</f>
        <v/>
      </c>
      <c r="C15" s="46">
        <f>ROUND(SUMIF('Trial Balance'!S:S,A15,'Trial Balance'!K:K),0)</f>
        <v/>
      </c>
    </row>
    <row r="16" spans="1:3">
      <c r="A16" s="45" t="s">
        <v>2308</v>
      </c>
      <c r="B16" s="46">
        <f>ROUND(SUMIF('Trial Balance'!S:S,A16,'Trial Balance'!H:H),0)</f>
        <v/>
      </c>
      <c r="C16" s="46">
        <f>ROUND(SUMIF('Trial Balance'!S:S,A16,'Trial Balance'!K:K),0)</f>
        <v/>
      </c>
    </row>
    <row r="17" spans="1:3">
      <c r="A17" s="45" t="s">
        <v>2309</v>
      </c>
      <c r="B17" s="46">
        <f>ROUND(SUMIF('Trial Balance'!S:S,A17,'Trial Balance'!H:H),0)</f>
        <v/>
      </c>
      <c r="C17" s="46">
        <f>ROUND(SUMIF('Trial Balance'!S:S,A17,'Trial Balance'!K:K),0)</f>
        <v/>
      </c>
    </row>
    <row r="18" spans="1:3">
      <c r="A18" s="45" t="s">
        <v>2310</v>
      </c>
      <c r="B18" s="46">
        <f>ROUND(SUMIF('Trial Balance'!S:S,A18,'Trial Balance'!H:H),0)</f>
        <v/>
      </c>
      <c r="C18" s="46">
        <f>ROUND(SUMIF('Trial Balance'!S:S,A18,'Trial Balance'!K:K),0)</f>
        <v/>
      </c>
    </row>
    <row r="19" spans="1:3">
      <c r="A19" s="44" t="s">
        <v>1065</v>
      </c>
      <c r="B19" s="76">
        <f>SUM(B12:B18)</f>
        <v/>
      </c>
      <c r="C19" s="76">
        <f>SUM(C12:C18)</f>
        <v/>
      </c>
    </row>
    <row r="20" spans="1:3" ht="12.5" customHeight="1" thickBot="1">
      <c r="A20" s="186" t="s">
        <v>2311</v>
      </c>
      <c r="B20" s="187">
        <f>'1. F10'!D60</f>
        <v/>
      </c>
      <c r="C20" s="187">
        <f>'1. F10'!E60</f>
        <v/>
      </c>
    </row>
    <row r="21" spans="1:3" ht="12.5" customHeight="1" thickTop="1">
      <c r="A21" s="26" t="s">
        <v>796</v>
      </c>
      <c r="B21" s="130">
        <f>B19-B20</f>
        <v/>
      </c>
      <c r="C21" s="130">
        <f>C19-C20</f>
        <v/>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G43"/>
  <sheetViews>
    <sheetView showGridLines="0" workbookViewId="0">
      <selection activeCell="C12" sqref="C12"/>
    </sheetView>
  </sheetViews>
  <sheetFormatPr baseColWidth="8" defaultColWidth="29" defaultRowHeight="12" outlineLevelCol="0"/>
  <cols>
    <col width="40.77734375" bestFit="1" customWidth="1" min="1" max="1"/>
    <col width="44.6640625" bestFit="1" customWidth="1" min="2" max="2"/>
    <col width="14.44140625" bestFit="1" customWidth="1" min="3" max="4"/>
    <col width="15.44140625" bestFit="1" customWidth="1" min="5" max="5"/>
    <col width="12.44140625" bestFit="1" customWidth="1" min="6" max="6"/>
    <col width="17" bestFit="1" customWidth="1" min="7" max="7"/>
  </cols>
  <sheetData>
    <row r="1" spans="1:7">
      <c r="A1" s="1">
        <f>'Trial Balance'!A1</f>
        <v/>
      </c>
      <c r="B1" s="18">
        <f>'Trial Balance'!B1</f>
        <v/>
      </c>
    </row>
    <row r="2" spans="1:7">
      <c r="A2" s="1">
        <f>'Trial Balance'!A2</f>
        <v/>
      </c>
      <c r="B2" s="18">
        <f>'Trial Balance'!B2</f>
        <v/>
      </c>
    </row>
    <row r="3" spans="1:7">
      <c r="A3" s="1">
        <f>'Trial Balance'!A3</f>
        <v/>
      </c>
      <c r="B3" s="18">
        <f>'Trial Balance'!B3</f>
        <v/>
      </c>
    </row>
    <row r="4" spans="1:7">
      <c r="A4" s="1">
        <f>'Trial Balance'!A4</f>
        <v/>
      </c>
      <c r="B4" s="18">
        <f>'Trial Balance'!B4</f>
        <v/>
      </c>
    </row>
    <row r="5" spans="1:7">
      <c r="A5" s="1">
        <f>'Trial Balance'!A5</f>
        <v/>
      </c>
      <c r="B5" s="18">
        <f>'Trial Balance'!B5</f>
        <v/>
      </c>
    </row>
    <row r="6" spans="1:7">
      <c r="A6" s="1">
        <f>'Trial Balance'!A6</f>
        <v/>
      </c>
      <c r="B6" s="18">
        <f>'Trial Balance'!B6</f>
        <v/>
      </c>
    </row>
    <row r="7" spans="1:7">
      <c r="A7" s="1">
        <f>'Trial Balance'!A7</f>
        <v/>
      </c>
      <c r="B7" s="18">
        <f>'Trial Balance'!B7</f>
        <v/>
      </c>
    </row>
    <row r="9" spans="1:7">
      <c r="A9" s="3" t="s">
        <v>2312</v>
      </c>
    </row>
    <row r="11" spans="1:7">
      <c r="A11" s="176" t="n"/>
      <c r="B11" s="150" t="n"/>
      <c r="C11" s="175" t="s">
        <v>2067</v>
      </c>
      <c r="D11" s="174" t="s">
        <v>2067</v>
      </c>
      <c r="E11" s="165" t="n"/>
      <c r="F11" s="193" t="s">
        <v>2313</v>
      </c>
      <c r="G11" s="188" t="n"/>
    </row>
    <row r="12" spans="1:7">
      <c r="A12" s="183" t="n"/>
      <c r="B12" s="182" t="s">
        <v>2314</v>
      </c>
      <c r="C12" s="154">
        <f>'Trial Balance'!J6</f>
        <v/>
      </c>
      <c r="D12" s="176">
        <f>'Trial Balance'!K6</f>
        <v/>
      </c>
      <c r="E12" s="192" t="s">
        <v>2271</v>
      </c>
      <c r="F12" s="192" t="s">
        <v>2295</v>
      </c>
      <c r="G12" s="192" t="s">
        <v>2296</v>
      </c>
    </row>
    <row r="13" spans="1:7">
      <c r="A13" s="179" t="n"/>
      <c r="B13" s="152" t="n"/>
      <c r="C13" s="157" t="n"/>
      <c r="D13" s="179" t="n"/>
      <c r="E13" s="191" t="n"/>
      <c r="F13" s="191" t="n"/>
      <c r="G13" s="191" t="n"/>
    </row>
    <row r="14" spans="1:7">
      <c r="A14" s="43" t="n">
        <v>1</v>
      </c>
      <c r="B14" s="43" t="s">
        <v>2315</v>
      </c>
      <c r="C14" s="46">
        <f>-ROUND(SUMIF('Trial Balance'!S:S,B14,'Trial Balance'!H:H),0)</f>
        <v/>
      </c>
      <c r="D14" s="46">
        <f>-ROUND(SUMIF('Trial Balance'!S:S,B14,'Trial Balance'!K:K),0)</f>
        <v/>
      </c>
      <c r="E14" s="190" t="n"/>
      <c r="F14" s="49" t="n"/>
      <c r="G14" s="49" t="n"/>
    </row>
    <row r="15" spans="1:7">
      <c r="A15" s="45" t="n"/>
      <c r="B15" s="45" t="s">
        <v>2316</v>
      </c>
      <c r="C15" s="46" t="n"/>
      <c r="D15" s="46" t="n"/>
      <c r="E15" s="49" t="n"/>
      <c r="F15" s="49" t="n"/>
      <c r="G15" s="49" t="n"/>
    </row>
    <row r="16" spans="1:7">
      <c r="A16" s="45" t="n">
        <v>2</v>
      </c>
      <c r="B16" s="45" t="s">
        <v>2317</v>
      </c>
      <c r="C16" s="46">
        <f>-ROUND(SUMIF('Trial Balance'!S:S,B16,'Trial Balance'!H:H),0)</f>
        <v/>
      </c>
      <c r="D16" s="46">
        <f>-ROUND(SUMIF('Trial Balance'!S:S,B16,'Trial Balance'!K:K),0)</f>
        <v/>
      </c>
      <c r="E16" s="49" t="n"/>
      <c r="F16" s="49" t="n"/>
      <c r="G16" s="49" t="n"/>
    </row>
    <row r="17" spans="1:7">
      <c r="A17" s="45" t="n">
        <v>3</v>
      </c>
      <c r="B17" s="45" t="s">
        <v>2318</v>
      </c>
      <c r="C17" s="46">
        <f>-ROUND(SUMIF('Trial Balance'!S:S,B17,'Trial Balance'!H:H),0)</f>
        <v/>
      </c>
      <c r="D17" s="46">
        <f>-ROUND(SUMIF('Trial Balance'!S:S,B17,'Trial Balance'!K:K),0)</f>
        <v/>
      </c>
      <c r="E17" s="49" t="n"/>
      <c r="F17" s="49" t="n"/>
      <c r="G17" s="49" t="n"/>
    </row>
    <row r="18" spans="1:7">
      <c r="A18" s="45" t="n">
        <v>4</v>
      </c>
      <c r="B18" s="45" t="s">
        <v>2319</v>
      </c>
      <c r="C18" s="46">
        <f>-ROUND(SUMIF('Trial Balance'!S:S,B18,'Trial Balance'!H:H),0)</f>
        <v/>
      </c>
      <c r="D18" s="46">
        <f>-ROUND(SUMIF('Trial Balance'!S:S,B18,'Trial Balance'!K:K),0)</f>
        <v/>
      </c>
      <c r="E18" s="49" t="n"/>
      <c r="F18" s="49" t="n"/>
      <c r="G18" s="49" t="n"/>
    </row>
    <row r="19" spans="1:7">
      <c r="A19" s="45" t="n">
        <v>5</v>
      </c>
      <c r="B19" s="45" t="s">
        <v>2320</v>
      </c>
      <c r="C19" s="46">
        <f>-ROUND(SUMIF('Trial Balance'!S:S,B19,'Trial Balance'!H:H),0)</f>
        <v/>
      </c>
      <c r="D19" s="46">
        <f>-ROUND(SUMIF('Trial Balance'!S:S,B19,'Trial Balance'!K:K),0)</f>
        <v/>
      </c>
      <c r="E19" s="49" t="n"/>
      <c r="F19" s="49" t="n"/>
      <c r="G19" s="49" t="n"/>
    </row>
    <row r="20" spans="1:7" customFormat="1" s="3">
      <c r="A20" s="44" t="s">
        <v>2321</v>
      </c>
      <c r="B20" s="44" t="s">
        <v>2322</v>
      </c>
      <c r="C20" s="76">
        <f>SUM(C17:C19)</f>
        <v/>
      </c>
      <c r="D20" s="76">
        <f>SUM(D17:D19)</f>
        <v/>
      </c>
      <c r="E20" s="148" t="n"/>
      <c r="F20" s="148" t="n"/>
      <c r="G20" s="148" t="n"/>
    </row>
    <row r="21" spans="1:7">
      <c r="A21" s="45" t="n"/>
      <c r="B21" s="45" t="n"/>
      <c r="C21" s="46" t="n"/>
      <c r="D21" s="46" t="n"/>
      <c r="E21" s="49" t="n"/>
      <c r="F21" s="49" t="n"/>
      <c r="G21" s="49" t="n"/>
    </row>
    <row r="22" spans="1:7">
      <c r="A22" s="45" t="n">
        <v>7</v>
      </c>
      <c r="B22" s="45" t="s">
        <v>2323</v>
      </c>
      <c r="C22" s="46">
        <f>-ROUND(SUMIF('Trial Balance'!S:S,B22,'Trial Balance'!H:H),0)</f>
        <v/>
      </c>
      <c r="D22" s="46">
        <f>-ROUND(SUMIF('Trial Balance'!S:S,B22,'Trial Balance'!K:K),0)</f>
        <v/>
      </c>
      <c r="E22" s="49" t="n"/>
      <c r="F22" s="49" t="n"/>
      <c r="G22" s="49" t="n"/>
    </row>
    <row r="23" spans="1:7">
      <c r="A23" s="45" t="n">
        <v>8</v>
      </c>
      <c r="B23" s="45" t="s">
        <v>2324</v>
      </c>
      <c r="C23" s="46">
        <f>-ROUND(SUMIF('Trial Balance'!S:S,B23,'Trial Balance'!H:H),0)</f>
        <v/>
      </c>
      <c r="D23" s="46">
        <f>-ROUND(SUMIF('Trial Balance'!S:S,B23,'Trial Balance'!K:K),0)</f>
        <v/>
      </c>
      <c r="E23" s="49" t="n"/>
      <c r="F23" s="49" t="n"/>
      <c r="G23" s="49" t="n"/>
    </row>
    <row r="24" spans="1:7">
      <c r="A24" s="45" t="n">
        <v>9</v>
      </c>
      <c r="B24" s="45" t="s">
        <v>2325</v>
      </c>
      <c r="C24" s="46">
        <f>-ROUND(SUMIF('Trial Balance'!S:S,B24,'Trial Balance'!H:H),0)</f>
        <v/>
      </c>
      <c r="D24" s="46">
        <f>-ROUND(SUMIF('Trial Balance'!S:S,B24,'Trial Balance'!K:K),0)</f>
        <v/>
      </c>
      <c r="E24" s="49" t="n"/>
      <c r="F24" s="49" t="n"/>
      <c r="G24" s="49" t="n"/>
    </row>
    <row r="25" spans="1:7">
      <c r="A25" s="45" t="n">
        <v>10</v>
      </c>
      <c r="B25" s="45" t="s">
        <v>2326</v>
      </c>
      <c r="C25" s="46">
        <f>-ROUND(SUMIF('Trial Balance'!S:S,B25,'Trial Balance'!H:H),0)</f>
        <v/>
      </c>
      <c r="D25" s="46">
        <f>-ROUND(SUMIF('Trial Balance'!S:S,B25,'Trial Balance'!K:K),0)</f>
        <v/>
      </c>
      <c r="E25" s="49" t="n"/>
      <c r="F25" s="49" t="n"/>
      <c r="G25" s="49" t="n"/>
    </row>
    <row r="26" spans="1:7">
      <c r="A26" s="45" t="n">
        <v>11</v>
      </c>
      <c r="B26" s="45" t="s">
        <v>2327</v>
      </c>
      <c r="C26" s="46">
        <f>-ROUND(SUMIF('Trial Balance'!T:T,B26,'Trial Balance'!H:H),0)</f>
        <v/>
      </c>
      <c r="D26" s="46">
        <f>-ROUND(SUMIF('Trial Balance'!T:T,B26,'Trial Balance'!K:K),0)</f>
        <v/>
      </c>
      <c r="E26" s="49" t="n"/>
      <c r="F26" s="49" t="n"/>
      <c r="G26" s="49" t="n"/>
    </row>
    <row r="27" spans="1:7">
      <c r="A27" s="45" t="n"/>
      <c r="B27" s="45" t="n"/>
      <c r="C27" s="46" t="n"/>
      <c r="D27" s="46" t="n"/>
      <c r="E27" s="49" t="n"/>
      <c r="F27" s="49" t="n"/>
      <c r="G27" s="49" t="n"/>
    </row>
    <row r="28" spans="1:7" customFormat="1" s="3">
      <c r="A28" s="44" t="n">
        <v>12</v>
      </c>
      <c r="B28" s="44" t="s">
        <v>1065</v>
      </c>
      <c r="C28" s="76">
        <f>C14+C16+C20+SUM(C22:C26)</f>
        <v/>
      </c>
      <c r="D28" s="76">
        <f>D14+D16+D20+SUM(D22:D26)</f>
        <v/>
      </c>
      <c r="E28" s="44" t="n"/>
      <c r="F28" s="44" t="n"/>
      <c r="G28" s="44" t="n"/>
    </row>
    <row r="29" spans="1:7">
      <c r="B29" s="3" t="s">
        <v>2328</v>
      </c>
      <c r="C29" s="25">
        <f>'1. F10'!D74+'1. F10'!D86</f>
        <v/>
      </c>
      <c r="D29" s="25">
        <f>'1. F10'!E74+'1. F10'!E86</f>
        <v/>
      </c>
    </row>
    <row r="30" spans="1:7">
      <c r="B30" s="26" t="s">
        <v>796</v>
      </c>
      <c r="C30" s="27" t="n"/>
      <c r="D30" s="27">
        <f>D28-D29</f>
        <v/>
      </c>
    </row>
    <row r="33" spans="1:7" ht="13.75" customHeight="1">
      <c r="A33" s="189" t="n"/>
      <c r="B33" s="188" t="s">
        <v>2067</v>
      </c>
      <c r="C33" s="189" t="s">
        <v>2067</v>
      </c>
      <c r="D33" s="194" t="n"/>
      <c r="E33" s="193" t="s">
        <v>2313</v>
      </c>
      <c r="F33" s="188" t="n"/>
    </row>
    <row r="34" spans="1:7">
      <c r="A34" s="192" t="s">
        <v>2314</v>
      </c>
      <c r="B34" s="195">
        <f>C12</f>
        <v/>
      </c>
      <c r="C34" s="189">
        <f>D12</f>
        <v/>
      </c>
      <c r="D34" s="195" t="s">
        <v>2271</v>
      </c>
      <c r="E34" s="189" t="s">
        <v>2295</v>
      </c>
      <c r="F34" s="189" t="s">
        <v>2296</v>
      </c>
    </row>
    <row r="35" spans="1:7">
      <c r="A35" s="191" t="n"/>
      <c r="B35" s="196" t="n"/>
      <c r="C35" s="191" t="n"/>
      <c r="D35" s="196" t="n"/>
      <c r="E35" s="191" t="n"/>
      <c r="F35" s="191" t="n"/>
    </row>
    <row r="36" spans="1:7">
      <c r="A36" s="43" t="s">
        <v>2329</v>
      </c>
      <c r="B36" s="46">
        <f>-ROUND(SUMIF('Trial Balance'!S:S,A36,'Trial Balance'!H:H),0)</f>
        <v/>
      </c>
      <c r="C36" s="197">
        <f>-ROUND(SUMIF('Trial Balance'!S:S,A36,'Trial Balance'!K:K),0)</f>
        <v/>
      </c>
      <c r="D36" s="190" t="n"/>
      <c r="E36" s="49" t="n"/>
      <c r="F36" s="49" t="n"/>
    </row>
    <row r="37" spans="1:7">
      <c r="A37" s="45" t="s">
        <v>2330</v>
      </c>
      <c r="B37" s="46">
        <f>-ROUND(SUMIF('Trial Balance'!S:S,A37,'Trial Balance'!H:H),0)</f>
        <v/>
      </c>
      <c r="C37" s="46">
        <f>-ROUND(SUMIF('Trial Balance'!S:S,A37,'Trial Balance'!K:K),0)</f>
        <v/>
      </c>
      <c r="D37" s="49" t="n"/>
      <c r="E37" s="49" t="n"/>
      <c r="F37" s="49" t="n"/>
    </row>
    <row r="38" spans="1:7">
      <c r="A38" s="45" t="s">
        <v>2331</v>
      </c>
      <c r="B38" s="46">
        <f>-ROUND(SUMIF('Trial Balance'!S:S,A38,'Trial Balance'!H:H),0)</f>
        <v/>
      </c>
      <c r="C38" s="46">
        <f>-ROUND(SUMIF('Trial Balance'!S:S,A38,'Trial Balance'!K:K),0)</f>
        <v/>
      </c>
      <c r="D38" s="49" t="n"/>
      <c r="E38" s="49" t="n"/>
      <c r="F38" s="49" t="n"/>
    </row>
    <row r="39" spans="1:7">
      <c r="A39" s="45" t="s">
        <v>2300</v>
      </c>
      <c r="B39" s="46">
        <f>-ROUND(SUMIF('Trial Balance'!S:S,A39,'Trial Balance'!H:H),0)</f>
        <v/>
      </c>
      <c r="C39" s="46">
        <f>-ROUND(SUMIF('Trial Balance'!S:S,A39,'Trial Balance'!K:K),0)</f>
        <v/>
      </c>
      <c r="D39" s="49" t="n"/>
      <c r="E39" s="49" t="n"/>
      <c r="F39" s="49" t="n"/>
    </row>
    <row r="40" spans="1:7">
      <c r="A40" s="45" t="s">
        <v>2332</v>
      </c>
      <c r="B40" s="46">
        <f>-ROUND(SUMIF('Trial Balance'!S:S,A40,'Trial Balance'!H:H),0)</f>
        <v/>
      </c>
      <c r="C40" s="46">
        <f>-ROUND(SUMIF('Trial Balance'!S:S,A40,'Trial Balance'!K:K),0)</f>
        <v/>
      </c>
      <c r="D40" s="49" t="n"/>
      <c r="E40" s="49" t="n"/>
      <c r="F40" s="49" t="n"/>
    </row>
    <row r="41" spans="1:7">
      <c r="A41" s="45" t="s">
        <v>2327</v>
      </c>
      <c r="B41" s="46">
        <f>-ROUND(SUMIF('Trial Balance'!S:S,A41,'Trial Balance'!H:H),0)</f>
        <v/>
      </c>
      <c r="C41" s="46">
        <f>-ROUND(SUMIF('Trial Balance'!S:S,A41,'Trial Balance'!K:K),0)</f>
        <v/>
      </c>
      <c r="D41" s="49" t="n"/>
      <c r="E41" s="49" t="n"/>
      <c r="F41" s="49" t="n"/>
    </row>
    <row r="42" spans="1:7">
      <c r="A42" s="3" t="s">
        <v>1065</v>
      </c>
      <c r="B42" s="25">
        <f>SUM(B36:B41)</f>
        <v/>
      </c>
      <c r="C42" s="25">
        <f>SUM(C36:C41)</f>
        <v/>
      </c>
    </row>
    <row r="43" spans="1:7">
      <c r="A43" s="26" t="s">
        <v>796</v>
      </c>
      <c r="B43" s="27">
        <f>B42-C26</f>
        <v/>
      </c>
      <c r="C43" s="27">
        <f>C42-D26</f>
        <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G25"/>
  <sheetViews>
    <sheetView showGridLines="0" workbookViewId="0">
      <selection activeCell="A15" sqref="A15"/>
    </sheetView>
  </sheetViews>
  <sheetFormatPr baseColWidth="8" defaultRowHeight="12" outlineLevelCol="0"/>
  <cols>
    <col width="69" customWidth="1" min="1" max="1"/>
    <col width="16.33203125" customWidth="1" min="2" max="2"/>
    <col width="12.44140625" bestFit="1" customWidth="1" min="3" max="3"/>
    <col width="11.109375" bestFit="1" customWidth="1" min="4" max="4"/>
    <col width="11.44140625" bestFit="1" customWidth="1" min="6" max="6"/>
  </cols>
  <sheetData>
    <row r="1" spans="1:7">
      <c r="A1" s="1">
        <f>'Trial Balance'!A1</f>
        <v/>
      </c>
      <c r="B1" s="18">
        <f>'Trial Balance'!B1</f>
        <v/>
      </c>
    </row>
    <row r="2" spans="1:7">
      <c r="A2" s="1">
        <f>'Trial Balance'!A2</f>
        <v/>
      </c>
      <c r="B2" s="18">
        <f>'Trial Balance'!B2</f>
        <v/>
      </c>
    </row>
    <row r="3" spans="1:7">
      <c r="A3" s="1">
        <f>'Trial Balance'!A3</f>
        <v/>
      </c>
      <c r="B3" s="18">
        <f>'Trial Balance'!B3</f>
        <v/>
      </c>
    </row>
    <row r="4" spans="1:7">
      <c r="A4" s="1">
        <f>'Trial Balance'!A4</f>
        <v/>
      </c>
      <c r="B4" s="18">
        <f>'Trial Balance'!B4</f>
        <v/>
      </c>
    </row>
    <row r="5" spans="1:7">
      <c r="A5" s="1">
        <f>'Trial Balance'!A5</f>
        <v/>
      </c>
      <c r="B5" s="18">
        <f>'Trial Balance'!B5</f>
        <v/>
      </c>
    </row>
    <row r="6" spans="1:7">
      <c r="A6" s="1">
        <f>'Trial Balance'!A6</f>
        <v/>
      </c>
      <c r="B6" s="18">
        <f>'Trial Balance'!B6</f>
        <v/>
      </c>
    </row>
    <row r="7" spans="1:7">
      <c r="A7" s="1">
        <f>'Trial Balance'!A7</f>
        <v/>
      </c>
      <c r="B7" s="18">
        <f>'Trial Balance'!B7</f>
        <v/>
      </c>
    </row>
    <row r="9" spans="1:7">
      <c r="A9" s="3" t="s">
        <v>2333</v>
      </c>
    </row>
    <row r="11" spans="1:7" ht="24" customHeight="1">
      <c r="A11" s="176" t="n"/>
      <c r="B11" s="149" t="n"/>
      <c r="C11" s="198" t="s">
        <v>2192</v>
      </c>
      <c r="D11" s="153" t="n"/>
      <c r="E11" s="153" t="n"/>
      <c r="F11" s="153" t="n"/>
      <c r="G11" s="154" t="s">
        <v>2334</v>
      </c>
    </row>
    <row r="12" spans="1:7">
      <c r="A12" s="183" t="s">
        <v>2335</v>
      </c>
      <c r="B12" s="200" t="s">
        <v>2336</v>
      </c>
      <c r="C12" s="198" t="s">
        <v>2337</v>
      </c>
      <c r="D12" s="153" t="n"/>
      <c r="E12" s="153" t="s">
        <v>2338</v>
      </c>
      <c r="F12" s="153" t="n"/>
      <c r="G12" s="155" t="n"/>
    </row>
    <row r="13" spans="1:7">
      <c r="A13" s="179" t="n"/>
      <c r="B13" s="151" t="n"/>
      <c r="C13" s="199" t="s">
        <v>2339</v>
      </c>
      <c r="D13" s="156" t="s">
        <v>2340</v>
      </c>
      <c r="E13" s="156" t="s">
        <v>2339</v>
      </c>
      <c r="F13" s="156" t="s">
        <v>2340</v>
      </c>
      <c r="G13" s="157" t="n"/>
    </row>
    <row r="14" spans="1:7">
      <c r="A14" s="42" t="n">
        <v>0</v>
      </c>
      <c r="B14" s="42" t="n">
        <v>1</v>
      </c>
      <c r="C14" s="44" t="n">
        <v>2</v>
      </c>
      <c r="D14" s="44" t="n"/>
      <c r="E14" s="44" t="n">
        <v>3</v>
      </c>
      <c r="F14" s="44" t="n"/>
      <c r="G14" s="44" t="s">
        <v>2341</v>
      </c>
    </row>
    <row r="15" spans="1:7">
      <c r="A15" s="45" t="s">
        <v>2342</v>
      </c>
      <c r="B15" s="46">
        <f>-ROUND(SUMIF('Trial Balance'!S:S,A15,'Trial Balance'!H:H),0)</f>
        <v/>
      </c>
      <c r="C15" s="46">
        <f>ROUND(SUMIF('Trial Balance'!S:S,A15,'Trial Balance'!J:J),0)</f>
        <v/>
      </c>
      <c r="D15" s="46" t="n"/>
      <c r="E15" s="46">
        <f>ROUND(SUMIF('Trial Balance'!S:S,A15,'Trial Balance'!I:I),0)</f>
        <v/>
      </c>
      <c r="F15" s="46" t="n"/>
      <c r="G15" s="46">
        <f>B15+C15-E15</f>
        <v/>
      </c>
    </row>
    <row r="16" spans="1:7">
      <c r="A16" s="45" t="s">
        <v>2343</v>
      </c>
      <c r="B16" s="46">
        <f>-ROUND(SUMIF('Trial Balance'!S:S,A16,'Trial Balance'!H:H),0)</f>
        <v/>
      </c>
      <c r="C16" s="46">
        <f>ROUND(SUMIF('Trial Balance'!S:S,A16,'Trial Balance'!J:J),0)</f>
        <v/>
      </c>
      <c r="D16" s="46" t="n"/>
      <c r="E16" s="46">
        <f>ROUND(SUMIF('Trial Balance'!S:S,A16,'Trial Balance'!I:I),0)</f>
        <v/>
      </c>
      <c r="F16" s="46" t="n"/>
      <c r="G16" s="46">
        <f>B16+C16-E16</f>
        <v/>
      </c>
    </row>
    <row r="17" spans="1:7">
      <c r="A17" s="45" t="s">
        <v>2344</v>
      </c>
      <c r="B17" s="46">
        <f>-ROUND(SUMIF('Trial Balance'!S:S,A17,'Trial Balance'!H:H),0)</f>
        <v/>
      </c>
      <c r="C17" s="46">
        <f>ROUND(SUMIF('Trial Balance'!S:S,A17,'Trial Balance'!J:J),0)</f>
        <v/>
      </c>
      <c r="D17" s="46" t="n"/>
      <c r="E17" s="46">
        <f>ROUND(SUMIF('Trial Balance'!S:S,A17,'Trial Balance'!I:I),0)</f>
        <v/>
      </c>
      <c r="F17" s="46" t="n"/>
      <c r="G17" s="46">
        <f>B17+C17-E17</f>
        <v/>
      </c>
    </row>
    <row r="18" spans="1:7">
      <c r="A18" s="45" t="s">
        <v>2345</v>
      </c>
      <c r="B18" s="46">
        <f>-ROUND(SUMIF('Trial Balance'!S:S,A18,'Trial Balance'!H:H),0)</f>
        <v/>
      </c>
      <c r="C18" s="46">
        <f>ROUND(SUMIF('Trial Balance'!S:S,A18,'Trial Balance'!J:J),0)</f>
        <v/>
      </c>
      <c r="D18" s="46" t="n"/>
      <c r="E18" s="46">
        <f>ROUND(SUMIF('Trial Balance'!S:S,A18,'Trial Balance'!I:I),0)</f>
        <v/>
      </c>
      <c r="F18" s="46" t="n"/>
      <c r="G18" s="46">
        <f>B18+C18-E18</f>
        <v/>
      </c>
    </row>
    <row r="19" spans="1:7">
      <c r="A19" s="45" t="s">
        <v>2346</v>
      </c>
      <c r="B19" s="46">
        <f>-ROUND(SUMIF('Trial Balance'!S:S,A19,'Trial Balance'!H:H),0)</f>
        <v/>
      </c>
      <c r="C19" s="46">
        <f>ROUND(SUMIF('Trial Balance'!S:S,A19,'Trial Balance'!J:J),0)</f>
        <v/>
      </c>
      <c r="D19" s="46" t="n"/>
      <c r="E19" s="46">
        <f>ROUND(SUMIF('Trial Balance'!S:S,A19,'Trial Balance'!I:I),0)</f>
        <v/>
      </c>
      <c r="F19" s="46" t="n"/>
      <c r="G19" s="46">
        <f>B19+C19-E19</f>
        <v/>
      </c>
    </row>
    <row r="20" spans="1:7">
      <c r="A20" s="45" t="s">
        <v>2347</v>
      </c>
      <c r="B20" s="46">
        <f>-ROUND(SUMIF('Trial Balance'!S:S,A20,'Trial Balance'!H:H),0)</f>
        <v/>
      </c>
      <c r="C20" s="46">
        <f>ROUND(SUMIF('Trial Balance'!S:S,A20,'Trial Balance'!J:J),0)</f>
        <v/>
      </c>
      <c r="D20" s="46" t="n"/>
      <c r="E20" s="46">
        <f>ROUND(SUMIF('Trial Balance'!S:S,A20,'Trial Balance'!I:I),0)</f>
        <v/>
      </c>
      <c r="F20" s="46" t="n"/>
      <c r="G20" s="46">
        <f>B20+C20-E20</f>
        <v/>
      </c>
    </row>
    <row r="21" spans="1:7">
      <c r="A21" s="45" t="s">
        <v>2348</v>
      </c>
      <c r="B21" s="46">
        <f>-ROUND(SUMIF('Trial Balance'!S:S,A21,'Trial Balance'!H:H),0)</f>
        <v/>
      </c>
      <c r="C21" s="46">
        <f>ROUND(SUMIF('Trial Balance'!S:S,A21,'Trial Balance'!J:J),0)</f>
        <v/>
      </c>
      <c r="D21" s="46" t="n"/>
      <c r="E21" s="46">
        <f>ROUND(SUMIF('Trial Balance'!S:S,A21,'Trial Balance'!I:I),0)</f>
        <v/>
      </c>
      <c r="F21" s="46" t="n"/>
      <c r="G21" s="46">
        <f>B21+C21-E21</f>
        <v/>
      </c>
    </row>
    <row r="22" spans="1:7">
      <c r="A22" s="45" t="s">
        <v>2349</v>
      </c>
      <c r="B22" s="46">
        <f>-ROUND(SUMIF('Trial Balance'!S:S,A22,'Trial Balance'!H:H),0)</f>
        <v/>
      </c>
      <c r="C22" s="46">
        <f>ROUND(SUMIF('Trial Balance'!S:S,A22,'Trial Balance'!J:J),0)</f>
        <v/>
      </c>
      <c r="D22" s="46" t="n"/>
      <c r="E22" s="46">
        <f>ROUND(SUMIF('Trial Balance'!S:S,A22,'Trial Balance'!I:I),0)</f>
        <v/>
      </c>
      <c r="F22" s="46" t="n"/>
      <c r="G22" s="46">
        <f>B22+C22-E22</f>
        <v/>
      </c>
    </row>
    <row r="23" spans="1:7">
      <c r="A23" s="3" t="s">
        <v>1065</v>
      </c>
      <c r="B23" s="25">
        <f>SUM(B15:B22)</f>
        <v/>
      </c>
      <c r="C23" s="25">
        <f>SUM(C15:C22)</f>
        <v/>
      </c>
      <c r="D23" s="25">
        <f>SUM(D15:D22)</f>
        <v/>
      </c>
      <c r="E23" s="25">
        <f>SUM(E15:E22)</f>
        <v/>
      </c>
      <c r="F23" s="25">
        <f>SUM(F15:F22)</f>
        <v/>
      </c>
      <c r="G23" s="25">
        <f>SUM(G15:G22)</f>
        <v/>
      </c>
    </row>
    <row r="24" spans="1:7" ht="12.65" customHeight="1" thickBot="1">
      <c r="A24" s="16" t="s">
        <v>2266</v>
      </c>
      <c r="B24" s="24">
        <f>'1. F10'!D91</f>
        <v/>
      </c>
      <c r="C24" s="23" t="n"/>
      <c r="D24" s="23" t="n"/>
      <c r="E24" s="23" t="n"/>
      <c r="F24" s="23" t="n"/>
      <c r="G24" s="55">
        <f>'1. F10'!E91</f>
        <v/>
      </c>
    </row>
    <row r="25" spans="1:7" ht="12.65" customHeight="1" thickTop="1">
      <c r="A25" s="26" t="s">
        <v>796</v>
      </c>
      <c r="B25" s="130">
        <f>B23-B24</f>
        <v/>
      </c>
      <c r="G25" s="130">
        <f>G23-G24</f>
        <v/>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F89"/>
  <sheetViews>
    <sheetView showGridLines="0" workbookViewId="0">
      <selection activeCell="B19" sqref="B19"/>
    </sheetView>
  </sheetViews>
  <sheetFormatPr baseColWidth="8" defaultColWidth="9.33203125" defaultRowHeight="12" outlineLevelCol="0"/>
  <cols>
    <col width="23.109375" bestFit="1" customWidth="1" style="248" min="1" max="1"/>
    <col width="41.77734375" customWidth="1" style="248" min="2" max="2"/>
    <col width="31" customWidth="1" style="248" min="3" max="3"/>
    <col width="23" bestFit="1" customWidth="1" style="248" min="4" max="4"/>
    <col width="27.44140625" customWidth="1" style="248" min="5" max="5"/>
    <col width="25.77734375" customWidth="1" style="248" min="6" max="6"/>
    <col width="9.33203125" customWidth="1" style="248" min="7" max="8"/>
    <col width="9.33203125" customWidth="1" style="249" min="9" max="16384"/>
  </cols>
  <sheetData>
    <row r="1" spans="1:6">
      <c r="A1" s="1">
        <f>'Trial Balance'!A1</f>
        <v/>
      </c>
      <c r="B1" s="18">
        <f>'Trial Balance'!B1</f>
        <v/>
      </c>
    </row>
    <row r="2" spans="1:6">
      <c r="A2" s="1">
        <f>'Trial Balance'!A2</f>
        <v/>
      </c>
      <c r="B2" s="18">
        <f>'Trial Balance'!B2</f>
        <v/>
      </c>
    </row>
    <row r="3" spans="1:6">
      <c r="A3" s="1">
        <f>'Trial Balance'!A3</f>
        <v/>
      </c>
      <c r="B3" s="18">
        <f>'Trial Balance'!B3</f>
        <v/>
      </c>
    </row>
    <row r="4" spans="1:6">
      <c r="A4" s="1">
        <f>'Trial Balance'!A4</f>
        <v/>
      </c>
      <c r="B4" s="18">
        <f>'Trial Balance'!B4</f>
        <v/>
      </c>
    </row>
    <row r="5" spans="1:6">
      <c r="A5" s="1">
        <f>'Trial Balance'!A5</f>
        <v/>
      </c>
      <c r="B5" s="18">
        <f>'Trial Balance'!B5</f>
        <v/>
      </c>
    </row>
    <row r="6" spans="1:6">
      <c r="A6" s="1">
        <f>'Trial Balance'!A6</f>
        <v/>
      </c>
      <c r="B6" s="18">
        <f>'Trial Balance'!B6</f>
        <v/>
      </c>
    </row>
    <row r="7" spans="1:6">
      <c r="A7" s="1">
        <f>'Trial Balance'!A7</f>
        <v/>
      </c>
      <c r="B7" s="18">
        <f>'Trial Balance'!B7</f>
        <v/>
      </c>
    </row>
    <row r="11" spans="1:6" ht="11.5" customFormat="1" customHeight="1" s="248">
      <c r="D11" s="250" t="n"/>
      <c r="E11" s="248" t="s">
        <v>2350</v>
      </c>
    </row>
    <row r="12" spans="1:6" ht="11.5" customFormat="1" customHeight="1" s="248">
      <c r="D12" s="251" t="n"/>
      <c r="E12" s="248" t="s">
        <v>2351</v>
      </c>
    </row>
    <row r="13" spans="1:6" ht="11.5" customFormat="1" customHeight="1" s="248">
      <c r="B13" s="213" t="s">
        <v>2352</v>
      </c>
    </row>
    <row r="14" spans="1:6" ht="11.5" customFormat="1" customHeight="1" s="248">
      <c r="B14" s="214" t="n"/>
    </row>
    <row r="15" spans="1:6" ht="11.5" customFormat="1" customHeight="1" s="248">
      <c r="B15" s="215" t="n"/>
    </row>
    <row r="16" spans="1:6" ht="11.5" customFormat="1" customHeight="1" s="248">
      <c r="B16" s="216" t="s">
        <v>2353</v>
      </c>
    </row>
    <row r="17" spans="1:6" ht="11.5" customFormat="1" customHeight="1" s="248">
      <c r="B17" s="215" t="n"/>
    </row>
    <row r="18" spans="1:6" customFormat="1" s="248" thickBot="1">
      <c r="B18" s="216" t="n"/>
    </row>
    <row r="19" spans="1:6" ht="11.5" customFormat="1" customHeight="1" s="248">
      <c r="B19" s="217" t="s">
        <v>2354</v>
      </c>
      <c r="C19" s="217" t="s">
        <v>2355</v>
      </c>
      <c r="D19" s="218" t="s">
        <v>2356</v>
      </c>
      <c r="E19" s="217" t="s">
        <v>2357</v>
      </c>
      <c r="F19" s="217" t="s">
        <v>2358</v>
      </c>
    </row>
    <row r="20" spans="1:6" customFormat="1" s="248" thickBot="1">
      <c r="B20" s="219" t="n"/>
      <c r="C20" s="242" t="n"/>
      <c r="D20" s="220" t="n"/>
      <c r="E20" s="242" t="n"/>
      <c r="F20" s="242" t="n"/>
    </row>
    <row r="21" spans="1:6" customFormat="1" s="248" thickBot="1">
      <c r="B21" s="221" t="n"/>
      <c r="C21" s="222" t="n"/>
      <c r="D21" s="222" t="n"/>
      <c r="E21" s="222" t="n"/>
      <c r="F21" s="222" t="n"/>
    </row>
    <row r="22" spans="1:6" customFormat="1" s="248" thickBot="1">
      <c r="B22" s="223" t="n"/>
      <c r="C22" s="224" t="n"/>
      <c r="D22" s="225" t="n"/>
      <c r="E22" s="226" t="n"/>
      <c r="F22" s="227" t="n"/>
    </row>
    <row r="23" spans="1:6" customFormat="1" s="248" thickBot="1">
      <c r="B23" s="223" t="n"/>
      <c r="C23" s="224" t="n"/>
      <c r="D23" s="226" t="n"/>
      <c r="E23" s="226" t="n"/>
      <c r="F23" s="227" t="n"/>
    </row>
    <row r="24" spans="1:6" customFormat="1" s="248" thickBot="1">
      <c r="B24" s="228" t="n"/>
      <c r="C24" s="226" t="n"/>
      <c r="D24" s="226" t="n"/>
      <c r="E24" s="226" t="n"/>
      <c r="F24" s="226" t="n"/>
    </row>
    <row r="25" spans="1:6" customFormat="1" s="248" thickBot="1">
      <c r="B25" s="228" t="n"/>
      <c r="C25" s="226" t="n"/>
      <c r="D25" s="225" t="n"/>
      <c r="E25" s="226" t="n"/>
      <c r="F25" s="226" t="n"/>
    </row>
    <row r="26" spans="1:6" ht="11.5" customFormat="1" customHeight="1" s="248">
      <c r="B26" s="229" t="n"/>
    </row>
    <row r="27" spans="1:6" ht="11.5" customFormat="1" customHeight="1" s="248">
      <c r="B27" s="230" t="n"/>
    </row>
    <row r="28" spans="1:6" ht="11.5" customFormat="1" customHeight="1" s="248">
      <c r="B28" s="216" t="s">
        <v>2359</v>
      </c>
    </row>
    <row r="29" spans="1:6" ht="11.5" customFormat="1" customHeight="1" s="248">
      <c r="B29" s="215" t="n"/>
    </row>
    <row r="30" spans="1:6" ht="11.5" customFormat="1" customHeight="1" s="248">
      <c r="B30" s="230" t="n"/>
    </row>
    <row r="31" spans="1:6" ht="11.5" customFormat="1" customHeight="1" s="248">
      <c r="B31" s="216" t="s">
        <v>2360</v>
      </c>
    </row>
    <row r="32" spans="1:6" customFormat="1" s="248" thickBot="1">
      <c r="B32" s="231" t="n"/>
    </row>
    <row r="33" spans="1:6" ht="11.5" customFormat="1" customHeight="1" s="248">
      <c r="B33" s="217" t="n"/>
      <c r="C33" s="232" t="s">
        <v>2361</v>
      </c>
      <c r="D33" s="232" t="s">
        <v>2361</v>
      </c>
    </row>
    <row r="34" spans="1:6" ht="11.5" customFormat="1" customHeight="1" s="248">
      <c r="B34" s="241" t="n"/>
      <c r="C34" s="233" t="s">
        <v>1132</v>
      </c>
      <c r="D34" s="233" t="s">
        <v>2362</v>
      </c>
    </row>
    <row r="35" spans="1:6" ht="11.5" customFormat="1" customHeight="1" s="248">
      <c r="B35" s="241" t="n"/>
      <c r="C35" s="234" t="n"/>
      <c r="D35" s="234" t="n"/>
    </row>
    <row r="36" spans="1:6" customFormat="1" s="248" thickBot="1">
      <c r="B36" s="242" t="n"/>
      <c r="C36" s="235" t="n"/>
      <c r="D36" s="235" t="n"/>
    </row>
    <row r="37" spans="1:6" customFormat="1" s="248" thickBot="1">
      <c r="B37" s="236" t="n"/>
      <c r="C37" s="237" t="n"/>
      <c r="D37" s="237" t="n"/>
    </row>
    <row r="38" spans="1:6" customFormat="1" s="248" thickBot="1">
      <c r="B38" s="236" t="s">
        <v>2363</v>
      </c>
      <c r="C38" s="238">
        <f>ROUND(SUMIF('Trial Balance'!X:X,B38,'Trial Balance'!H:H),0)</f>
        <v/>
      </c>
      <c r="D38" s="238">
        <f>ROUND(SUMIF('Trial Balance'!Y:Y,B38,'Trial Balance'!K:K),0)</f>
        <v/>
      </c>
    </row>
    <row r="39" spans="1:6" customFormat="1" s="248" thickBot="1">
      <c r="B39" s="239" t="n"/>
      <c r="C39" s="240" t="n"/>
      <c r="D39" s="240" t="n"/>
    </row>
    <row r="40" spans="1:6" customFormat="1" s="248" thickBot="1">
      <c r="B40" s="236" t="s">
        <v>2364</v>
      </c>
      <c r="C40" s="238">
        <f>ROUND(SUMIF('Trial Balance'!X:X,B40,'Trial Balance'!H:H),0)</f>
        <v/>
      </c>
      <c r="D40" s="238">
        <f>ROUND(SUMIF('Trial Balance'!Y:Y,B40,'Trial Balance'!K:K),0)</f>
        <v/>
      </c>
    </row>
    <row r="41" spans="1:6" customFormat="1" s="248" thickBot="1">
      <c r="B41" s="242" t="s">
        <v>1065</v>
      </c>
      <c r="C41" s="238">
        <f>SUM(C38+C40)</f>
        <v/>
      </c>
      <c r="D41" s="238">
        <f>SUM(D38+D40)</f>
        <v/>
      </c>
    </row>
    <row r="42" spans="1:6" ht="11.5" customFormat="1" customHeight="1" s="248">
      <c r="B42" s="216" t="n"/>
    </row>
    <row r="43" spans="1:6" ht="11.5" customFormat="1" customHeight="1" s="248">
      <c r="B43" s="216" t="s">
        <v>2365</v>
      </c>
    </row>
    <row r="44" spans="1:6" ht="11.5" customFormat="1" customHeight="1" s="248">
      <c r="B44" s="215" t="n"/>
    </row>
    <row r="45" spans="1:6" customFormat="1" s="248" thickBot="1">
      <c r="B45" s="243" t="n"/>
    </row>
    <row r="46" spans="1:6" ht="11.5" customFormat="1" customHeight="1" s="248">
      <c r="B46" s="252" t="n"/>
      <c r="C46" s="232" t="s">
        <v>2361</v>
      </c>
      <c r="D46" s="232" t="s">
        <v>2361</v>
      </c>
    </row>
    <row r="47" spans="1:6" ht="11.5" customFormat="1" customHeight="1" s="248">
      <c r="B47" s="253" t="n"/>
      <c r="C47" s="233" t="s">
        <v>2366</v>
      </c>
      <c r="D47" s="233" t="s">
        <v>2367</v>
      </c>
    </row>
    <row r="48" spans="1:6" ht="11.5" customFormat="1" customHeight="1" s="248">
      <c r="B48" s="253" t="n"/>
      <c r="C48" s="234" t="n"/>
      <c r="D48" s="234" t="n"/>
    </row>
    <row r="49" spans="1:6" customFormat="1" s="248" thickBot="1">
      <c r="B49" s="254" t="n"/>
      <c r="C49" s="235" t="n"/>
      <c r="D49" s="235" t="n"/>
    </row>
    <row r="50" spans="1:6" customFormat="1" s="248" thickBot="1">
      <c r="B50" s="236" t="n"/>
      <c r="C50" s="244" t="n"/>
      <c r="D50" s="237" t="n"/>
    </row>
    <row r="51" spans="1:6" customFormat="1" s="248" thickBot="1">
      <c r="B51" s="236" t="s">
        <v>2368</v>
      </c>
      <c r="C51" s="238">
        <f>-ROUND(SUMIF('Trial Balance'!X:X,B51,'Trial Balance'!H:H),0)</f>
        <v/>
      </c>
      <c r="D51" s="238">
        <f>-ROUND(SUMIF('Trial Balance'!Y:Y,B51,'Trial Balance'!K:K),0)</f>
        <v/>
      </c>
    </row>
    <row r="52" spans="1:6" customFormat="1" s="248" thickBot="1">
      <c r="B52" s="236" t="n"/>
      <c r="C52" s="244" t="n"/>
      <c r="D52" s="244" t="n"/>
    </row>
    <row r="53" spans="1:6" customFormat="1" s="248" thickBot="1">
      <c r="B53" s="236" t="s">
        <v>2369</v>
      </c>
      <c r="C53" s="238">
        <f>-ROUND(SUMIF('Trial Balance'!X:X,B53,'Trial Balance'!H:H),0)</f>
        <v/>
      </c>
      <c r="D53" s="238">
        <f>-ROUND(SUMIF('Trial Balance'!Y:Y,B53,'Trial Balance'!K:K),0)</f>
        <v/>
      </c>
    </row>
    <row r="54" spans="1:6" customFormat="1" s="248" thickBot="1">
      <c r="B54" s="242" t="s">
        <v>1065</v>
      </c>
      <c r="C54" s="238">
        <f>C51+C53</f>
        <v/>
      </c>
      <c r="D54" s="238">
        <f>D51+D53</f>
        <v/>
      </c>
    </row>
    <row r="55" spans="1:6" ht="11.5" customFormat="1" customHeight="1" s="248">
      <c r="B55" s="216" t="n"/>
    </row>
    <row r="56" spans="1:6" ht="11.5" customFormat="1" customHeight="1" s="248">
      <c r="B56" s="216" t="s">
        <v>2370</v>
      </c>
    </row>
    <row r="57" spans="1:6" ht="11.5" customFormat="1" customHeight="1" s="248">
      <c r="B57" s="215" t="n"/>
    </row>
    <row r="58" spans="1:6" ht="11.5" customFormat="1" customHeight="1" s="248">
      <c r="B58" s="230" t="s">
        <v>2371</v>
      </c>
    </row>
    <row r="59" spans="1:6" ht="11.5" customFormat="1" customHeight="1" s="248">
      <c r="B59" s="245" t="n"/>
    </row>
    <row r="60" spans="1:6" customFormat="1" s="248" thickBot="1">
      <c r="B60" s="243" t="n"/>
    </row>
    <row r="61" spans="1:6" ht="11.5" customFormat="1" customHeight="1" s="248">
      <c r="B61" s="217" t="n"/>
      <c r="C61" s="232" t="s">
        <v>2372</v>
      </c>
      <c r="D61" s="232" t="s">
        <v>2372</v>
      </c>
    </row>
    <row r="62" spans="1:6" ht="11.5" customFormat="1" customHeight="1" s="248">
      <c r="B62" s="241" t="n"/>
      <c r="C62" s="233" t="s">
        <v>2373</v>
      </c>
      <c r="D62" s="233" t="s">
        <v>2373</v>
      </c>
    </row>
    <row r="63" spans="1:6" ht="11.5" customFormat="1" customHeight="1" s="248">
      <c r="B63" s="241" t="n"/>
      <c r="C63" s="233" t="s">
        <v>1132</v>
      </c>
      <c r="D63" s="233" t="s">
        <v>2362</v>
      </c>
    </row>
    <row r="64" spans="1:6" ht="11.5" customFormat="1" customHeight="1" s="248">
      <c r="B64" s="241" t="n"/>
      <c r="C64" s="234" t="n"/>
      <c r="D64" s="234" t="n"/>
    </row>
    <row r="65" spans="1:6" ht="11.5" customFormat="1" customHeight="1" s="248">
      <c r="B65" s="241" t="n"/>
      <c r="C65" s="234" t="n"/>
      <c r="D65" s="234" t="n"/>
    </row>
    <row r="66" spans="1:6" customFormat="1" s="248" thickBot="1">
      <c r="B66" s="242" t="n"/>
      <c r="C66" s="235" t="n"/>
      <c r="D66" s="235" t="n"/>
    </row>
    <row r="67" spans="1:6" customFormat="1" s="248" thickBot="1">
      <c r="B67" s="236" t="n"/>
      <c r="C67" s="237" t="n"/>
      <c r="D67" s="237" t="n"/>
    </row>
    <row r="68" spans="1:6" customFormat="1" s="248" thickBot="1">
      <c r="B68" s="236" t="s">
        <v>2374</v>
      </c>
      <c r="C68" s="255" t="n"/>
      <c r="D68" s="238">
        <f>ROUND(SUMIF('Trial Balance'!Y:Y,"Creante comerciale",'Trial Balance'!I:I),0)</f>
        <v/>
      </c>
    </row>
    <row r="69" spans="1:6" customFormat="1" s="248" thickBot="1">
      <c r="B69" s="242" t="s">
        <v>1065</v>
      </c>
      <c r="C69" s="255">
        <f>C68</f>
        <v/>
      </c>
      <c r="D69" s="238">
        <f>D68</f>
        <v/>
      </c>
    </row>
    <row r="70" spans="1:6" ht="11.5" customFormat="1" customHeight="1" s="248">
      <c r="B70" s="229" t="n"/>
    </row>
    <row r="71" spans="1:6" ht="11.5" customFormat="1" customHeight="1" s="248">
      <c r="B71" s="245" t="n"/>
    </row>
    <row r="72" spans="1:6" ht="11.5" customFormat="1" customHeight="1" s="248">
      <c r="B72" s="230" t="n"/>
    </row>
    <row r="73" spans="1:6" ht="11.5" customFormat="1" customHeight="1" s="248">
      <c r="B73" s="243" t="n"/>
    </row>
    <row r="74" spans="1:6" ht="11.5" customFormat="1" customHeight="1" s="248">
      <c r="B74" s="246" t="n"/>
    </row>
    <row r="75" spans="1:6" ht="11.5" customFormat="1" customHeight="1" s="248">
      <c r="B75" s="230" t="n"/>
    </row>
    <row r="76" spans="1:6" ht="11.5" customFormat="1" customHeight="1" s="248">
      <c r="B76" s="230" t="s">
        <v>2375</v>
      </c>
    </row>
    <row r="77" spans="1:6" customFormat="1" s="248" thickBot="1">
      <c r="B77" s="247" t="n"/>
    </row>
    <row r="78" spans="1:6" ht="11.5" customFormat="1" customHeight="1" s="248">
      <c r="B78" s="217" t="n"/>
      <c r="C78" s="232" t="s">
        <v>2372</v>
      </c>
      <c r="D78" s="232" t="s">
        <v>2372</v>
      </c>
    </row>
    <row r="79" spans="1:6" ht="11.5" customFormat="1" customHeight="1" s="248">
      <c r="B79" s="241" t="n"/>
      <c r="C79" s="233" t="s">
        <v>2373</v>
      </c>
      <c r="D79" s="233" t="s">
        <v>2373</v>
      </c>
    </row>
    <row r="80" spans="1:6" ht="11.5" customFormat="1" customHeight="1" s="248">
      <c r="B80" s="241" t="n"/>
      <c r="C80" s="233" t="s">
        <v>1132</v>
      </c>
      <c r="D80" s="233" t="s">
        <v>2362</v>
      </c>
    </row>
    <row r="81" spans="1:6" ht="11.5" customFormat="1" customHeight="1" s="248">
      <c r="B81" s="241" t="n"/>
      <c r="C81" s="234" t="n"/>
      <c r="D81" s="234" t="n"/>
    </row>
    <row r="82" spans="1:6" ht="11.5" customFormat="1" customHeight="1" s="248">
      <c r="B82" s="241" t="n"/>
      <c r="C82" s="234" t="n"/>
      <c r="D82" s="234" t="n"/>
    </row>
    <row r="83" spans="1:6" customFormat="1" s="248" thickBot="1">
      <c r="B83" s="242" t="n"/>
      <c r="C83" s="235" t="n"/>
      <c r="D83" s="235" t="n"/>
    </row>
    <row r="84" spans="1:6" customFormat="1" s="248" thickBot="1">
      <c r="B84" s="236" t="n"/>
      <c r="C84" s="244" t="n"/>
      <c r="D84" s="244" t="n"/>
    </row>
    <row r="85" spans="1:6" customFormat="1" s="248" thickBot="1">
      <c r="B85" s="236" t="s">
        <v>2376</v>
      </c>
      <c r="C85" s="255" t="n"/>
      <c r="D85" s="238">
        <f>ROUND(SUMIF('Trial Balance'!Y:Y,"Datorii comerciale",'Trial Balance'!J:J),0)</f>
        <v/>
      </c>
    </row>
    <row r="86" spans="1:6" customFormat="1" s="248" thickBot="1">
      <c r="B86" s="242" t="s">
        <v>1065</v>
      </c>
      <c r="C86" s="255">
        <f>C85</f>
        <v/>
      </c>
      <c r="D86" s="238">
        <f>D85</f>
        <v/>
      </c>
    </row>
    <row r="87" spans="1:6" ht="11.5" customFormat="1" customHeight="1" s="248">
      <c r="B87" s="243" t="n"/>
    </row>
    <row r="88" spans="1:6" ht="11.5" customFormat="1" customHeight="1" s="248">
      <c r="B88" s="243" t="n"/>
    </row>
    <row r="89" spans="1:6" ht="11.5" customFormat="1" customHeight="1" s="248">
      <c r="B89" s="230" t="n"/>
    </row>
  </sheetData>
  <pageMargins left="0.7" right="0.7" top="0.75" bottom="0.75" header="0.3" footer="0.3"/>
  <pageSetup orientation="portrait" paperSize="9" verticalDpi="300"/>
</worksheet>
</file>

<file path=xl/worksheets/sheet17.xml><?xml version="1.0" encoding="utf-8"?>
<worksheet xmlns="http://schemas.openxmlformats.org/spreadsheetml/2006/main">
  <sheetPr>
    <outlinePr summaryBelow="1" summaryRight="1"/>
    <pageSetUpPr/>
  </sheetPr>
  <dimension ref="A1:C29"/>
  <sheetViews>
    <sheetView showGridLines="0" workbookViewId="0">
      <selection activeCell="A1" sqref="A1"/>
    </sheetView>
  </sheetViews>
  <sheetFormatPr baseColWidth="8" defaultColWidth="39.77734375" defaultRowHeight="12" outlineLevelCol="0"/>
  <cols>
    <col width="65.44140625" bestFit="1" customWidth="1" min="1" max="1"/>
    <col width="12.109375" bestFit="1" customWidth="1" min="2" max="2"/>
    <col width="11.44140625" bestFit="1" customWidth="1" min="3" max="3"/>
  </cols>
  <sheetData>
    <row r="1" spans="1:3">
      <c r="A1" s="1">
        <f>'Trial Balance'!A1</f>
        <v/>
      </c>
      <c r="B1" s="18">
        <f>'Trial Balance'!B1</f>
        <v/>
      </c>
    </row>
    <row r="2" spans="1:3">
      <c r="A2" s="1">
        <f>'Trial Balance'!A2</f>
        <v/>
      </c>
      <c r="B2" s="18">
        <f>'Trial Balance'!B2</f>
        <v/>
      </c>
    </row>
    <row r="3" spans="1:3">
      <c r="A3" s="1">
        <f>'Trial Balance'!A3</f>
        <v/>
      </c>
      <c r="B3" s="18">
        <f>'Trial Balance'!B3</f>
        <v/>
      </c>
    </row>
    <row r="4" spans="1:3">
      <c r="A4" s="1">
        <f>'Trial Balance'!A4</f>
        <v/>
      </c>
      <c r="B4" s="18">
        <f>'Trial Balance'!B4</f>
        <v/>
      </c>
    </row>
    <row r="5" spans="1:3">
      <c r="A5" s="1">
        <f>'Trial Balance'!A5</f>
        <v/>
      </c>
      <c r="B5" s="18">
        <f>'Trial Balance'!B5</f>
        <v/>
      </c>
    </row>
    <row r="6" spans="1:3">
      <c r="A6" s="1">
        <f>'Trial Balance'!A6</f>
        <v/>
      </c>
      <c r="B6" s="18">
        <f>'Trial Balance'!B6</f>
        <v/>
      </c>
    </row>
    <row r="7" spans="1:3">
      <c r="A7" s="1">
        <f>'Trial Balance'!A7</f>
        <v/>
      </c>
      <c r="B7" s="18">
        <f>'Trial Balance'!B7</f>
        <v/>
      </c>
    </row>
    <row r="9" spans="1:3">
      <c r="A9" s="3" t="s">
        <v>2377</v>
      </c>
    </row>
    <row r="11" spans="1:3" customFormat="1" s="3">
      <c r="A11" s="44" t="n"/>
      <c r="B11" s="44">
        <f>'Trial Balance'!J6</f>
        <v/>
      </c>
      <c r="C11" s="44">
        <f>'Trial Balance'!K6</f>
        <v/>
      </c>
    </row>
    <row r="12" spans="1:3">
      <c r="A12" s="45" t="s">
        <v>2378</v>
      </c>
      <c r="B12" s="49" t="n"/>
      <c r="C12" s="49" t="n"/>
    </row>
    <row r="13" spans="1:3">
      <c r="A13" s="45" t="s">
        <v>2379</v>
      </c>
      <c r="B13" s="49" t="n"/>
      <c r="C13" s="49" t="n"/>
    </row>
    <row r="14" spans="1:3">
      <c r="A14" s="45" t="s">
        <v>2380</v>
      </c>
      <c r="B14" s="49" t="n"/>
      <c r="C14" s="49" t="n"/>
    </row>
    <row r="18" spans="1:3" customFormat="1" s="3">
      <c r="A18" s="44" t="n"/>
      <c r="B18" s="44">
        <f>B11</f>
        <v/>
      </c>
      <c r="C18" s="44">
        <f>C11</f>
        <v/>
      </c>
    </row>
    <row r="19" spans="1:3">
      <c r="A19" s="45" t="s">
        <v>2381</v>
      </c>
      <c r="B19" s="46">
        <f>ROUND(SUMIF('Trial Balance'!S:S,A19,'Trial Balance'!H:H),0)</f>
        <v/>
      </c>
      <c r="C19" s="46">
        <f>ROUND(SUMIF('Trial Balance'!S:S,A19,'Trial Balance'!K:K),0)</f>
        <v/>
      </c>
    </row>
    <row r="20" spans="1:3">
      <c r="A20" s="45" t="s">
        <v>2382</v>
      </c>
      <c r="B20" s="49" t="n"/>
      <c r="C20" s="49" t="n"/>
    </row>
    <row r="21" spans="1:3">
      <c r="A21" s="45" t="s">
        <v>2383</v>
      </c>
      <c r="B21" s="49" t="n"/>
      <c r="C21" s="49" t="n"/>
    </row>
    <row r="22" spans="1:3">
      <c r="A22" s="45" t="s">
        <v>2384</v>
      </c>
      <c r="B22" s="46">
        <f>ROUND(SUMIF('Trial Balance'!S:S,A22,'Trial Balance'!H:H),0)</f>
        <v/>
      </c>
      <c r="C22" s="46">
        <f>ROUND(SUMIF('Trial Balance'!S:S,A22,'Trial Balance'!K:K),0)</f>
        <v/>
      </c>
    </row>
    <row r="23" spans="1:3">
      <c r="A23" s="45" t="s">
        <v>2385</v>
      </c>
      <c r="B23" s="46">
        <f>ROUND(SUMIF('Trial Balance'!S:S,A23,'Trial Balance'!H:H),0)</f>
        <v/>
      </c>
      <c r="C23" s="46">
        <f>ROUND(SUMIF('Trial Balance'!S:S,A23,'Trial Balance'!K:K),0)</f>
        <v/>
      </c>
    </row>
    <row r="24" spans="1:3">
      <c r="A24" s="45" t="s">
        <v>2386</v>
      </c>
      <c r="B24" s="46">
        <f>ROUND(SUMIF('Trial Balance'!S:S,A24,'Trial Balance'!H:H),0)</f>
        <v/>
      </c>
      <c r="C24" s="46">
        <f>ROUND(SUMIF('Trial Balance'!S:S,A24,'Trial Balance'!K:K),0)</f>
        <v/>
      </c>
    </row>
    <row r="25" spans="1:3">
      <c r="A25" s="45" t="s">
        <v>2387</v>
      </c>
      <c r="B25" s="46">
        <f>ROUND(SUMIF('Trial Balance'!S:S,A25,'Trial Balance'!H:H),0)</f>
        <v/>
      </c>
      <c r="C25" s="46">
        <f>ROUND(SUMIF('Trial Balance'!S:S,A25,'Trial Balance'!K:K),0)</f>
        <v/>
      </c>
    </row>
    <row r="26" spans="1:3">
      <c r="A26" s="45" t="s">
        <v>2388</v>
      </c>
      <c r="B26" s="46">
        <f>ROUND(SUMIF('Trial Balance'!S:S,A26,'Trial Balance'!H:H),0)</f>
        <v/>
      </c>
      <c r="C26" s="46">
        <f>ROUND(SUMIF('Trial Balance'!S:S,A26,'Trial Balance'!K:K),0)</f>
        <v/>
      </c>
    </row>
    <row r="27" spans="1:3">
      <c r="A27" s="44" t="s">
        <v>2241</v>
      </c>
      <c r="B27" s="76">
        <f>SUM(B19:B26)</f>
        <v/>
      </c>
      <c r="C27" s="76">
        <f>SUM(C19:C26)</f>
        <v/>
      </c>
    </row>
    <row r="28" spans="1:3" ht="12.5" customHeight="1" thickBot="1">
      <c r="A28" s="201" t="s">
        <v>1998</v>
      </c>
      <c r="B28" s="187">
        <f>'2. F20'!D37</f>
        <v/>
      </c>
      <c r="C28" s="187">
        <f>'2. F20'!E37</f>
        <v/>
      </c>
    </row>
    <row r="29" spans="1:3" ht="12.5" customHeight="1" thickTop="1">
      <c r="A29" s="202" t="s">
        <v>796</v>
      </c>
      <c r="B29" s="203">
        <f>B27-B28</f>
        <v/>
      </c>
      <c r="C29" s="203">
        <f>C27-C28</f>
        <v/>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D30"/>
  <sheetViews>
    <sheetView showGridLines="0" workbookViewId="0">
      <selection activeCell="B16" sqref="B16"/>
    </sheetView>
  </sheetViews>
  <sheetFormatPr baseColWidth="8" defaultColWidth="63.44140625" defaultRowHeight="12" outlineLevelCol="0"/>
  <cols>
    <col width="17.33203125" bestFit="1" customWidth="1" min="1" max="1"/>
    <col width="56.6640625" bestFit="1" customWidth="1" min="2" max="2"/>
    <col width="11.6640625" bestFit="1" customWidth="1" min="3" max="3"/>
    <col width="11.44140625" bestFit="1" customWidth="1" min="4" max="4"/>
  </cols>
  <sheetData>
    <row r="1" spans="1:4">
      <c r="A1" s="1">
        <f>'Trial Balance'!A1</f>
        <v/>
      </c>
      <c r="B1" s="18">
        <f>'Trial Balance'!B1</f>
        <v/>
      </c>
    </row>
    <row r="2" spans="1:4">
      <c r="A2" s="1">
        <f>'Trial Balance'!A2</f>
        <v/>
      </c>
      <c r="B2" s="18">
        <f>'Trial Balance'!B2</f>
        <v/>
      </c>
    </row>
    <row r="3" spans="1:4">
      <c r="A3" s="1">
        <f>'Trial Balance'!A3</f>
        <v/>
      </c>
      <c r="B3" s="18">
        <f>'Trial Balance'!B3</f>
        <v/>
      </c>
    </row>
    <row r="4" spans="1:4">
      <c r="A4" s="1">
        <f>'Trial Balance'!A4</f>
        <v/>
      </c>
      <c r="B4" s="18">
        <f>'Trial Balance'!B4</f>
        <v/>
      </c>
    </row>
    <row r="5" spans="1:4">
      <c r="A5" s="1">
        <f>'Trial Balance'!A5</f>
        <v/>
      </c>
      <c r="B5" s="18">
        <f>'Trial Balance'!B5</f>
        <v/>
      </c>
    </row>
    <row r="6" spans="1:4">
      <c r="A6" s="1">
        <f>'Trial Balance'!A6</f>
        <v/>
      </c>
      <c r="B6" s="18">
        <f>'Trial Balance'!B6</f>
        <v/>
      </c>
    </row>
    <row r="7" spans="1:4">
      <c r="A7" s="1">
        <f>'Trial Balance'!A7</f>
        <v/>
      </c>
      <c r="B7" s="18">
        <f>'Trial Balance'!B7</f>
        <v/>
      </c>
    </row>
    <row r="9" spans="1:4">
      <c r="A9" s="3" t="s">
        <v>2389</v>
      </c>
    </row>
    <row r="11" spans="1:4">
      <c r="A11" s="45" t="n"/>
      <c r="B11" s="45" t="n"/>
      <c r="C11" s="44">
        <f>'Trial Balance'!J6</f>
        <v/>
      </c>
      <c r="D11" s="44">
        <f>'Trial Balance'!K6</f>
        <v/>
      </c>
    </row>
    <row r="12" spans="1:4">
      <c r="A12" s="45" t="n">
        <v>1</v>
      </c>
      <c r="B12" s="45" t="s">
        <v>2390</v>
      </c>
      <c r="C12" s="46">
        <f>ROUND(SUMIF('Trial Balance'!S:S,B12,'Trial Balance'!H:H),0)</f>
        <v/>
      </c>
      <c r="D12" s="46">
        <f>ROUND(SUMIF('Trial Balance'!S:S,B12,'Trial Balance'!K:K),0)</f>
        <v/>
      </c>
    </row>
    <row r="13" spans="1:4">
      <c r="A13" s="45" t="n">
        <v>2</v>
      </c>
      <c r="B13" s="45" t="s">
        <v>2391</v>
      </c>
      <c r="C13" s="46">
        <f>ROUND(SUMIF('Trial Balance'!S:S,B13,'Trial Balance'!H:H),0)</f>
        <v/>
      </c>
      <c r="D13" s="46">
        <f>ROUND(SUMIF('Trial Balance'!S:S,B13,'Trial Balance'!K:K),0)</f>
        <v/>
      </c>
    </row>
    <row r="14" spans="1:4">
      <c r="A14" s="45" t="n">
        <v>3</v>
      </c>
      <c r="B14" s="45" t="s">
        <v>2392</v>
      </c>
      <c r="C14" s="46">
        <f>ROUND(SUMIF('Trial Balance'!S:S,B14,'Trial Balance'!H:H),0)</f>
        <v/>
      </c>
      <c r="D14" s="46">
        <f>ROUND(SUMIF('Trial Balance'!S:S,B14,'Trial Balance'!K:K),0)</f>
        <v/>
      </c>
    </row>
    <row r="15" spans="1:4">
      <c r="A15" s="45" t="n">
        <v>4</v>
      </c>
      <c r="B15" s="45" t="s">
        <v>2393</v>
      </c>
      <c r="C15" s="46">
        <f>ROUND(SUMIF('Trial Balance'!S:S,B15,'Trial Balance'!H:H),0)</f>
        <v/>
      </c>
      <c r="D15" s="46">
        <f>ROUND(SUMIF('Trial Balance'!S:S,B15,'Trial Balance'!K:K),0)</f>
        <v/>
      </c>
    </row>
    <row r="16" spans="1:4">
      <c r="A16" s="45" t="n">
        <v>5</v>
      </c>
      <c r="B16" s="45" t="s">
        <v>2394</v>
      </c>
      <c r="C16" s="46">
        <f>ROUND(SUMIF('Trial Balance'!S:S,B16,'Trial Balance'!H:H),0)</f>
        <v/>
      </c>
      <c r="D16" s="46">
        <f>ROUND(SUMIF('Trial Balance'!S:S,B16,'Trial Balance'!K:K),0)</f>
        <v/>
      </c>
    </row>
    <row r="17" spans="1:4">
      <c r="A17" s="49" t="n">
        <v>6</v>
      </c>
      <c r="B17" s="49" t="s">
        <v>2395</v>
      </c>
      <c r="C17" s="133">
        <f>ROUND(SUMIF('Trial Balance'!S:S,B17,'Trial Balance'!H:H),0)</f>
        <v/>
      </c>
      <c r="D17" s="133">
        <f>ROUND(SUMIF('Trial Balance'!S:S,B17,'Trial Balance'!K:K),0)</f>
        <v/>
      </c>
    </row>
    <row r="18" spans="1:4">
      <c r="A18" s="49" t="n">
        <v>7</v>
      </c>
      <c r="B18" s="49" t="s">
        <v>2396</v>
      </c>
      <c r="C18" s="133">
        <f>ROUND(SUMIF('Trial Balance'!S:S,B18,'Trial Balance'!H:H),0)</f>
        <v/>
      </c>
      <c r="D18" s="133">
        <f>ROUND(SUMIF('Trial Balance'!S:S,B18,'Trial Balance'!K:K),0)</f>
        <v/>
      </c>
    </row>
    <row r="19" spans="1:4">
      <c r="A19" s="45" t="n">
        <v>8</v>
      </c>
      <c r="B19" s="45" t="s">
        <v>2397</v>
      </c>
      <c r="C19" s="46">
        <f>ROUND(SUMIF('Trial Balance'!S:S,B19,'Trial Balance'!H:H),0)</f>
        <v/>
      </c>
      <c r="D19" s="46">
        <f>ROUND(SUMIF('Trial Balance'!S:S,B19,'Trial Balance'!K:K),0)</f>
        <v/>
      </c>
    </row>
    <row r="20" spans="1:4">
      <c r="A20" s="45" t="n">
        <v>9</v>
      </c>
      <c r="B20" s="45" t="s">
        <v>2398</v>
      </c>
      <c r="C20" s="46">
        <f>ROUND(SUMIF('Trial Balance'!S:S,B20,'Trial Balance'!H:H),0)</f>
        <v/>
      </c>
      <c r="D20" s="46">
        <f>ROUND(SUMIF('Trial Balance'!S:S,B20,'Trial Balance'!K:K),0)</f>
        <v/>
      </c>
    </row>
    <row r="21" spans="1:4">
      <c r="A21" s="45" t="n">
        <v>10</v>
      </c>
      <c r="B21" s="45" t="s">
        <v>2399</v>
      </c>
      <c r="C21" s="46">
        <f>ROUND(SUMIF('Trial Balance'!S:S,B21,'Trial Balance'!H:H),0)</f>
        <v/>
      </c>
      <c r="D21" s="46">
        <f>ROUND(SUMIF('Trial Balance'!S:S,B21,'Trial Balance'!K:K),0)</f>
        <v/>
      </c>
    </row>
    <row r="22" spans="1:4">
      <c r="A22" s="45" t="n">
        <v>11</v>
      </c>
      <c r="B22" s="45" t="s">
        <v>2400</v>
      </c>
      <c r="C22" s="46">
        <f>ROUND(SUMIF('Trial Balance'!S:S,B22,'Trial Balance'!H:H),0)</f>
        <v/>
      </c>
      <c r="D22" s="46">
        <f>ROUND(SUMIF('Trial Balance'!S:S,B22,'Trial Balance'!K:K),0)</f>
        <v/>
      </c>
    </row>
    <row r="23" spans="1:4">
      <c r="A23" s="45" t="n">
        <v>12</v>
      </c>
      <c r="B23" s="45" t="s">
        <v>2401</v>
      </c>
      <c r="C23" s="46">
        <f>ROUND(SUMIF('Trial Balance'!S:S,B23,'Trial Balance'!H:H),0)</f>
        <v/>
      </c>
      <c r="D23" s="46">
        <f>ROUND(SUMIF('Trial Balance'!S:S,B23,'Trial Balance'!K:K),0)</f>
        <v/>
      </c>
    </row>
    <row r="24" spans="1:4">
      <c r="A24" s="44" t="s">
        <v>2402</v>
      </c>
      <c r="B24" s="44" t="s">
        <v>2403</v>
      </c>
      <c r="C24" s="76">
        <f>SUM(C12:C23)</f>
        <v/>
      </c>
      <c r="D24" s="76">
        <f>SUM(D12:D23)</f>
        <v/>
      </c>
    </row>
    <row r="25" spans="1:4">
      <c r="A25" s="45" t="n">
        <v>14</v>
      </c>
      <c r="B25" s="45" t="s">
        <v>2404</v>
      </c>
      <c r="C25" s="46">
        <f>ROUND(SUMIF('Trial Balance'!S:S,B25,'Trial Balance'!H:H),0)</f>
        <v/>
      </c>
      <c r="D25" s="46">
        <f>ROUND(SUMIF('Trial Balance'!S:S,B25,'Trial Balance'!K:K),0)</f>
        <v/>
      </c>
    </row>
    <row r="26" spans="1:4">
      <c r="A26" s="45" t="n">
        <v>15</v>
      </c>
      <c r="B26" s="45" t="s">
        <v>2405</v>
      </c>
      <c r="C26" s="46">
        <f>ROUND(SUMIF('Trial Balance'!S:S,B26,'Trial Balance'!H:H),0)</f>
        <v/>
      </c>
      <c r="D26" s="46">
        <f>ROUND(SUMIF('Trial Balance'!S:S,B26,'Trial Balance'!K:K),0)</f>
        <v/>
      </c>
    </row>
    <row r="27" spans="1:4">
      <c r="A27" s="45" t="n">
        <v>16</v>
      </c>
      <c r="B27" s="45" t="s">
        <v>2406</v>
      </c>
      <c r="C27" s="46">
        <f>ROUND(SUMIF('Trial Balance'!S:S,B27,'Trial Balance'!H:H),0)</f>
        <v/>
      </c>
      <c r="D27" s="46">
        <f>ROUND(SUMIF('Trial Balance'!S:S,B27,'Trial Balance'!K:K),0)</f>
        <v/>
      </c>
    </row>
    <row r="28" spans="1:4">
      <c r="A28" s="45" t="n">
        <v>17</v>
      </c>
      <c r="B28" s="45" t="s">
        <v>2407</v>
      </c>
      <c r="C28" s="46">
        <f>ROUND(SUMIF('Trial Balance'!S:S,B28,'Trial Balance'!H:H),0)</f>
        <v/>
      </c>
      <c r="D28" s="46">
        <f>ROUND(SUMIF('Trial Balance'!S:S,B28,'Trial Balance'!K:K),0)</f>
        <v/>
      </c>
    </row>
    <row r="29" spans="1:4">
      <c r="A29" s="45" t="n">
        <v>18</v>
      </c>
      <c r="B29" s="45" t="s">
        <v>2408</v>
      </c>
      <c r="C29" s="46">
        <f>ROUND(SUMIF('Trial Balance'!S:S,B29,'Trial Balance'!H:H),0)</f>
        <v/>
      </c>
      <c r="D29" s="46">
        <f>ROUND(SUMIF('Trial Balance'!S:S,B29,'Trial Balance'!K:K),0)</f>
        <v/>
      </c>
    </row>
    <row r="30" spans="1:4">
      <c r="A30" s="44" t="s">
        <v>2409</v>
      </c>
      <c r="B30" s="44" t="s">
        <v>1065</v>
      </c>
      <c r="C30" s="76">
        <f>SUM(C24:C29)</f>
        <v/>
      </c>
      <c r="D30" s="76">
        <f>SUM(D24:D29)</f>
        <v/>
      </c>
    </row>
  </sheetData>
  <pageMargins left="0.7" right="0.7" top="0.75" bottom="0.75" header="0.3" footer="0.3"/>
</worksheet>
</file>

<file path=xl/worksheets/sheet19.xml><?xml version="1.0" encoding="utf-8"?>
<worksheet xmlns="http://schemas.openxmlformats.org/spreadsheetml/2006/main">
  <sheetPr filterMode="1">
    <tabColor rgb="FF7030A0"/>
    <outlinePr summaryBelow="1" summaryRight="1"/>
    <pageSetUpPr/>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baseColWidth="8" defaultColWidth="11.6640625" defaultRowHeight="10" outlineLevelCol="0"/>
  <cols>
    <col width="36.33203125" bestFit="1" customWidth="1" style="105" min="1" max="1"/>
    <col width="129.109375" bestFit="1" customWidth="1" style="96" min="2" max="2"/>
    <col width="32.44140625" customWidth="1" style="96" min="3" max="3"/>
    <col width="9.77734375" bestFit="1" customWidth="1" style="96" min="4" max="4"/>
    <col width="18.77734375" bestFit="1" customWidth="1" style="96" min="5" max="5"/>
    <col width="11.6640625" customWidth="1" style="96" min="6" max="7"/>
    <col width="15.44140625" customWidth="1" style="96" min="8" max="8"/>
    <col width="11.6640625" customWidth="1" style="96" min="9" max="11"/>
    <col width="7.6640625" bestFit="1" customWidth="1" style="96" min="12" max="12"/>
    <col width="11.6640625" customWidth="1" style="96" min="13" max="16384"/>
  </cols>
  <sheetData>
    <row r="1" spans="1:14" ht="66.75" customFormat="1" customHeight="1" s="95">
      <c r="A1" s="93" t="s">
        <v>2410</v>
      </c>
      <c r="B1" s="94" t="s">
        <v>23</v>
      </c>
      <c r="C1" s="95" t="s">
        <v>2411</v>
      </c>
      <c r="D1" s="95" t="s">
        <v>2412</v>
      </c>
      <c r="E1" s="95" t="s">
        <v>2413</v>
      </c>
      <c r="F1" s="95" t="s">
        <v>2414</v>
      </c>
      <c r="G1" s="95" t="s">
        <v>19</v>
      </c>
      <c r="H1" s="95" t="s">
        <v>35</v>
      </c>
      <c r="M1" s="211" t="s">
        <v>2415</v>
      </c>
      <c r="N1" s="211" t="s">
        <v>2416</v>
      </c>
    </row>
    <row r="2" spans="1:14" hidden="1" ht="12.75" customHeight="1">
      <c r="A2" s="96" t="n"/>
      <c r="B2" s="96" t="s">
        <v>2417</v>
      </c>
      <c r="C2" s="96" t="s">
        <v>2418</v>
      </c>
      <c r="D2" s="96" t="s">
        <v>2077</v>
      </c>
      <c r="E2" s="96" t="n">
        <v>0</v>
      </c>
      <c r="G2" s="96">
        <f>LEFT(A2)</f>
        <v/>
      </c>
    </row>
    <row r="3" spans="1:14" hidden="1" ht="12.75" customHeight="1">
      <c r="A3" s="96" t="s">
        <v>2419</v>
      </c>
      <c r="B3" s="96" t="s">
        <v>2420</v>
      </c>
      <c r="C3" s="96" t="s">
        <v>2418</v>
      </c>
      <c r="D3" s="96" t="s">
        <v>2074</v>
      </c>
      <c r="E3" s="96" t="n">
        <v>0</v>
      </c>
      <c r="G3" s="96">
        <f>LEFT(A3)</f>
        <v/>
      </c>
    </row>
    <row r="4" spans="1:14" hidden="1" ht="12.75" customHeight="1">
      <c r="A4" s="96" t="s">
        <v>2421</v>
      </c>
      <c r="B4" s="96" t="s">
        <v>2422</v>
      </c>
      <c r="C4" s="96" t="s">
        <v>2418</v>
      </c>
      <c r="D4" s="96" t="s">
        <v>2080</v>
      </c>
      <c r="E4" s="96" t="n">
        <v>0</v>
      </c>
      <c r="G4" s="96">
        <f>LEFT(A4)</f>
        <v/>
      </c>
    </row>
    <row r="5" spans="1:14" hidden="1" ht="12.75" customHeight="1">
      <c r="A5" s="96" t="s">
        <v>2423</v>
      </c>
      <c r="B5" s="96" t="s">
        <v>2424</v>
      </c>
      <c r="C5" s="96" t="s">
        <v>2418</v>
      </c>
      <c r="D5" s="96" t="s">
        <v>2425</v>
      </c>
      <c r="E5" s="96" t="n">
        <v>0</v>
      </c>
      <c r="G5" s="96">
        <f>LEFT(A5)</f>
        <v/>
      </c>
    </row>
    <row r="6" spans="1:14" hidden="1" ht="12.75" customHeight="1">
      <c r="A6" s="96" t="s">
        <v>2426</v>
      </c>
      <c r="B6" s="96" t="s">
        <v>2427</v>
      </c>
      <c r="C6" s="96" t="s">
        <v>2418</v>
      </c>
      <c r="D6" s="96" t="s">
        <v>2428</v>
      </c>
      <c r="E6" s="96" t="n">
        <v>0</v>
      </c>
      <c r="G6" s="96">
        <f>LEFT(A6)</f>
        <v/>
      </c>
    </row>
    <row r="7" spans="1:14" hidden="1" ht="12.75" customHeight="1">
      <c r="A7" s="96" t="s">
        <v>2429</v>
      </c>
      <c r="B7" s="96" t="s">
        <v>2430</v>
      </c>
      <c r="C7" s="96" t="s">
        <v>2418</v>
      </c>
      <c r="D7" s="96" t="s">
        <v>2083</v>
      </c>
      <c r="E7" s="96" t="n">
        <v>0</v>
      </c>
      <c r="G7" s="96">
        <f>LEFT(A7)</f>
        <v/>
      </c>
    </row>
    <row r="8" spans="1:14" hidden="1" ht="12.75" customHeight="1">
      <c r="A8" s="96" t="s">
        <v>2431</v>
      </c>
      <c r="B8" s="96" t="s">
        <v>2088</v>
      </c>
      <c r="C8" s="96" t="s">
        <v>2431</v>
      </c>
      <c r="D8" s="96" t="s">
        <v>2083</v>
      </c>
      <c r="E8" s="96" t="n">
        <v>0</v>
      </c>
      <c r="G8" s="96">
        <f>LEFT(A8)</f>
        <v/>
      </c>
    </row>
    <row r="9" spans="1:14" hidden="1" ht="12.75" customHeight="1">
      <c r="A9" s="96" t="s">
        <v>2432</v>
      </c>
      <c r="B9" s="96" t="s">
        <v>2433</v>
      </c>
      <c r="C9" s="96" t="s">
        <v>2431</v>
      </c>
      <c r="D9" s="96" t="s">
        <v>2086</v>
      </c>
      <c r="E9" s="96" t="n">
        <v>0</v>
      </c>
      <c r="G9" s="96">
        <f>LEFT(A9)</f>
        <v/>
      </c>
    </row>
    <row r="10" spans="1:14" hidden="1" ht="12.75" customHeight="1">
      <c r="A10" s="96" t="s">
        <v>2434</v>
      </c>
      <c r="B10" s="96" t="s">
        <v>2435</v>
      </c>
      <c r="C10" s="96" t="s">
        <v>2436</v>
      </c>
      <c r="D10" s="96" t="s">
        <v>2089</v>
      </c>
      <c r="E10" s="96" t="n">
        <v>0</v>
      </c>
      <c r="G10" s="96">
        <f>LEFT(A10)</f>
        <v/>
      </c>
      <c r="I10" s="97" t="n"/>
      <c r="J10" s="97" t="n"/>
      <c r="K10" s="97" t="n"/>
      <c r="L10" s="97" t="n"/>
    </row>
    <row r="11" spans="1:14" hidden="1" ht="12.75" customHeight="1">
      <c r="A11" s="96" t="s">
        <v>2437</v>
      </c>
      <c r="B11" s="96" t="s">
        <v>2438</v>
      </c>
      <c r="C11" s="96" t="s">
        <v>2436</v>
      </c>
      <c r="D11" s="96" t="s">
        <v>2089</v>
      </c>
      <c r="E11" s="96" t="n">
        <v>0</v>
      </c>
      <c r="G11" s="96">
        <f>LEFT(A11)</f>
        <v/>
      </c>
      <c r="I11" s="98" t="n"/>
      <c r="J11" s="98" t="n"/>
      <c r="K11" s="98" t="n"/>
      <c r="L11" s="98" t="n">
        <v>-8059</v>
      </c>
    </row>
    <row r="12" spans="1:14" hidden="1" ht="12.75" customHeight="1">
      <c r="A12" s="96" t="s">
        <v>2439</v>
      </c>
      <c r="B12" s="96" t="s">
        <v>2440</v>
      </c>
      <c r="C12" s="96" t="s">
        <v>2436</v>
      </c>
      <c r="D12" s="96" t="s">
        <v>2089</v>
      </c>
      <c r="E12" s="96" t="n">
        <v>0</v>
      </c>
      <c r="G12" s="96">
        <f>LEFT(A12)</f>
        <v/>
      </c>
      <c r="I12" s="98" t="n"/>
      <c r="J12" s="98" t="n"/>
      <c r="K12" s="98" t="n"/>
      <c r="L12" s="98" t="n">
        <v>-8059</v>
      </c>
    </row>
    <row r="13" spans="1:14" hidden="1" ht="12.75" customHeight="1">
      <c r="A13" s="96" t="s">
        <v>2441</v>
      </c>
      <c r="B13" s="96" t="s">
        <v>2442</v>
      </c>
      <c r="C13" s="96" t="s">
        <v>2436</v>
      </c>
      <c r="D13" s="96" t="s">
        <v>2089</v>
      </c>
      <c r="E13" s="96" t="n">
        <v>0</v>
      </c>
      <c r="G13" s="96">
        <f>LEFT(A13)</f>
        <v/>
      </c>
      <c r="I13" s="98" t="n"/>
      <c r="J13" s="98" t="n"/>
      <c r="K13" s="98" t="n"/>
      <c r="L13" s="98" t="n">
        <v>-8059</v>
      </c>
    </row>
    <row r="14" spans="1:14" hidden="1" ht="12.75" customHeight="1">
      <c r="A14" s="96" t="s">
        <v>2443</v>
      </c>
      <c r="B14" s="96" t="s">
        <v>2444</v>
      </c>
      <c r="C14" s="96" t="s">
        <v>2443</v>
      </c>
      <c r="D14" s="96" t="s">
        <v>2092</v>
      </c>
      <c r="E14" s="96" t="n">
        <v>0</v>
      </c>
      <c r="G14" s="96">
        <f>LEFT(A14)</f>
        <v/>
      </c>
      <c r="I14" s="98" t="n"/>
      <c r="J14" s="98" t="n"/>
      <c r="K14" s="98" t="n"/>
      <c r="L14" s="98" t="n">
        <v>-8059</v>
      </c>
    </row>
    <row r="15" spans="1:14" hidden="1" ht="12.75" customHeight="1">
      <c r="A15" s="96" t="s">
        <v>2445</v>
      </c>
      <c r="B15" s="96" t="s">
        <v>2446</v>
      </c>
      <c r="C15" s="96" t="s">
        <v>2447</v>
      </c>
      <c r="D15" s="96" t="s">
        <v>2095</v>
      </c>
      <c r="E15" s="96" t="n">
        <v>0</v>
      </c>
      <c r="G15" s="96">
        <f>LEFT(A15)</f>
        <v/>
      </c>
      <c r="I15" s="98" t="n"/>
      <c r="J15" s="98" t="n"/>
      <c r="K15" s="98" t="n"/>
      <c r="L15" s="98" t="n">
        <v>-8059</v>
      </c>
    </row>
    <row r="16" spans="1:14" hidden="1" ht="12.75" customHeight="1">
      <c r="A16" s="96" t="s">
        <v>2448</v>
      </c>
      <c r="B16" s="96" t="s">
        <v>2449</v>
      </c>
      <c r="C16" s="96" t="s">
        <v>2447</v>
      </c>
      <c r="D16" s="96" t="s">
        <v>2097</v>
      </c>
      <c r="E16" s="96" t="n">
        <v>0</v>
      </c>
      <c r="G16" s="96">
        <f>LEFT(A16)</f>
        <v/>
      </c>
      <c r="I16" s="98" t="n"/>
      <c r="J16" s="98" t="n"/>
      <c r="K16" s="98" t="n"/>
      <c r="L16" s="98" t="n">
        <v>-8059</v>
      </c>
    </row>
    <row r="17" spans="1:14" hidden="1" ht="12.75" customHeight="1">
      <c r="A17" s="96" t="s">
        <v>2450</v>
      </c>
      <c r="B17" s="99" t="s">
        <v>2451</v>
      </c>
      <c r="C17" s="96" t="s">
        <v>2447</v>
      </c>
      <c r="D17" s="96" t="s">
        <v>2452</v>
      </c>
      <c r="E17" s="96" t="n">
        <v>0</v>
      </c>
      <c r="G17" s="96">
        <f>LEFT(A17)</f>
        <v/>
      </c>
      <c r="I17" s="98" t="n"/>
      <c r="J17" s="98" t="n"/>
      <c r="K17" s="98" t="n"/>
      <c r="L17" s="98" t="n">
        <v>-8059</v>
      </c>
    </row>
    <row r="18" spans="1:14" hidden="1" ht="12.75" customHeight="1">
      <c r="A18" s="96" t="s">
        <v>2453</v>
      </c>
      <c r="B18" s="96" t="s">
        <v>2454</v>
      </c>
      <c r="C18" s="96" t="s">
        <v>2447</v>
      </c>
      <c r="D18" s="96" t="s">
        <v>2100</v>
      </c>
      <c r="E18" s="96" t="n">
        <v>0</v>
      </c>
      <c r="G18" s="96">
        <f>LEFT(A18)</f>
        <v/>
      </c>
      <c r="I18" s="98" t="n"/>
      <c r="J18" s="98" t="n"/>
      <c r="K18" s="98" t="n"/>
      <c r="L18" s="98" t="n">
        <v>-8059</v>
      </c>
    </row>
    <row r="19" spans="1:14" hidden="1" ht="12.75" customHeight="1">
      <c r="A19" s="96" t="s">
        <v>2455</v>
      </c>
      <c r="B19" s="96" t="s">
        <v>2456</v>
      </c>
      <c r="C19" s="96" t="s">
        <v>2457</v>
      </c>
      <c r="D19" s="96" t="s">
        <v>2103</v>
      </c>
      <c r="E19" s="96" t="n">
        <v>0</v>
      </c>
      <c r="G19" s="96">
        <f>LEFT(A19)</f>
        <v/>
      </c>
      <c r="I19" s="98" t="n"/>
      <c r="J19" s="98" t="n"/>
      <c r="K19" s="98" t="n"/>
      <c r="L19" s="98" t="n">
        <v>-8059</v>
      </c>
    </row>
    <row r="20" spans="1:14" hidden="1" ht="12.75" customHeight="1">
      <c r="A20" s="96" t="s">
        <v>2458</v>
      </c>
      <c r="B20" s="96" t="s">
        <v>2459</v>
      </c>
      <c r="C20" s="96" t="s">
        <v>2457</v>
      </c>
      <c r="D20" s="96" t="s">
        <v>2103</v>
      </c>
      <c r="E20" s="96" t="n">
        <v>0</v>
      </c>
      <c r="G20" s="96">
        <f>LEFT(A20)</f>
        <v/>
      </c>
      <c r="I20" s="98" t="n"/>
      <c r="J20" s="98" t="n"/>
      <c r="K20" s="98" t="n"/>
      <c r="L20" s="98" t="n">
        <v>-8059</v>
      </c>
    </row>
    <row r="21" spans="1:14" hidden="1" ht="12.75" customHeight="1">
      <c r="A21" s="96" t="s">
        <v>2460</v>
      </c>
      <c r="B21" s="96" t="s">
        <v>2461</v>
      </c>
      <c r="C21" s="96" t="s">
        <v>2457</v>
      </c>
      <c r="D21" s="96" t="s">
        <v>2103</v>
      </c>
      <c r="E21" s="96" t="n">
        <v>0</v>
      </c>
      <c r="G21" s="96">
        <f>LEFT(A21)</f>
        <v/>
      </c>
      <c r="I21" s="98" t="n"/>
      <c r="J21" s="98" t="n"/>
      <c r="K21" s="98" t="n"/>
      <c r="L21" s="98" t="n">
        <v>-8059</v>
      </c>
    </row>
    <row r="22" spans="1:14" hidden="1" ht="12.75" customHeight="1">
      <c r="A22" s="96" t="s">
        <v>2462</v>
      </c>
      <c r="B22" s="96" t="s">
        <v>2463</v>
      </c>
      <c r="C22" s="96" t="s">
        <v>2464</v>
      </c>
      <c r="D22" s="96" t="s">
        <v>2452</v>
      </c>
      <c r="E22" s="96" t="n">
        <v>0</v>
      </c>
      <c r="G22" s="96">
        <f>LEFT(A22)</f>
        <v/>
      </c>
      <c r="I22" s="98" t="n"/>
      <c r="J22" s="98" t="n"/>
      <c r="K22" s="98" t="n"/>
      <c r="L22" s="98" t="n">
        <v>-8059</v>
      </c>
    </row>
    <row r="23" spans="1:14" hidden="1" ht="12.75" customHeight="1">
      <c r="A23" s="96" t="s">
        <v>2465</v>
      </c>
      <c r="B23" s="96" t="s">
        <v>2466</v>
      </c>
      <c r="C23" s="96" t="s">
        <v>2464</v>
      </c>
      <c r="D23" s="96" t="s">
        <v>2452</v>
      </c>
      <c r="E23" s="96" t="n">
        <v>0</v>
      </c>
      <c r="G23" s="96">
        <f>LEFT(A23)</f>
        <v/>
      </c>
      <c r="I23" s="98" t="n"/>
      <c r="J23" s="98" t="n"/>
      <c r="K23" s="98" t="n"/>
      <c r="L23" s="98" t="n">
        <v>-8059</v>
      </c>
    </row>
    <row r="24" spans="1:14" hidden="1" ht="12.75" customHeight="1">
      <c r="A24" s="96" t="s">
        <v>2467</v>
      </c>
      <c r="B24" s="96" t="s">
        <v>2468</v>
      </c>
      <c r="C24" s="96" t="s">
        <v>2464</v>
      </c>
      <c r="D24" s="96" t="s">
        <v>2452</v>
      </c>
      <c r="E24" s="96" t="n">
        <v>0</v>
      </c>
      <c r="G24" s="96">
        <f>LEFT(A24)</f>
        <v/>
      </c>
      <c r="I24" s="98" t="n"/>
      <c r="J24" s="98" t="n"/>
      <c r="K24" s="98" t="n"/>
      <c r="L24" s="98" t="n">
        <v>-8059</v>
      </c>
    </row>
    <row r="25" spans="1:14" hidden="1" ht="12.75" customHeight="1">
      <c r="A25" s="96" t="s">
        <v>2469</v>
      </c>
      <c r="B25" s="96" t="s">
        <v>2468</v>
      </c>
      <c r="C25" s="96" t="s">
        <v>2464</v>
      </c>
      <c r="D25" s="96" t="s">
        <v>2452</v>
      </c>
      <c r="E25" s="96" t="n">
        <v>0</v>
      </c>
      <c r="G25" s="96">
        <f>LEFT(A25)</f>
        <v/>
      </c>
      <c r="I25" s="98" t="n"/>
      <c r="J25" s="98" t="n"/>
      <c r="K25" s="98" t="n"/>
      <c r="L25" s="98" t="n">
        <v>-8059</v>
      </c>
    </row>
    <row r="26" spans="1:14" hidden="1" ht="12.75" customHeight="1">
      <c r="A26" s="96" t="s">
        <v>2470</v>
      </c>
      <c r="B26" s="96" t="s">
        <v>2471</v>
      </c>
      <c r="C26" s="96" t="s">
        <v>2464</v>
      </c>
      <c r="D26" s="96" t="s">
        <v>2452</v>
      </c>
      <c r="E26" s="96" t="n">
        <v>0</v>
      </c>
      <c r="G26" s="96">
        <f>LEFT(A26)</f>
        <v/>
      </c>
      <c r="I26" s="98" t="n"/>
      <c r="J26" s="98" t="n"/>
      <c r="K26" s="98" t="n"/>
      <c r="L26" s="98" t="n">
        <v>-8059</v>
      </c>
    </row>
    <row r="27" spans="1:14" hidden="1" ht="12.75" customHeight="1">
      <c r="A27" s="96" t="s">
        <v>2472</v>
      </c>
      <c r="B27" s="96" t="s">
        <v>2473</v>
      </c>
      <c r="C27" s="96" t="s">
        <v>2464</v>
      </c>
      <c r="D27" s="96" t="s">
        <v>2452</v>
      </c>
      <c r="E27" s="96" t="n">
        <v>0</v>
      </c>
      <c r="G27" s="96">
        <f>LEFT(A27)</f>
        <v/>
      </c>
      <c r="I27" s="98" t="n"/>
      <c r="J27" s="98" t="n"/>
      <c r="K27" s="98" t="n"/>
      <c r="L27" s="98" t="n">
        <v>-8059</v>
      </c>
    </row>
    <row r="28" spans="1:14" hidden="1" ht="12.75" customHeight="1">
      <c r="A28" s="96" t="s">
        <v>2474</v>
      </c>
      <c r="B28" s="96" t="s">
        <v>2475</v>
      </c>
      <c r="C28" s="96" t="s">
        <v>2474</v>
      </c>
      <c r="D28" s="96" t="s">
        <v>2476</v>
      </c>
      <c r="E28" s="96" t="n">
        <v>0</v>
      </c>
      <c r="G28" s="96">
        <f>LEFT(A28)</f>
        <v/>
      </c>
      <c r="I28" s="98" t="n"/>
      <c r="J28" s="98" t="n"/>
      <c r="K28" s="98" t="n"/>
      <c r="L28" s="98" t="n">
        <v>-8059</v>
      </c>
    </row>
    <row r="29" spans="1:14" hidden="1" ht="12.75" customHeight="1">
      <c r="A29" s="96" t="s">
        <v>2477</v>
      </c>
      <c r="B29" s="96" t="s">
        <v>2478</v>
      </c>
      <c r="C29" s="96" t="s">
        <v>2477</v>
      </c>
      <c r="D29" s="96" t="s">
        <v>2135</v>
      </c>
      <c r="E29" s="96" t="n">
        <v>0</v>
      </c>
      <c r="G29" s="96">
        <f>LEFT(A29)</f>
        <v/>
      </c>
      <c r="I29" s="98" t="n"/>
      <c r="J29" s="98" t="n"/>
      <c r="K29" s="98" t="n"/>
      <c r="L29" s="98" t="n">
        <v>-8059</v>
      </c>
    </row>
    <row r="30" spans="1:14" hidden="1" ht="12.75" customHeight="1">
      <c r="A30" s="96" t="s">
        <v>2479</v>
      </c>
      <c r="B30" s="96" t="s">
        <v>2480</v>
      </c>
      <c r="C30" s="96" t="s">
        <v>2479</v>
      </c>
      <c r="D30" s="96" t="s">
        <v>2106</v>
      </c>
      <c r="E30" s="96" t="n">
        <v>0</v>
      </c>
      <c r="G30" s="96">
        <f>LEFT(A30)</f>
        <v/>
      </c>
      <c r="I30" s="98" t="n"/>
      <c r="J30" s="98" t="n"/>
      <c r="K30" s="98" t="n"/>
      <c r="L30" s="98" t="n">
        <v>-8059</v>
      </c>
    </row>
    <row r="31" spans="1:14" hidden="1">
      <c r="A31" s="96" t="s">
        <v>2481</v>
      </c>
      <c r="B31" s="96" t="s">
        <v>2482</v>
      </c>
      <c r="C31" s="96" t="s">
        <v>2479</v>
      </c>
      <c r="D31" s="96" t="s">
        <v>2106</v>
      </c>
      <c r="E31" s="96" t="n">
        <v>0</v>
      </c>
      <c r="G31" s="96">
        <f>LEFT(A31)</f>
        <v/>
      </c>
      <c r="I31" s="98" t="n"/>
      <c r="J31" s="98" t="n"/>
      <c r="K31" s="98" t="n"/>
      <c r="L31" s="98" t="n">
        <v>-8059</v>
      </c>
    </row>
    <row r="32" spans="1:14" hidden="1" ht="12.75" customHeight="1">
      <c r="A32" s="96" t="s">
        <v>2483</v>
      </c>
      <c r="B32" s="96" t="s">
        <v>2484</v>
      </c>
      <c r="C32" s="96" t="s">
        <v>2479</v>
      </c>
      <c r="D32" s="96" t="s">
        <v>2106</v>
      </c>
      <c r="E32" s="96" t="n">
        <v>0</v>
      </c>
      <c r="G32" s="96">
        <f>LEFT(A32)</f>
        <v/>
      </c>
      <c r="I32" s="98" t="n"/>
      <c r="J32" s="98" t="n"/>
      <c r="K32" s="98" t="n"/>
      <c r="L32" s="98" t="n">
        <v>-8059</v>
      </c>
    </row>
    <row r="33" spans="1:14" hidden="1" ht="12.75" customHeight="1">
      <c r="A33" s="96" t="s">
        <v>2485</v>
      </c>
      <c r="B33" s="96" t="s">
        <v>2486</v>
      </c>
      <c r="C33" s="96" t="s">
        <v>2485</v>
      </c>
      <c r="D33" s="96" t="s">
        <v>2109</v>
      </c>
      <c r="E33" s="96" t="n">
        <v>0</v>
      </c>
      <c r="G33" s="96">
        <f>LEFT(A33)</f>
        <v/>
      </c>
      <c r="I33" s="98" t="n"/>
      <c r="J33" s="98" t="n"/>
      <c r="K33" s="98" t="n"/>
      <c r="L33" s="98" t="n">
        <v>-8059</v>
      </c>
    </row>
    <row r="34" spans="1:14" hidden="1" ht="12.75" customHeight="1">
      <c r="A34" s="96" t="s">
        <v>2487</v>
      </c>
      <c r="B34" s="96" t="s">
        <v>2488</v>
      </c>
      <c r="C34" s="96" t="s">
        <v>2485</v>
      </c>
      <c r="D34" s="96" t="s">
        <v>2109</v>
      </c>
      <c r="E34" s="96" t="n">
        <v>0</v>
      </c>
      <c r="G34" s="96">
        <f>LEFT(A34)</f>
        <v/>
      </c>
      <c r="I34" s="98" t="n"/>
      <c r="J34" s="98" t="n"/>
      <c r="K34" s="98" t="n"/>
      <c r="L34" s="98" t="n">
        <v>-8059</v>
      </c>
    </row>
    <row r="35" spans="1:14" hidden="1" ht="12.75" customHeight="1">
      <c r="A35" s="96" t="s">
        <v>2489</v>
      </c>
      <c r="B35" s="96" t="s">
        <v>2490</v>
      </c>
      <c r="C35" s="96" t="s">
        <v>2485</v>
      </c>
      <c r="D35" s="96" t="s">
        <v>2109</v>
      </c>
      <c r="E35" s="96" t="n">
        <v>0</v>
      </c>
      <c r="G35" s="96">
        <f>LEFT(A35)</f>
        <v/>
      </c>
      <c r="I35" s="98" t="n"/>
      <c r="J35" s="98" t="n"/>
      <c r="K35" s="98" t="n"/>
      <c r="L35" s="98" t="n">
        <v>-8059</v>
      </c>
    </row>
    <row r="36" spans="1:14" hidden="1" ht="12.75" customHeight="1">
      <c r="A36" s="96" t="s">
        <v>2491</v>
      </c>
      <c r="B36" s="96" t="s">
        <v>2492</v>
      </c>
      <c r="C36" s="96" t="s">
        <v>2485</v>
      </c>
      <c r="D36" s="96" t="s">
        <v>2109</v>
      </c>
      <c r="E36" s="96" t="n">
        <v>0</v>
      </c>
      <c r="G36" s="96">
        <f>LEFT(A36)</f>
        <v/>
      </c>
      <c r="I36" s="98" t="n"/>
      <c r="J36" s="98" t="n"/>
      <c r="K36" s="98" t="n"/>
      <c r="L36" s="98" t="n">
        <v>-8059</v>
      </c>
    </row>
    <row r="37" spans="1:14" hidden="1" ht="12.75" customHeight="1">
      <c r="A37" s="96" t="s">
        <v>2493</v>
      </c>
      <c r="B37" s="96" t="s">
        <v>2494</v>
      </c>
      <c r="C37" s="96" t="s">
        <v>2495</v>
      </c>
      <c r="D37" s="96" t="s">
        <v>2496</v>
      </c>
      <c r="E37" s="96" t="s">
        <v>2346</v>
      </c>
      <c r="G37" s="96">
        <f>LEFT(A37)</f>
        <v/>
      </c>
      <c r="I37" s="98" t="n"/>
      <c r="J37" s="98" t="n"/>
      <c r="K37" s="98" t="n"/>
      <c r="L37" s="98" t="n">
        <v>-8059</v>
      </c>
    </row>
    <row r="38" spans="1:14" hidden="1" ht="12.75" customHeight="1">
      <c r="A38" s="96" t="s">
        <v>2497</v>
      </c>
      <c r="B38" s="96" t="s">
        <v>2498</v>
      </c>
      <c r="C38" s="96" t="s">
        <v>2495</v>
      </c>
      <c r="D38" s="96" t="s">
        <v>2499</v>
      </c>
      <c r="E38" s="96" t="s">
        <v>2347</v>
      </c>
      <c r="G38" s="96">
        <f>LEFT(A38)</f>
        <v/>
      </c>
      <c r="I38" s="100" t="n"/>
      <c r="J38" s="100" t="n"/>
      <c r="K38" s="100" t="n"/>
      <c r="L38" s="100" t="n"/>
    </row>
    <row r="39" spans="1:14" hidden="1" ht="12.75" customHeight="1">
      <c r="A39" s="96" t="s">
        <v>2500</v>
      </c>
      <c r="B39" s="96" t="s">
        <v>2501</v>
      </c>
      <c r="C39" s="96" t="s">
        <v>2495</v>
      </c>
      <c r="D39" s="96" t="s">
        <v>2502</v>
      </c>
      <c r="E39" s="96" t="s">
        <v>2342</v>
      </c>
      <c r="G39" s="96">
        <f>LEFT(A39)</f>
        <v/>
      </c>
    </row>
    <row r="40" spans="1:14" hidden="1" ht="12.75" customHeight="1">
      <c r="A40" s="96" t="s">
        <v>2503</v>
      </c>
      <c r="B40" s="96" t="s">
        <v>2504</v>
      </c>
      <c r="C40" s="96" t="s">
        <v>2495</v>
      </c>
      <c r="D40" s="96" t="s">
        <v>2502</v>
      </c>
      <c r="E40" s="101" t="s">
        <v>2343</v>
      </c>
      <c r="G40" s="96">
        <f>LEFT(A40)</f>
        <v/>
      </c>
    </row>
    <row r="41" spans="1:14" hidden="1" ht="12.75" customHeight="1">
      <c r="A41" s="96" t="s">
        <v>2505</v>
      </c>
      <c r="B41" s="96" t="s">
        <v>2506</v>
      </c>
      <c r="C41" s="96" t="s">
        <v>2495</v>
      </c>
      <c r="D41" s="96" t="s">
        <v>2502</v>
      </c>
      <c r="E41" s="101" t="s">
        <v>2344</v>
      </c>
      <c r="G41" s="96">
        <f>LEFT(A41)</f>
        <v/>
      </c>
    </row>
    <row r="42" spans="1:14" hidden="1" ht="12.75" customHeight="1">
      <c r="A42" s="96" t="s">
        <v>2507</v>
      </c>
      <c r="B42" s="96" t="s">
        <v>2508</v>
      </c>
      <c r="C42" s="96" t="s">
        <v>2495</v>
      </c>
      <c r="D42" s="96" t="s">
        <v>2502</v>
      </c>
      <c r="E42" s="96" t="s">
        <v>2345</v>
      </c>
      <c r="G42" s="96">
        <f>LEFT(A42)</f>
        <v/>
      </c>
    </row>
    <row r="43" spans="1:14" hidden="1" ht="12.75" customHeight="1">
      <c r="A43" s="96" t="s">
        <v>2509</v>
      </c>
      <c r="B43" s="96" t="s">
        <v>2510</v>
      </c>
      <c r="C43" s="96" t="s">
        <v>2495</v>
      </c>
      <c r="D43" s="96" t="s">
        <v>2502</v>
      </c>
      <c r="E43" s="96" t="s">
        <v>2349</v>
      </c>
      <c r="G43" s="96">
        <f>LEFT(A43)</f>
        <v/>
      </c>
    </row>
    <row r="44" spans="1:14" hidden="1" ht="12.75" customHeight="1">
      <c r="A44" s="96" t="s">
        <v>2511</v>
      </c>
      <c r="B44" s="96" t="s">
        <v>2512</v>
      </c>
      <c r="C44" s="96" t="s">
        <v>2495</v>
      </c>
      <c r="D44" s="96" t="s">
        <v>2496</v>
      </c>
      <c r="E44" s="96" t="s">
        <v>2348</v>
      </c>
      <c r="G44" s="96">
        <f>LEFT(A44)</f>
        <v/>
      </c>
    </row>
    <row r="45" spans="1:14" hidden="1" ht="12.75" customHeight="1">
      <c r="A45" s="96" t="s">
        <v>2513</v>
      </c>
      <c r="B45" s="96" t="s">
        <v>2514</v>
      </c>
      <c r="C45" s="96" t="s">
        <v>2513</v>
      </c>
      <c r="D45" s="96" t="s">
        <v>2515</v>
      </c>
      <c r="E45" s="101" t="s">
        <v>2315</v>
      </c>
      <c r="G45" s="96">
        <f>LEFT(A45)</f>
        <v/>
      </c>
      <c r="H45" s="96" t="s">
        <v>2516</v>
      </c>
    </row>
    <row r="46" spans="1:14" hidden="1" ht="12.75" customHeight="1">
      <c r="A46" s="96" t="s">
        <v>2517</v>
      </c>
      <c r="B46" s="96" t="s">
        <v>2518</v>
      </c>
      <c r="C46" s="96" t="s">
        <v>2513</v>
      </c>
      <c r="D46" s="96" t="s">
        <v>2515</v>
      </c>
      <c r="E46" s="96" t="n">
        <v>0</v>
      </c>
      <c r="G46" s="96">
        <f>LEFT(A46)</f>
        <v/>
      </c>
      <c r="H46" s="96" t="s">
        <v>2516</v>
      </c>
    </row>
    <row r="47" spans="1:14" hidden="1" ht="12.75" customHeight="1">
      <c r="A47" s="96" t="s">
        <v>2519</v>
      </c>
      <c r="B47" s="96" t="s">
        <v>2520</v>
      </c>
      <c r="C47" s="96" t="s">
        <v>2513</v>
      </c>
      <c r="D47" s="96" t="s">
        <v>2515</v>
      </c>
      <c r="E47" s="96" t="n">
        <v>0</v>
      </c>
      <c r="G47" s="96">
        <f>LEFT(A47)</f>
        <v/>
      </c>
      <c r="H47" s="96" t="s">
        <v>2516</v>
      </c>
    </row>
    <row r="48" spans="1:14" hidden="1" ht="12" customHeight="1">
      <c r="A48" s="96" t="s">
        <v>2521</v>
      </c>
      <c r="B48" s="96" t="s">
        <v>2522</v>
      </c>
      <c r="C48" s="96" t="s">
        <v>2513</v>
      </c>
      <c r="D48" s="96" t="s">
        <v>2515</v>
      </c>
      <c r="E48" s="96" t="n">
        <v>0</v>
      </c>
      <c r="G48" s="96">
        <f>LEFT(A48)</f>
        <v/>
      </c>
      <c r="H48" s="96" t="s">
        <v>2516</v>
      </c>
    </row>
    <row r="49" spans="1:14" hidden="1" ht="12.75" customHeight="1">
      <c r="A49" s="96" t="s">
        <v>2523</v>
      </c>
      <c r="B49" s="96" t="s">
        <v>2514</v>
      </c>
      <c r="C49" s="96" t="s">
        <v>2513</v>
      </c>
      <c r="D49" s="96" t="s">
        <v>2515</v>
      </c>
      <c r="E49" s="96" t="n">
        <v>0</v>
      </c>
      <c r="G49" s="96">
        <f>LEFT(A49)</f>
        <v/>
      </c>
      <c r="H49" s="96" t="s">
        <v>2516</v>
      </c>
    </row>
    <row r="50" spans="1:14" hidden="1" ht="12.75" customHeight="1">
      <c r="A50" s="96" t="s">
        <v>2524</v>
      </c>
      <c r="B50" s="96" t="s">
        <v>2525</v>
      </c>
      <c r="C50" s="96" t="s">
        <v>2526</v>
      </c>
      <c r="D50" s="96" t="s">
        <v>2527</v>
      </c>
      <c r="E50" s="96" t="n">
        <v>0</v>
      </c>
      <c r="G50" s="96">
        <f>LEFT(A50)</f>
        <v/>
      </c>
      <c r="H50" s="96" t="s">
        <v>2516</v>
      </c>
    </row>
    <row r="51" spans="1:14" hidden="1" ht="12.75" customHeight="1">
      <c r="A51" s="96" t="s">
        <v>2528</v>
      </c>
      <c r="B51" s="96" t="s">
        <v>2529</v>
      </c>
      <c r="C51" s="96" t="s">
        <v>2526</v>
      </c>
      <c r="D51" s="96" t="s">
        <v>2527</v>
      </c>
      <c r="E51" s="96" t="n">
        <v>0</v>
      </c>
      <c r="G51" s="96">
        <f>LEFT(A51)</f>
        <v/>
      </c>
      <c r="H51" s="96" t="s">
        <v>2516</v>
      </c>
    </row>
    <row r="52" spans="1:14" hidden="1" ht="12.75" customHeight="1">
      <c r="A52" s="96" t="s">
        <v>2530</v>
      </c>
      <c r="B52" s="96" t="s">
        <v>2531</v>
      </c>
      <c r="C52" s="96" t="s">
        <v>2526</v>
      </c>
      <c r="D52" s="96" t="s">
        <v>2527</v>
      </c>
      <c r="E52" s="96" t="n">
        <v>0</v>
      </c>
      <c r="G52" s="96">
        <f>LEFT(A52)</f>
        <v/>
      </c>
      <c r="H52" s="96" t="s">
        <v>2516</v>
      </c>
    </row>
    <row r="53" spans="1:14" hidden="1" ht="15" customHeight="1">
      <c r="A53" s="96" t="s">
        <v>2532</v>
      </c>
      <c r="B53" s="96" t="s">
        <v>2533</v>
      </c>
      <c r="C53" s="96" t="s">
        <v>2526</v>
      </c>
      <c r="D53" s="96" t="s">
        <v>2527</v>
      </c>
      <c r="E53" s="96" t="n">
        <v>0</v>
      </c>
      <c r="G53" s="96">
        <f>LEFT(A53)</f>
        <v/>
      </c>
      <c r="H53" s="96" t="s">
        <v>2516</v>
      </c>
    </row>
    <row r="54" spans="1:14" hidden="1" ht="12.75" customHeight="1">
      <c r="A54" s="96" t="s">
        <v>2534</v>
      </c>
      <c r="B54" s="96" t="s">
        <v>2535</v>
      </c>
      <c r="C54" s="96" t="s">
        <v>2526</v>
      </c>
      <c r="D54" s="96" t="s">
        <v>2527</v>
      </c>
      <c r="E54" s="96" t="n">
        <v>0</v>
      </c>
      <c r="G54" s="96">
        <f>LEFT(A54)</f>
        <v/>
      </c>
      <c r="H54" s="96" t="s">
        <v>2516</v>
      </c>
    </row>
    <row r="55" spans="1:14" hidden="1" ht="12.75" customHeight="1">
      <c r="A55" s="96" t="s">
        <v>2536</v>
      </c>
      <c r="B55" s="96" t="s">
        <v>2537</v>
      </c>
      <c r="C55" s="96" t="s">
        <v>2526</v>
      </c>
      <c r="D55" s="96" t="s">
        <v>2538</v>
      </c>
      <c r="E55" s="96" t="n">
        <v>0</v>
      </c>
      <c r="G55" s="96">
        <f>LEFT(A55)</f>
        <v/>
      </c>
      <c r="H55" s="96" t="s">
        <v>2516</v>
      </c>
    </row>
    <row r="56" spans="1:14" hidden="1" ht="12.75" customHeight="1">
      <c r="A56" s="96" t="s">
        <v>2539</v>
      </c>
      <c r="B56" s="96" t="s">
        <v>2540</v>
      </c>
      <c r="C56" s="96" t="s">
        <v>2526</v>
      </c>
      <c r="D56" s="96" t="s">
        <v>2538</v>
      </c>
      <c r="E56" s="96" t="n">
        <v>0</v>
      </c>
      <c r="G56" s="96">
        <f>LEFT(A56)</f>
        <v/>
      </c>
      <c r="H56" s="96" t="s">
        <v>2516</v>
      </c>
    </row>
    <row r="57" spans="1:14" hidden="1" ht="12.75" customHeight="1">
      <c r="A57" s="96" t="s">
        <v>2541</v>
      </c>
      <c r="B57" s="96" t="s">
        <v>2542</v>
      </c>
      <c r="C57" s="96" t="s">
        <v>2543</v>
      </c>
      <c r="D57" s="96" t="s">
        <v>2544</v>
      </c>
      <c r="E57" s="96" t="s">
        <v>2324</v>
      </c>
      <c r="G57" s="96">
        <f>LEFT(A57)</f>
        <v/>
      </c>
      <c r="H57" s="96" t="s">
        <v>2516</v>
      </c>
      <c r="M57" s="96" t="s">
        <v>2368</v>
      </c>
      <c r="N57" s="96">
        <f>M57</f>
        <v/>
      </c>
    </row>
    <row r="58" spans="1:14" hidden="1" ht="12.75" customHeight="1">
      <c r="A58" s="96" t="s">
        <v>2545</v>
      </c>
      <c r="B58" s="96" t="s">
        <v>2546</v>
      </c>
      <c r="C58" s="96" t="s">
        <v>2543</v>
      </c>
      <c r="D58" s="96" t="s">
        <v>2547</v>
      </c>
      <c r="E58" s="96" t="s">
        <v>2324</v>
      </c>
      <c r="G58" s="96">
        <f>LEFT(A58)</f>
        <v/>
      </c>
      <c r="H58" s="96" t="s">
        <v>2516</v>
      </c>
      <c r="M58" s="96" t="s">
        <v>2368</v>
      </c>
      <c r="N58" s="96">
        <f>M58</f>
        <v/>
      </c>
    </row>
    <row r="59" spans="1:14" hidden="1" ht="12.75" customHeight="1">
      <c r="A59" s="96" t="s">
        <v>2548</v>
      </c>
      <c r="B59" s="96" t="s">
        <v>2549</v>
      </c>
      <c r="C59" s="96" t="s">
        <v>2548</v>
      </c>
      <c r="D59" s="96" t="s">
        <v>2550</v>
      </c>
      <c r="E59" s="101" t="s">
        <v>2327</v>
      </c>
      <c r="F59" s="96" t="s">
        <v>2327</v>
      </c>
      <c r="G59" s="96">
        <f>LEFT(A59)</f>
        <v/>
      </c>
    </row>
    <row r="60" spans="1:14" hidden="1" ht="12.75" customHeight="1">
      <c r="A60" s="96" t="s">
        <v>2551</v>
      </c>
      <c r="B60" s="96" t="s">
        <v>2552</v>
      </c>
      <c r="C60" s="96" t="s">
        <v>2553</v>
      </c>
      <c r="D60" s="96" t="s">
        <v>2515</v>
      </c>
      <c r="E60" s="101" t="s">
        <v>2315</v>
      </c>
      <c r="G60" s="96">
        <f>LEFT(A60)</f>
        <v/>
      </c>
    </row>
    <row r="61" spans="1:14" hidden="1" ht="12.75" customHeight="1">
      <c r="A61" s="96" t="s">
        <v>2554</v>
      </c>
      <c r="B61" s="96" t="s">
        <v>2555</v>
      </c>
      <c r="C61" s="96" t="s">
        <v>2553</v>
      </c>
      <c r="D61" s="96" t="s">
        <v>2556</v>
      </c>
      <c r="E61" s="96" t="s">
        <v>2557</v>
      </c>
      <c r="G61" s="96">
        <f>LEFT(A61)</f>
        <v/>
      </c>
    </row>
    <row r="62" spans="1:14" hidden="1" ht="12.75" customHeight="1">
      <c r="A62" s="96" t="s">
        <v>2558</v>
      </c>
      <c r="B62" s="96" t="s">
        <v>2559</v>
      </c>
      <c r="C62" s="96" t="s">
        <v>2553</v>
      </c>
      <c r="D62" s="96" t="s">
        <v>2560</v>
      </c>
      <c r="E62" s="96" t="s">
        <v>2324</v>
      </c>
      <c r="G62" s="96">
        <f>LEFT(A62)</f>
        <v/>
      </c>
      <c r="M62" s="96" t="s">
        <v>2368</v>
      </c>
      <c r="N62" s="96">
        <f>M62</f>
        <v/>
      </c>
    </row>
    <row r="63" spans="1:14" hidden="1" ht="12.75" customHeight="1">
      <c r="A63" s="96" t="s">
        <v>2561</v>
      </c>
      <c r="B63" s="96" t="s">
        <v>2562</v>
      </c>
      <c r="C63" s="96" t="s">
        <v>2553</v>
      </c>
      <c r="D63" s="96" t="s">
        <v>2563</v>
      </c>
      <c r="E63" s="96" t="s">
        <v>2324</v>
      </c>
      <c r="G63" s="96">
        <f>LEFT(A63)</f>
        <v/>
      </c>
      <c r="M63" s="96" t="s">
        <v>2368</v>
      </c>
      <c r="N63" s="96">
        <f>M63</f>
        <v/>
      </c>
    </row>
    <row r="64" spans="1:14" hidden="1" ht="12.75" customHeight="1">
      <c r="A64" s="96" t="s">
        <v>2564</v>
      </c>
      <c r="B64" s="96" t="s">
        <v>2565</v>
      </c>
      <c r="C64" s="96" t="s">
        <v>2553</v>
      </c>
      <c r="D64" s="96" t="s">
        <v>2550</v>
      </c>
      <c r="E64" s="101" t="s">
        <v>2327</v>
      </c>
      <c r="F64" s="96" t="s">
        <v>2327</v>
      </c>
      <c r="G64" s="96">
        <f>LEFT(A64)</f>
        <v/>
      </c>
    </row>
    <row r="65" spans="1:14" hidden="1" ht="12.75" customHeight="1">
      <c r="A65" s="96" t="s">
        <v>2566</v>
      </c>
      <c r="B65" s="96" t="s">
        <v>2567</v>
      </c>
      <c r="C65" s="96" t="s">
        <v>2566</v>
      </c>
      <c r="D65" s="96" t="s">
        <v>2515</v>
      </c>
      <c r="E65" s="101" t="s">
        <v>2315</v>
      </c>
      <c r="G65" s="96">
        <f>LEFT(A65)</f>
        <v/>
      </c>
    </row>
    <row r="66" spans="1:14" hidden="1" ht="12.75" customHeight="1">
      <c r="A66" s="96" t="s">
        <v>2568</v>
      </c>
      <c r="B66" s="96" t="s">
        <v>2569</v>
      </c>
      <c r="C66" s="96" t="s">
        <v>2566</v>
      </c>
      <c r="D66" s="96" t="s">
        <v>2515</v>
      </c>
      <c r="E66" s="96" t="n">
        <v>0</v>
      </c>
      <c r="G66" s="96">
        <f>LEFT(A66)</f>
        <v/>
      </c>
    </row>
    <row r="67" spans="1:14" hidden="1" ht="12.75" customHeight="1">
      <c r="A67" s="96" t="s">
        <v>2570</v>
      </c>
      <c r="B67" s="96" t="s">
        <v>2571</v>
      </c>
      <c r="C67" s="96" t="s">
        <v>2566</v>
      </c>
      <c r="D67" s="96" t="s">
        <v>2515</v>
      </c>
      <c r="E67" s="96" t="n">
        <v>0</v>
      </c>
      <c r="G67" s="96">
        <f>LEFT(A67)</f>
        <v/>
      </c>
    </row>
    <row r="68" spans="1:14" hidden="1" ht="12.75" customHeight="1">
      <c r="A68" s="96" t="s">
        <v>2572</v>
      </c>
      <c r="B68" s="96" t="s">
        <v>2573</v>
      </c>
      <c r="C68" s="96" t="s">
        <v>2572</v>
      </c>
      <c r="D68" s="96" t="s">
        <v>2574</v>
      </c>
      <c r="E68" s="101" t="s">
        <v>2199</v>
      </c>
      <c r="G68" s="96">
        <f>LEFT(A68)</f>
        <v/>
      </c>
    </row>
    <row r="69" spans="1:14" hidden="1" ht="12.75" customHeight="1">
      <c r="A69" s="96" t="s">
        <v>2575</v>
      </c>
      <c r="B69" s="96" t="s">
        <v>2576</v>
      </c>
      <c r="C69" s="96" t="s">
        <v>2575</v>
      </c>
      <c r="D69" s="96" t="s">
        <v>2577</v>
      </c>
      <c r="E69" s="101" t="s">
        <v>2199</v>
      </c>
      <c r="G69" s="96">
        <f>LEFT(A69)</f>
        <v/>
      </c>
    </row>
    <row r="70" spans="1:14" hidden="1" ht="12.75" customHeight="1">
      <c r="A70" s="96" t="s">
        <v>2578</v>
      </c>
      <c r="B70" s="96" t="s">
        <v>2579</v>
      </c>
      <c r="C70" s="96" t="s">
        <v>2578</v>
      </c>
      <c r="D70" s="96" t="s">
        <v>2580</v>
      </c>
      <c r="E70" s="96" t="s">
        <v>2200</v>
      </c>
      <c r="G70" s="96">
        <f>LEFT(A70)</f>
        <v/>
      </c>
    </row>
    <row r="71" spans="1:14" hidden="1" ht="12.75" customHeight="1">
      <c r="A71" s="96" t="s">
        <v>2581</v>
      </c>
      <c r="B71" s="96" t="s">
        <v>2582</v>
      </c>
      <c r="C71" s="96" t="s">
        <v>2581</v>
      </c>
      <c r="D71" s="96" t="s">
        <v>2583</v>
      </c>
      <c r="E71" s="96" t="s">
        <v>2202</v>
      </c>
      <c r="G71" s="96">
        <f>LEFT(A71)</f>
        <v/>
      </c>
    </row>
    <row r="72" spans="1:14" hidden="1" ht="12.75" customHeight="1">
      <c r="A72" s="96" t="s">
        <v>2584</v>
      </c>
      <c r="B72" s="96" t="s">
        <v>2585</v>
      </c>
      <c r="C72" s="96" t="s">
        <v>2586</v>
      </c>
      <c r="D72" s="96" t="s">
        <v>2587</v>
      </c>
      <c r="E72" s="96" t="s">
        <v>2201</v>
      </c>
      <c r="G72" s="96">
        <f>LEFT(A72)</f>
        <v/>
      </c>
    </row>
    <row r="73" spans="1:14" hidden="1" ht="12.75" customHeight="1">
      <c r="A73" s="96" t="s">
        <v>2588</v>
      </c>
      <c r="B73" s="96" t="s">
        <v>2589</v>
      </c>
      <c r="C73" s="96" t="s">
        <v>2586</v>
      </c>
      <c r="D73" s="96" t="s">
        <v>2590</v>
      </c>
      <c r="G73" s="96">
        <f>LEFT(A73)</f>
        <v/>
      </c>
    </row>
    <row r="74" spans="1:14" hidden="1" ht="12.75" customHeight="1">
      <c r="A74" s="96" t="s">
        <v>2591</v>
      </c>
      <c r="B74" s="96" t="s">
        <v>2592</v>
      </c>
      <c r="C74" s="96" t="s">
        <v>2591</v>
      </c>
      <c r="D74" s="96" t="s">
        <v>2580</v>
      </c>
      <c r="E74" s="101" t="s">
        <v>2203</v>
      </c>
      <c r="G74" s="96">
        <f>LEFT(A74)</f>
        <v/>
      </c>
    </row>
    <row r="75" spans="1:14" hidden="1" ht="12.75" customHeight="1">
      <c r="A75" s="96" t="s">
        <v>2593</v>
      </c>
      <c r="B75" s="96" t="s">
        <v>2594</v>
      </c>
      <c r="C75" s="96" t="s">
        <v>2593</v>
      </c>
      <c r="D75" s="96" t="s">
        <v>2595</v>
      </c>
      <c r="E75" s="96" t="s">
        <v>2207</v>
      </c>
      <c r="G75" s="96">
        <f>LEFT(A75)</f>
        <v/>
      </c>
    </row>
    <row r="76" spans="1:14" hidden="1" ht="12.75" customHeight="1">
      <c r="A76" s="96" t="s">
        <v>2596</v>
      </c>
      <c r="B76" s="96" t="s">
        <v>2597</v>
      </c>
      <c r="C76" s="96" t="s">
        <v>2593</v>
      </c>
      <c r="D76" s="96" t="s">
        <v>2595</v>
      </c>
      <c r="E76" s="96" t="s">
        <v>2207</v>
      </c>
      <c r="G76" s="96">
        <f>LEFT(A76)</f>
        <v/>
      </c>
    </row>
    <row r="77" spans="1:14" hidden="1" ht="12.75" customHeight="1">
      <c r="A77" s="96" t="s">
        <v>2598</v>
      </c>
      <c r="B77" s="96" t="s">
        <v>2599</v>
      </c>
      <c r="C77" s="96" t="s">
        <v>2593</v>
      </c>
      <c r="D77" s="96" t="s">
        <v>2595</v>
      </c>
      <c r="E77" s="96" t="s">
        <v>2207</v>
      </c>
      <c r="G77" s="96">
        <f>LEFT(A77)</f>
        <v/>
      </c>
    </row>
    <row r="78" spans="1:14" hidden="1" ht="12.75" customHeight="1">
      <c r="A78" s="96" t="s">
        <v>2600</v>
      </c>
      <c r="B78" s="96" t="s">
        <v>2601</v>
      </c>
      <c r="C78" s="96" t="s">
        <v>2600</v>
      </c>
      <c r="D78" s="96" t="s">
        <v>2595</v>
      </c>
      <c r="E78" s="96" t="s">
        <v>2208</v>
      </c>
      <c r="G78" s="96">
        <f>LEFT(A78)</f>
        <v/>
      </c>
    </row>
    <row r="79" spans="1:14" hidden="1" ht="12.75" customHeight="1">
      <c r="A79" s="96" t="s">
        <v>2602</v>
      </c>
      <c r="B79" s="96" t="s">
        <v>2603</v>
      </c>
      <c r="C79" s="96" t="s">
        <v>2602</v>
      </c>
      <c r="D79" s="96" t="s">
        <v>2604</v>
      </c>
      <c r="E79" s="101" t="s">
        <v>2209</v>
      </c>
      <c r="G79" s="96">
        <f>LEFT(A79)</f>
        <v/>
      </c>
    </row>
    <row r="80" spans="1:14" hidden="1" ht="12.75" customHeight="1">
      <c r="A80" s="96" t="s">
        <v>2605</v>
      </c>
      <c r="B80" s="96" t="s">
        <v>2606</v>
      </c>
      <c r="C80" s="96" t="s">
        <v>2602</v>
      </c>
      <c r="D80" s="96" t="s">
        <v>2604</v>
      </c>
      <c r="E80" s="101" t="s">
        <v>2209</v>
      </c>
      <c r="G80" s="96">
        <f>LEFT(A80)</f>
        <v/>
      </c>
    </row>
    <row r="81" spans="1:14" hidden="1" ht="12.75" customHeight="1">
      <c r="A81" s="96" t="s">
        <v>2607</v>
      </c>
      <c r="B81" s="96" t="s">
        <v>2608</v>
      </c>
      <c r="C81" s="96" t="s">
        <v>2602</v>
      </c>
      <c r="D81" s="96" t="s">
        <v>2604</v>
      </c>
      <c r="E81" s="101" t="s">
        <v>2209</v>
      </c>
      <c r="G81" s="96">
        <f>LEFT(A81)</f>
        <v/>
      </c>
    </row>
    <row r="82" spans="1:14" hidden="1" ht="12.75" customHeight="1">
      <c r="A82" s="96" t="s">
        <v>2609</v>
      </c>
      <c r="B82" s="96" t="s">
        <v>2610</v>
      </c>
      <c r="C82" s="96" t="s">
        <v>2602</v>
      </c>
      <c r="D82" s="96" t="s">
        <v>2604</v>
      </c>
      <c r="E82" s="101" t="s">
        <v>2209</v>
      </c>
      <c r="G82" s="96">
        <f>LEFT(A82)</f>
        <v/>
      </c>
    </row>
    <row r="83" spans="1:14" hidden="1" ht="12.75" customHeight="1">
      <c r="A83" s="96" t="s">
        <v>2611</v>
      </c>
      <c r="B83" s="99" t="s">
        <v>2612</v>
      </c>
      <c r="C83" s="96" t="s">
        <v>2602</v>
      </c>
      <c r="D83" s="96" t="s">
        <v>408</v>
      </c>
      <c r="E83" s="101" t="s">
        <v>2209</v>
      </c>
      <c r="G83" s="96">
        <f>LEFT(A83)</f>
        <v/>
      </c>
    </row>
    <row r="84" spans="1:14" hidden="1" ht="12.75" customHeight="1">
      <c r="A84" s="96" t="s">
        <v>2613</v>
      </c>
      <c r="B84" s="96" t="s">
        <v>2614</v>
      </c>
      <c r="C84" s="96" t="s">
        <v>2613</v>
      </c>
      <c r="D84" s="96" t="s">
        <v>2615</v>
      </c>
      <c r="E84" s="101" t="s">
        <v>2210</v>
      </c>
      <c r="G84" s="96">
        <f>LEFT(A84)</f>
        <v/>
      </c>
    </row>
    <row r="85" spans="1:14" hidden="1" ht="12.75" customHeight="1">
      <c r="A85" s="96" t="s">
        <v>2616</v>
      </c>
      <c r="B85" s="96" t="s">
        <v>2617</v>
      </c>
      <c r="C85" s="96" t="s">
        <v>2616</v>
      </c>
      <c r="D85" s="96" t="s">
        <v>2618</v>
      </c>
      <c r="E85" s="96" t="s">
        <v>2212</v>
      </c>
      <c r="G85" s="96">
        <f>LEFT(A85)</f>
        <v/>
      </c>
    </row>
    <row r="86" spans="1:14" hidden="1" ht="12.75" customHeight="1">
      <c r="A86" s="96" t="s">
        <v>2619</v>
      </c>
      <c r="B86" s="96" t="s">
        <v>2620</v>
      </c>
      <c r="C86" s="96" t="s">
        <v>2619</v>
      </c>
      <c r="D86" s="96" t="s">
        <v>2621</v>
      </c>
      <c r="E86" s="96" t="s">
        <v>2215</v>
      </c>
      <c r="G86" s="96">
        <f>LEFT(A86)</f>
        <v/>
      </c>
    </row>
    <row r="87" spans="1:14" hidden="1" ht="12.75" customHeight="1">
      <c r="A87" s="96" t="s">
        <v>2622</v>
      </c>
      <c r="B87" s="96" t="s">
        <v>2623</v>
      </c>
      <c r="C87" s="96" t="s">
        <v>2622</v>
      </c>
      <c r="D87" s="96" t="s">
        <v>2624</v>
      </c>
      <c r="E87" s="101" t="s">
        <v>2216</v>
      </c>
      <c r="G87" s="96">
        <f>LEFT(A87)</f>
        <v/>
      </c>
    </row>
    <row r="88" spans="1:14" hidden="1" ht="12.75" customHeight="1">
      <c r="A88" s="96" t="s">
        <v>2625</v>
      </c>
      <c r="B88" s="96" t="s">
        <v>2626</v>
      </c>
      <c r="C88" s="96" t="s">
        <v>2625</v>
      </c>
      <c r="D88" s="96" t="s">
        <v>2604</v>
      </c>
      <c r="E88" s="101" t="s">
        <v>2209</v>
      </c>
      <c r="G88" s="96">
        <f>LEFT(A88)</f>
        <v/>
      </c>
    </row>
    <row r="89" spans="1:14" hidden="1" ht="12.75" customHeight="1">
      <c r="A89" s="96" t="s">
        <v>2627</v>
      </c>
      <c r="B89" s="96" t="s">
        <v>2628</v>
      </c>
      <c r="C89" s="96" t="s">
        <v>2627</v>
      </c>
      <c r="D89" s="96" t="s">
        <v>2615</v>
      </c>
      <c r="E89" s="101" t="s">
        <v>2210</v>
      </c>
      <c r="G89" s="96">
        <f>LEFT(A89)</f>
        <v/>
      </c>
    </row>
    <row r="90" spans="1:14" hidden="1" ht="12.75" customHeight="1">
      <c r="A90" s="96" t="s">
        <v>2629</v>
      </c>
      <c r="B90" s="96" t="s">
        <v>2630</v>
      </c>
      <c r="C90" s="96" t="s">
        <v>2629</v>
      </c>
      <c r="D90" s="96" t="s">
        <v>2624</v>
      </c>
      <c r="E90" s="101" t="s">
        <v>2216</v>
      </c>
      <c r="G90" s="96">
        <f>LEFT(A90)</f>
        <v/>
      </c>
    </row>
    <row r="91" spans="1:14" hidden="1" ht="12.75" customHeight="1">
      <c r="A91" s="96" t="s">
        <v>2631</v>
      </c>
      <c r="B91" s="96" t="s">
        <v>2632</v>
      </c>
      <c r="C91" s="96" t="s">
        <v>2631</v>
      </c>
      <c r="D91" s="96" t="s">
        <v>2633</v>
      </c>
      <c r="E91" s="96" t="s">
        <v>2213</v>
      </c>
      <c r="G91" s="96">
        <f>LEFT(A91)</f>
        <v/>
      </c>
    </row>
    <row r="92" spans="1:14" hidden="1" ht="12.75" customHeight="1">
      <c r="A92" s="96" t="s">
        <v>2634</v>
      </c>
      <c r="B92" s="99" t="s">
        <v>2635</v>
      </c>
      <c r="C92" s="96" t="s">
        <v>2634</v>
      </c>
      <c r="D92" s="96" t="s">
        <v>2636</v>
      </c>
      <c r="E92" s="96" t="n">
        <v>0</v>
      </c>
      <c r="G92" s="96">
        <f>LEFT(A92)</f>
        <v/>
      </c>
    </row>
    <row r="93" spans="1:14" hidden="1" ht="12.75" customHeight="1">
      <c r="A93" s="96" t="s">
        <v>2637</v>
      </c>
      <c r="B93" s="99" t="s">
        <v>2638</v>
      </c>
      <c r="C93" s="96" t="s">
        <v>2637</v>
      </c>
      <c r="D93" s="96" t="s">
        <v>2639</v>
      </c>
      <c r="E93" s="96" t="n">
        <v>0</v>
      </c>
      <c r="G93" s="96">
        <f>LEFT(A93)</f>
        <v/>
      </c>
      <c r="J93" s="102" t="n"/>
    </row>
    <row r="94" spans="1:14" hidden="1" ht="12.75" customHeight="1">
      <c r="A94" s="96" t="s">
        <v>2640</v>
      </c>
      <c r="B94" s="99" t="s">
        <v>2641</v>
      </c>
      <c r="C94" s="96" t="s">
        <v>2640</v>
      </c>
      <c r="D94" s="96" t="s">
        <v>2639</v>
      </c>
      <c r="E94" s="96" t="n">
        <v>0</v>
      </c>
      <c r="G94" s="96">
        <f>LEFT(A94)</f>
        <v/>
      </c>
      <c r="J94" s="102" t="n"/>
    </row>
    <row r="95" spans="1:14" hidden="1" ht="12.75" customHeight="1">
      <c r="A95" s="96" t="s">
        <v>2642</v>
      </c>
      <c r="B95" s="96" t="s">
        <v>2643</v>
      </c>
      <c r="C95" s="96" t="s">
        <v>2642</v>
      </c>
      <c r="D95" s="96" t="s">
        <v>2644</v>
      </c>
      <c r="E95" s="101" t="s">
        <v>2214</v>
      </c>
      <c r="G95" s="96">
        <f>LEFT(A95)</f>
        <v/>
      </c>
    </row>
    <row r="96" spans="1:14" hidden="1" ht="12.75" customHeight="1">
      <c r="A96" s="96" t="s">
        <v>2645</v>
      </c>
      <c r="B96" s="96" t="s">
        <v>2646</v>
      </c>
      <c r="C96" s="96" t="s">
        <v>2645</v>
      </c>
      <c r="D96" s="96" t="s">
        <v>2647</v>
      </c>
      <c r="E96" s="96" t="s">
        <v>2221</v>
      </c>
      <c r="G96" s="96">
        <f>LEFT(A96)</f>
        <v/>
      </c>
    </row>
    <row r="97" spans="1:14" hidden="1" ht="12.75" customHeight="1">
      <c r="A97" s="96" t="s">
        <v>2648</v>
      </c>
      <c r="B97" s="96" t="s">
        <v>2649</v>
      </c>
      <c r="C97" s="96" t="s">
        <v>2648</v>
      </c>
      <c r="D97" s="96" t="s">
        <v>2650</v>
      </c>
      <c r="E97" s="96" t="s">
        <v>2221</v>
      </c>
      <c r="G97" s="96">
        <f>LEFT(A97)</f>
        <v/>
      </c>
    </row>
    <row r="98" spans="1:14" hidden="1" ht="12.75" customHeight="1">
      <c r="A98" s="96" t="s">
        <v>2651</v>
      </c>
      <c r="B98" s="96" t="s">
        <v>2652</v>
      </c>
      <c r="C98" s="96" t="s">
        <v>2651</v>
      </c>
      <c r="D98" s="96" t="s">
        <v>2650</v>
      </c>
      <c r="E98" s="96" t="s">
        <v>2221</v>
      </c>
      <c r="G98" s="96">
        <f>LEFT(A98)</f>
        <v/>
      </c>
    </row>
    <row r="99" spans="1:14" hidden="1" ht="12.75" customHeight="1">
      <c r="A99" s="96" t="s">
        <v>2653</v>
      </c>
      <c r="B99" s="96" t="s">
        <v>2654</v>
      </c>
      <c r="C99" s="96" t="s">
        <v>2653</v>
      </c>
      <c r="D99" s="96" t="s">
        <v>408</v>
      </c>
      <c r="E99" s="96" t="n">
        <v>0</v>
      </c>
      <c r="G99" s="96">
        <f>LEFT(A99)</f>
        <v/>
      </c>
    </row>
    <row r="100" spans="1:14" hidden="1" ht="12.75" customHeight="1">
      <c r="A100" s="96" t="s">
        <v>2655</v>
      </c>
      <c r="B100" s="96" t="s">
        <v>2656</v>
      </c>
      <c r="C100" s="96" t="s">
        <v>2655</v>
      </c>
      <c r="D100" s="96" t="s">
        <v>2657</v>
      </c>
      <c r="E100" s="96" t="s">
        <v>2237</v>
      </c>
      <c r="G100" s="96">
        <f>LEFT(A100)</f>
        <v/>
      </c>
    </row>
    <row r="101" spans="1:14" hidden="1" ht="12.75" customHeight="1">
      <c r="A101" s="96" t="s">
        <v>2658</v>
      </c>
      <c r="B101" s="96" t="s">
        <v>2659</v>
      </c>
      <c r="C101" s="96" t="s">
        <v>2660</v>
      </c>
      <c r="D101" s="96" t="s">
        <v>2661</v>
      </c>
      <c r="E101" s="101" t="s">
        <v>2222</v>
      </c>
      <c r="G101" s="96">
        <f>LEFT(A101)</f>
        <v/>
      </c>
      <c r="H101" s="96" t="s">
        <v>2516</v>
      </c>
      <c r="M101" s="96" t="s">
        <v>2363</v>
      </c>
      <c r="N101" s="96">
        <f>M101</f>
        <v/>
      </c>
    </row>
    <row r="102" spans="1:14" hidden="1" ht="12.75" customHeight="1">
      <c r="A102" s="96" t="s">
        <v>2662</v>
      </c>
      <c r="B102" s="96" t="s">
        <v>2663</v>
      </c>
      <c r="C102" s="96" t="s">
        <v>2660</v>
      </c>
      <c r="D102" s="96" t="s">
        <v>2661</v>
      </c>
      <c r="E102" s="101" t="s">
        <v>2222</v>
      </c>
      <c r="G102" s="96">
        <f>LEFT(A102)</f>
        <v/>
      </c>
      <c r="H102" s="96" t="s">
        <v>2516</v>
      </c>
      <c r="M102" s="96" t="s">
        <v>2363</v>
      </c>
      <c r="N102" s="96">
        <f>M102</f>
        <v/>
      </c>
    </row>
    <row r="103" spans="1:14" hidden="1" ht="12.75" customHeight="1">
      <c r="A103" s="96" t="s">
        <v>2664</v>
      </c>
      <c r="B103" s="96" t="s">
        <v>2665</v>
      </c>
      <c r="C103" s="96" t="s">
        <v>2660</v>
      </c>
      <c r="D103" s="96" t="s">
        <v>2666</v>
      </c>
      <c r="E103" s="96" t="n">
        <v>0</v>
      </c>
      <c r="G103" s="96">
        <f>LEFT(A103)</f>
        <v/>
      </c>
      <c r="H103" s="96" t="s">
        <v>2516</v>
      </c>
      <c r="M103" s="96" t="s">
        <v>2363</v>
      </c>
      <c r="N103" s="96">
        <f>M103</f>
        <v/>
      </c>
    </row>
    <row r="104" spans="1:14" hidden="1" ht="12.75" customHeight="1">
      <c r="A104" s="96" t="s">
        <v>2667</v>
      </c>
      <c r="B104" s="96" t="s">
        <v>2668</v>
      </c>
      <c r="C104" s="96" t="s">
        <v>2660</v>
      </c>
      <c r="D104" s="96" t="s">
        <v>2666</v>
      </c>
      <c r="E104" s="96" t="n">
        <v>0</v>
      </c>
      <c r="G104" s="96">
        <f>LEFT(A104)</f>
        <v/>
      </c>
      <c r="H104" s="96" t="s">
        <v>2516</v>
      </c>
      <c r="M104" s="96" t="s">
        <v>2363</v>
      </c>
      <c r="N104" s="96">
        <f>M104</f>
        <v/>
      </c>
    </row>
    <row r="105" spans="1:14" hidden="1" ht="12.75" customHeight="1">
      <c r="A105" s="96" t="s">
        <v>2669</v>
      </c>
      <c r="B105" s="96" t="s">
        <v>2670</v>
      </c>
      <c r="C105" s="96" t="s">
        <v>2660</v>
      </c>
      <c r="D105" s="96" t="s">
        <v>2671</v>
      </c>
      <c r="E105" s="96" t="s">
        <v>2226</v>
      </c>
      <c r="G105" s="96">
        <f>LEFT(A105)</f>
        <v/>
      </c>
      <c r="H105" s="96" t="s">
        <v>2516</v>
      </c>
    </row>
    <row r="106" spans="1:14" hidden="1" ht="12.75" customHeight="1">
      <c r="A106" s="96" t="s">
        <v>2672</v>
      </c>
      <c r="B106" s="96" t="s">
        <v>2673</v>
      </c>
      <c r="C106" s="96" t="s">
        <v>2660</v>
      </c>
      <c r="D106" s="96" t="s">
        <v>2671</v>
      </c>
      <c r="E106" s="96" t="s">
        <v>2226</v>
      </c>
      <c r="G106" s="96">
        <f>LEFT(A106)</f>
        <v/>
      </c>
      <c r="H106" s="96" t="s">
        <v>2516</v>
      </c>
    </row>
    <row r="107" spans="1:14" hidden="1" ht="12.75" customHeight="1">
      <c r="A107" s="96" t="s">
        <v>2674</v>
      </c>
      <c r="B107" s="96" t="s">
        <v>2675</v>
      </c>
      <c r="C107" s="96" t="s">
        <v>2660</v>
      </c>
      <c r="D107" s="96" t="s">
        <v>2671</v>
      </c>
      <c r="E107" s="96" t="s">
        <v>2226</v>
      </c>
      <c r="G107" s="96">
        <f>LEFT(A107)</f>
        <v/>
      </c>
      <c r="H107" s="96" t="s">
        <v>2516</v>
      </c>
    </row>
    <row r="108" spans="1:14" hidden="1" ht="12.75" customHeight="1">
      <c r="A108" s="96" t="s">
        <v>2676</v>
      </c>
      <c r="B108" s="96" t="s">
        <v>2677</v>
      </c>
      <c r="C108" s="96" t="s">
        <v>2660</v>
      </c>
      <c r="D108" s="96" t="s">
        <v>2671</v>
      </c>
      <c r="E108" s="96" t="s">
        <v>2226</v>
      </c>
      <c r="G108" s="96">
        <f>LEFT(A108)</f>
        <v/>
      </c>
      <c r="H108" s="96" t="s">
        <v>2516</v>
      </c>
    </row>
    <row r="109" spans="1:14" hidden="1" ht="12.75" customHeight="1">
      <c r="A109" s="96" t="s">
        <v>2678</v>
      </c>
      <c r="B109" s="96" t="s">
        <v>2679</v>
      </c>
      <c r="C109" s="96" t="s">
        <v>2660</v>
      </c>
      <c r="D109" s="96" t="s">
        <v>2671</v>
      </c>
      <c r="E109" s="96" t="s">
        <v>2226</v>
      </c>
      <c r="G109" s="96">
        <f>LEFT(A109)</f>
        <v/>
      </c>
      <c r="H109" s="96" t="s">
        <v>2516</v>
      </c>
    </row>
    <row r="110" spans="1:14" hidden="1" ht="12.75" customHeight="1">
      <c r="A110" s="96" t="s">
        <v>2680</v>
      </c>
      <c r="B110" s="96" t="s">
        <v>2681</v>
      </c>
      <c r="C110" s="96" t="s">
        <v>2682</v>
      </c>
      <c r="D110" s="96" t="s">
        <v>2560</v>
      </c>
      <c r="E110" s="96" t="n">
        <v>0</v>
      </c>
      <c r="G110" s="96">
        <f>LEFT(A110)</f>
        <v/>
      </c>
    </row>
    <row r="111" spans="1:14" hidden="1" ht="12.75" customHeight="1">
      <c r="A111" s="96" t="s">
        <v>2683</v>
      </c>
      <c r="B111" s="96" t="s">
        <v>2684</v>
      </c>
      <c r="C111" s="96" t="s">
        <v>2682</v>
      </c>
      <c r="D111" s="96" t="s">
        <v>2563</v>
      </c>
      <c r="E111" s="96" t="n">
        <v>0</v>
      </c>
      <c r="G111" s="96">
        <f>LEFT(A111)</f>
        <v/>
      </c>
    </row>
    <row r="112" spans="1:14" hidden="1" ht="12.75" customHeight="1">
      <c r="A112" s="96" t="s">
        <v>2685</v>
      </c>
      <c r="B112" s="96" t="s">
        <v>2686</v>
      </c>
      <c r="C112" s="96" t="s">
        <v>2682</v>
      </c>
      <c r="D112" s="96" t="s">
        <v>2563</v>
      </c>
      <c r="E112" s="96" t="n">
        <v>0</v>
      </c>
      <c r="G112" s="96">
        <f>LEFT(A112)</f>
        <v/>
      </c>
    </row>
    <row r="113" spans="1:14" hidden="1" ht="12.75" customHeight="1">
      <c r="A113" s="96" t="s">
        <v>2687</v>
      </c>
      <c r="B113" s="96" t="s">
        <v>2688</v>
      </c>
      <c r="C113" s="96" t="s">
        <v>2682</v>
      </c>
      <c r="D113" s="96" t="s">
        <v>2550</v>
      </c>
      <c r="E113" s="101" t="s">
        <v>2327</v>
      </c>
      <c r="F113" s="96" t="s">
        <v>2327</v>
      </c>
      <c r="G113" s="96">
        <f>LEFT(A113)</f>
        <v/>
      </c>
    </row>
    <row r="114" spans="1:14" hidden="1" ht="12.75" customHeight="1">
      <c r="A114" s="96" t="s">
        <v>2689</v>
      </c>
      <c r="B114" s="96" t="s">
        <v>2690</v>
      </c>
      <c r="C114" s="96" t="s">
        <v>2691</v>
      </c>
      <c r="D114" s="96" t="s">
        <v>2574</v>
      </c>
      <c r="E114" s="96" t="n">
        <v>0</v>
      </c>
      <c r="F114" s="96" t="s">
        <v>2199</v>
      </c>
      <c r="G114" s="96">
        <f>LEFT(A114)</f>
        <v/>
      </c>
    </row>
    <row r="115" spans="1:14" hidden="1" ht="12.75" customHeight="1">
      <c r="A115" s="96" t="s">
        <v>2692</v>
      </c>
      <c r="B115" s="96" t="s">
        <v>2693</v>
      </c>
      <c r="C115" s="96" t="s">
        <v>2691</v>
      </c>
      <c r="D115" s="96" t="s">
        <v>2577</v>
      </c>
      <c r="E115" s="96" t="n">
        <v>0</v>
      </c>
      <c r="F115" s="96" t="s">
        <v>2199</v>
      </c>
      <c r="G115" s="96">
        <f>LEFT(A115)</f>
        <v/>
      </c>
    </row>
    <row r="116" spans="1:14" hidden="1" ht="12.75" customHeight="1">
      <c r="A116" s="96" t="s">
        <v>2694</v>
      </c>
      <c r="B116" s="96" t="s">
        <v>2695</v>
      </c>
      <c r="C116" s="96" t="s">
        <v>2691</v>
      </c>
      <c r="D116" s="96" t="s">
        <v>2580</v>
      </c>
      <c r="E116" s="96" t="n">
        <v>0</v>
      </c>
      <c r="F116" s="96" t="s">
        <v>2200</v>
      </c>
      <c r="G116" s="96">
        <f>LEFT(A116)</f>
        <v/>
      </c>
    </row>
    <row r="117" spans="1:14" hidden="1" ht="12.75" customHeight="1">
      <c r="A117" s="96" t="s">
        <v>2696</v>
      </c>
      <c r="B117" s="96" t="s">
        <v>2697</v>
      </c>
      <c r="C117" s="96" t="s">
        <v>2691</v>
      </c>
      <c r="D117" s="96" t="s">
        <v>2583</v>
      </c>
      <c r="E117" s="96" t="n">
        <v>0</v>
      </c>
      <c r="F117" s="96" t="s">
        <v>2202</v>
      </c>
      <c r="G117" s="96">
        <f>LEFT(A117)</f>
        <v/>
      </c>
    </row>
    <row r="118" spans="1:14" hidden="1" ht="12.75" customHeight="1">
      <c r="A118" s="96" t="s">
        <v>2698</v>
      </c>
      <c r="B118" s="96" t="s">
        <v>2699</v>
      </c>
      <c r="C118" s="96" t="s">
        <v>2691</v>
      </c>
      <c r="D118" s="96" t="s">
        <v>2580</v>
      </c>
      <c r="E118" s="96" t="n">
        <v>0</v>
      </c>
      <c r="F118" s="96" t="s">
        <v>2203</v>
      </c>
      <c r="G118" s="96">
        <f>LEFT(A118)</f>
        <v/>
      </c>
    </row>
    <row r="119" spans="1:14" hidden="1" ht="12.75" customHeight="1">
      <c r="A119" s="96" t="s">
        <v>2700</v>
      </c>
      <c r="B119" s="96" t="s">
        <v>2701</v>
      </c>
      <c r="C119" s="96" t="s">
        <v>2691</v>
      </c>
      <c r="D119" s="96" t="s">
        <v>2587</v>
      </c>
      <c r="E119" s="96" t="n">
        <v>0</v>
      </c>
      <c r="F119" s="96" t="s">
        <v>2201</v>
      </c>
      <c r="G119" s="96">
        <f>LEFT(A119)</f>
        <v/>
      </c>
    </row>
    <row r="120" spans="1:14" hidden="1" ht="12.75" customHeight="1">
      <c r="A120" s="96" t="s">
        <v>2702</v>
      </c>
      <c r="B120" s="96" t="s">
        <v>2703</v>
      </c>
      <c r="C120" s="96" t="s">
        <v>2704</v>
      </c>
      <c r="D120" s="96" t="s">
        <v>2595</v>
      </c>
      <c r="E120" s="96" t="n">
        <v>0</v>
      </c>
      <c r="F120" s="96" t="s">
        <v>2207</v>
      </c>
      <c r="G120" s="96">
        <f>LEFT(A120)</f>
        <v/>
      </c>
    </row>
    <row r="121" spans="1:14" hidden="1" ht="12.75" customHeight="1">
      <c r="A121" s="96" t="s">
        <v>2705</v>
      </c>
      <c r="B121" s="96" t="s">
        <v>2706</v>
      </c>
      <c r="C121" s="96" t="s">
        <v>2704</v>
      </c>
      <c r="D121" s="96" t="s">
        <v>2595</v>
      </c>
      <c r="E121" s="96" t="n">
        <v>0</v>
      </c>
      <c r="F121" s="96" t="s">
        <v>2208</v>
      </c>
      <c r="G121" s="96">
        <f>LEFT(A121)</f>
        <v/>
      </c>
    </row>
    <row r="122" spans="1:14" hidden="1" ht="12.75" customHeight="1">
      <c r="A122" s="96" t="s">
        <v>2707</v>
      </c>
      <c r="B122" s="96" t="s">
        <v>2708</v>
      </c>
      <c r="C122" s="96" t="s">
        <v>2704</v>
      </c>
      <c r="D122" s="96" t="s">
        <v>2604</v>
      </c>
      <c r="E122" s="96" t="n">
        <v>0</v>
      </c>
      <c r="F122" s="96" t="s">
        <v>2209</v>
      </c>
      <c r="G122" s="96">
        <f>LEFT(A122)</f>
        <v/>
      </c>
    </row>
    <row r="123" spans="1:14" hidden="1" ht="12.75" customHeight="1">
      <c r="A123" s="96" t="s">
        <v>2709</v>
      </c>
      <c r="B123" s="96" t="s">
        <v>2710</v>
      </c>
      <c r="C123" s="96" t="s">
        <v>2704</v>
      </c>
      <c r="D123" s="96" t="s">
        <v>2615</v>
      </c>
      <c r="E123" s="96" t="n">
        <v>0</v>
      </c>
      <c r="F123" s="96" t="s">
        <v>2210</v>
      </c>
      <c r="G123" s="96">
        <f>LEFT(A123)</f>
        <v/>
      </c>
    </row>
    <row r="124" spans="1:14" hidden="1" ht="12.75" customHeight="1">
      <c r="A124" s="96" t="s">
        <v>2711</v>
      </c>
      <c r="B124" s="96" t="s">
        <v>2712</v>
      </c>
      <c r="C124" s="96" t="s">
        <v>2704</v>
      </c>
      <c r="D124" s="96" t="s">
        <v>2618</v>
      </c>
      <c r="E124" s="96" t="n">
        <v>0</v>
      </c>
      <c r="F124" s="96" t="s">
        <v>2212</v>
      </c>
      <c r="G124" s="96">
        <f>LEFT(A124)</f>
        <v/>
      </c>
    </row>
    <row r="125" spans="1:14" hidden="1" ht="12.75" customHeight="1">
      <c r="A125" s="96" t="s">
        <v>2713</v>
      </c>
      <c r="B125" s="96" t="s">
        <v>2714</v>
      </c>
      <c r="C125" s="96" t="s">
        <v>2704</v>
      </c>
      <c r="D125" s="96" t="s">
        <v>2621</v>
      </c>
      <c r="E125" s="96" t="n">
        <v>0</v>
      </c>
      <c r="F125" s="96" t="s">
        <v>2215</v>
      </c>
      <c r="G125" s="96">
        <f>LEFT(A125)</f>
        <v/>
      </c>
    </row>
    <row r="126" spans="1:14" hidden="1" ht="12.75" customHeight="1">
      <c r="A126" s="96" t="s">
        <v>2715</v>
      </c>
      <c r="B126" s="96" t="s">
        <v>2716</v>
      </c>
      <c r="C126" s="96" t="s">
        <v>2704</v>
      </c>
      <c r="D126" s="96" t="s">
        <v>2624</v>
      </c>
      <c r="E126" s="96" t="n">
        <v>0</v>
      </c>
      <c r="F126" s="96" t="s">
        <v>2216</v>
      </c>
      <c r="G126" s="96">
        <f>LEFT(A126)</f>
        <v/>
      </c>
    </row>
    <row r="127" spans="1:14" hidden="1" ht="12.75" customHeight="1">
      <c r="A127" s="96" t="s">
        <v>2717</v>
      </c>
      <c r="B127" s="96" t="s">
        <v>2718</v>
      </c>
      <c r="C127" s="96" t="s">
        <v>2719</v>
      </c>
      <c r="D127" s="96" t="s">
        <v>2577</v>
      </c>
      <c r="E127" s="96" t="s">
        <v>2720</v>
      </c>
      <c r="G127" s="96">
        <f>LEFT(A127)</f>
        <v/>
      </c>
    </row>
    <row r="128" spans="1:14" hidden="1" ht="12.75" customHeight="1">
      <c r="A128" s="96" t="s">
        <v>2721</v>
      </c>
      <c r="B128" s="96" t="s">
        <v>2722</v>
      </c>
      <c r="C128" s="96" t="s">
        <v>2719</v>
      </c>
      <c r="D128" s="96" t="s">
        <v>2580</v>
      </c>
      <c r="E128" s="101" t="s">
        <v>2723</v>
      </c>
      <c r="G128" s="96">
        <f>LEFT(A128)</f>
        <v/>
      </c>
    </row>
    <row r="129" spans="1:14" hidden="1" ht="12.75" customHeight="1">
      <c r="A129" s="96" t="s">
        <v>2724</v>
      </c>
      <c r="B129" s="96" t="s">
        <v>2725</v>
      </c>
      <c r="C129" s="96" t="s">
        <v>2719</v>
      </c>
      <c r="D129" s="96" t="s">
        <v>2583</v>
      </c>
      <c r="E129" s="101" t="s">
        <v>2726</v>
      </c>
      <c r="G129" s="96">
        <f>LEFT(A129)</f>
        <v/>
      </c>
    </row>
    <row r="130" spans="1:14" hidden="1" ht="12.75" customHeight="1">
      <c r="A130" s="96" t="s">
        <v>2727</v>
      </c>
      <c r="B130" s="96" t="s">
        <v>2728</v>
      </c>
      <c r="C130" s="96" t="s">
        <v>2719</v>
      </c>
      <c r="D130" s="96" t="s">
        <v>2580</v>
      </c>
      <c r="E130" s="96" t="s">
        <v>2729</v>
      </c>
      <c r="G130" s="96">
        <f>LEFT(A130)</f>
        <v/>
      </c>
    </row>
    <row r="131" spans="1:14" hidden="1" ht="12.75" customHeight="1">
      <c r="A131" s="96" t="s">
        <v>2730</v>
      </c>
      <c r="B131" s="99" t="s">
        <v>2731</v>
      </c>
      <c r="C131" s="96" t="s">
        <v>2719</v>
      </c>
      <c r="D131" s="96" t="s">
        <v>408</v>
      </c>
      <c r="E131" s="96" t="s">
        <v>2732</v>
      </c>
      <c r="G131" s="96">
        <f>LEFT(A131)</f>
        <v/>
      </c>
    </row>
    <row r="132" spans="1:14" hidden="1" ht="12.75" customHeight="1">
      <c r="A132" s="96" t="s">
        <v>2733</v>
      </c>
      <c r="B132" s="96" t="s">
        <v>2734</v>
      </c>
      <c r="C132" s="96" t="s">
        <v>2735</v>
      </c>
      <c r="D132" s="96" t="s">
        <v>2595</v>
      </c>
      <c r="E132" s="96" t="s">
        <v>2736</v>
      </c>
      <c r="G132" s="96">
        <f>LEFT(A132)</f>
        <v/>
      </c>
    </row>
    <row r="133" spans="1:14" hidden="1" ht="12.75" customHeight="1">
      <c r="A133" s="96" t="s">
        <v>2737</v>
      </c>
      <c r="B133" s="96" t="s">
        <v>2738</v>
      </c>
      <c r="C133" s="96" t="s">
        <v>2735</v>
      </c>
      <c r="D133" s="96" t="s">
        <v>2595</v>
      </c>
      <c r="E133" s="101" t="s">
        <v>2739</v>
      </c>
      <c r="G133" s="96">
        <f>LEFT(A133)</f>
        <v/>
      </c>
    </row>
    <row r="134" spans="1:14" hidden="1" ht="12.75" customHeight="1">
      <c r="A134" s="96" t="s">
        <v>2740</v>
      </c>
      <c r="B134" s="96" t="s">
        <v>2741</v>
      </c>
      <c r="C134" s="96" t="s">
        <v>2735</v>
      </c>
      <c r="D134" s="96" t="s">
        <v>2604</v>
      </c>
      <c r="E134" s="101" t="s">
        <v>2742</v>
      </c>
      <c r="G134" s="96">
        <f>LEFT(A134)</f>
        <v/>
      </c>
    </row>
    <row r="135" spans="1:14" hidden="1">
      <c r="A135" s="96" t="s">
        <v>2743</v>
      </c>
      <c r="B135" s="96" t="s">
        <v>2744</v>
      </c>
      <c r="C135" s="96" t="s">
        <v>2735</v>
      </c>
      <c r="D135" s="96" t="s">
        <v>2615</v>
      </c>
      <c r="E135" s="96" t="s">
        <v>2745</v>
      </c>
      <c r="G135" s="96">
        <f>LEFT(A135)</f>
        <v/>
      </c>
    </row>
    <row r="136" spans="1:14" hidden="1" ht="12.75" customHeight="1">
      <c r="A136" s="96" t="s">
        <v>2746</v>
      </c>
      <c r="B136" s="96" t="s">
        <v>2747</v>
      </c>
      <c r="C136" s="96" t="s">
        <v>2735</v>
      </c>
      <c r="D136" s="96" t="s">
        <v>2618</v>
      </c>
      <c r="E136" s="96" t="s">
        <v>2748</v>
      </c>
      <c r="G136" s="96">
        <f>LEFT(A136)</f>
        <v/>
      </c>
    </row>
    <row r="137" spans="1:14" hidden="1" ht="12.75" customHeight="1">
      <c r="A137" s="96" t="s">
        <v>2749</v>
      </c>
      <c r="B137" s="96" t="s">
        <v>2750</v>
      </c>
      <c r="C137" s="96" t="s">
        <v>2735</v>
      </c>
      <c r="D137" s="96" t="s">
        <v>2621</v>
      </c>
      <c r="E137" s="101" t="s">
        <v>2751</v>
      </c>
      <c r="G137" s="96">
        <f>LEFT(A137)</f>
        <v/>
      </c>
    </row>
    <row r="138" spans="1:14" hidden="1" ht="12.75" customHeight="1">
      <c r="A138" s="96" t="s">
        <v>2752</v>
      </c>
      <c r="B138" s="96" t="s">
        <v>2753</v>
      </c>
      <c r="C138" s="96" t="s">
        <v>2735</v>
      </c>
      <c r="D138" s="96" t="s">
        <v>2624</v>
      </c>
      <c r="E138" s="101" t="s">
        <v>2754</v>
      </c>
      <c r="G138" s="96">
        <f>LEFT(A138)</f>
        <v/>
      </c>
    </row>
    <row r="139" spans="1:14" hidden="1" ht="12.75" customHeight="1">
      <c r="A139" s="96" t="s">
        <v>2755</v>
      </c>
      <c r="B139" s="99" t="s">
        <v>2756</v>
      </c>
      <c r="C139" s="96" t="s">
        <v>2757</v>
      </c>
      <c r="D139" s="96" t="s">
        <v>408</v>
      </c>
      <c r="E139" s="96" t="n">
        <v>0</v>
      </c>
      <c r="G139" s="96">
        <f>LEFT(A139)</f>
        <v/>
      </c>
    </row>
    <row r="140" spans="1:14" hidden="1" ht="12.75" customHeight="1">
      <c r="A140" s="96" t="s">
        <v>2758</v>
      </c>
      <c r="B140" s="96" t="s">
        <v>2759</v>
      </c>
      <c r="C140" s="96" t="s">
        <v>2757</v>
      </c>
      <c r="D140" s="96" t="s">
        <v>2633</v>
      </c>
      <c r="E140" s="101" t="s">
        <v>2760</v>
      </c>
      <c r="G140" s="96">
        <f>LEFT(A140)</f>
        <v/>
      </c>
    </row>
    <row r="141" spans="1:14" hidden="1" ht="12.75" customHeight="1">
      <c r="A141" s="96" t="s">
        <v>2761</v>
      </c>
      <c r="B141" s="96" t="s">
        <v>2762</v>
      </c>
      <c r="C141" s="96" t="s">
        <v>2757</v>
      </c>
      <c r="D141" s="96" t="s">
        <v>2644</v>
      </c>
      <c r="E141" s="96" t="s">
        <v>2763</v>
      </c>
      <c r="G141" s="96">
        <f>LEFT(A141)</f>
        <v/>
      </c>
    </row>
    <row r="142" spans="1:14" hidden="1" ht="12.75" customHeight="1">
      <c r="A142" s="96" t="s">
        <v>2764</v>
      </c>
      <c r="B142" s="96" t="s">
        <v>2765</v>
      </c>
      <c r="C142" s="96" t="s">
        <v>2766</v>
      </c>
      <c r="D142" s="96" t="s">
        <v>2647</v>
      </c>
      <c r="E142" s="96" t="s">
        <v>2767</v>
      </c>
      <c r="G142" s="96">
        <f>LEFT(A142)</f>
        <v/>
      </c>
    </row>
    <row r="143" spans="1:14" hidden="1" ht="12.75" customHeight="1">
      <c r="A143" s="96" t="s">
        <v>2768</v>
      </c>
      <c r="B143" s="96" t="s">
        <v>2769</v>
      </c>
      <c r="C143" s="96" t="s">
        <v>2766</v>
      </c>
      <c r="D143" s="96" t="s">
        <v>2661</v>
      </c>
      <c r="E143" s="96" t="n">
        <v>0</v>
      </c>
      <c r="G143" s="96">
        <f>LEFT(A143)</f>
        <v/>
      </c>
    </row>
    <row r="144" spans="1:14" hidden="1" ht="12.75" customHeight="1">
      <c r="A144" s="96" t="s">
        <v>2770</v>
      </c>
      <c r="B144" s="96" t="s">
        <v>2771</v>
      </c>
      <c r="C144" s="96" t="s">
        <v>2766</v>
      </c>
      <c r="D144" s="96" t="s">
        <v>2650</v>
      </c>
      <c r="E144" s="96" t="s">
        <v>2772</v>
      </c>
      <c r="G144" s="96">
        <f>LEFT(A144)</f>
        <v/>
      </c>
    </row>
    <row r="145" spans="1:14" hidden="1" ht="12.75" customHeight="1">
      <c r="A145" s="96" t="s">
        <v>2773</v>
      </c>
      <c r="B145" s="96" t="s">
        <v>2774</v>
      </c>
      <c r="C145" s="96" t="s">
        <v>2766</v>
      </c>
      <c r="D145" s="96" t="s">
        <v>2666</v>
      </c>
      <c r="E145" s="96" t="n">
        <v>0</v>
      </c>
      <c r="G145" s="96">
        <f>LEFT(A145)</f>
        <v/>
      </c>
    </row>
    <row r="146" spans="1:14" hidden="1" ht="12.75" customHeight="1">
      <c r="A146" s="96" t="s">
        <v>2775</v>
      </c>
      <c r="B146" s="96" t="s">
        <v>2776</v>
      </c>
      <c r="C146" s="96" t="s">
        <v>2766</v>
      </c>
      <c r="D146" s="96" t="s">
        <v>2657</v>
      </c>
      <c r="E146" s="101" t="s">
        <v>2777</v>
      </c>
      <c r="G146" s="96">
        <f>LEFT(A146)</f>
        <v/>
      </c>
    </row>
    <row r="147" spans="1:14" hidden="1" ht="12.75" customHeight="1">
      <c r="A147" s="96" t="s">
        <v>2778</v>
      </c>
      <c r="B147" s="96" t="s">
        <v>2779</v>
      </c>
      <c r="C147" s="96" t="s">
        <v>2766</v>
      </c>
      <c r="D147" s="96" t="s">
        <v>2671</v>
      </c>
      <c r="E147" s="96" t="n">
        <v>0</v>
      </c>
      <c r="G147" s="96">
        <f>LEFT(A147)</f>
        <v/>
      </c>
    </row>
    <row r="148" spans="1:14" hidden="1" ht="12.75" customHeight="1">
      <c r="A148" s="96" t="s">
        <v>2780</v>
      </c>
      <c r="B148" s="96" t="s">
        <v>2781</v>
      </c>
      <c r="C148" s="96" t="s">
        <v>2766</v>
      </c>
      <c r="D148" s="96" t="s">
        <v>2671</v>
      </c>
      <c r="E148" s="96" t="n">
        <v>0</v>
      </c>
      <c r="G148" s="96">
        <f>LEFT(A148)</f>
        <v/>
      </c>
    </row>
    <row r="149" spans="1:14" hidden="1" ht="12.75" customHeight="1">
      <c r="A149" s="96" t="s">
        <v>2782</v>
      </c>
      <c r="B149" s="96" t="s">
        <v>2783</v>
      </c>
      <c r="C149" s="96" t="s">
        <v>2782</v>
      </c>
      <c r="D149" s="96" t="s">
        <v>2784</v>
      </c>
      <c r="E149" s="96" t="s">
        <v>2242</v>
      </c>
      <c r="G149" s="96">
        <f>LEFT(A149)</f>
        <v/>
      </c>
    </row>
    <row r="150" spans="1:14" hidden="1" ht="12.75" customHeight="1">
      <c r="A150" s="96" t="s">
        <v>2785</v>
      </c>
      <c r="B150" s="96" t="s">
        <v>2786</v>
      </c>
      <c r="C150" s="96" t="s">
        <v>2787</v>
      </c>
      <c r="D150" s="96" t="s">
        <v>2784</v>
      </c>
      <c r="E150" s="96" t="s">
        <v>2242</v>
      </c>
      <c r="G150" s="96">
        <f>LEFT(A150)</f>
        <v/>
      </c>
    </row>
    <row r="151" spans="1:14" hidden="1" ht="12.75" customHeight="1">
      <c r="A151" s="96" t="s">
        <v>2788</v>
      </c>
      <c r="B151" s="96" t="s">
        <v>2789</v>
      </c>
      <c r="C151" s="96" t="s">
        <v>2787</v>
      </c>
      <c r="D151" s="96" t="s">
        <v>2784</v>
      </c>
      <c r="E151" s="96" t="s">
        <v>2242</v>
      </c>
      <c r="G151" s="96">
        <f>LEFT(A151)</f>
        <v/>
      </c>
    </row>
    <row r="152" spans="1:14" hidden="1" ht="12.75" customHeight="1">
      <c r="A152" s="96" t="s">
        <v>2790</v>
      </c>
      <c r="B152" s="96" t="s">
        <v>2791</v>
      </c>
      <c r="C152" s="96" t="s">
        <v>2787</v>
      </c>
      <c r="D152" s="96" t="s">
        <v>2784</v>
      </c>
      <c r="E152" s="96" t="s">
        <v>2242</v>
      </c>
      <c r="G152" s="96">
        <f>LEFT(A152)</f>
        <v/>
      </c>
    </row>
    <row r="153" spans="1:14" hidden="1" ht="12.75" customHeight="1">
      <c r="A153" s="96" t="s">
        <v>2792</v>
      </c>
      <c r="B153" s="96" t="s">
        <v>2793</v>
      </c>
      <c r="C153" s="96" t="s">
        <v>2787</v>
      </c>
      <c r="D153" s="96" t="s">
        <v>2784</v>
      </c>
      <c r="E153" s="96" t="s">
        <v>2242</v>
      </c>
      <c r="G153" s="96">
        <f>LEFT(A153)</f>
        <v/>
      </c>
    </row>
    <row r="154" spans="1:14" hidden="1" ht="12.75" customHeight="1">
      <c r="A154" s="96" t="s">
        <v>2794</v>
      </c>
      <c r="B154" s="96" t="s">
        <v>2795</v>
      </c>
      <c r="C154" s="96" t="s">
        <v>2787</v>
      </c>
      <c r="D154" s="96" t="s">
        <v>2784</v>
      </c>
      <c r="E154" s="96" t="s">
        <v>2242</v>
      </c>
      <c r="G154" s="96">
        <f>LEFT(A154)</f>
        <v/>
      </c>
    </row>
    <row r="155" spans="1:14" hidden="1" ht="12.75" customHeight="1">
      <c r="A155" s="96" t="s">
        <v>2796</v>
      </c>
      <c r="B155" s="96" t="s">
        <v>2797</v>
      </c>
      <c r="C155" s="96" t="s">
        <v>2787</v>
      </c>
      <c r="D155" s="96" t="s">
        <v>2784</v>
      </c>
      <c r="E155" s="96" t="s">
        <v>2242</v>
      </c>
      <c r="G155" s="96">
        <f>LEFT(A155)</f>
        <v/>
      </c>
    </row>
    <row r="156" spans="1:14" hidden="1" ht="12.75" customHeight="1">
      <c r="A156" s="96" t="s">
        <v>2798</v>
      </c>
      <c r="B156" s="96" t="s">
        <v>2799</v>
      </c>
      <c r="C156" s="96" t="s">
        <v>2787</v>
      </c>
      <c r="D156" s="96" t="s">
        <v>2784</v>
      </c>
      <c r="E156" s="96" t="s">
        <v>2242</v>
      </c>
      <c r="G156" s="96">
        <f>LEFT(A156)</f>
        <v/>
      </c>
    </row>
    <row r="157" spans="1:14" hidden="1" ht="12.75" customHeight="1">
      <c r="A157" s="96" t="s">
        <v>2800</v>
      </c>
      <c r="B157" s="96" t="s">
        <v>2801</v>
      </c>
      <c r="C157" s="96" t="s">
        <v>2800</v>
      </c>
      <c r="D157" s="96" t="s">
        <v>2784</v>
      </c>
      <c r="E157" s="101" t="s">
        <v>2260</v>
      </c>
      <c r="G157" s="96">
        <f>LEFT(A157)</f>
        <v/>
      </c>
    </row>
    <row r="158" spans="1:14" hidden="1" ht="12.75" customHeight="1">
      <c r="A158" s="96" t="s">
        <v>2802</v>
      </c>
      <c r="B158" s="96" t="s">
        <v>2803</v>
      </c>
      <c r="C158" s="96" t="s">
        <v>2802</v>
      </c>
      <c r="D158" s="96" t="s">
        <v>2784</v>
      </c>
      <c r="E158" s="96" t="s">
        <v>2242</v>
      </c>
      <c r="G158" s="96">
        <f>LEFT(A158)</f>
        <v/>
      </c>
      <c r="H158" s="96" t="s">
        <v>2804</v>
      </c>
    </row>
    <row r="159" spans="1:14" hidden="1" ht="12.75" customHeight="1">
      <c r="A159" s="96" t="s">
        <v>2805</v>
      </c>
      <c r="B159" s="96" t="s">
        <v>2806</v>
      </c>
      <c r="C159" s="96" t="s">
        <v>2805</v>
      </c>
      <c r="D159" s="96" t="s">
        <v>2784</v>
      </c>
      <c r="E159" s="101" t="s">
        <v>2256</v>
      </c>
      <c r="G159" s="96">
        <f>LEFT(A159)</f>
        <v/>
      </c>
    </row>
    <row r="160" spans="1:14" hidden="1" ht="12.75" customHeight="1">
      <c r="A160" s="96" t="s">
        <v>2807</v>
      </c>
      <c r="B160" s="96" t="s">
        <v>2808</v>
      </c>
      <c r="C160" s="96" t="s">
        <v>2807</v>
      </c>
      <c r="D160" s="96" t="s">
        <v>2784</v>
      </c>
      <c r="E160" s="101" t="s">
        <v>2256</v>
      </c>
      <c r="G160" s="96">
        <f>LEFT(A160)</f>
        <v/>
      </c>
    </row>
    <row r="161" spans="1:14" hidden="1" ht="12.75" customHeight="1">
      <c r="A161" s="96" t="s">
        <v>2809</v>
      </c>
      <c r="B161" s="96" t="s">
        <v>2810</v>
      </c>
      <c r="C161" s="96" t="s">
        <v>2809</v>
      </c>
      <c r="D161" s="96" t="s">
        <v>2784</v>
      </c>
      <c r="E161" s="101" t="s">
        <v>2256</v>
      </c>
      <c r="G161" s="96">
        <f>LEFT(A161)</f>
        <v/>
      </c>
    </row>
    <row r="162" spans="1:14" hidden="1" ht="12.75" customHeight="1">
      <c r="A162" s="96" t="s">
        <v>2811</v>
      </c>
      <c r="B162" s="96" t="s">
        <v>2812</v>
      </c>
      <c r="C162" s="96" t="s">
        <v>2811</v>
      </c>
      <c r="D162" s="96" t="s">
        <v>2813</v>
      </c>
      <c r="E162" s="101" t="s">
        <v>2256</v>
      </c>
      <c r="G162" s="96">
        <f>LEFT(A162)</f>
        <v/>
      </c>
    </row>
    <row r="163" spans="1:14" hidden="1" ht="12.75" customHeight="1">
      <c r="A163" s="96" t="s">
        <v>2814</v>
      </c>
      <c r="B163" s="96" t="s">
        <v>2815</v>
      </c>
      <c r="C163" s="96" t="s">
        <v>2814</v>
      </c>
      <c r="D163" s="96" t="s">
        <v>2813</v>
      </c>
      <c r="E163" s="101" t="s">
        <v>2256</v>
      </c>
      <c r="G163" s="96">
        <f>LEFT(A163)</f>
        <v/>
      </c>
    </row>
    <row r="164" spans="1:14" hidden="1" ht="12.75" customHeight="1">
      <c r="A164" s="96" t="s">
        <v>2816</v>
      </c>
      <c r="B164" s="96" t="s">
        <v>2817</v>
      </c>
      <c r="C164" s="96" t="s">
        <v>2816</v>
      </c>
      <c r="D164" s="96" t="s">
        <v>2784</v>
      </c>
      <c r="E164" s="101" t="s">
        <v>2256</v>
      </c>
      <c r="G164" s="96">
        <f>LEFT(A164)</f>
        <v/>
      </c>
    </row>
    <row r="165" spans="1:14" hidden="1" ht="12.75" customHeight="1">
      <c r="A165" s="96" t="s">
        <v>2818</v>
      </c>
      <c r="B165" s="96" t="s">
        <v>2819</v>
      </c>
      <c r="C165" s="96" t="s">
        <v>2818</v>
      </c>
      <c r="D165" s="96" t="s">
        <v>2820</v>
      </c>
      <c r="E165" s="101" t="s">
        <v>2244</v>
      </c>
      <c r="G165" s="96">
        <f>LEFT(A165)</f>
        <v/>
      </c>
    </row>
    <row r="166" spans="1:14" hidden="1" ht="12.75" customHeight="1">
      <c r="A166" s="96" t="s">
        <v>2821</v>
      </c>
      <c r="B166" s="96" t="s">
        <v>2822</v>
      </c>
      <c r="C166" s="96" t="s">
        <v>2821</v>
      </c>
      <c r="D166" s="96" t="s">
        <v>2820</v>
      </c>
      <c r="E166" s="101" t="s">
        <v>2244</v>
      </c>
      <c r="G166" s="96">
        <f>LEFT(A166)</f>
        <v/>
      </c>
    </row>
    <row r="167" spans="1:14" hidden="1" ht="12.75" customHeight="1">
      <c r="A167" s="96" t="s">
        <v>2823</v>
      </c>
      <c r="B167" s="96" t="s">
        <v>2824</v>
      </c>
      <c r="C167" s="96" t="s">
        <v>2823</v>
      </c>
      <c r="D167" s="96" t="s">
        <v>2820</v>
      </c>
      <c r="E167" s="96" t="s">
        <v>2246</v>
      </c>
      <c r="G167" s="96">
        <f>LEFT(A167)</f>
        <v/>
      </c>
    </row>
    <row r="168" spans="1:14" hidden="1" ht="12.75" customHeight="1">
      <c r="A168" s="96" t="s">
        <v>2825</v>
      </c>
      <c r="B168" s="96" t="s">
        <v>2826</v>
      </c>
      <c r="C168" s="96" t="s">
        <v>2825</v>
      </c>
      <c r="D168" s="96" t="s">
        <v>2813</v>
      </c>
      <c r="E168" s="96" t="s">
        <v>2248</v>
      </c>
      <c r="G168" s="96">
        <f>LEFT(A168)</f>
        <v/>
      </c>
    </row>
    <row r="169" spans="1:14" hidden="1" ht="12.75" customHeight="1">
      <c r="A169" s="96" t="s">
        <v>2827</v>
      </c>
      <c r="B169" s="96" t="s">
        <v>2828</v>
      </c>
      <c r="C169" s="96" t="s">
        <v>2827</v>
      </c>
      <c r="D169" s="96" t="s">
        <v>2813</v>
      </c>
      <c r="E169" s="96" t="s">
        <v>2262</v>
      </c>
      <c r="G169" s="96">
        <f>LEFT(A169)</f>
        <v/>
      </c>
    </row>
    <row r="170" spans="1:14" hidden="1" ht="12.75" customHeight="1">
      <c r="A170" s="96" t="s">
        <v>2829</v>
      </c>
      <c r="B170" s="96" t="s">
        <v>2830</v>
      </c>
      <c r="C170" s="96" t="s">
        <v>2829</v>
      </c>
      <c r="D170" s="96" t="s">
        <v>2813</v>
      </c>
      <c r="E170" s="101" t="s">
        <v>2252</v>
      </c>
      <c r="G170" s="96">
        <f>LEFT(A170)</f>
        <v/>
      </c>
    </row>
    <row r="171" spans="1:14" hidden="1" ht="12.75" customHeight="1">
      <c r="A171" s="96" t="s">
        <v>2831</v>
      </c>
      <c r="B171" s="96" t="s">
        <v>2832</v>
      </c>
      <c r="C171" s="96" t="s">
        <v>2833</v>
      </c>
      <c r="D171" s="96" t="s">
        <v>2820</v>
      </c>
      <c r="E171" s="101" t="s">
        <v>2244</v>
      </c>
      <c r="G171" s="96">
        <f>LEFT(A171)</f>
        <v/>
      </c>
      <c r="H171" s="96" t="s">
        <v>2804</v>
      </c>
    </row>
    <row r="172" spans="1:14" hidden="1" ht="12.75" customHeight="1">
      <c r="A172" s="96" t="s">
        <v>2833</v>
      </c>
      <c r="B172" s="96" t="s">
        <v>2834</v>
      </c>
      <c r="C172" s="96" t="s">
        <v>2833</v>
      </c>
      <c r="D172" s="96" t="s">
        <v>2813</v>
      </c>
      <c r="E172" s="96" t="s">
        <v>2248</v>
      </c>
      <c r="G172" s="96">
        <f>LEFT(A172)</f>
        <v/>
      </c>
      <c r="H172" s="96" t="s">
        <v>2804</v>
      </c>
    </row>
    <row r="173" spans="1:14" hidden="1" ht="12.75" customHeight="1">
      <c r="A173" s="96" t="s">
        <v>2835</v>
      </c>
      <c r="B173" s="96" t="s">
        <v>2836</v>
      </c>
      <c r="C173" s="96" t="s">
        <v>2835</v>
      </c>
      <c r="D173" s="96" t="s">
        <v>2784</v>
      </c>
      <c r="E173" s="101" t="s">
        <v>2258</v>
      </c>
      <c r="G173" s="96">
        <f>LEFT(A173)</f>
        <v/>
      </c>
    </row>
    <row r="174" spans="1:14" hidden="1" ht="12.75" customHeight="1">
      <c r="A174" s="96" t="s">
        <v>2837</v>
      </c>
      <c r="B174" s="96" t="s">
        <v>2838</v>
      </c>
      <c r="C174" s="96" t="s">
        <v>2837</v>
      </c>
      <c r="D174" s="96" t="s">
        <v>2813</v>
      </c>
      <c r="E174" s="101" t="s">
        <v>2258</v>
      </c>
      <c r="G174" s="96">
        <f>LEFT(A174)</f>
        <v/>
      </c>
    </row>
    <row r="175" spans="1:14" hidden="1" ht="12.75" customHeight="1">
      <c r="A175" s="96" t="s">
        <v>2839</v>
      </c>
      <c r="B175" s="96" t="s">
        <v>2840</v>
      </c>
      <c r="C175" s="96" t="s">
        <v>2839</v>
      </c>
      <c r="D175" s="96" t="s">
        <v>2813</v>
      </c>
      <c r="E175" s="101" t="s">
        <v>2258</v>
      </c>
      <c r="G175" s="96">
        <f>LEFT(A175)</f>
        <v/>
      </c>
    </row>
    <row r="176" spans="1:14" hidden="1" ht="12.75" customHeight="1">
      <c r="A176" s="96" t="s">
        <v>2841</v>
      </c>
      <c r="B176" s="96" t="s">
        <v>2842</v>
      </c>
      <c r="C176" s="96" t="s">
        <v>2841</v>
      </c>
      <c r="D176" s="96" t="s">
        <v>2813</v>
      </c>
      <c r="E176" s="101" t="s">
        <v>2258</v>
      </c>
      <c r="G176" s="96">
        <f>LEFT(A176)</f>
        <v/>
      </c>
    </row>
    <row r="177" spans="1:14" hidden="1" ht="12.75" customHeight="1">
      <c r="A177" s="96" t="s">
        <v>2843</v>
      </c>
      <c r="B177" s="96" t="s">
        <v>2844</v>
      </c>
      <c r="C177" s="96" t="s">
        <v>2843</v>
      </c>
      <c r="D177" s="96" t="s">
        <v>2784</v>
      </c>
      <c r="E177" s="101" t="s">
        <v>2258</v>
      </c>
      <c r="G177" s="96">
        <f>LEFT(A177)</f>
        <v/>
      </c>
    </row>
    <row r="178" spans="1:14" hidden="1" ht="12.75" customHeight="1">
      <c r="A178" s="96" t="s">
        <v>2845</v>
      </c>
      <c r="B178" s="96" t="s">
        <v>2846</v>
      </c>
      <c r="C178" s="96" t="s">
        <v>2845</v>
      </c>
      <c r="D178" s="96" t="s">
        <v>2813</v>
      </c>
      <c r="E178" s="101" t="s">
        <v>2847</v>
      </c>
      <c r="G178" s="96">
        <f>LEFT(A178)</f>
        <v/>
      </c>
    </row>
    <row r="179" spans="1:14" hidden="1" ht="12.75" customHeight="1">
      <c r="A179" s="96" t="s">
        <v>2848</v>
      </c>
      <c r="B179" s="96" t="s">
        <v>2849</v>
      </c>
      <c r="C179" s="96" t="s">
        <v>2848</v>
      </c>
      <c r="D179" s="96" t="s">
        <v>2813</v>
      </c>
      <c r="E179" s="101" t="s">
        <v>2847</v>
      </c>
      <c r="G179" s="96">
        <f>LEFT(A179)</f>
        <v/>
      </c>
      <c r="H179" s="96" t="s">
        <v>2804</v>
      </c>
    </row>
    <row r="180" spans="1:14" hidden="1" ht="12.75" customHeight="1">
      <c r="A180" s="96" t="s">
        <v>2850</v>
      </c>
      <c r="B180" s="96" t="s">
        <v>2851</v>
      </c>
      <c r="C180" s="96" t="s">
        <v>2850</v>
      </c>
      <c r="D180" s="96" t="s">
        <v>2813</v>
      </c>
      <c r="E180" s="96" t="s">
        <v>2248</v>
      </c>
      <c r="G180" s="96">
        <f>LEFT(A180)</f>
        <v/>
      </c>
    </row>
    <row r="181" spans="1:14" hidden="1" ht="12.75" customHeight="1">
      <c r="A181" s="96" t="s">
        <v>2852</v>
      </c>
      <c r="B181" s="96" t="s">
        <v>2853</v>
      </c>
      <c r="C181" s="96" t="s">
        <v>2852</v>
      </c>
      <c r="D181" s="96" t="s">
        <v>2813</v>
      </c>
      <c r="E181" s="96" t="s">
        <v>2248</v>
      </c>
      <c r="G181" s="96">
        <f>LEFT(A181)</f>
        <v/>
      </c>
      <c r="H181" s="96" t="s">
        <v>2804</v>
      </c>
    </row>
    <row r="182" spans="1:14" hidden="1" ht="12.75" customHeight="1">
      <c r="A182" s="96" t="s">
        <v>2854</v>
      </c>
      <c r="B182" s="96" t="s">
        <v>2855</v>
      </c>
      <c r="C182" s="96" t="s">
        <v>2854</v>
      </c>
      <c r="D182" s="96" t="s">
        <v>2784</v>
      </c>
      <c r="E182" s="101" t="s">
        <v>2250</v>
      </c>
      <c r="G182" s="96">
        <f>LEFT(A182)</f>
        <v/>
      </c>
    </row>
    <row r="183" spans="1:14" hidden="1" ht="12.75" customHeight="1">
      <c r="A183" s="96" t="s">
        <v>2856</v>
      </c>
      <c r="B183" s="96" t="s">
        <v>2857</v>
      </c>
      <c r="C183" s="96" t="s">
        <v>2856</v>
      </c>
      <c r="D183" s="96" t="s">
        <v>2784</v>
      </c>
      <c r="E183" s="101" t="s">
        <v>2250</v>
      </c>
      <c r="G183" s="96">
        <f>LEFT(A183)</f>
        <v/>
      </c>
      <c r="H183" s="96" t="s">
        <v>2804</v>
      </c>
    </row>
    <row r="184" spans="1:14" hidden="1" ht="12.75" customHeight="1">
      <c r="A184" s="96" t="s">
        <v>2858</v>
      </c>
      <c r="B184" s="96" t="s">
        <v>2859</v>
      </c>
      <c r="C184" s="96" t="s">
        <v>2858</v>
      </c>
      <c r="D184" s="96" t="s">
        <v>2784</v>
      </c>
      <c r="E184" s="101" t="s">
        <v>2243</v>
      </c>
      <c r="G184" s="96">
        <f>LEFT(A184)</f>
        <v/>
      </c>
    </row>
    <row r="185" spans="1:14" hidden="1" ht="12.75" customHeight="1">
      <c r="A185" s="96" t="s">
        <v>2860</v>
      </c>
      <c r="B185" s="96" t="s">
        <v>2861</v>
      </c>
      <c r="C185" s="96" t="s">
        <v>2862</v>
      </c>
      <c r="D185" s="96" t="s">
        <v>2784</v>
      </c>
      <c r="E185" s="101" t="s">
        <v>2243</v>
      </c>
      <c r="G185" s="96">
        <f>LEFT(A185)</f>
        <v/>
      </c>
    </row>
    <row r="186" spans="1:14" hidden="1" ht="12.75" customHeight="1">
      <c r="A186" s="96" t="s">
        <v>2863</v>
      </c>
      <c r="B186" s="96" t="s">
        <v>2864</v>
      </c>
      <c r="C186" s="96" t="s">
        <v>2862</v>
      </c>
      <c r="D186" s="96" t="s">
        <v>2784</v>
      </c>
      <c r="E186" s="101" t="s">
        <v>2261</v>
      </c>
      <c r="G186" s="96">
        <f>LEFT(A186)</f>
        <v/>
      </c>
    </row>
    <row r="187" spans="1:14" hidden="1" ht="12.75" customHeight="1">
      <c r="A187" s="96" t="s">
        <v>2865</v>
      </c>
      <c r="B187" s="96" t="s">
        <v>2866</v>
      </c>
      <c r="C187" s="96" t="s">
        <v>2865</v>
      </c>
      <c r="D187" s="96" t="s">
        <v>2820</v>
      </c>
      <c r="E187" s="96" t="s">
        <v>2245</v>
      </c>
      <c r="G187" s="96">
        <f>LEFT(A187)</f>
        <v/>
      </c>
    </row>
    <row r="188" spans="1:14" hidden="1" ht="12.75" customHeight="1">
      <c r="A188" s="96" t="s">
        <v>2867</v>
      </c>
      <c r="B188" s="96" t="s">
        <v>2868</v>
      </c>
      <c r="C188" s="96" t="s">
        <v>2867</v>
      </c>
      <c r="D188" s="96" t="s">
        <v>2813</v>
      </c>
      <c r="E188" s="101" t="s">
        <v>2249</v>
      </c>
      <c r="G188" s="96">
        <f>LEFT(A188)</f>
        <v/>
      </c>
    </row>
    <row r="189" spans="1:14" hidden="1" ht="12.75" customHeight="1">
      <c r="A189" s="96" t="s">
        <v>2869</v>
      </c>
      <c r="B189" s="96" t="s">
        <v>2870</v>
      </c>
      <c r="C189" s="96" t="s">
        <v>2867</v>
      </c>
      <c r="D189" s="96" t="s">
        <v>2820</v>
      </c>
      <c r="E189" s="96" t="s">
        <v>2871</v>
      </c>
      <c r="G189" s="96">
        <f>LEFT(A189)</f>
        <v/>
      </c>
    </row>
    <row r="190" spans="1:14" hidden="1" ht="12.75" customHeight="1">
      <c r="A190" s="96" t="s">
        <v>2872</v>
      </c>
      <c r="B190" s="96" t="s">
        <v>2873</v>
      </c>
      <c r="C190" s="96" t="s">
        <v>2867</v>
      </c>
      <c r="D190" s="96" t="s">
        <v>2813</v>
      </c>
      <c r="E190" s="101" t="s">
        <v>2249</v>
      </c>
      <c r="G190" s="96">
        <f>LEFT(A190)</f>
        <v/>
      </c>
    </row>
    <row r="191" spans="1:14" hidden="1" ht="12.75" customHeight="1">
      <c r="A191" s="96" t="s">
        <v>2874</v>
      </c>
      <c r="B191" s="96" t="s">
        <v>2875</v>
      </c>
      <c r="C191" s="96" t="s">
        <v>2867</v>
      </c>
      <c r="D191" s="96" t="s">
        <v>2813</v>
      </c>
      <c r="E191" s="96" t="s">
        <v>2263</v>
      </c>
      <c r="G191" s="96">
        <f>LEFT(A191)</f>
        <v/>
      </c>
    </row>
    <row r="192" spans="1:14" hidden="1" ht="12.75" customHeight="1">
      <c r="A192" s="96" t="s">
        <v>2876</v>
      </c>
      <c r="B192" s="96" t="s">
        <v>2877</v>
      </c>
      <c r="C192" s="96" t="s">
        <v>2867</v>
      </c>
      <c r="D192" s="96" t="s">
        <v>2813</v>
      </c>
      <c r="E192" s="101" t="s">
        <v>2253</v>
      </c>
      <c r="G192" s="96">
        <f>LEFT(A192)</f>
        <v/>
      </c>
    </row>
    <row r="193" spans="1:14" hidden="1" ht="12.75" customHeight="1">
      <c r="A193" s="96" t="s">
        <v>2878</v>
      </c>
      <c r="B193" s="96" t="s">
        <v>2879</v>
      </c>
      <c r="C193" s="96" t="s">
        <v>2878</v>
      </c>
      <c r="D193" s="96" t="s">
        <v>2784</v>
      </c>
      <c r="E193" s="96" t="s">
        <v>2880</v>
      </c>
      <c r="G193" s="96">
        <f>LEFT(A193)</f>
        <v/>
      </c>
    </row>
    <row r="194" spans="1:14" hidden="1" ht="12.75" customHeight="1">
      <c r="A194" s="96" t="s">
        <v>2881</v>
      </c>
      <c r="B194" s="96" t="s">
        <v>2882</v>
      </c>
      <c r="C194" s="96" t="s">
        <v>2878</v>
      </c>
      <c r="D194" s="96" t="s">
        <v>2784</v>
      </c>
      <c r="E194" s="96" t="s">
        <v>2880</v>
      </c>
      <c r="G194" s="96">
        <f>LEFT(A194)</f>
        <v/>
      </c>
    </row>
    <row r="195" spans="1:14" hidden="1" ht="12.75" customHeight="1">
      <c r="A195" s="96" t="s">
        <v>2883</v>
      </c>
      <c r="B195" s="96" t="s">
        <v>2884</v>
      </c>
      <c r="C195" s="96" t="s">
        <v>2878</v>
      </c>
      <c r="D195" s="96" t="s">
        <v>2784</v>
      </c>
      <c r="E195" s="96" t="s">
        <v>2880</v>
      </c>
      <c r="G195" s="96">
        <f>LEFT(A195)</f>
        <v/>
      </c>
    </row>
    <row r="196" spans="1:14" hidden="1" ht="12.75" customHeight="1">
      <c r="A196" s="96" t="s">
        <v>2885</v>
      </c>
      <c r="B196" s="96" t="s">
        <v>2886</v>
      </c>
      <c r="C196" s="96" t="s">
        <v>2878</v>
      </c>
      <c r="D196" s="96" t="s">
        <v>2820</v>
      </c>
      <c r="E196" s="96" t="s">
        <v>2880</v>
      </c>
      <c r="G196" s="96">
        <f>LEFT(A196)</f>
        <v/>
      </c>
    </row>
    <row r="197" spans="1:14" hidden="1" ht="12.75" customHeight="1">
      <c r="A197" s="96" t="s">
        <v>2887</v>
      </c>
      <c r="B197" s="96" t="s">
        <v>2888</v>
      </c>
      <c r="C197" s="96" t="s">
        <v>2878</v>
      </c>
      <c r="D197" s="96" t="s">
        <v>2813</v>
      </c>
      <c r="E197" s="96" t="s">
        <v>2880</v>
      </c>
      <c r="G197" s="96">
        <f>LEFT(A197)</f>
        <v/>
      </c>
    </row>
    <row r="198" spans="1:14" hidden="1" ht="12.75" customHeight="1">
      <c r="A198" s="96" t="s">
        <v>2889</v>
      </c>
      <c r="B198" s="96" t="s">
        <v>2890</v>
      </c>
      <c r="C198" s="96" t="s">
        <v>2878</v>
      </c>
      <c r="D198" s="96" t="s">
        <v>2813</v>
      </c>
      <c r="E198" s="96" t="s">
        <v>2880</v>
      </c>
      <c r="G198" s="96">
        <f>LEFT(A198)</f>
        <v/>
      </c>
    </row>
    <row r="199" spans="1:14" hidden="1" ht="12.75" customHeight="1">
      <c r="A199" s="96" t="s">
        <v>2891</v>
      </c>
      <c r="B199" s="96" t="s">
        <v>2892</v>
      </c>
      <c r="C199" s="96" t="s">
        <v>2878</v>
      </c>
      <c r="D199" s="96" t="s">
        <v>2813</v>
      </c>
      <c r="E199" s="96" t="s">
        <v>2880</v>
      </c>
      <c r="G199" s="96">
        <f>LEFT(A199)</f>
        <v/>
      </c>
    </row>
    <row r="200" spans="1:14" hidden="1" ht="12.75" customHeight="1">
      <c r="A200" s="96" t="s">
        <v>2893</v>
      </c>
      <c r="B200" s="96" t="s">
        <v>2894</v>
      </c>
      <c r="C200" s="96" t="s">
        <v>2878</v>
      </c>
      <c r="D200" s="96" t="s">
        <v>2813</v>
      </c>
      <c r="E200" s="96" t="s">
        <v>2880</v>
      </c>
      <c r="G200" s="96">
        <f>LEFT(A200)</f>
        <v/>
      </c>
    </row>
    <row r="201" spans="1:14" hidden="1" ht="12.75" customHeight="1">
      <c r="A201" s="96" t="s">
        <v>2895</v>
      </c>
      <c r="B201" s="96" t="s">
        <v>2896</v>
      </c>
      <c r="C201" s="96" t="s">
        <v>2878</v>
      </c>
      <c r="D201" s="96" t="s">
        <v>2813</v>
      </c>
      <c r="E201" s="96" t="s">
        <v>2880</v>
      </c>
      <c r="G201" s="96">
        <f>LEFT(A201)</f>
        <v/>
      </c>
    </row>
    <row r="202" spans="1:14" hidden="1" ht="12.75" customHeight="1">
      <c r="A202" s="96" t="s">
        <v>2897</v>
      </c>
      <c r="B202" s="96" t="s">
        <v>2898</v>
      </c>
      <c r="C202" s="96" t="s">
        <v>2897</v>
      </c>
      <c r="D202" s="96" t="s">
        <v>2813</v>
      </c>
      <c r="E202" s="101" t="s">
        <v>2255</v>
      </c>
      <c r="G202" s="96">
        <f>LEFT(A202)</f>
        <v/>
      </c>
    </row>
    <row r="203" spans="1:14" hidden="1" ht="12.75" customHeight="1">
      <c r="A203" s="96" t="s">
        <v>2899</v>
      </c>
      <c r="B203" s="96" t="s">
        <v>2900</v>
      </c>
      <c r="C203" s="96" t="s">
        <v>2899</v>
      </c>
      <c r="D203" s="96" t="s">
        <v>2813</v>
      </c>
      <c r="E203" s="101" t="s">
        <v>2249</v>
      </c>
      <c r="G203" s="96">
        <f>LEFT(A203)</f>
        <v/>
      </c>
    </row>
    <row r="204" spans="1:14" hidden="1" ht="12.75" customHeight="1">
      <c r="A204" s="96" t="s">
        <v>2901</v>
      </c>
      <c r="B204" s="96" t="s">
        <v>2902</v>
      </c>
      <c r="C204" s="96" t="s">
        <v>2901</v>
      </c>
      <c r="D204" s="96" t="s">
        <v>2784</v>
      </c>
      <c r="E204" s="101" t="s">
        <v>2903</v>
      </c>
      <c r="G204" s="96">
        <f>LEFT(A204)</f>
        <v/>
      </c>
    </row>
    <row r="205" spans="1:14" hidden="1" ht="12.75" customHeight="1">
      <c r="A205" s="96" t="s">
        <v>2904</v>
      </c>
      <c r="B205" s="96" t="s">
        <v>2905</v>
      </c>
      <c r="C205" s="96" t="s">
        <v>2904</v>
      </c>
      <c r="D205" s="96" t="s">
        <v>2906</v>
      </c>
      <c r="E205" s="101" t="s">
        <v>2320</v>
      </c>
      <c r="G205" s="96">
        <f>LEFT(A205)</f>
        <v/>
      </c>
    </row>
    <row r="206" spans="1:14" hidden="1" ht="12.75" customHeight="1">
      <c r="A206" s="96" t="s">
        <v>2907</v>
      </c>
      <c r="B206" s="96" t="s">
        <v>2908</v>
      </c>
      <c r="C206" s="96" t="s">
        <v>2907</v>
      </c>
      <c r="D206" s="96" t="s">
        <v>2909</v>
      </c>
      <c r="E206" s="101" t="s">
        <v>2323</v>
      </c>
      <c r="G206" s="96">
        <f>LEFT(A206)</f>
        <v/>
      </c>
    </row>
    <row r="207" spans="1:14" hidden="1" ht="12.75" customHeight="1">
      <c r="A207" s="96" t="s">
        <v>2910</v>
      </c>
      <c r="B207" s="96" t="s">
        <v>2911</v>
      </c>
      <c r="C207" s="96" t="s">
        <v>2910</v>
      </c>
      <c r="D207" s="96" t="s">
        <v>2906</v>
      </c>
      <c r="E207" s="101" t="s">
        <v>2320</v>
      </c>
      <c r="G207" s="96">
        <f>LEFT(A207)</f>
        <v/>
      </c>
    </row>
    <row r="208" spans="1:14" hidden="1" ht="12.75" customHeight="1">
      <c r="A208" s="96" t="s">
        <v>2912</v>
      </c>
      <c r="B208" s="96" t="s">
        <v>2913</v>
      </c>
      <c r="C208" s="96" t="s">
        <v>2912</v>
      </c>
      <c r="D208" s="96" t="s">
        <v>2909</v>
      </c>
      <c r="E208" s="101" t="s">
        <v>2323</v>
      </c>
      <c r="G208" s="96">
        <f>LEFT(A208)</f>
        <v/>
      </c>
    </row>
    <row r="209" spans="1:14" hidden="1" ht="12.75" customHeight="1">
      <c r="A209" s="96" t="s">
        <v>2914</v>
      </c>
      <c r="B209" s="96" t="s">
        <v>2915</v>
      </c>
      <c r="C209" s="96" t="s">
        <v>2914</v>
      </c>
      <c r="D209" s="96" t="s">
        <v>2906</v>
      </c>
      <c r="E209" s="101" t="s">
        <v>2320</v>
      </c>
      <c r="G209" s="96">
        <f>LEFT(A209)</f>
        <v/>
      </c>
    </row>
    <row r="210" spans="1:14" hidden="1" ht="12.75" customHeight="1">
      <c r="A210" s="96" t="s">
        <v>2916</v>
      </c>
      <c r="B210" s="96" t="s">
        <v>2917</v>
      </c>
      <c r="C210" s="96" t="s">
        <v>2918</v>
      </c>
      <c r="D210" s="96" t="s">
        <v>2919</v>
      </c>
      <c r="E210" s="96" t="s">
        <v>2264</v>
      </c>
      <c r="G210" s="96">
        <f>LEFT(A210)</f>
        <v/>
      </c>
    </row>
    <row r="211" spans="1:14" hidden="1" ht="12.75" customHeight="1">
      <c r="A211" s="96" t="s">
        <v>2918</v>
      </c>
      <c r="B211" s="96" t="s">
        <v>2920</v>
      </c>
      <c r="C211" s="96" t="s">
        <v>2918</v>
      </c>
      <c r="D211" s="96" t="s">
        <v>2919</v>
      </c>
      <c r="E211" s="96" t="n">
        <v>0</v>
      </c>
      <c r="G211" s="96">
        <f>LEFT(A211)</f>
        <v/>
      </c>
    </row>
    <row r="212" spans="1:14" hidden="1" ht="12.75" customHeight="1">
      <c r="A212" s="96" t="s">
        <v>2921</v>
      </c>
      <c r="B212" s="96" t="s">
        <v>2922</v>
      </c>
      <c r="C212" s="96" t="s">
        <v>2918</v>
      </c>
      <c r="D212" s="96" t="s">
        <v>2636</v>
      </c>
      <c r="E212" s="103" t="s">
        <v>2923</v>
      </c>
      <c r="G212" s="96">
        <f>LEFT(A212)</f>
        <v/>
      </c>
    </row>
    <row r="213" spans="1:14" hidden="1" ht="12.75" customHeight="1">
      <c r="A213" s="96" t="s">
        <v>2924</v>
      </c>
      <c r="B213" s="96" t="s">
        <v>2925</v>
      </c>
      <c r="C213" s="96" t="s">
        <v>2918</v>
      </c>
      <c r="D213" s="96" t="s">
        <v>2639</v>
      </c>
      <c r="E213" s="101" t="s">
        <v>2204</v>
      </c>
      <c r="G213" s="96">
        <f>LEFT(A213)</f>
        <v/>
      </c>
    </row>
    <row r="214" spans="1:14" hidden="1" ht="12.75" customHeight="1">
      <c r="A214" s="96" t="s">
        <v>2926</v>
      </c>
      <c r="B214" s="96" t="s">
        <v>2927</v>
      </c>
      <c r="C214" s="96" t="s">
        <v>2918</v>
      </c>
      <c r="D214" s="96" t="s">
        <v>2928</v>
      </c>
      <c r="E214" s="96" t="s">
        <v>2275</v>
      </c>
      <c r="G214" s="96">
        <f>LEFT(A214)</f>
        <v/>
      </c>
    </row>
    <row r="215" spans="1:14" hidden="1" ht="12.75" customHeight="1">
      <c r="A215" s="96" t="s">
        <v>2929</v>
      </c>
      <c r="B215" s="96" t="s">
        <v>2930</v>
      </c>
      <c r="C215" s="96" t="s">
        <v>2931</v>
      </c>
      <c r="D215" s="96" t="s">
        <v>2928</v>
      </c>
      <c r="E215" s="101" t="s">
        <v>2273</v>
      </c>
      <c r="G215" s="96">
        <f>LEFT(A215)</f>
        <v/>
      </c>
    </row>
    <row r="216" spans="1:14" hidden="1" ht="12.75" customHeight="1">
      <c r="A216" s="96" t="s">
        <v>2932</v>
      </c>
      <c r="B216" s="96" t="s">
        <v>2933</v>
      </c>
      <c r="C216" s="96" t="s">
        <v>2931</v>
      </c>
      <c r="D216" s="96" t="s">
        <v>2928</v>
      </c>
      <c r="E216" s="101" t="s">
        <v>2273</v>
      </c>
      <c r="G216" s="96">
        <f>LEFT(A216)</f>
        <v/>
      </c>
    </row>
    <row r="217" spans="1:14" hidden="1" ht="12.75" customHeight="1">
      <c r="A217" s="96" t="s">
        <v>2934</v>
      </c>
      <c r="B217" s="96" t="s">
        <v>2935</v>
      </c>
      <c r="C217" s="96" t="s">
        <v>2934</v>
      </c>
      <c r="D217" s="96" t="s">
        <v>2928</v>
      </c>
      <c r="E217" s="101" t="s">
        <v>2273</v>
      </c>
      <c r="G217" s="96">
        <f>LEFT(A217)</f>
        <v/>
      </c>
    </row>
    <row r="218" spans="1:14" hidden="1" ht="12.75" customHeight="1">
      <c r="A218" s="96" t="s">
        <v>2936</v>
      </c>
      <c r="B218" s="96" t="s">
        <v>2937</v>
      </c>
      <c r="C218" s="96" t="s">
        <v>2936</v>
      </c>
      <c r="D218" s="96" t="s">
        <v>2928</v>
      </c>
      <c r="E218" s="101" t="s">
        <v>2273</v>
      </c>
      <c r="G218" s="96">
        <f>LEFT(A218)</f>
        <v/>
      </c>
    </row>
    <row r="219" spans="1:14" hidden="1" ht="12.75" customHeight="1">
      <c r="A219" s="96" t="s">
        <v>2938</v>
      </c>
      <c r="B219" s="96" t="s">
        <v>2939</v>
      </c>
      <c r="C219" s="96" t="s">
        <v>2938</v>
      </c>
      <c r="D219" s="96" t="s">
        <v>2940</v>
      </c>
      <c r="E219" s="101" t="s">
        <v>2318</v>
      </c>
      <c r="G219" s="96">
        <f>LEFT(A219)</f>
        <v/>
      </c>
    </row>
    <row r="220" spans="1:14" hidden="1" ht="12.75" customHeight="1">
      <c r="A220" s="96" t="s">
        <v>2941</v>
      </c>
      <c r="B220" s="96" t="s">
        <v>2942</v>
      </c>
      <c r="C220" s="96" t="s">
        <v>2941</v>
      </c>
      <c r="D220" s="96" t="s">
        <v>2550</v>
      </c>
      <c r="E220" s="96" t="s">
        <v>2329</v>
      </c>
      <c r="F220" s="96" t="s">
        <v>2327</v>
      </c>
      <c r="G220" s="96">
        <f>LEFT(A220)</f>
        <v/>
      </c>
    </row>
    <row r="221" spans="1:14" hidden="1" ht="12.75" customHeight="1">
      <c r="A221" s="96" t="s">
        <v>2943</v>
      </c>
      <c r="B221" s="96" t="s">
        <v>2944</v>
      </c>
      <c r="C221" s="96" t="s">
        <v>2943</v>
      </c>
      <c r="D221" s="96" t="s">
        <v>2550</v>
      </c>
      <c r="E221" s="96" t="s">
        <v>2329</v>
      </c>
      <c r="F221" s="96" t="s">
        <v>2327</v>
      </c>
      <c r="G221" s="96">
        <f>LEFT(A221)</f>
        <v/>
      </c>
    </row>
    <row r="222" spans="1:14" hidden="1" ht="12.75" customHeight="1">
      <c r="A222" s="96" t="s">
        <v>2945</v>
      </c>
      <c r="B222" s="96" t="s">
        <v>2946</v>
      </c>
      <c r="C222" s="96" t="s">
        <v>2945</v>
      </c>
      <c r="D222" s="96" t="s">
        <v>2550</v>
      </c>
      <c r="E222" s="96" t="s">
        <v>2329</v>
      </c>
      <c r="F222" s="96" t="s">
        <v>2327</v>
      </c>
      <c r="G222" s="96">
        <f>LEFT(A222)</f>
        <v/>
      </c>
    </row>
    <row r="223" spans="1:14" hidden="1" ht="12.75" customHeight="1">
      <c r="A223" s="96" t="s">
        <v>2947</v>
      </c>
      <c r="B223" s="96" t="s">
        <v>2948</v>
      </c>
      <c r="C223" s="96" t="s">
        <v>2947</v>
      </c>
      <c r="D223" s="96" t="s">
        <v>2949</v>
      </c>
      <c r="E223" s="96" t="s">
        <v>2287</v>
      </c>
      <c r="F223" s="96" t="s">
        <v>2287</v>
      </c>
      <c r="G223" s="96">
        <f>LEFT(A223)</f>
        <v/>
      </c>
    </row>
    <row r="224" spans="1:14" hidden="1" ht="12.75" customHeight="1">
      <c r="A224" s="96" t="s">
        <v>2950</v>
      </c>
      <c r="B224" s="96" t="s">
        <v>2951</v>
      </c>
      <c r="C224" s="96" t="s">
        <v>2950</v>
      </c>
      <c r="D224" s="96" t="s">
        <v>2550</v>
      </c>
      <c r="E224" s="96" t="s">
        <v>2329</v>
      </c>
      <c r="F224" s="96" t="s">
        <v>2327</v>
      </c>
      <c r="G224" s="96">
        <f>LEFT(A224)</f>
        <v/>
      </c>
    </row>
    <row r="225" spans="1:14" hidden="1" ht="12.75" customHeight="1">
      <c r="A225" s="96" t="s">
        <v>2952</v>
      </c>
      <c r="B225" s="96" t="s">
        <v>2953</v>
      </c>
      <c r="C225" s="96" t="s">
        <v>2952</v>
      </c>
      <c r="D225" s="96" t="s">
        <v>2550</v>
      </c>
      <c r="E225" s="96" t="s">
        <v>2329</v>
      </c>
      <c r="F225" s="96" t="s">
        <v>2327</v>
      </c>
      <c r="G225" s="96">
        <f>LEFT(A225)</f>
        <v/>
      </c>
    </row>
    <row r="226" spans="1:14" hidden="1" ht="12.75" customHeight="1">
      <c r="A226" s="96" t="s">
        <v>2954</v>
      </c>
      <c r="B226" s="96" t="s">
        <v>2955</v>
      </c>
      <c r="C226" s="96" t="s">
        <v>2956</v>
      </c>
      <c r="D226" s="96" t="s">
        <v>2949</v>
      </c>
      <c r="E226" s="96" t="s">
        <v>2287</v>
      </c>
      <c r="F226" s="96" t="s">
        <v>2287</v>
      </c>
      <c r="G226" s="96">
        <f>LEFT(A226)</f>
        <v/>
      </c>
    </row>
    <row r="227" spans="1:14" hidden="1" ht="12.75" customHeight="1">
      <c r="A227" s="96" t="s">
        <v>2957</v>
      </c>
      <c r="B227" s="96" t="s">
        <v>2958</v>
      </c>
      <c r="C227" s="96" t="s">
        <v>2956</v>
      </c>
      <c r="D227" s="96" t="s">
        <v>2550</v>
      </c>
      <c r="E227" s="96" t="s">
        <v>2332</v>
      </c>
      <c r="F227" s="96" t="s">
        <v>2327</v>
      </c>
      <c r="G227" s="96">
        <f>LEFT(A227)</f>
        <v/>
      </c>
    </row>
    <row r="228" spans="1:14" hidden="1" ht="12.75" customHeight="1">
      <c r="A228" s="96" t="s">
        <v>2959</v>
      </c>
      <c r="B228" s="104" t="s">
        <v>2960</v>
      </c>
      <c r="C228" s="96" t="s">
        <v>2959</v>
      </c>
      <c r="D228" s="96" t="s">
        <v>2550</v>
      </c>
      <c r="E228" s="96" t="s">
        <v>2332</v>
      </c>
      <c r="F228" s="96" t="s">
        <v>2327</v>
      </c>
      <c r="G228" s="96">
        <f>LEFT(A228)</f>
        <v/>
      </c>
    </row>
    <row r="229" spans="1:14" hidden="1" ht="12.75" customHeight="1">
      <c r="A229" s="96" t="s">
        <v>2961</v>
      </c>
      <c r="B229" s="104" t="s">
        <v>2960</v>
      </c>
      <c r="C229" s="96" t="s">
        <v>2959</v>
      </c>
      <c r="D229" s="96" t="s">
        <v>2550</v>
      </c>
      <c r="E229" s="96" t="s">
        <v>2332</v>
      </c>
      <c r="F229" s="96" t="s">
        <v>2327</v>
      </c>
      <c r="G229" s="96">
        <f>LEFT(A229)</f>
        <v/>
      </c>
    </row>
    <row r="230" spans="1:14" hidden="1">
      <c r="A230" s="96" t="s">
        <v>2962</v>
      </c>
      <c r="B230" s="104" t="s">
        <v>2963</v>
      </c>
      <c r="C230" s="96" t="s">
        <v>2959</v>
      </c>
      <c r="D230" s="96" t="s">
        <v>2550</v>
      </c>
      <c r="E230" s="96" t="s">
        <v>2332</v>
      </c>
      <c r="F230" s="96" t="s">
        <v>2327</v>
      </c>
      <c r="G230" s="96">
        <f>LEFT(A230)</f>
        <v/>
      </c>
    </row>
    <row r="231" spans="1:14" hidden="1" ht="12.75" customFormat="1" customHeight="1" s="104">
      <c r="A231" s="96" t="s">
        <v>2964</v>
      </c>
      <c r="B231" s="104" t="s">
        <v>2965</v>
      </c>
      <c r="C231" s="96" t="s">
        <v>2959</v>
      </c>
      <c r="D231" s="96" t="s">
        <v>2550</v>
      </c>
      <c r="E231" s="96" t="s">
        <v>2332</v>
      </c>
      <c r="F231" s="96" t="s">
        <v>2327</v>
      </c>
      <c r="G231" s="96">
        <f>LEFT(A231)</f>
        <v/>
      </c>
      <c r="H231" s="96" t="n"/>
    </row>
    <row r="232" spans="1:14" hidden="1" ht="12.75" customFormat="1" customHeight="1" s="104">
      <c r="A232" s="96" t="s">
        <v>2966</v>
      </c>
      <c r="B232" s="104" t="s">
        <v>2967</v>
      </c>
      <c r="C232" s="96" t="s">
        <v>2959</v>
      </c>
      <c r="D232" s="96" t="s">
        <v>2550</v>
      </c>
      <c r="E232" s="96" t="s">
        <v>2332</v>
      </c>
      <c r="F232" s="96" t="s">
        <v>2327</v>
      </c>
      <c r="G232" s="96">
        <f>LEFT(A232)</f>
        <v/>
      </c>
      <c r="H232" s="96" t="n"/>
    </row>
    <row r="233" spans="1:14" hidden="1" ht="12.75" customFormat="1" customHeight="1" s="104">
      <c r="A233" s="96" t="s">
        <v>2968</v>
      </c>
      <c r="B233" s="104" t="s">
        <v>2969</v>
      </c>
      <c r="C233" s="96" t="s">
        <v>2968</v>
      </c>
      <c r="D233" s="96" t="s">
        <v>2550</v>
      </c>
      <c r="E233" s="96" t="s">
        <v>2332</v>
      </c>
      <c r="F233" s="96" t="s">
        <v>2327</v>
      </c>
      <c r="G233" s="96">
        <f>LEFT(A233)</f>
        <v/>
      </c>
      <c r="H233" s="96" t="n"/>
    </row>
    <row r="234" spans="1:14" hidden="1" ht="12.75" customFormat="1" customHeight="1" s="104">
      <c r="A234" s="96" t="s">
        <v>2970</v>
      </c>
      <c r="B234" s="104" t="s">
        <v>2971</v>
      </c>
      <c r="C234" s="96" t="s">
        <v>2970</v>
      </c>
      <c r="D234" s="96" t="s">
        <v>2550</v>
      </c>
      <c r="E234" s="96" t="s">
        <v>2332</v>
      </c>
      <c r="F234" s="96" t="s">
        <v>2327</v>
      </c>
      <c r="G234" s="96">
        <f>LEFT(A234)</f>
        <v/>
      </c>
      <c r="H234" s="96" t="n"/>
    </row>
    <row r="235" spans="1:14" hidden="1" customFormat="1" s="104">
      <c r="A235" s="96" t="s">
        <v>2972</v>
      </c>
      <c r="B235" s="96" t="s">
        <v>2973</v>
      </c>
      <c r="C235" s="96" t="s">
        <v>2970</v>
      </c>
      <c r="D235" s="96" t="s">
        <v>2550</v>
      </c>
      <c r="E235" s="96" t="s">
        <v>2332</v>
      </c>
      <c r="F235" s="96" t="s">
        <v>2327</v>
      </c>
      <c r="G235" s="96">
        <f>LEFT(A235)</f>
        <v/>
      </c>
      <c r="H235" s="96" t="n"/>
    </row>
    <row r="236" spans="1:14" hidden="1" ht="12.75" customFormat="1" customHeight="1" s="104">
      <c r="A236" s="96" t="s">
        <v>2974</v>
      </c>
      <c r="B236" s="96" t="s">
        <v>2975</v>
      </c>
      <c r="C236" s="96" t="s">
        <v>2970</v>
      </c>
      <c r="D236" s="96" t="s">
        <v>2550</v>
      </c>
      <c r="E236" s="96" t="s">
        <v>2332</v>
      </c>
      <c r="F236" s="96" t="s">
        <v>2327</v>
      </c>
      <c r="G236" s="96">
        <f>LEFT(A236)</f>
        <v/>
      </c>
      <c r="H236" s="96" t="n"/>
    </row>
    <row r="237" spans="1:14" hidden="1" ht="12.75" customHeight="1">
      <c r="A237" s="96" t="s">
        <v>2976</v>
      </c>
      <c r="B237" s="96" t="s">
        <v>2977</v>
      </c>
      <c r="C237" s="96" t="s">
        <v>2978</v>
      </c>
      <c r="D237" s="96" t="s">
        <v>2949</v>
      </c>
      <c r="E237" s="101" t="s">
        <v>2299</v>
      </c>
      <c r="F237" s="96" t="s">
        <v>2287</v>
      </c>
      <c r="G237" s="96">
        <f>LEFT(A237)</f>
        <v/>
      </c>
    </row>
    <row r="238" spans="1:14" hidden="1">
      <c r="A238" s="96" t="s">
        <v>2979</v>
      </c>
      <c r="B238" s="96" t="s">
        <v>2980</v>
      </c>
      <c r="C238" s="96" t="s">
        <v>2978</v>
      </c>
      <c r="D238" s="96" t="s">
        <v>2550</v>
      </c>
      <c r="E238" s="96" t="s">
        <v>2332</v>
      </c>
      <c r="F238" s="96" t="s">
        <v>2327</v>
      </c>
      <c r="G238" s="96">
        <f>LEFT(A238)</f>
        <v/>
      </c>
    </row>
    <row r="239" spans="1:14" hidden="1">
      <c r="A239" s="96" t="s">
        <v>2981</v>
      </c>
      <c r="B239" s="96" t="s">
        <v>2982</v>
      </c>
      <c r="C239" s="96" t="s">
        <v>2983</v>
      </c>
      <c r="D239" s="96" t="s">
        <v>2550</v>
      </c>
      <c r="E239" s="96" t="s">
        <v>2332</v>
      </c>
      <c r="F239" s="96" t="s">
        <v>2327</v>
      </c>
      <c r="G239" s="96">
        <f>LEFT(A239)</f>
        <v/>
      </c>
    </row>
    <row r="240" spans="1:14" hidden="1">
      <c r="A240" s="96" t="s">
        <v>2984</v>
      </c>
      <c r="B240" s="96" t="s">
        <v>2985</v>
      </c>
      <c r="C240" s="96" t="s">
        <v>2983</v>
      </c>
      <c r="D240" s="96" t="s">
        <v>2550</v>
      </c>
      <c r="E240" s="96" t="s">
        <v>2332</v>
      </c>
      <c r="F240" s="96" t="s">
        <v>2327</v>
      </c>
      <c r="G240" s="96">
        <f>LEFT(A240)</f>
        <v/>
      </c>
    </row>
    <row r="241" spans="1:14" hidden="1">
      <c r="A241" s="96" t="s">
        <v>2986</v>
      </c>
      <c r="B241" s="96" t="s">
        <v>2987</v>
      </c>
      <c r="C241" s="96" t="s">
        <v>2988</v>
      </c>
      <c r="D241" s="96" t="s">
        <v>2813</v>
      </c>
      <c r="E241" s="96" t="n">
        <v>0</v>
      </c>
      <c r="G241" s="96">
        <f>LEFT(A241)</f>
        <v/>
      </c>
      <c r="H241" s="96" t="s">
        <v>2804</v>
      </c>
    </row>
    <row r="242" spans="1:14" hidden="1" ht="20.15" customHeight="1">
      <c r="A242" s="96" t="s">
        <v>2989</v>
      </c>
      <c r="B242" s="96" t="s">
        <v>2990</v>
      </c>
      <c r="C242" s="96" t="s">
        <v>2988</v>
      </c>
      <c r="D242" s="96" t="s">
        <v>2949</v>
      </c>
      <c r="E242" s="101" t="s">
        <v>2299</v>
      </c>
      <c r="F242" s="96" t="s">
        <v>2287</v>
      </c>
      <c r="G242" s="96">
        <f>LEFT(A242)</f>
        <v/>
      </c>
    </row>
    <row r="243" spans="1:14" hidden="1" ht="12.75" customHeight="1">
      <c r="A243" s="96" t="s">
        <v>2991</v>
      </c>
      <c r="B243" s="96" t="s">
        <v>2992</v>
      </c>
      <c r="C243" s="96" t="s">
        <v>2988</v>
      </c>
      <c r="D243" s="96" t="s">
        <v>2949</v>
      </c>
      <c r="E243" s="101" t="s">
        <v>2299</v>
      </c>
      <c r="F243" s="96" t="s">
        <v>2287</v>
      </c>
      <c r="G243" s="96">
        <f>LEFT(A243)</f>
        <v/>
      </c>
    </row>
    <row r="244" spans="1:14" hidden="1" ht="12.75" customHeight="1">
      <c r="A244" s="96" t="s">
        <v>2993</v>
      </c>
      <c r="B244" s="96" t="s">
        <v>2987</v>
      </c>
      <c r="C244" s="96" t="s">
        <v>2988</v>
      </c>
      <c r="D244" s="96" t="s">
        <v>2550</v>
      </c>
      <c r="E244" s="96" t="s">
        <v>2332</v>
      </c>
      <c r="F244" s="96" t="s">
        <v>2327</v>
      </c>
      <c r="G244" s="96">
        <f>LEFT(A244)</f>
        <v/>
      </c>
      <c r="H244" s="96" t="s">
        <v>2804</v>
      </c>
    </row>
    <row r="245" spans="1:14" hidden="1">
      <c r="A245" s="96" t="s">
        <v>2994</v>
      </c>
      <c r="B245" s="96" t="s">
        <v>2995</v>
      </c>
      <c r="C245" s="96" t="s">
        <v>2988</v>
      </c>
      <c r="D245" s="96" t="s">
        <v>2550</v>
      </c>
      <c r="E245" s="96" t="s">
        <v>2332</v>
      </c>
      <c r="F245" s="96" t="s">
        <v>2327</v>
      </c>
      <c r="G245" s="96">
        <f>LEFT(A245)</f>
        <v/>
      </c>
    </row>
    <row r="246" spans="1:14" hidden="1" ht="12.75" customHeight="1">
      <c r="A246" s="96" t="s">
        <v>2996</v>
      </c>
      <c r="B246" s="96" t="s">
        <v>2997</v>
      </c>
      <c r="C246" s="96" t="s">
        <v>2988</v>
      </c>
      <c r="D246" s="96" t="s">
        <v>2550</v>
      </c>
      <c r="E246" s="96" t="s">
        <v>2332</v>
      </c>
      <c r="F246" s="96" t="s">
        <v>2327</v>
      </c>
      <c r="G246" s="96">
        <f>LEFT(A246)</f>
        <v/>
      </c>
    </row>
    <row r="247" spans="1:14" hidden="1" ht="12.75" customHeight="1">
      <c r="A247" s="96" t="s">
        <v>2998</v>
      </c>
      <c r="B247" s="96" t="s">
        <v>2999</v>
      </c>
      <c r="C247" s="96" t="s">
        <v>2998</v>
      </c>
      <c r="D247" s="96" t="s">
        <v>2550</v>
      </c>
      <c r="E247" s="96" t="s">
        <v>2332</v>
      </c>
      <c r="F247" s="96" t="s">
        <v>2327</v>
      </c>
      <c r="G247" s="96">
        <f>LEFT(A247)</f>
        <v/>
      </c>
    </row>
    <row r="248" spans="1:14" hidden="1" ht="12.75" customHeight="1">
      <c r="A248" s="96" t="s">
        <v>3000</v>
      </c>
      <c r="B248" s="96" t="s">
        <v>3001</v>
      </c>
      <c r="C248" s="96" t="s">
        <v>3000</v>
      </c>
      <c r="D248" s="96" t="s">
        <v>2949</v>
      </c>
      <c r="E248" s="101" t="s">
        <v>2299</v>
      </c>
      <c r="F248" s="96" t="s">
        <v>2287</v>
      </c>
      <c r="G248" s="96">
        <f>LEFT(A248)</f>
        <v/>
      </c>
      <c r="H248" s="96" t="s">
        <v>2516</v>
      </c>
    </row>
    <row r="249" spans="1:14" hidden="1" ht="20.15" customHeight="1">
      <c r="A249" s="96" t="s">
        <v>3002</v>
      </c>
      <c r="B249" s="96" t="s">
        <v>3003</v>
      </c>
      <c r="C249" s="96" t="s">
        <v>3000</v>
      </c>
      <c r="D249" s="96" t="s">
        <v>2949</v>
      </c>
      <c r="E249" s="101" t="s">
        <v>2299</v>
      </c>
      <c r="F249" s="96" t="s">
        <v>2287</v>
      </c>
      <c r="G249" s="96">
        <f>LEFT(A249)</f>
        <v/>
      </c>
      <c r="H249" s="96" t="s">
        <v>2516</v>
      </c>
    </row>
    <row r="250" spans="1:14" hidden="1" ht="12.75" customHeight="1">
      <c r="A250" s="96" t="s">
        <v>3004</v>
      </c>
      <c r="B250" s="96" t="s">
        <v>3005</v>
      </c>
      <c r="C250" s="96" t="s">
        <v>3000</v>
      </c>
      <c r="D250" s="96" t="s">
        <v>2949</v>
      </c>
      <c r="E250" s="101" t="s">
        <v>2299</v>
      </c>
      <c r="F250" s="96" t="s">
        <v>2287</v>
      </c>
      <c r="G250" s="96">
        <f>LEFT(A250)</f>
        <v/>
      </c>
      <c r="H250" s="96" t="s">
        <v>2516</v>
      </c>
    </row>
    <row r="251" spans="1:14" hidden="1" ht="20.15" customHeight="1">
      <c r="A251" s="96" t="s">
        <v>3006</v>
      </c>
      <c r="B251" s="96" t="s">
        <v>3007</v>
      </c>
      <c r="C251" s="96" t="s">
        <v>3000</v>
      </c>
      <c r="D251" s="96" t="s">
        <v>2949</v>
      </c>
      <c r="E251" s="101" t="s">
        <v>2299</v>
      </c>
      <c r="F251" s="96" t="s">
        <v>2287</v>
      </c>
      <c r="G251" s="96">
        <f>LEFT(A251)</f>
        <v/>
      </c>
      <c r="H251" s="96" t="s">
        <v>2516</v>
      </c>
    </row>
    <row r="252" spans="1:14" hidden="1">
      <c r="A252" s="96" t="s">
        <v>3008</v>
      </c>
      <c r="B252" s="96" t="s">
        <v>3009</v>
      </c>
      <c r="C252" s="96" t="s">
        <v>3008</v>
      </c>
      <c r="D252" s="96" t="s">
        <v>2550</v>
      </c>
      <c r="E252" s="96" t="s">
        <v>2332</v>
      </c>
      <c r="F252" s="96" t="s">
        <v>2327</v>
      </c>
      <c r="G252" s="96">
        <f>LEFT(A252)</f>
        <v/>
      </c>
      <c r="H252" s="96" t="s">
        <v>2516</v>
      </c>
    </row>
    <row r="253" spans="1:14" hidden="1">
      <c r="A253" s="96" t="s">
        <v>3010</v>
      </c>
      <c r="B253" s="96" t="s">
        <v>3011</v>
      </c>
      <c r="C253" s="96" t="s">
        <v>3010</v>
      </c>
      <c r="D253" s="96" t="s">
        <v>2550</v>
      </c>
      <c r="E253" s="96" t="s">
        <v>2329</v>
      </c>
      <c r="F253" s="96" t="s">
        <v>2327</v>
      </c>
      <c r="G253" s="96">
        <f>LEFT(A253)</f>
        <v/>
      </c>
      <c r="H253" s="96" t="s">
        <v>2516</v>
      </c>
    </row>
    <row r="254" spans="1:14" hidden="1" ht="12.75" customHeight="1">
      <c r="A254" s="96" t="s">
        <v>3012</v>
      </c>
      <c r="B254" s="96" t="s">
        <v>3013</v>
      </c>
      <c r="C254" s="96" t="s">
        <v>3014</v>
      </c>
      <c r="D254" s="96" t="s">
        <v>2949</v>
      </c>
      <c r="E254" s="101" t="s">
        <v>2299</v>
      </c>
      <c r="F254" s="96" t="s">
        <v>2287</v>
      </c>
      <c r="G254" s="96">
        <f>LEFT(A254)</f>
        <v/>
      </c>
      <c r="H254" s="96" t="s">
        <v>2516</v>
      </c>
    </row>
    <row r="255" spans="1:14" hidden="1" ht="12.75" customHeight="1">
      <c r="A255" s="96" t="s">
        <v>3015</v>
      </c>
      <c r="B255" s="96" t="s">
        <v>3016</v>
      </c>
      <c r="C255" s="96" t="s">
        <v>3014</v>
      </c>
      <c r="D255" s="96" t="s">
        <v>2550</v>
      </c>
      <c r="E255" s="96" t="s">
        <v>2332</v>
      </c>
      <c r="F255" s="96" t="s">
        <v>2327</v>
      </c>
      <c r="G255" s="96">
        <f>LEFT(A255)</f>
        <v/>
      </c>
      <c r="H255" s="96" t="s">
        <v>2516</v>
      </c>
    </row>
    <row r="256" spans="1:14" ht="12.75" customHeight="1">
      <c r="A256" s="96" t="s">
        <v>3017</v>
      </c>
      <c r="B256" s="96" t="s">
        <v>3018</v>
      </c>
      <c r="C256" s="96" t="s">
        <v>3017</v>
      </c>
      <c r="D256" s="96" t="s">
        <v>2560</v>
      </c>
      <c r="E256" s="101" t="s">
        <v>3019</v>
      </c>
      <c r="G256" s="96">
        <f>LEFT(A256)</f>
        <v/>
      </c>
      <c r="H256" s="96" t="s">
        <v>2516</v>
      </c>
      <c r="M256" s="212">
        <f>IFERROR(IF(VLOOKUP(A256,'Trial Balance'!$D:$H,5,0)&gt;=0,"Creante comerciale","Datorii comerciale"),"")</f>
        <v/>
      </c>
      <c r="N256" s="212">
        <f>IFERROR(IF(VLOOKUP(A256,'Trial Balance'!$D:$K,8,0)&gt;=0,"Creante comerciale","Datorii comerciale"),"")</f>
        <v/>
      </c>
    </row>
    <row r="257" spans="1:14" ht="12.75" customHeight="1">
      <c r="A257" s="96" t="s">
        <v>3020</v>
      </c>
      <c r="B257" s="96" t="s">
        <v>3021</v>
      </c>
      <c r="C257" s="96" t="s">
        <v>3017</v>
      </c>
      <c r="D257" s="96" t="s">
        <v>2560</v>
      </c>
      <c r="E257" s="101" t="s">
        <v>3019</v>
      </c>
      <c r="G257" s="96">
        <f>LEFT(A257)</f>
        <v/>
      </c>
      <c r="H257" s="96" t="s">
        <v>3022</v>
      </c>
      <c r="M257" s="212">
        <f>IFERROR(IF(VLOOKUP(A257,'Trial Balance'!$E:$H,4,0)&gt;=0,"Creante comerciale","Datorii comerciale"),"")</f>
        <v/>
      </c>
      <c r="N257" s="212">
        <f>IFERROR(IF(VLOOKUP(A257,'Trial Balance'!$E:$K,7,0)&gt;=0,"Creante comerciale","Datorii comerciale"),"")</f>
        <v/>
      </c>
    </row>
    <row r="258" spans="1:14" ht="12.75" customHeight="1">
      <c r="A258" s="96" t="s">
        <v>3023</v>
      </c>
      <c r="B258" s="96" t="s">
        <v>3024</v>
      </c>
      <c r="C258" s="96" t="s">
        <v>3017</v>
      </c>
      <c r="D258" s="96" t="s">
        <v>2560</v>
      </c>
      <c r="E258" s="101" t="s">
        <v>3019</v>
      </c>
      <c r="G258" s="96">
        <f>LEFT(A258)</f>
        <v/>
      </c>
      <c r="H258" s="96" t="s">
        <v>3022</v>
      </c>
      <c r="M258" s="212">
        <f>IFERROR(IF(VLOOKUP(A258,'Trial Balance'!$E:$H,4,0)&gt;=0,"Creante comerciale","Datorii comerciale"),"")</f>
        <v/>
      </c>
      <c r="N258" s="212">
        <f>IFERROR(IF(VLOOKUP(A258,'Trial Balance'!$E:$K,7,0)&gt;=0,"Creante comerciale","Datorii comerciale"),"")</f>
        <v/>
      </c>
    </row>
    <row r="259" spans="1:14" ht="12.75" customHeight="1">
      <c r="A259" s="96" t="s">
        <v>3020</v>
      </c>
      <c r="B259" s="96" t="s">
        <v>3021</v>
      </c>
      <c r="C259" s="96" t="s">
        <v>3017</v>
      </c>
      <c r="D259" s="96" t="s">
        <v>2560</v>
      </c>
      <c r="E259" s="101" t="s">
        <v>3019</v>
      </c>
      <c r="G259" s="96">
        <f>LEFT(A259)</f>
        <v/>
      </c>
      <c r="H259" s="96" t="s">
        <v>3022</v>
      </c>
      <c r="M259" s="212">
        <f>IFERROR(IF(VLOOKUP(A259,'Trial Balance'!$E:$H,4,0)&gt;=0,"Creante comerciale","Datorii comerciale"),"")</f>
        <v/>
      </c>
      <c r="N259" s="212">
        <f>IFERROR(IF(VLOOKUP(A259,'Trial Balance'!$E:$K,7,0)&gt;=0,"Creante comerciale","Datorii comerciale"),"")</f>
        <v/>
      </c>
    </row>
    <row r="260" spans="1:14" ht="12.75" customHeight="1">
      <c r="A260" s="96" t="s">
        <v>3023</v>
      </c>
      <c r="B260" s="96" t="s">
        <v>3024</v>
      </c>
      <c r="C260" s="96" t="s">
        <v>3017</v>
      </c>
      <c r="D260" s="96" t="s">
        <v>2560</v>
      </c>
      <c r="E260" s="101" t="s">
        <v>3019</v>
      </c>
      <c r="G260" s="96">
        <f>LEFT(A260)</f>
        <v/>
      </c>
      <c r="H260" s="96" t="s">
        <v>3022</v>
      </c>
      <c r="M260" s="212">
        <f>IFERROR(IF(VLOOKUP(A260,'Trial Balance'!$E:$H,4,0)&gt;=0,"Creante comerciale","Datorii comerciale"),"")</f>
        <v/>
      </c>
      <c r="N260" s="212">
        <f>IFERROR(IF(VLOOKUP(A260,'Trial Balance'!$E:$K,7,0)&gt;=0,"Creante comerciale","Datorii comerciale"),"")</f>
        <v/>
      </c>
    </row>
    <row r="261" spans="1:14" ht="12.75" customHeight="1">
      <c r="A261" s="96" t="s">
        <v>3025</v>
      </c>
      <c r="B261" s="96" t="s">
        <v>3026</v>
      </c>
      <c r="C261" s="96" t="s">
        <v>3027</v>
      </c>
      <c r="D261" s="96" t="s">
        <v>2563</v>
      </c>
      <c r="E261" s="96" t="n">
        <v>0</v>
      </c>
      <c r="G261" s="96">
        <f>LEFT(A261)</f>
        <v/>
      </c>
      <c r="H261" s="96" t="s">
        <v>3022</v>
      </c>
      <c r="M261" s="212">
        <f>IFERROR(IF(VLOOKUP(A261,'Trial Balance'!$E:$H,4,0)&gt;=0,"Creante comerciale","Datorii comerciale"),"")</f>
        <v/>
      </c>
      <c r="N261" s="212">
        <f>IFERROR(IF(VLOOKUP(A261,'Trial Balance'!$E:$K,7,0)&gt;=0,"Creante comerciale","Datorii comerciale"),"")</f>
        <v/>
      </c>
    </row>
    <row r="262" spans="1:14" ht="12.75" customHeight="1">
      <c r="A262" s="96" t="s">
        <v>3028</v>
      </c>
      <c r="B262" s="96" t="s">
        <v>3029</v>
      </c>
      <c r="C262" s="96" t="s">
        <v>3027</v>
      </c>
      <c r="D262" s="96" t="s">
        <v>2563</v>
      </c>
      <c r="E262" s="96" t="n">
        <v>0</v>
      </c>
      <c r="G262" s="96">
        <f>LEFT(A262)</f>
        <v/>
      </c>
      <c r="H262" s="96" t="s">
        <v>3022</v>
      </c>
      <c r="M262" s="212">
        <f>IFERROR(IF(VLOOKUP(A262,'Trial Balance'!$E:$H,4,0)&gt;=0,"Creante comerciale","Datorii comerciale"),"")</f>
        <v/>
      </c>
      <c r="N262" s="212">
        <f>IFERROR(IF(VLOOKUP(A262,'Trial Balance'!$E:$K,7,0)&gt;=0,"Creante comerciale","Datorii comerciale"),"")</f>
        <v/>
      </c>
    </row>
    <row r="263" spans="1:14" ht="12.75" customHeight="1">
      <c r="A263" s="96" t="s">
        <v>3025</v>
      </c>
      <c r="B263" s="96" t="s">
        <v>3026</v>
      </c>
      <c r="C263" s="96" t="s">
        <v>3027</v>
      </c>
      <c r="D263" s="96" t="s">
        <v>2563</v>
      </c>
      <c r="E263" s="96" t="n">
        <v>0</v>
      </c>
      <c r="G263" s="96">
        <f>LEFT(A263)</f>
        <v/>
      </c>
      <c r="H263" s="96" t="s">
        <v>3022</v>
      </c>
      <c r="M263" s="212">
        <f>IFERROR(IF(VLOOKUP(A263,'Trial Balance'!$E:$H,4,0)&gt;=0,"Creante comerciale","Datorii comerciale"),"")</f>
        <v/>
      </c>
      <c r="N263" s="212">
        <f>IFERROR(IF(VLOOKUP(A263,'Trial Balance'!$E:$K,7,0)&gt;=0,"Creante comerciale","Datorii comerciale"),"")</f>
        <v/>
      </c>
    </row>
    <row r="264" spans="1:14" ht="12.75" customHeight="1">
      <c r="A264" s="96" t="s">
        <v>3028</v>
      </c>
      <c r="B264" s="96" t="s">
        <v>3029</v>
      </c>
      <c r="C264" s="96" t="s">
        <v>3027</v>
      </c>
      <c r="D264" s="96" t="s">
        <v>2563</v>
      </c>
      <c r="E264" s="96" t="n">
        <v>0</v>
      </c>
      <c r="G264" s="96">
        <f>LEFT(A264)</f>
        <v/>
      </c>
      <c r="H264" s="96" t="s">
        <v>3022</v>
      </c>
      <c r="M264" s="212">
        <f>IFERROR(IF(VLOOKUP(A264,'Trial Balance'!$E:$H,4,0)&gt;=0,"Creante comerciale","Datorii comerciale"),"")</f>
        <v/>
      </c>
      <c r="N264" s="212">
        <f>IFERROR(IF(VLOOKUP(A264,'Trial Balance'!$E:$K,7,0)&gt;=0,"Creante comerciale","Datorii comerciale"),"")</f>
        <v/>
      </c>
    </row>
    <row r="265" spans="1:14">
      <c r="A265" s="96" t="s">
        <v>3030</v>
      </c>
      <c r="B265" s="96" t="s">
        <v>3031</v>
      </c>
      <c r="C265" s="96" t="s">
        <v>3032</v>
      </c>
      <c r="D265" s="96" t="s">
        <v>2550</v>
      </c>
      <c r="E265" s="96" t="s">
        <v>2330</v>
      </c>
      <c r="F265" s="96" t="s">
        <v>2327</v>
      </c>
      <c r="G265" s="96">
        <f>LEFT(A265)</f>
        <v/>
      </c>
      <c r="H265" s="96" t="s">
        <v>2516</v>
      </c>
      <c r="M265" s="212">
        <f>IFERROR(IF(VLOOKUP(A265,'Trial Balance'!$E:$H,4,0)&gt;=0,"Creante comerciale","Datorii comerciale"),"")</f>
        <v/>
      </c>
      <c r="N265" s="212">
        <f>IFERROR(IF(VLOOKUP(A265,'Trial Balance'!$E:$K,7,0)&gt;=0,"Creante comerciale","Datorii comerciale"),"")</f>
        <v/>
      </c>
    </row>
    <row r="266" spans="1:14" ht="12.75" customHeight="1">
      <c r="A266" s="96" t="s">
        <v>3033</v>
      </c>
      <c r="B266" s="96" t="s">
        <v>3034</v>
      </c>
      <c r="C266" s="96" t="s">
        <v>3032</v>
      </c>
      <c r="D266" s="96" t="s">
        <v>2550</v>
      </c>
      <c r="E266" s="96" t="s">
        <v>2330</v>
      </c>
      <c r="F266" s="96" t="s">
        <v>2327</v>
      </c>
      <c r="G266" s="96">
        <f>LEFT(A266)</f>
        <v/>
      </c>
      <c r="H266" s="96" t="s">
        <v>2516</v>
      </c>
      <c r="M266" s="212">
        <f>IFERROR(IF(VLOOKUP(A266,'Trial Balance'!$E:$H,4,0)&gt;=0,"Creante comerciale","Datorii comerciale"),"")</f>
        <v/>
      </c>
      <c r="N266" s="212">
        <f>IFERROR(IF(VLOOKUP(A266,'Trial Balance'!$E:$K,7,0)&gt;=0,"Creante comerciale","Datorii comerciale"),"")</f>
        <v/>
      </c>
    </row>
    <row r="267" spans="1:14" ht="12.75" customHeight="1">
      <c r="A267" s="96" t="s">
        <v>3035</v>
      </c>
      <c r="B267" s="96" t="s">
        <v>3036</v>
      </c>
      <c r="C267" s="96" t="s">
        <v>3035</v>
      </c>
      <c r="D267" s="96" t="s">
        <v>3037</v>
      </c>
      <c r="E267" s="96" t="s">
        <v>2291</v>
      </c>
      <c r="G267" s="96">
        <f>LEFT(A267)</f>
        <v/>
      </c>
      <c r="H267" s="96" t="s">
        <v>2804</v>
      </c>
      <c r="M267" s="212">
        <f>IFERROR(IF(VLOOKUP(A267,'Trial Balance'!$D:$H,5,0)&gt;=0,"Creante comerciale","Datorii comerciale"),"")</f>
        <v/>
      </c>
      <c r="N267" s="212">
        <f>IFERROR(IF(VLOOKUP(A267,'Trial Balance'!$D:$K,8,0)&gt;=0,"Creante comerciale","Datorii comerciale"),"")</f>
        <v/>
      </c>
    </row>
    <row r="268" spans="1:14" hidden="1" ht="12.75" customHeight="1">
      <c r="A268" s="96" t="s">
        <v>3038</v>
      </c>
      <c r="B268" s="96" t="s">
        <v>3039</v>
      </c>
      <c r="C268" s="96" t="s">
        <v>3038</v>
      </c>
      <c r="D268" s="96" t="s">
        <v>2550</v>
      </c>
      <c r="E268" s="96" t="s">
        <v>2330</v>
      </c>
      <c r="F268" s="96" t="s">
        <v>2327</v>
      </c>
      <c r="G268" s="96">
        <f>LEFT(A268)</f>
        <v/>
      </c>
    </row>
    <row r="269" spans="1:14" hidden="1" ht="12.75" customHeight="1">
      <c r="A269" s="96" t="s">
        <v>3040</v>
      </c>
      <c r="B269" s="96" t="s">
        <v>3041</v>
      </c>
      <c r="C269" s="96" t="s">
        <v>3042</v>
      </c>
      <c r="D269" s="96" t="s">
        <v>2949</v>
      </c>
      <c r="E269" s="96" t="s">
        <v>2298</v>
      </c>
      <c r="F269" s="96" t="s">
        <v>2287</v>
      </c>
      <c r="G269" s="96">
        <f>LEFT(A269)</f>
        <v/>
      </c>
    </row>
    <row r="270" spans="1:14" hidden="1" ht="12.75" customHeight="1">
      <c r="A270" s="96" t="s">
        <v>3043</v>
      </c>
      <c r="B270" s="96" t="s">
        <v>3044</v>
      </c>
      <c r="C270" s="96" t="s">
        <v>3042</v>
      </c>
      <c r="D270" s="96" t="s">
        <v>2550</v>
      </c>
      <c r="E270" s="96" t="s">
        <v>2330</v>
      </c>
      <c r="F270" s="96" t="s">
        <v>2327</v>
      </c>
      <c r="G270" s="96">
        <f>LEFT(A270)</f>
        <v/>
      </c>
    </row>
    <row r="271" spans="1:14" hidden="1" ht="12.75" customHeight="1">
      <c r="A271" s="96" t="s">
        <v>3045</v>
      </c>
      <c r="B271" s="96" t="s">
        <v>3046</v>
      </c>
      <c r="C271" s="96" t="s">
        <v>3045</v>
      </c>
      <c r="D271" s="96" t="s">
        <v>2949</v>
      </c>
      <c r="E271" s="101" t="s">
        <v>2299</v>
      </c>
      <c r="F271" s="96" t="s">
        <v>2287</v>
      </c>
      <c r="G271" s="96">
        <f>LEFT(A271)</f>
        <v/>
      </c>
    </row>
    <row r="272" spans="1:14" hidden="1" ht="12.75" customHeight="1">
      <c r="A272" s="96" t="s">
        <v>3047</v>
      </c>
      <c r="B272" s="96" t="s">
        <v>3048</v>
      </c>
      <c r="C272" s="96" t="s">
        <v>3047</v>
      </c>
      <c r="D272" s="96" t="s">
        <v>2550</v>
      </c>
      <c r="E272" s="101" t="s">
        <v>2327</v>
      </c>
      <c r="F272" s="96" t="s">
        <v>2327</v>
      </c>
      <c r="G272" s="96">
        <f>LEFT(A272)</f>
        <v/>
      </c>
    </row>
    <row r="273" spans="1:14" hidden="1" ht="12.75" customHeight="1">
      <c r="A273" s="96" t="s">
        <v>3049</v>
      </c>
      <c r="B273" s="96" t="s">
        <v>3050</v>
      </c>
      <c r="C273" s="96" t="s">
        <v>3049</v>
      </c>
      <c r="D273" s="96" t="s">
        <v>3051</v>
      </c>
      <c r="E273" s="96" t="n">
        <v>0</v>
      </c>
      <c r="G273" s="96">
        <f>LEFT(A273)</f>
        <v/>
      </c>
    </row>
    <row r="274" spans="1:14" hidden="1" ht="12.75" customHeight="1">
      <c r="A274" s="96" t="s">
        <v>3052</v>
      </c>
      <c r="B274" s="96" t="s">
        <v>3053</v>
      </c>
      <c r="C274" s="96" t="s">
        <v>3054</v>
      </c>
      <c r="D274" s="96" t="s">
        <v>2949</v>
      </c>
      <c r="E274" s="96" t="s">
        <v>2287</v>
      </c>
      <c r="F274" s="96" t="s">
        <v>2287</v>
      </c>
      <c r="G274" s="96">
        <f>LEFT(A274)</f>
        <v/>
      </c>
    </row>
    <row r="275" spans="1:14" hidden="1" ht="12.75" customHeight="1">
      <c r="A275" s="96" t="s">
        <v>3055</v>
      </c>
      <c r="B275" s="96" t="s">
        <v>3056</v>
      </c>
      <c r="C275" s="96" t="s">
        <v>3054</v>
      </c>
      <c r="D275" s="96" t="s">
        <v>2550</v>
      </c>
      <c r="E275" s="101" t="s">
        <v>2327</v>
      </c>
      <c r="F275" s="96" t="s">
        <v>2327</v>
      </c>
      <c r="G275" s="96">
        <f>LEFT(A275)</f>
        <v/>
      </c>
    </row>
    <row r="276" spans="1:14" hidden="1" ht="12.75" customHeight="1">
      <c r="A276" s="96" t="s">
        <v>3057</v>
      </c>
      <c r="B276" s="96" t="s">
        <v>3058</v>
      </c>
      <c r="C276" s="96" t="s">
        <v>3057</v>
      </c>
      <c r="D276" s="96" t="s">
        <v>3059</v>
      </c>
      <c r="E276" s="96" t="n">
        <v>0</v>
      </c>
      <c r="G276" s="96">
        <f>LEFT(A276)</f>
        <v/>
      </c>
      <c r="H276" s="96" t="s">
        <v>2516</v>
      </c>
    </row>
    <row r="277" spans="1:14" hidden="1" ht="12.75" customHeight="1">
      <c r="A277" s="96" t="s">
        <v>3060</v>
      </c>
      <c r="B277" s="96" t="s">
        <v>3061</v>
      </c>
      <c r="C277" s="96" t="s">
        <v>3060</v>
      </c>
      <c r="D277" s="96" t="s">
        <v>3062</v>
      </c>
      <c r="E277" s="96" t="n">
        <v>0</v>
      </c>
      <c r="G277" s="96">
        <f>LEFT(A277)</f>
        <v/>
      </c>
      <c r="H277" s="96" t="s">
        <v>2516</v>
      </c>
    </row>
    <row r="278" spans="1:14" hidden="1" ht="12.75" customHeight="1">
      <c r="A278" s="96" t="s">
        <v>3063</v>
      </c>
      <c r="B278" s="96" t="s">
        <v>3061</v>
      </c>
      <c r="C278" s="96" t="s">
        <v>3060</v>
      </c>
      <c r="D278" s="96" t="s">
        <v>3062</v>
      </c>
      <c r="E278" s="96" t="n">
        <v>0</v>
      </c>
      <c r="G278" s="96">
        <f>LEFT(A278)</f>
        <v/>
      </c>
    </row>
    <row r="279" spans="1:14" hidden="1" ht="12.75" customHeight="1">
      <c r="A279" s="96" t="s">
        <v>3064</v>
      </c>
      <c r="B279" s="96" t="s">
        <v>3065</v>
      </c>
      <c r="C279" s="96" t="s">
        <v>3064</v>
      </c>
      <c r="D279" s="96" t="s">
        <v>2550</v>
      </c>
      <c r="E279" s="96" t="s">
        <v>2300</v>
      </c>
      <c r="F279" s="96" t="s">
        <v>2327</v>
      </c>
      <c r="G279" s="96">
        <f>LEFT(A279)</f>
        <v/>
      </c>
      <c r="H279" s="96" t="s">
        <v>2804</v>
      </c>
    </row>
    <row r="280" spans="1:14" hidden="1" ht="12.75" customHeight="1">
      <c r="A280" s="96" t="s">
        <v>3066</v>
      </c>
      <c r="B280" s="96" t="s">
        <v>3067</v>
      </c>
      <c r="C280" s="96" t="s">
        <v>3068</v>
      </c>
      <c r="D280" s="96" t="s">
        <v>3069</v>
      </c>
      <c r="E280" s="96" t="n">
        <v>0</v>
      </c>
      <c r="G280" s="96">
        <f>LEFT(A280)</f>
        <v/>
      </c>
      <c r="H280" s="96" t="s">
        <v>2516</v>
      </c>
    </row>
    <row r="281" spans="1:14" hidden="1" ht="12.75" customHeight="1">
      <c r="A281" s="96" t="s">
        <v>3070</v>
      </c>
      <c r="B281" s="96" t="s">
        <v>3071</v>
      </c>
      <c r="C281" s="96" t="s">
        <v>3068</v>
      </c>
      <c r="D281" s="96" t="s">
        <v>3069</v>
      </c>
      <c r="E281" s="96" t="n">
        <v>0</v>
      </c>
      <c r="G281" s="96">
        <f>LEFT(A281)</f>
        <v/>
      </c>
      <c r="H281" s="96" t="s">
        <v>2516</v>
      </c>
    </row>
    <row r="282" spans="1:14" hidden="1" ht="12.75" customHeight="1">
      <c r="A282" s="96" t="s">
        <v>3072</v>
      </c>
      <c r="B282" s="96" t="s">
        <v>3073</v>
      </c>
      <c r="C282" s="96" t="s">
        <v>3068</v>
      </c>
      <c r="D282" s="96" t="s">
        <v>3069</v>
      </c>
      <c r="E282" s="96" t="n">
        <v>0</v>
      </c>
      <c r="G282" s="96">
        <f>LEFT(A282)</f>
        <v/>
      </c>
      <c r="H282" s="96" t="s">
        <v>2516</v>
      </c>
    </row>
    <row r="283" spans="1:14" hidden="1" ht="12.75" customHeight="1">
      <c r="A283" s="96" t="s">
        <v>3074</v>
      </c>
      <c r="B283" s="96" t="s">
        <v>3075</v>
      </c>
      <c r="C283" s="96" t="s">
        <v>3068</v>
      </c>
      <c r="D283" s="96" t="s">
        <v>3069</v>
      </c>
      <c r="E283" s="96" t="n">
        <v>0</v>
      </c>
      <c r="G283" s="96">
        <f>LEFT(A283)</f>
        <v/>
      </c>
      <c r="H283" s="96" t="s">
        <v>2516</v>
      </c>
    </row>
    <row r="284" spans="1:14" hidden="1" ht="12.75" customHeight="1">
      <c r="A284" s="96" t="s">
        <v>3076</v>
      </c>
      <c r="B284" s="96" t="s">
        <v>3077</v>
      </c>
      <c r="C284" s="96" t="s">
        <v>3068</v>
      </c>
      <c r="D284" s="96" t="s">
        <v>3069</v>
      </c>
      <c r="E284" s="96" t="n">
        <v>0</v>
      </c>
      <c r="G284" s="96">
        <f>LEFT(A284)</f>
        <v/>
      </c>
      <c r="H284" s="96" t="s">
        <v>2516</v>
      </c>
    </row>
    <row r="285" spans="1:14" hidden="1" ht="12.75" customHeight="1">
      <c r="A285" s="96" t="s">
        <v>3078</v>
      </c>
      <c r="B285" s="96" t="s">
        <v>3079</v>
      </c>
      <c r="C285" s="96" t="s">
        <v>3078</v>
      </c>
      <c r="D285" s="96" t="s">
        <v>3080</v>
      </c>
      <c r="E285" s="96" t="n">
        <v>0</v>
      </c>
      <c r="G285" s="96">
        <f>LEFT(A285)</f>
        <v/>
      </c>
    </row>
    <row r="286" spans="1:14" hidden="1" ht="12.75" customHeight="1">
      <c r="A286" s="96" t="s">
        <v>3081</v>
      </c>
      <c r="B286" s="96" t="s">
        <v>3082</v>
      </c>
      <c r="C286" s="96" t="s">
        <v>3081</v>
      </c>
      <c r="D286" s="96" t="s">
        <v>2550</v>
      </c>
      <c r="E286" s="96" t="n">
        <v>0</v>
      </c>
      <c r="G286" s="96">
        <f>LEFT(A286)</f>
        <v/>
      </c>
      <c r="H286" s="96" t="s">
        <v>2804</v>
      </c>
    </row>
    <row r="287" spans="1:14" hidden="1" ht="12.75" customHeight="1">
      <c r="A287" s="96" t="s">
        <v>3083</v>
      </c>
      <c r="B287" s="96" t="s">
        <v>3084</v>
      </c>
      <c r="C287" s="96" t="s">
        <v>3083</v>
      </c>
      <c r="D287" s="96" t="s">
        <v>2949</v>
      </c>
      <c r="E287" s="96" t="n">
        <v>0</v>
      </c>
      <c r="G287" s="96">
        <f>LEFT(A287)</f>
        <v/>
      </c>
      <c r="H287" s="96" t="s">
        <v>2804</v>
      </c>
    </row>
    <row r="288" spans="1:14" hidden="1" ht="12.75" customHeight="1">
      <c r="A288" s="96" t="s">
        <v>3085</v>
      </c>
      <c r="B288" s="96" t="s">
        <v>3086</v>
      </c>
      <c r="C288" s="96" t="s">
        <v>3087</v>
      </c>
      <c r="D288" s="96" t="s">
        <v>2919</v>
      </c>
      <c r="E288" s="96" t="s">
        <v>2265</v>
      </c>
      <c r="G288" s="96">
        <f>LEFT(A288)</f>
        <v/>
      </c>
    </row>
    <row r="289" spans="1:14" hidden="1" ht="12.75" customHeight="1">
      <c r="A289" s="96" t="s">
        <v>3088</v>
      </c>
      <c r="B289" s="96" t="s">
        <v>3089</v>
      </c>
      <c r="C289" s="96" t="s">
        <v>3087</v>
      </c>
      <c r="D289" s="96" t="s">
        <v>2928</v>
      </c>
      <c r="E289" s="96" t="s">
        <v>2277</v>
      </c>
      <c r="G289" s="96">
        <f>LEFT(A289)</f>
        <v/>
      </c>
    </row>
    <row r="290" spans="1:14" hidden="1" ht="12.75" customHeight="1">
      <c r="A290" s="96" t="s">
        <v>3090</v>
      </c>
      <c r="B290" s="96" t="s">
        <v>3091</v>
      </c>
      <c r="C290" s="96" t="s">
        <v>3087</v>
      </c>
      <c r="D290" s="96" t="s">
        <v>2636</v>
      </c>
      <c r="E290" s="101" t="s">
        <v>2923</v>
      </c>
      <c r="G290" s="96">
        <f>LEFT(A290)</f>
        <v/>
      </c>
    </row>
    <row r="291" spans="1:14" hidden="1" ht="12.75" customHeight="1">
      <c r="A291" s="96" t="s">
        <v>3092</v>
      </c>
      <c r="B291" s="96" t="s">
        <v>3093</v>
      </c>
      <c r="C291" s="96" t="s">
        <v>3087</v>
      </c>
      <c r="D291" s="96" t="s">
        <v>2639</v>
      </c>
      <c r="E291" s="101" t="s">
        <v>2204</v>
      </c>
      <c r="G291" s="96">
        <f>LEFT(A291)</f>
        <v/>
      </c>
    </row>
    <row r="292" spans="1:14" hidden="1" ht="12.75" customHeight="1">
      <c r="A292" s="96" t="s">
        <v>3094</v>
      </c>
      <c r="B292" s="96" t="s">
        <v>3095</v>
      </c>
      <c r="C292" s="96" t="s">
        <v>3094</v>
      </c>
      <c r="D292" s="96" t="s">
        <v>2928</v>
      </c>
      <c r="E292" s="96" t="s">
        <v>2277</v>
      </c>
      <c r="G292" s="96">
        <f>LEFT(A292)</f>
        <v/>
      </c>
    </row>
    <row r="293" spans="1:14" hidden="1" ht="12.75" customHeight="1">
      <c r="A293" s="96" t="s">
        <v>3096</v>
      </c>
      <c r="B293" s="96" t="s">
        <v>3097</v>
      </c>
      <c r="C293" s="96" t="s">
        <v>3096</v>
      </c>
      <c r="D293" s="96" t="s">
        <v>3098</v>
      </c>
      <c r="E293" s="96" t="s">
        <v>3099</v>
      </c>
      <c r="G293" s="96">
        <f>LEFT(A293)</f>
        <v/>
      </c>
    </row>
    <row r="294" spans="1:14" hidden="1" ht="12.75" customHeight="1">
      <c r="A294" s="96" t="s">
        <v>3096</v>
      </c>
      <c r="B294" s="96" t="s">
        <v>3097</v>
      </c>
      <c r="C294" s="96" t="s">
        <v>3096</v>
      </c>
      <c r="D294" s="96" t="s">
        <v>3098</v>
      </c>
      <c r="E294" s="96" t="s">
        <v>3099</v>
      </c>
      <c r="G294" s="96">
        <f>LEFT(A294)</f>
        <v/>
      </c>
    </row>
    <row r="295" spans="1:14" hidden="1" ht="12.75" customHeight="1">
      <c r="A295" s="96" t="s">
        <v>3100</v>
      </c>
      <c r="B295" s="96" t="s">
        <v>3101</v>
      </c>
      <c r="C295" s="96" t="s">
        <v>3100</v>
      </c>
      <c r="D295" s="96" t="s">
        <v>2949</v>
      </c>
      <c r="E295" s="101" t="s">
        <v>2288</v>
      </c>
      <c r="G295" s="96">
        <f>LEFT(A295)</f>
        <v/>
      </c>
    </row>
    <row r="296" spans="1:14" hidden="1" ht="12.75" customHeight="1">
      <c r="A296" s="96" t="s">
        <v>3102</v>
      </c>
      <c r="B296" s="96" t="s">
        <v>2646</v>
      </c>
      <c r="C296" s="96" t="s">
        <v>3102</v>
      </c>
      <c r="D296" s="96" t="s">
        <v>3103</v>
      </c>
      <c r="E296" s="96" t="n">
        <v>0</v>
      </c>
      <c r="G296" s="96">
        <f>LEFT(A296)</f>
        <v/>
      </c>
    </row>
    <row r="297" spans="1:14" hidden="1" ht="12.75" customHeight="1">
      <c r="A297" s="96" t="s">
        <v>3104</v>
      </c>
      <c r="B297" s="96" t="s">
        <v>3105</v>
      </c>
      <c r="C297" s="96" t="s">
        <v>3104</v>
      </c>
      <c r="D297" s="96" t="s">
        <v>3106</v>
      </c>
      <c r="E297" s="96" t="n">
        <v>0</v>
      </c>
      <c r="G297" s="96">
        <f>LEFT(A297)</f>
        <v/>
      </c>
    </row>
    <row r="298" spans="1:14" hidden="1" ht="12.75" customHeight="1">
      <c r="A298" s="96" t="s">
        <v>3107</v>
      </c>
      <c r="B298" s="96" t="s">
        <v>3108</v>
      </c>
      <c r="C298" s="96" t="s">
        <v>3107</v>
      </c>
      <c r="D298" s="96" t="s">
        <v>3106</v>
      </c>
      <c r="E298" s="96" t="n">
        <v>0</v>
      </c>
      <c r="G298" s="96">
        <f>LEFT(A298)</f>
        <v/>
      </c>
    </row>
    <row r="299" spans="1:14" hidden="1" ht="12.75" customHeight="1">
      <c r="A299" s="96" t="s">
        <v>3109</v>
      </c>
      <c r="B299" s="96" t="s">
        <v>3110</v>
      </c>
      <c r="C299" s="96" t="s">
        <v>3109</v>
      </c>
      <c r="D299" s="96" t="s">
        <v>3106</v>
      </c>
      <c r="E299" s="96" t="n">
        <v>0</v>
      </c>
      <c r="G299" s="96">
        <f>LEFT(A299)</f>
        <v/>
      </c>
    </row>
    <row r="300" spans="1:14" hidden="1" ht="12.75" customHeight="1">
      <c r="A300" s="96" t="s">
        <v>3111</v>
      </c>
      <c r="B300" s="96" t="s">
        <v>3112</v>
      </c>
      <c r="C300" s="96" t="s">
        <v>3111</v>
      </c>
      <c r="D300" s="96" t="s">
        <v>3106</v>
      </c>
      <c r="E300" s="96" t="n">
        <v>0</v>
      </c>
      <c r="G300" s="96">
        <f>LEFT(A300)</f>
        <v/>
      </c>
    </row>
    <row r="301" spans="1:14" hidden="1" ht="12.75" customHeight="1">
      <c r="A301" s="96" t="s">
        <v>3113</v>
      </c>
      <c r="B301" s="96" t="s">
        <v>3114</v>
      </c>
      <c r="C301" s="96" t="s">
        <v>3111</v>
      </c>
      <c r="D301" s="96" t="s">
        <v>3106</v>
      </c>
      <c r="E301" s="96" t="n">
        <v>0</v>
      </c>
      <c r="G301" s="96">
        <f>LEFT(A301)</f>
        <v/>
      </c>
    </row>
    <row r="302" spans="1:14" hidden="1">
      <c r="A302" s="96" t="s">
        <v>3115</v>
      </c>
      <c r="B302" s="96" t="s">
        <v>3116</v>
      </c>
      <c r="C302" s="96" t="s">
        <v>3111</v>
      </c>
      <c r="D302" s="96" t="s">
        <v>3106</v>
      </c>
      <c r="E302" s="96" t="n">
        <v>0</v>
      </c>
      <c r="G302" s="96">
        <f>LEFT(A302)</f>
        <v/>
      </c>
    </row>
    <row r="303" spans="1:14" hidden="1">
      <c r="A303" s="96" t="s">
        <v>3117</v>
      </c>
      <c r="B303" s="96" t="s">
        <v>3118</v>
      </c>
      <c r="C303" s="96" t="s">
        <v>3119</v>
      </c>
      <c r="D303" s="96" t="s">
        <v>2550</v>
      </c>
      <c r="E303" s="96" t="s">
        <v>2331</v>
      </c>
      <c r="F303" s="96" t="s">
        <v>2327</v>
      </c>
      <c r="G303" s="96">
        <f>LEFT(A303)</f>
        <v/>
      </c>
    </row>
    <row r="304" spans="1:14" hidden="1">
      <c r="A304" s="96" t="s">
        <v>3120</v>
      </c>
      <c r="B304" s="96" t="s">
        <v>3121</v>
      </c>
      <c r="C304" s="96" t="s">
        <v>3119</v>
      </c>
      <c r="D304" s="96" t="s">
        <v>2550</v>
      </c>
      <c r="E304" s="101" t="s">
        <v>2327</v>
      </c>
      <c r="F304" s="96" t="s">
        <v>2327</v>
      </c>
      <c r="G304" s="96">
        <f>LEFT(A304)</f>
        <v/>
      </c>
    </row>
    <row r="305" spans="1:14" hidden="1">
      <c r="A305" s="96" t="s">
        <v>3122</v>
      </c>
      <c r="B305" s="96" t="s">
        <v>3123</v>
      </c>
      <c r="C305" s="96" t="s">
        <v>3124</v>
      </c>
      <c r="D305" s="96" t="s">
        <v>3106</v>
      </c>
      <c r="E305" s="96" t="n">
        <v>0</v>
      </c>
      <c r="G305" s="96">
        <f>LEFT(A305)</f>
        <v/>
      </c>
    </row>
    <row r="306" spans="1:14" hidden="1">
      <c r="A306" s="96" t="s">
        <v>3125</v>
      </c>
      <c r="B306" s="96" t="s">
        <v>3126</v>
      </c>
      <c r="C306" s="96" t="s">
        <v>3124</v>
      </c>
      <c r="D306" s="96" t="s">
        <v>3106</v>
      </c>
      <c r="E306" s="96" t="n">
        <v>0</v>
      </c>
      <c r="G306" s="96">
        <f>LEFT(A306)</f>
        <v/>
      </c>
    </row>
    <row r="307" spans="1:14" hidden="1">
      <c r="A307" s="96" t="s">
        <v>3127</v>
      </c>
      <c r="B307" s="96" t="s">
        <v>3128</v>
      </c>
      <c r="C307" s="96" t="s">
        <v>3124</v>
      </c>
      <c r="D307" s="96" t="s">
        <v>3129</v>
      </c>
      <c r="E307" s="101" t="s">
        <v>2308</v>
      </c>
      <c r="G307" s="96">
        <f>LEFT(A307)</f>
        <v/>
      </c>
    </row>
    <row r="308" spans="1:14" hidden="1">
      <c r="A308" s="96" t="s">
        <v>3130</v>
      </c>
      <c r="B308" s="96" t="s">
        <v>3131</v>
      </c>
      <c r="C308" s="96" t="s">
        <v>3132</v>
      </c>
      <c r="D308" s="96" t="s">
        <v>3129</v>
      </c>
      <c r="E308" s="96" t="s">
        <v>2304</v>
      </c>
      <c r="G308" s="96">
        <f>LEFT(A308)</f>
        <v/>
      </c>
    </row>
    <row r="309" spans="1:14" hidden="1">
      <c r="A309" s="96" t="s">
        <v>3133</v>
      </c>
      <c r="B309" s="96" t="s">
        <v>3134</v>
      </c>
      <c r="C309" s="96" t="s">
        <v>3132</v>
      </c>
      <c r="D309" s="96" t="s">
        <v>3129</v>
      </c>
      <c r="E309" s="96" t="s">
        <v>2305</v>
      </c>
      <c r="G309" s="96">
        <f>LEFT(A309)</f>
        <v/>
      </c>
    </row>
    <row r="310" spans="1:14" hidden="1" ht="20.15" customHeight="1">
      <c r="A310" s="96" t="s">
        <v>3135</v>
      </c>
      <c r="B310" s="96" t="s">
        <v>3136</v>
      </c>
      <c r="C310" s="96" t="s">
        <v>3132</v>
      </c>
      <c r="D310" s="96" t="s">
        <v>3129</v>
      </c>
      <c r="E310" s="101" t="s">
        <v>2309</v>
      </c>
      <c r="G310" s="96">
        <f>LEFT(A310)</f>
        <v/>
      </c>
    </row>
    <row r="311" spans="1:14" hidden="1">
      <c r="A311" s="96" t="s">
        <v>3137</v>
      </c>
      <c r="B311" s="96" t="s">
        <v>3138</v>
      </c>
      <c r="C311" s="96" t="s">
        <v>3139</v>
      </c>
      <c r="D311" s="96" t="s">
        <v>2949</v>
      </c>
      <c r="E311" s="96" t="s">
        <v>2287</v>
      </c>
      <c r="F311" s="96" t="s">
        <v>2287</v>
      </c>
      <c r="G311" s="96">
        <f>LEFT(A311)</f>
        <v/>
      </c>
    </row>
    <row r="312" spans="1:14" hidden="1">
      <c r="A312" s="96" t="s">
        <v>3140</v>
      </c>
      <c r="B312" s="96" t="s">
        <v>3141</v>
      </c>
      <c r="C312" s="96" t="s">
        <v>3139</v>
      </c>
      <c r="D312" s="96" t="s">
        <v>2550</v>
      </c>
      <c r="E312" s="101" t="s">
        <v>2327</v>
      </c>
      <c r="F312" s="96" t="s">
        <v>2327</v>
      </c>
      <c r="G312" s="96">
        <f>LEFT(A312)</f>
        <v/>
      </c>
    </row>
    <row r="313" spans="1:14" hidden="1">
      <c r="A313" s="96" t="s">
        <v>3142</v>
      </c>
      <c r="B313" s="96" t="s">
        <v>3143</v>
      </c>
      <c r="C313" s="96" t="s">
        <v>3144</v>
      </c>
      <c r="D313" s="96" t="s">
        <v>2556</v>
      </c>
      <c r="E313" s="96" t="s">
        <v>2557</v>
      </c>
      <c r="G313" s="96">
        <f>LEFT(A313)</f>
        <v/>
      </c>
    </row>
    <row r="314" spans="1:14" hidden="1">
      <c r="A314" s="96" t="s">
        <v>3145</v>
      </c>
      <c r="B314" s="96" t="s">
        <v>3146</v>
      </c>
      <c r="C314" s="96" t="s">
        <v>3144</v>
      </c>
      <c r="D314" s="96" t="s">
        <v>2556</v>
      </c>
      <c r="E314" s="96" t="s">
        <v>2557</v>
      </c>
      <c r="G314" s="96">
        <f>LEFT(A314)</f>
        <v/>
      </c>
    </row>
    <row r="315" spans="1:14" hidden="1">
      <c r="A315" s="96" t="s">
        <v>3147</v>
      </c>
      <c r="B315" s="96" t="s">
        <v>3148</v>
      </c>
      <c r="C315" s="96" t="s">
        <v>3144</v>
      </c>
      <c r="D315" s="96" t="s">
        <v>2556</v>
      </c>
      <c r="E315" s="96" t="s">
        <v>2557</v>
      </c>
      <c r="G315" s="96">
        <f>LEFT(A315)</f>
        <v/>
      </c>
    </row>
    <row r="316" spans="1:14" hidden="1">
      <c r="A316" s="96" t="s">
        <v>3149</v>
      </c>
      <c r="B316" s="96" t="s">
        <v>2537</v>
      </c>
      <c r="C316" s="96" t="s">
        <v>3144</v>
      </c>
      <c r="D316" s="96" t="s">
        <v>2550</v>
      </c>
      <c r="E316" s="101" t="s">
        <v>2327</v>
      </c>
      <c r="F316" s="96" t="s">
        <v>2327</v>
      </c>
      <c r="G316" s="96">
        <f>LEFT(A316)</f>
        <v/>
      </c>
    </row>
    <row r="317" spans="1:14" hidden="1">
      <c r="A317" s="96" t="s">
        <v>3150</v>
      </c>
      <c r="B317" s="96" t="s">
        <v>3151</v>
      </c>
      <c r="C317" s="96" t="s">
        <v>3144</v>
      </c>
      <c r="D317" s="96" t="s">
        <v>2550</v>
      </c>
      <c r="E317" s="101" t="s">
        <v>2327</v>
      </c>
      <c r="F317" s="96" t="s">
        <v>2327</v>
      </c>
      <c r="G317" s="96">
        <f>LEFT(A317)</f>
        <v/>
      </c>
    </row>
    <row r="318" spans="1:14" hidden="1">
      <c r="A318" s="96" t="s">
        <v>3152</v>
      </c>
      <c r="B318" s="96" t="s">
        <v>3153</v>
      </c>
      <c r="C318" s="96" t="s">
        <v>3144</v>
      </c>
      <c r="D318" s="96" t="s">
        <v>2550</v>
      </c>
      <c r="E318" s="101" t="s">
        <v>2327</v>
      </c>
      <c r="F318" s="96" t="s">
        <v>2327</v>
      </c>
      <c r="G318" s="96">
        <f>LEFT(A318)</f>
        <v/>
      </c>
    </row>
    <row r="319" spans="1:14" hidden="1">
      <c r="A319" s="96" t="s">
        <v>3154</v>
      </c>
      <c r="B319" s="96" t="s">
        <v>2540</v>
      </c>
      <c r="C319" s="96" t="s">
        <v>3144</v>
      </c>
      <c r="D319" s="96" t="s">
        <v>2550</v>
      </c>
      <c r="E319" s="101" t="s">
        <v>2327</v>
      </c>
      <c r="F319" s="96" t="s">
        <v>2327</v>
      </c>
      <c r="G319" s="96">
        <f>LEFT(A319)</f>
        <v/>
      </c>
    </row>
    <row r="320" spans="1:14" hidden="1">
      <c r="A320" s="96" t="s">
        <v>3155</v>
      </c>
      <c r="B320" s="96" t="s">
        <v>3156</v>
      </c>
      <c r="C320" s="96" t="s">
        <v>3144</v>
      </c>
      <c r="D320" s="96" t="s">
        <v>2550</v>
      </c>
      <c r="E320" s="101" t="s">
        <v>2327</v>
      </c>
      <c r="F320" s="96" t="s">
        <v>2327</v>
      </c>
      <c r="G320" s="96">
        <f>LEFT(A320)</f>
        <v/>
      </c>
    </row>
    <row r="321" spans="1:14" hidden="1">
      <c r="A321" s="96" t="s">
        <v>3157</v>
      </c>
      <c r="B321" s="96" t="s">
        <v>3158</v>
      </c>
      <c r="C321" s="96" t="s">
        <v>3159</v>
      </c>
      <c r="D321" s="96" t="s">
        <v>3129</v>
      </c>
      <c r="E321" s="96" t="s">
        <v>2306</v>
      </c>
      <c r="G321" s="96">
        <f>LEFT(A321)</f>
        <v/>
      </c>
    </row>
    <row r="322" spans="1:14" hidden="1">
      <c r="A322" s="96" t="s">
        <v>3160</v>
      </c>
      <c r="B322" s="96" t="s">
        <v>3161</v>
      </c>
      <c r="C322" s="96" t="s">
        <v>3159</v>
      </c>
      <c r="D322" s="96" t="s">
        <v>3129</v>
      </c>
      <c r="E322" s="96" t="s">
        <v>2306</v>
      </c>
      <c r="G322" s="96">
        <f>LEFT(A322)</f>
        <v/>
      </c>
    </row>
    <row r="323" spans="1:14" hidden="1" ht="20.15" customHeight="1">
      <c r="A323" s="96" t="s">
        <v>3162</v>
      </c>
      <c r="B323" s="96" t="s">
        <v>3163</v>
      </c>
      <c r="C323" s="96" t="s">
        <v>3164</v>
      </c>
      <c r="D323" s="96" t="s">
        <v>3129</v>
      </c>
      <c r="E323" s="101" t="s">
        <v>2310</v>
      </c>
      <c r="G323" s="96">
        <f>LEFT(A323)</f>
        <v/>
      </c>
    </row>
    <row r="324" spans="1:14" hidden="1" ht="20.15" customHeight="1">
      <c r="A324" s="96" t="s">
        <v>3165</v>
      </c>
      <c r="B324" s="96" t="s">
        <v>3166</v>
      </c>
      <c r="C324" s="96" t="s">
        <v>3164</v>
      </c>
      <c r="D324" s="96" t="s">
        <v>3129</v>
      </c>
      <c r="E324" s="101" t="s">
        <v>2310</v>
      </c>
      <c r="G324" s="96">
        <f>LEFT(A324)</f>
        <v/>
      </c>
    </row>
    <row r="325" spans="1:14" hidden="1" ht="20.15" customHeight="1">
      <c r="A325" s="96" t="s">
        <v>3167</v>
      </c>
      <c r="B325" s="96" t="s">
        <v>3168</v>
      </c>
      <c r="C325" s="96" t="s">
        <v>3164</v>
      </c>
      <c r="D325" s="96" t="s">
        <v>3129</v>
      </c>
      <c r="E325" s="101" t="s">
        <v>2310</v>
      </c>
      <c r="G325" s="96">
        <f>LEFT(A325)</f>
        <v/>
      </c>
    </row>
    <row r="326" spans="1:14" hidden="1" ht="20.15" customHeight="1">
      <c r="A326" s="96" t="s">
        <v>3169</v>
      </c>
      <c r="B326" s="96" t="s">
        <v>3170</v>
      </c>
      <c r="C326" s="96" t="s">
        <v>3164</v>
      </c>
      <c r="D326" s="96" t="s">
        <v>3129</v>
      </c>
      <c r="E326" s="101" t="s">
        <v>2310</v>
      </c>
      <c r="G326" s="96">
        <f>LEFT(A326)</f>
        <v/>
      </c>
    </row>
    <row r="327" spans="1:14" hidden="1" ht="20.15" customHeight="1">
      <c r="A327" s="96" t="s">
        <v>3171</v>
      </c>
      <c r="B327" s="96" t="s">
        <v>3172</v>
      </c>
      <c r="C327" s="96" t="s">
        <v>3173</v>
      </c>
      <c r="D327" s="96" t="s">
        <v>3129</v>
      </c>
      <c r="E327" s="101" t="s">
        <v>2310</v>
      </c>
      <c r="G327" s="96">
        <f>LEFT(A327)</f>
        <v/>
      </c>
    </row>
    <row r="328" spans="1:14" hidden="1" ht="20.15" customHeight="1">
      <c r="A328" s="96" t="s">
        <v>3174</v>
      </c>
      <c r="B328" s="96" t="s">
        <v>3175</v>
      </c>
      <c r="C328" s="96" t="s">
        <v>3173</v>
      </c>
      <c r="D328" s="96" t="s">
        <v>3129</v>
      </c>
      <c r="E328" s="101" t="s">
        <v>2310</v>
      </c>
      <c r="G328" s="96">
        <f>LEFT(A328)</f>
        <v/>
      </c>
    </row>
    <row r="329" spans="1:14" hidden="1" ht="20.15" customHeight="1">
      <c r="A329" s="96" t="s">
        <v>3176</v>
      </c>
      <c r="B329" s="96" t="s">
        <v>3175</v>
      </c>
      <c r="C329" s="96" t="s">
        <v>3173</v>
      </c>
      <c r="D329" s="96" t="s">
        <v>3129</v>
      </c>
      <c r="E329" s="101" t="s">
        <v>2310</v>
      </c>
      <c r="G329" s="96">
        <f>LEFT(A329)</f>
        <v/>
      </c>
    </row>
    <row r="330" spans="1:14" hidden="1" ht="20.15" customHeight="1">
      <c r="A330" s="96" t="s">
        <v>3177</v>
      </c>
      <c r="B330" s="96" t="s">
        <v>3178</v>
      </c>
      <c r="C330" s="96" t="s">
        <v>3177</v>
      </c>
      <c r="D330" s="96" t="s">
        <v>3129</v>
      </c>
      <c r="E330" s="101" t="s">
        <v>2310</v>
      </c>
      <c r="G330" s="96">
        <f>LEFT(A330)</f>
        <v/>
      </c>
    </row>
    <row r="331" spans="1:14" hidden="1" ht="20.15" customHeight="1">
      <c r="A331" s="96" t="s">
        <v>3179</v>
      </c>
      <c r="B331" s="96" t="s">
        <v>3180</v>
      </c>
      <c r="C331" s="96" t="s">
        <v>3179</v>
      </c>
      <c r="D331" s="96" t="s">
        <v>3129</v>
      </c>
      <c r="E331" s="101" t="s">
        <v>2310</v>
      </c>
      <c r="G331" s="96">
        <f>LEFT(A331)</f>
        <v/>
      </c>
      <c r="H331" s="96" t="s">
        <v>2804</v>
      </c>
    </row>
    <row r="332" spans="1:14" hidden="1">
      <c r="A332" s="96" t="s">
        <v>3181</v>
      </c>
      <c r="B332" s="96" t="s">
        <v>2765</v>
      </c>
      <c r="C332" s="96" t="s">
        <v>3181</v>
      </c>
      <c r="D332" s="96" t="s">
        <v>3103</v>
      </c>
      <c r="E332" s="96" t="n">
        <v>0</v>
      </c>
      <c r="G332" s="96">
        <f>LEFT(A332)</f>
        <v/>
      </c>
    </row>
    <row r="333" spans="1:14" hidden="1">
      <c r="A333" s="96" t="s">
        <v>3182</v>
      </c>
      <c r="B333" s="96" t="s">
        <v>3183</v>
      </c>
      <c r="C333" s="96" t="s">
        <v>3182</v>
      </c>
      <c r="D333" s="96" t="s">
        <v>3106</v>
      </c>
      <c r="E333" s="96" t="n">
        <v>0</v>
      </c>
      <c r="G333" s="96">
        <f>LEFT(A333)</f>
        <v/>
      </c>
    </row>
    <row r="334" spans="1:14" hidden="1">
      <c r="A334" s="96" t="s">
        <v>3184</v>
      </c>
      <c r="B334" s="96" t="s">
        <v>3185</v>
      </c>
      <c r="C334" s="96" t="s">
        <v>3184</v>
      </c>
      <c r="D334" s="96" t="s">
        <v>3106</v>
      </c>
      <c r="E334" s="96" t="n">
        <v>0</v>
      </c>
      <c r="G334" s="96">
        <f>LEFT(A334)</f>
        <v/>
      </c>
    </row>
    <row r="335" spans="1:14" hidden="1">
      <c r="A335" s="96" t="s">
        <v>3186</v>
      </c>
      <c r="B335" s="96" t="s">
        <v>3187</v>
      </c>
      <c r="C335" s="96" t="s">
        <v>3186</v>
      </c>
      <c r="D335" s="96" t="s">
        <v>3106</v>
      </c>
      <c r="E335" s="96" t="n">
        <v>0</v>
      </c>
      <c r="G335" s="96">
        <f>LEFT(A335)</f>
        <v/>
      </c>
    </row>
    <row r="336" spans="1:14" hidden="1">
      <c r="A336" s="96" t="s">
        <v>3188</v>
      </c>
      <c r="C336" s="96" t="s">
        <v>2464</v>
      </c>
      <c r="D336" s="96" t="s">
        <v>2452</v>
      </c>
      <c r="E336" s="96" t="n">
        <v>0</v>
      </c>
      <c r="G336" s="96">
        <f>LEFT(A336)</f>
        <v/>
      </c>
    </row>
    <row r="337" spans="1:14" hidden="1">
      <c r="A337" s="96" t="s">
        <v>2464</v>
      </c>
      <c r="C337" s="96" t="s">
        <v>2464</v>
      </c>
      <c r="D337" s="96" t="s">
        <v>2452</v>
      </c>
      <c r="E337" s="96" t="n">
        <v>0</v>
      </c>
      <c r="G337" s="96">
        <f>LEFT(A337)</f>
        <v/>
      </c>
    </row>
    <row r="338" spans="1:14" hidden="1">
      <c r="A338" s="96" t="s">
        <v>3189</v>
      </c>
      <c r="C338" s="96" t="s">
        <v>2464</v>
      </c>
      <c r="D338" s="96" t="s">
        <v>2452</v>
      </c>
      <c r="E338" s="96" t="n">
        <v>0</v>
      </c>
      <c r="G338" s="96">
        <f>LEFT(A338)</f>
        <v/>
      </c>
    </row>
    <row r="339" spans="1:14" hidden="1">
      <c r="A339" s="96" t="s">
        <v>3190</v>
      </c>
      <c r="C339" s="96" t="s">
        <v>2464</v>
      </c>
      <c r="D339" s="96" t="s">
        <v>2452</v>
      </c>
      <c r="E339" s="96" t="n">
        <v>0</v>
      </c>
      <c r="G339" s="96">
        <f>LEFT(A339)</f>
        <v/>
      </c>
    </row>
    <row r="340" spans="1:14" hidden="1"/>
    <row r="341" spans="1:14" hidden="1">
      <c r="A341" s="105" t="s">
        <v>3191</v>
      </c>
      <c r="B341" s="96" t="s">
        <v>3021</v>
      </c>
    </row>
    <row r="342" spans="1:14" hidden="1">
      <c r="A342" s="105" t="s">
        <v>3192</v>
      </c>
      <c r="B342" s="96" t="s">
        <v>3024</v>
      </c>
    </row>
    <row r="343" spans="1:14" hidden="1">
      <c r="A343" s="105" t="s">
        <v>3193</v>
      </c>
      <c r="B343" s="96" t="s">
        <v>3026</v>
      </c>
    </row>
    <row r="344" spans="1:14" hidden="1">
      <c r="A344" s="105" t="s">
        <v>3194</v>
      </c>
      <c r="B344" s="96" t="s">
        <v>3029</v>
      </c>
    </row>
    <row r="345" spans="1:14" hidden="1">
      <c r="A345" s="105" t="s">
        <v>3195</v>
      </c>
      <c r="B345" s="96" t="s">
        <v>3097</v>
      </c>
    </row>
    <row r="346" spans="1:14" hidden="1">
      <c r="A346" s="105" t="s">
        <v>3196</v>
      </c>
      <c r="B346" s="96" t="s">
        <v>2960</v>
      </c>
    </row>
    <row r="347" spans="1:14" hidden="1">
      <c r="A347" s="105" t="s">
        <v>3197</v>
      </c>
      <c r="B347" s="96" t="s">
        <v>2963</v>
      </c>
    </row>
    <row r="348" spans="1:14" hidden="1">
      <c r="A348" s="105" t="s">
        <v>3198</v>
      </c>
      <c r="B348" s="96" t="s">
        <v>2965</v>
      </c>
    </row>
    <row r="349" spans="1:14" hidden="1">
      <c r="A349" s="105" t="s">
        <v>3199</v>
      </c>
      <c r="B349" s="96" t="s">
        <v>2967</v>
      </c>
    </row>
    <row r="350" spans="1:14" hidden="1">
      <c r="A350" s="105" t="s">
        <v>3200</v>
      </c>
      <c r="B350" s="96" t="s">
        <v>2973</v>
      </c>
    </row>
    <row r="351" spans="1:14" hidden="1">
      <c r="A351" s="105" t="s">
        <v>3201</v>
      </c>
      <c r="B351" s="96" t="s">
        <v>2975</v>
      </c>
    </row>
    <row r="352" spans="1:14" hidden="1">
      <c r="A352" s="105" t="s">
        <v>3202</v>
      </c>
      <c r="B352" s="96" t="s">
        <v>2982</v>
      </c>
    </row>
    <row r="353" spans="1:14" hidden="1">
      <c r="A353" s="105" t="s">
        <v>3203</v>
      </c>
      <c r="B353" s="96" t="s">
        <v>2985</v>
      </c>
    </row>
    <row r="354" spans="1:14" hidden="1">
      <c r="A354" s="105" t="s">
        <v>3204</v>
      </c>
      <c r="B354" s="96" t="s">
        <v>2987</v>
      </c>
    </row>
    <row r="355" spans="1:14" hidden="1">
      <c r="A355" s="105" t="s">
        <v>3205</v>
      </c>
      <c r="B355" s="96" t="s">
        <v>2999</v>
      </c>
    </row>
    <row r="356" spans="1:14" hidden="1">
      <c r="A356" s="105" t="s">
        <v>3206</v>
      </c>
      <c r="B356" s="96" t="s">
        <v>3009</v>
      </c>
    </row>
    <row r="357" spans="1:14" hidden="1">
      <c r="A357" s="105" t="s">
        <v>3207</v>
      </c>
      <c r="B357" s="96" t="s">
        <v>3011</v>
      </c>
    </row>
    <row r="358" spans="1:14" hidden="1">
      <c r="A358" s="105" t="s">
        <v>3208</v>
      </c>
      <c r="B358" s="96" t="s">
        <v>3065</v>
      </c>
    </row>
    <row r="359" spans="1:14" hidden="1">
      <c r="A359" s="105" t="s">
        <v>3209</v>
      </c>
      <c r="B359" s="96" t="s">
        <v>3082</v>
      </c>
    </row>
    <row r="360" spans="1:14" hidden="1">
      <c r="A360" s="105" t="s">
        <v>3210</v>
      </c>
      <c r="B360" s="96" t="s">
        <v>3084</v>
      </c>
    </row>
    <row r="361" spans="1:14" hidden="1">
      <c r="A361" s="105" t="s">
        <v>3211</v>
      </c>
      <c r="B361" s="96" t="s">
        <v>3036</v>
      </c>
    </row>
    <row r="362" spans="1:14" hidden="1">
      <c r="A362" s="105" t="s">
        <v>3212</v>
      </c>
      <c r="B362" s="96" t="s">
        <v>3097</v>
      </c>
    </row>
    <row r="363" spans="1:14" hidden="1">
      <c r="A363" s="105" t="s">
        <v>3213</v>
      </c>
      <c r="B363" s="96" t="s">
        <v>3114</v>
      </c>
    </row>
    <row r="364" spans="1:14" hidden="1">
      <c r="A364" s="105" t="s">
        <v>3214</v>
      </c>
      <c r="B364" s="96" t="s">
        <v>3116</v>
      </c>
    </row>
    <row r="365" spans="1:14" hidden="1">
      <c r="A365" s="105" t="s">
        <v>3215</v>
      </c>
      <c r="B365" s="96" t="s">
        <v>3216</v>
      </c>
    </row>
    <row r="366" spans="1:14" hidden="1">
      <c r="A366" s="105" t="n">
        <v>1033</v>
      </c>
      <c r="B366" s="96" t="s">
        <v>3217</v>
      </c>
    </row>
    <row r="367" spans="1:14" hidden="1">
      <c r="A367" s="105" t="n">
        <v>1038</v>
      </c>
      <c r="B367" s="96" t="s">
        <v>3218</v>
      </c>
    </row>
    <row r="368" spans="1:14" hidden="1">
      <c r="A368" s="105" t="n">
        <v>107</v>
      </c>
      <c r="B368" s="96" t="s">
        <v>3219</v>
      </c>
    </row>
    <row r="369" spans="1:14" hidden="1">
      <c r="A369" s="105" t="n">
        <v>1081</v>
      </c>
      <c r="B369" s="96" t="s">
        <v>3220</v>
      </c>
    </row>
    <row r="370" spans="1:14" hidden="1">
      <c r="A370" s="105" t="n">
        <v>1082</v>
      </c>
      <c r="B370" s="96" t="s">
        <v>3221</v>
      </c>
    </row>
  </sheetData>
  <autoFilter ref="A1:N370">
    <filterColumn colId="12">
      <filters/>
      <colorFilter dxfId="6"/>
    </filterColumn>
  </autoFilter>
  <pageMargins left="0.24" right="0.31" top="0.75" bottom="0.75" header="0.3" footer="0.3"/>
  <pageSetup orientation="portrait" paperSize="9" scale="60"/>
</worksheet>
</file>

<file path=xl/worksheets/sheet2.xml><?xml version="1.0" encoding="utf-8"?>
<worksheet xmlns="http://schemas.openxmlformats.org/spreadsheetml/2006/main">
  <sheetPr>
    <tabColor rgb="FFFF0000"/>
    <outlinePr summaryBelow="1" summaryRight="1"/>
    <pageSetUpPr/>
  </sheetPr>
  <dimension ref="A1:O31"/>
  <sheetViews>
    <sheetView showGridLines="0" workbookViewId="0">
      <selection activeCell="H14" sqref="H14"/>
    </sheetView>
  </sheetViews>
  <sheetFormatPr baseColWidth="8" defaultRowHeight="12" outlineLevelCol="0"/>
  <cols>
    <col width="42.44140625" bestFit="1" customWidth="1" min="1" max="1"/>
    <col width="5.44140625" bestFit="1" customWidth="1" min="2" max="2"/>
    <col width="9.44140625" bestFit="1" customWidth="1" min="3" max="3"/>
    <col width="5.44140625" bestFit="1" customWidth="1" min="4" max="4"/>
    <col width="35.33203125" bestFit="1" customWidth="1" min="5" max="5"/>
    <col width="9" bestFit="1" customWidth="1" min="6" max="6"/>
    <col width="37" bestFit="1" customWidth="1" min="7" max="7"/>
    <col width="25.33203125" customWidth="1" min="8" max="8"/>
    <col width="11.44140625" bestFit="1" customWidth="1" min="9" max="10"/>
    <col width="8" bestFit="1" customWidth="1" min="11" max="11"/>
    <col width="9.44140625" bestFit="1" customWidth="1" min="14" max="14"/>
    <col width="24.6640625" bestFit="1" customWidth="1" min="15" max="15"/>
  </cols>
  <sheetData>
    <row r="1" spans="1:15">
      <c r="A1" s="1" t="s">
        <v>0</v>
      </c>
      <c r="B1" s="3">
        <f>'Trial Balance'!B1</f>
        <v/>
      </c>
    </row>
    <row r="2" spans="1:15">
      <c r="A2" s="1" t="s">
        <v>1</v>
      </c>
      <c r="B2" s="3">
        <f>'Trial Balance'!B2</f>
        <v/>
      </c>
    </row>
    <row r="3" spans="1:15">
      <c r="A3" s="1" t="s">
        <v>6</v>
      </c>
      <c r="B3" s="3">
        <f>'Trial Balance'!B3</f>
        <v/>
      </c>
    </row>
    <row r="4" spans="1:15">
      <c r="A4" s="1" t="s">
        <v>7</v>
      </c>
      <c r="B4" s="3">
        <f>'Trial Balance'!B4</f>
        <v/>
      </c>
      <c r="G4" s="71" t="s">
        <v>2</v>
      </c>
      <c r="H4" s="71">
        <f>B7-1</f>
        <v/>
      </c>
      <c r="I4" s="71">
        <f>B7</f>
        <v/>
      </c>
    </row>
    <row r="5" spans="1:15">
      <c r="A5" s="1" t="s">
        <v>8</v>
      </c>
      <c r="B5" s="3">
        <f>'Trial Balance'!B5</f>
        <v/>
      </c>
      <c r="G5" s="204" t="n">
        <v>641</v>
      </c>
      <c r="H5" s="44">
        <f>SUMIF('Trial Balance'!D:D,"641",'Trial Balance'!H:H)</f>
        <v/>
      </c>
      <c r="I5" s="44">
        <f>SUMIF('Trial Balance'!D:D,"641",'Trial Balance'!K:K)</f>
        <v/>
      </c>
    </row>
    <row r="6" spans="1:15">
      <c r="A6" s="1" t="s">
        <v>9</v>
      </c>
      <c r="B6" s="3">
        <f>'Trial Balance'!B6</f>
        <v/>
      </c>
      <c r="G6" s="26" t="s">
        <v>405</v>
      </c>
      <c r="H6" s="26">
        <f>IF(H5&gt;0,IF(OR('3. F30'!D47,'3. F30'!D48=""),"Please, fill F30 ",0),"OK")</f>
        <v/>
      </c>
      <c r="I6" s="26">
        <f>IF(I5&gt;0,IF(OR('3. F30'!E47,'3. F30'!E48=""),"Please, fill F30 ",0),"OK")</f>
        <v/>
      </c>
    </row>
    <row r="7" spans="1:15">
      <c r="A7" s="1" t="s">
        <v>11</v>
      </c>
      <c r="B7" s="3">
        <f>'Trial Balance'!B7</f>
        <v/>
      </c>
    </row>
    <row r="10" spans="1:15">
      <c r="A10" s="33" t="s">
        <v>406</v>
      </c>
    </row>
    <row r="13" spans="1:15" ht="24.65" customHeight="1" thickBot="1">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407</v>
      </c>
    </row>
    <row r="14" spans="1:15" ht="12.65" customHeight="1" thickTop="1">
      <c r="A14" t="s">
        <v>408</v>
      </c>
      <c r="B14">
        <f>Left(F14,1)</f>
        <v/>
      </c>
      <c r="C14">
        <f>Left(F14,2)</f>
        <v/>
      </c>
      <c r="D14">
        <f>Left(F14,3)</f>
        <v/>
      </c>
      <c r="E14">
        <f>Left(F14,4)</f>
        <v/>
      </c>
      <c r="F14" t="n">
        <v>47100000</v>
      </c>
      <c r="G14">
        <f>VLOOKUP(F14,'Trial Balance'!F:G,2,0)</f>
        <v/>
      </c>
      <c r="H14" s="9">
        <f>VLOOKUP(F14,'Trial Balance'!F:H,3,0)</f>
        <v/>
      </c>
      <c r="I14" s="9">
        <f>VLOOKUP(F14,'Trial Balance'!F:I,4,0)</f>
        <v/>
      </c>
      <c r="J14" s="9">
        <f>VLOOKUP(F14,'Trial Balance'!F:J,5,0)</f>
        <v/>
      </c>
      <c r="K14" s="9">
        <f>VLOOKUP(F14,'Trial Balance'!F:K,6,0)</f>
        <v/>
      </c>
      <c r="L14" s="9">
        <f>K14-H14</f>
        <v/>
      </c>
      <c r="M14" s="32">
        <f>IFERROR(L14/H14," ")</f>
        <v/>
      </c>
      <c r="N14">
        <f>VLOOKUP(F14,'Trial Balance'!F:N,9,0)</f>
        <v/>
      </c>
      <c r="O14" t="s">
        <v>409</v>
      </c>
    </row>
    <row r="15" spans="1:15">
      <c r="A15" t="s">
        <v>408</v>
      </c>
      <c r="B15">
        <f>Left(F15,1)</f>
        <v/>
      </c>
      <c r="C15">
        <f>Left(F15,2)</f>
        <v/>
      </c>
      <c r="D15">
        <f>Left(F15,3)</f>
        <v/>
      </c>
      <c r="E15">
        <f>Left(F15,4)</f>
        <v/>
      </c>
      <c r="F15" t="n">
        <v>44280000</v>
      </c>
      <c r="G15">
        <f>VLOOKUP(F15,'Trial Balance'!F:G,2,0)</f>
        <v/>
      </c>
      <c r="H15" s="9">
        <f>VLOOKUP(F15,'Trial Balance'!F:H,3,0)</f>
        <v/>
      </c>
      <c r="I15" s="9">
        <f>VLOOKUP(F15,'Trial Balance'!F:I,4,0)</f>
        <v/>
      </c>
      <c r="J15" s="9">
        <f>VLOOKUP(F15,'Trial Balance'!F:J,5,0)</f>
        <v/>
      </c>
      <c r="K15" s="9">
        <f>VLOOKUP(F15,'Trial Balance'!F:K,6,0)</f>
        <v/>
      </c>
      <c r="L15" s="9">
        <f>K15-H15</f>
        <v/>
      </c>
      <c r="M15" s="32">
        <f>IFERROR(L15/H15," ")</f>
        <v/>
      </c>
      <c r="N15">
        <f>VLOOKUP(F15,'Trial Balance'!F:N,9,0)</f>
        <v/>
      </c>
      <c r="O15" t="s">
        <v>409</v>
      </c>
    </row>
    <row r="16" spans="1:15">
      <c r="A16" t="s">
        <v>408</v>
      </c>
      <c r="B16">
        <f>Left(F16,1)</f>
        <v/>
      </c>
      <c r="C16">
        <f>Left(F16,2)</f>
        <v/>
      </c>
      <c r="D16">
        <f>Left(F16,3)</f>
        <v/>
      </c>
      <c r="E16">
        <f>Left(F16,4)</f>
        <v/>
      </c>
      <c r="F16" t="n">
        <v>44280010</v>
      </c>
      <c r="G16">
        <f>VLOOKUP(F16,'Trial Balance'!F:G,2,0)</f>
        <v/>
      </c>
      <c r="H16" s="9">
        <f>VLOOKUP(F16,'Trial Balance'!F:H,3,0)</f>
        <v/>
      </c>
      <c r="I16" s="9">
        <f>VLOOKUP(F16,'Trial Balance'!F:I,4,0)</f>
        <v/>
      </c>
      <c r="J16" s="9">
        <f>VLOOKUP(F16,'Trial Balance'!F:J,5,0)</f>
        <v/>
      </c>
      <c r="K16" s="9">
        <f>VLOOKUP(F16,'Trial Balance'!F:K,6,0)</f>
        <v/>
      </c>
      <c r="L16" s="9">
        <f>K16-H16</f>
        <v/>
      </c>
      <c r="M16" s="32">
        <f>IFERROR(L16/H16," ")</f>
        <v/>
      </c>
      <c r="N16">
        <f>VLOOKUP(F16,'Trial Balance'!F:N,9,0)</f>
        <v/>
      </c>
      <c r="O16" t="s">
        <v>409</v>
      </c>
    </row>
    <row r="17" spans="1:15">
      <c r="A17" t="s">
        <v>408</v>
      </c>
      <c r="B17">
        <f>Left(F17,1)</f>
        <v/>
      </c>
      <c r="C17">
        <f>Left(F17,2)</f>
        <v/>
      </c>
      <c r="D17">
        <f>Left(F17,3)</f>
        <v/>
      </c>
      <c r="E17">
        <f>Left(F17,4)</f>
        <v/>
      </c>
      <c r="F17" t="n">
        <v>58100000</v>
      </c>
      <c r="G17">
        <f>VLOOKUP(F17,'Trial Balance'!F:G,2,0)</f>
        <v/>
      </c>
      <c r="H17" s="9">
        <f>VLOOKUP(F17,'Trial Balance'!F:H,3,0)</f>
        <v/>
      </c>
      <c r="I17" s="9">
        <f>VLOOKUP(F17,'Trial Balance'!F:I,4,0)</f>
        <v/>
      </c>
      <c r="J17" s="9">
        <f>VLOOKUP(F17,'Trial Balance'!F:J,5,0)</f>
        <v/>
      </c>
      <c r="K17" s="9">
        <f>VLOOKUP(F17,'Trial Balance'!F:K,6,0)</f>
        <v/>
      </c>
      <c r="L17" s="9">
        <f>K17-H17</f>
        <v/>
      </c>
      <c r="M17" s="32">
        <f>IFERROR(L17/H17," ")</f>
        <v/>
      </c>
      <c r="N17">
        <f>VLOOKUP(F17,'Trial Balance'!F:N,9,0)</f>
        <v/>
      </c>
      <c r="O17" t="s">
        <v>409</v>
      </c>
    </row>
    <row r="18" spans="1:15">
      <c r="A18" t="s">
        <v>408</v>
      </c>
      <c r="B18">
        <f>Left(F18,1)</f>
        <v/>
      </c>
      <c r="C18">
        <f>Left(F18,2)</f>
        <v/>
      </c>
      <c r="D18">
        <f>Left(F18,3)</f>
        <v/>
      </c>
      <c r="E18">
        <f>Left(F18,4)</f>
        <v/>
      </c>
      <c r="F18" t="n">
        <v>58100010</v>
      </c>
      <c r="G18">
        <f>VLOOKUP(F18,'Trial Balance'!F:G,2,0)</f>
        <v/>
      </c>
      <c r="H18" s="9">
        <f>VLOOKUP(F18,'Trial Balance'!F:H,3,0)</f>
        <v/>
      </c>
      <c r="I18" s="9">
        <f>VLOOKUP(F18,'Trial Balance'!F:I,4,0)</f>
        <v/>
      </c>
      <c r="J18" s="9">
        <f>VLOOKUP(F18,'Trial Balance'!F:J,5,0)</f>
        <v/>
      </c>
      <c r="K18" s="9">
        <f>VLOOKUP(F18,'Trial Balance'!F:K,6,0)</f>
        <v/>
      </c>
      <c r="L18" s="9">
        <f>K18-H18</f>
        <v/>
      </c>
      <c r="M18" s="32">
        <f>IFERROR(L18/H18," ")</f>
        <v/>
      </c>
      <c r="N18">
        <f>VLOOKUP(F18,'Trial Balance'!F:N,9,0)</f>
        <v/>
      </c>
      <c r="O18" t="s">
        <v>409</v>
      </c>
    </row>
    <row r="19" spans="1:15">
      <c r="A19" t="s">
        <v>408</v>
      </c>
      <c r="B19">
        <f>Left(F19,1)</f>
        <v/>
      </c>
      <c r="C19">
        <f>Left(F19,2)</f>
        <v/>
      </c>
      <c r="D19">
        <f>Left(F19,3)</f>
        <v/>
      </c>
      <c r="E19">
        <f>Left(F19,4)</f>
        <v/>
      </c>
      <c r="F19" t="n">
        <v>26780030</v>
      </c>
      <c r="G19">
        <f>VLOOKUP(F19,'Trial Balance'!F:G,2,0)</f>
        <v/>
      </c>
      <c r="H19" s="9">
        <f>VLOOKUP(F19,'Trial Balance'!F:H,3,0)</f>
        <v/>
      </c>
      <c r="I19" s="9">
        <f>VLOOKUP(F19,'Trial Balance'!F:I,4,0)</f>
        <v/>
      </c>
      <c r="J19" s="9">
        <f>VLOOKUP(F19,'Trial Balance'!F:J,5,0)</f>
        <v/>
      </c>
      <c r="K19" s="9">
        <f>VLOOKUP(F19,'Trial Balance'!F:K,6,0)</f>
        <v/>
      </c>
      <c r="L19" s="9">
        <f>K19-H19</f>
        <v/>
      </c>
      <c r="M19" s="32">
        <f>IFERROR(L19/H19," ")</f>
        <v/>
      </c>
      <c r="N19">
        <f>VLOOKUP(F19,'Trial Balance'!F:N,9,0)</f>
        <v/>
      </c>
      <c r="O19" t="s">
        <v>409</v>
      </c>
    </row>
    <row r="20" spans="1:15">
      <c r="A20" t="s">
        <v>408</v>
      </c>
      <c r="B20">
        <f>Left(F20,1)</f>
        <v/>
      </c>
      <c r="C20">
        <f>Left(F20,2)</f>
        <v/>
      </c>
      <c r="D20">
        <f>Left(F20,3)</f>
        <v/>
      </c>
      <c r="E20">
        <f>Left(F20,4)</f>
        <v/>
      </c>
      <c r="F20" t="n">
        <v>34800010</v>
      </c>
      <c r="G20">
        <f>VLOOKUP(F20,'Trial Balance'!F:G,2,0)</f>
        <v/>
      </c>
      <c r="H20" s="9">
        <f>VLOOKUP(F20,'Trial Balance'!F:H,3,0)</f>
        <v/>
      </c>
      <c r="I20" s="9">
        <f>VLOOKUP(F20,'Trial Balance'!F:I,4,0)</f>
        <v/>
      </c>
      <c r="J20" s="9">
        <f>VLOOKUP(F20,'Trial Balance'!F:J,5,0)</f>
        <v/>
      </c>
      <c r="K20" s="9">
        <f>VLOOKUP(F20,'Trial Balance'!F:K,6,0)</f>
        <v/>
      </c>
      <c r="L20" s="9">
        <f>K20-H20</f>
        <v/>
      </c>
      <c r="M20" s="32">
        <f>IFERROR(L20/H20," ")</f>
        <v/>
      </c>
      <c r="N20">
        <f>VLOOKUP(F20,'Trial Balance'!F:N,9,0)</f>
        <v/>
      </c>
      <c r="O20" t="s">
        <v>409</v>
      </c>
    </row>
    <row r="21" spans="1:15">
      <c r="A21" t="s">
        <v>408</v>
      </c>
      <c r="B21">
        <f>Left(F21,1)</f>
        <v/>
      </c>
      <c r="C21">
        <f>Left(F21,2)</f>
        <v/>
      </c>
      <c r="D21">
        <f>Left(F21,3)</f>
        <v/>
      </c>
      <c r="E21">
        <f>Left(F21,4)</f>
        <v/>
      </c>
      <c r="F21" t="n">
        <v>16619999</v>
      </c>
      <c r="G21">
        <f>VLOOKUP(F21,'Trial Balance'!F:G,2,0)</f>
        <v/>
      </c>
      <c r="H21" s="9">
        <f>VLOOKUP(F21,'Trial Balance'!F:H,3,0)</f>
        <v/>
      </c>
      <c r="I21" s="9">
        <f>VLOOKUP(F21,'Trial Balance'!F:I,4,0)</f>
        <v/>
      </c>
      <c r="J21" s="9">
        <f>VLOOKUP(F21,'Trial Balance'!F:J,5,0)</f>
        <v/>
      </c>
      <c r="K21" s="9">
        <f>VLOOKUP(F21,'Trial Balance'!F:K,6,0)</f>
        <v/>
      </c>
      <c r="L21" s="9">
        <f>K21-H21</f>
        <v/>
      </c>
      <c r="M21" s="32">
        <f>IFERROR(L21/H21," ")</f>
        <v/>
      </c>
      <c r="N21">
        <f>VLOOKUP(F21,'Trial Balance'!F:N,9,0)</f>
        <v/>
      </c>
      <c r="O21" t="s">
        <v>409</v>
      </c>
    </row>
    <row r="22" spans="1:15">
      <c r="A22" t="s">
        <v>408</v>
      </c>
      <c r="B22">
        <f>Left(F22,1)</f>
        <v/>
      </c>
      <c r="C22">
        <f>Left(F22,2)</f>
        <v/>
      </c>
      <c r="D22">
        <f>Left(F22,3)</f>
        <v/>
      </c>
      <c r="E22">
        <f>Left(F22,4)</f>
        <v/>
      </c>
      <c r="F22" t="n">
        <v>44600020</v>
      </c>
      <c r="G22">
        <f>VLOOKUP(F22,'Trial Balance'!F:G,2,0)</f>
        <v/>
      </c>
      <c r="H22">
        <f>VLOOKUP(F22,'Trial Balance'!F:H,3,0)</f>
        <v/>
      </c>
      <c r="I22">
        <f>VLOOKUP(F22,'Trial Balance'!F:I,4,0)</f>
        <v/>
      </c>
      <c r="J22">
        <f>VLOOKUP(F22,'Trial Balance'!F:J,5,0)</f>
        <v/>
      </c>
      <c r="K22">
        <f>VLOOKUP(F22,'Trial Balance'!F:K,6,0)</f>
        <v/>
      </c>
      <c r="L22">
        <f>K22-H22</f>
        <v/>
      </c>
      <c r="M22">
        <f>IFERROR(L22/H22," ")</f>
        <v/>
      </c>
      <c r="N22">
        <f>VLOOKUP(F22,'Trial Balance'!F:N,9,0)</f>
        <v/>
      </c>
      <c r="O22" t="s">
        <v>409</v>
      </c>
    </row>
    <row r="23" spans="1:15">
      <c r="A23" t="s">
        <v>408</v>
      </c>
      <c r="B23">
        <f>Left(F23,1)</f>
        <v/>
      </c>
      <c r="C23">
        <f>Left(F23,2)</f>
        <v/>
      </c>
      <c r="D23">
        <f>Left(F23,3)</f>
        <v/>
      </c>
      <c r="E23">
        <f>Left(F23,4)</f>
        <v/>
      </c>
      <c r="F23" t="n">
        <v>44600030</v>
      </c>
      <c r="G23">
        <f>VLOOKUP(F23,'Trial Balance'!F:G,2,0)</f>
        <v/>
      </c>
      <c r="H23">
        <f>VLOOKUP(F23,'Trial Balance'!F:H,3,0)</f>
        <v/>
      </c>
      <c r="I23">
        <f>VLOOKUP(F23,'Trial Balance'!F:I,4,0)</f>
        <v/>
      </c>
      <c r="J23">
        <f>VLOOKUP(F23,'Trial Balance'!F:J,5,0)</f>
        <v/>
      </c>
      <c r="K23">
        <f>VLOOKUP(F23,'Trial Balance'!F:K,6,0)</f>
        <v/>
      </c>
      <c r="L23">
        <f>K23-H23</f>
        <v/>
      </c>
      <c r="M23">
        <f>IFERROR(L23/H23," ")</f>
        <v/>
      </c>
      <c r="N23">
        <f>VLOOKUP(F23,'Trial Balance'!F:N,9,0)</f>
        <v/>
      </c>
      <c r="O23" t="s">
        <v>409</v>
      </c>
    </row>
    <row r="24" spans="1:15">
      <c r="A24" t="s">
        <v>408</v>
      </c>
      <c r="B24">
        <f>Left(F24,1)</f>
        <v/>
      </c>
      <c r="C24">
        <f>Left(F24,2)</f>
        <v/>
      </c>
      <c r="D24">
        <f>Left(F24,3)</f>
        <v/>
      </c>
      <c r="E24">
        <f>Left(F24,4)</f>
        <v/>
      </c>
      <c r="F24" t="n">
        <v>16610030</v>
      </c>
      <c r="G24">
        <f>VLOOKUP(F24,'Trial Balance'!F:G,2,0)</f>
        <v/>
      </c>
      <c r="H24">
        <f>VLOOKUP(F24,'Trial Balance'!F:H,3,0)</f>
        <v/>
      </c>
      <c r="I24">
        <f>VLOOKUP(F24,'Trial Balance'!F:I,4,0)</f>
        <v/>
      </c>
      <c r="J24">
        <f>VLOOKUP(F24,'Trial Balance'!F:J,5,0)</f>
        <v/>
      </c>
      <c r="K24">
        <f>VLOOKUP(F24,'Trial Balance'!F:K,6,0)</f>
        <v/>
      </c>
      <c r="L24">
        <f>K24-H24</f>
        <v/>
      </c>
      <c r="M24">
        <f>IFERROR(L24/H24," ")</f>
        <v/>
      </c>
      <c r="N24">
        <f>VLOOKUP(F24,'Trial Balance'!F:N,9,0)</f>
        <v/>
      </c>
      <c r="O24" t="s">
        <v>409</v>
      </c>
    </row>
    <row r="25" spans="1:15">
      <c r="A25" t="s">
        <v>408</v>
      </c>
      <c r="B25">
        <f>Left(F25,1)</f>
        <v/>
      </c>
      <c r="C25">
        <f>Left(F25,2)</f>
        <v/>
      </c>
      <c r="D25">
        <f>Left(F25,3)</f>
        <v/>
      </c>
      <c r="E25">
        <f>Left(F25,4)</f>
        <v/>
      </c>
      <c r="F25" t="n">
        <v>16610040</v>
      </c>
      <c r="G25">
        <f>VLOOKUP(F25,'Trial Balance'!F:G,2,0)</f>
        <v/>
      </c>
      <c r="H25">
        <f>VLOOKUP(F25,'Trial Balance'!F:H,3,0)</f>
        <v/>
      </c>
      <c r="I25">
        <f>VLOOKUP(F25,'Trial Balance'!F:I,4,0)</f>
        <v/>
      </c>
      <c r="J25">
        <f>VLOOKUP(F25,'Trial Balance'!F:J,5,0)</f>
        <v/>
      </c>
      <c r="K25">
        <f>VLOOKUP(F25,'Trial Balance'!F:K,6,0)</f>
        <v/>
      </c>
      <c r="L25">
        <f>K25-H25</f>
        <v/>
      </c>
      <c r="M25">
        <f>IFERROR(L25/H25," ")</f>
        <v/>
      </c>
      <c r="N25">
        <f>VLOOKUP(F25,'Trial Balance'!F:N,9,0)</f>
        <v/>
      </c>
      <c r="O25" t="s">
        <v>409</v>
      </c>
    </row>
    <row r="26" spans="1:15">
      <c r="A26" t="s">
        <v>408</v>
      </c>
      <c r="B26">
        <f>Left(F26,1)</f>
        <v/>
      </c>
      <c r="C26">
        <f>Left(F26,2)</f>
        <v/>
      </c>
      <c r="D26">
        <f>Left(F26,3)</f>
        <v/>
      </c>
      <c r="E26">
        <f>Left(F26,4)</f>
        <v/>
      </c>
      <c r="F26" t="n">
        <v>45110010</v>
      </c>
      <c r="G26">
        <f>VLOOKUP(F26,'Trial Balance'!F:G,2,0)</f>
        <v/>
      </c>
      <c r="H26">
        <f>VLOOKUP(F26,'Trial Balance'!F:H,3,0)</f>
        <v/>
      </c>
      <c r="I26">
        <f>VLOOKUP(F26,'Trial Balance'!F:I,4,0)</f>
        <v/>
      </c>
      <c r="J26">
        <f>VLOOKUP(F26,'Trial Balance'!F:J,5,0)</f>
        <v/>
      </c>
      <c r="K26">
        <f>VLOOKUP(F26,'Trial Balance'!F:K,6,0)</f>
        <v/>
      </c>
      <c r="L26">
        <f>K26-H26</f>
        <v/>
      </c>
      <c r="M26">
        <f>IFERROR(L26/H26," ")</f>
        <v/>
      </c>
      <c r="N26">
        <f>VLOOKUP(F26,'Trial Balance'!F:N,9,0)</f>
        <v/>
      </c>
      <c r="O26" t="s">
        <v>409</v>
      </c>
    </row>
    <row r="27" spans="1:15">
      <c r="A27" t="s">
        <v>408</v>
      </c>
      <c r="B27">
        <f>Left(F27,1)</f>
        <v/>
      </c>
      <c r="C27">
        <f>Left(F27,2)</f>
        <v/>
      </c>
      <c r="D27">
        <f>Left(F27,3)</f>
        <v/>
      </c>
      <c r="E27">
        <f>Left(F27,4)</f>
        <v/>
      </c>
      <c r="F27" t="n">
        <v>16610050</v>
      </c>
      <c r="G27">
        <f>VLOOKUP(F27,'Trial Balance'!F:G,2,0)</f>
        <v/>
      </c>
      <c r="H27">
        <f>VLOOKUP(F27,'Trial Balance'!F:H,3,0)</f>
        <v/>
      </c>
      <c r="I27">
        <f>VLOOKUP(F27,'Trial Balance'!F:I,4,0)</f>
        <v/>
      </c>
      <c r="J27">
        <f>VLOOKUP(F27,'Trial Balance'!F:J,5,0)</f>
        <v/>
      </c>
      <c r="K27">
        <f>VLOOKUP(F27,'Trial Balance'!F:K,6,0)</f>
        <v/>
      </c>
      <c r="L27">
        <f>K27-H27</f>
        <v/>
      </c>
      <c r="M27">
        <f>IFERROR(L27/H27," ")</f>
        <v/>
      </c>
      <c r="N27">
        <f>VLOOKUP(F27,'Trial Balance'!F:N,9,0)</f>
        <v/>
      </c>
      <c r="O27" t="s">
        <v>409</v>
      </c>
    </row>
    <row r="28" spans="1:15">
      <c r="A28" t="s">
        <v>408</v>
      </c>
      <c r="B28">
        <f>Left(F28,1)</f>
        <v/>
      </c>
      <c r="C28">
        <f>Left(F28,2)</f>
        <v/>
      </c>
      <c r="D28">
        <f>Left(F28,3)</f>
        <v/>
      </c>
      <c r="E28">
        <f>Left(F28,4)</f>
        <v/>
      </c>
      <c r="F28" t="n">
        <v>16610060</v>
      </c>
      <c r="G28">
        <f>VLOOKUP(F28,'Trial Balance'!F:G,2,0)</f>
        <v/>
      </c>
      <c r="H28">
        <f>VLOOKUP(F28,'Trial Balance'!F:H,3,0)</f>
        <v/>
      </c>
      <c r="I28">
        <f>VLOOKUP(F28,'Trial Balance'!F:I,4,0)</f>
        <v/>
      </c>
      <c r="J28">
        <f>VLOOKUP(F28,'Trial Balance'!F:J,5,0)</f>
        <v/>
      </c>
      <c r="K28">
        <f>VLOOKUP(F28,'Trial Balance'!F:K,6,0)</f>
        <v/>
      </c>
      <c r="L28">
        <f>K28-H28</f>
        <v/>
      </c>
      <c r="M28">
        <f>IFERROR(L28/H28," ")</f>
        <v/>
      </c>
      <c r="N28">
        <f>VLOOKUP(F28,'Trial Balance'!F:N,9,0)</f>
        <v/>
      </c>
      <c r="O28" t="s">
        <v>409</v>
      </c>
    </row>
    <row r="29" spans="1:15">
      <c r="A29" t="s">
        <v>408</v>
      </c>
      <c r="B29">
        <f>Left(F29,1)</f>
        <v/>
      </c>
      <c r="C29">
        <f>Left(F29,2)</f>
        <v/>
      </c>
      <c r="D29">
        <f>Left(F29,3)</f>
        <v/>
      </c>
      <c r="E29">
        <f>Left(F29,4)</f>
        <v/>
      </c>
      <c r="F29" t="n">
        <v>16618888</v>
      </c>
      <c r="G29">
        <f>VLOOKUP(F29,'Trial Balance'!F:G,2,0)</f>
        <v/>
      </c>
      <c r="H29">
        <f>VLOOKUP(F29,'Trial Balance'!F:H,3,0)</f>
        <v/>
      </c>
      <c r="I29">
        <f>VLOOKUP(F29,'Trial Balance'!F:I,4,0)</f>
        <v/>
      </c>
      <c r="J29">
        <f>VLOOKUP(F29,'Trial Balance'!F:J,5,0)</f>
        <v/>
      </c>
      <c r="K29">
        <f>VLOOKUP(F29,'Trial Balance'!F:K,6,0)</f>
        <v/>
      </c>
      <c r="L29">
        <f>K29-H29</f>
        <v/>
      </c>
      <c r="M29">
        <f>IFERROR(L29/H29," ")</f>
        <v/>
      </c>
      <c r="N29">
        <f>VLOOKUP(F29,'Trial Balance'!F:N,9,0)</f>
        <v/>
      </c>
      <c r="O29" t="s">
        <v>409</v>
      </c>
    </row>
    <row r="30" spans="1:15">
      <c r="A30" t="s">
        <v>408</v>
      </c>
      <c r="B30">
        <f>Left(F30,1)</f>
        <v/>
      </c>
      <c r="C30">
        <f>Left(F30,2)</f>
        <v/>
      </c>
      <c r="D30">
        <f>Left(F30,3)</f>
        <v/>
      </c>
      <c r="E30">
        <f>Left(F30,4)</f>
        <v/>
      </c>
      <c r="F30" t="n">
        <v>47300000</v>
      </c>
      <c r="G30">
        <f>VLOOKUP(F30,'Trial Balance'!F:G,2,0)</f>
        <v/>
      </c>
      <c r="H30">
        <f>VLOOKUP(F30,'Trial Balance'!F:H,3,0)</f>
        <v/>
      </c>
      <c r="I30">
        <f>VLOOKUP(F30,'Trial Balance'!F:I,4,0)</f>
        <v/>
      </c>
      <c r="J30">
        <f>VLOOKUP(F30,'Trial Balance'!F:J,5,0)</f>
        <v/>
      </c>
      <c r="K30">
        <f>VLOOKUP(F30,'Trial Balance'!F:K,6,0)</f>
        <v/>
      </c>
      <c r="L30">
        <f>K30-H30</f>
        <v/>
      </c>
      <c r="M30">
        <f>IFERROR(L30/H30," ")</f>
        <v/>
      </c>
      <c r="N30">
        <f>VLOOKUP(F30,'Trial Balance'!F:N,9,0)</f>
        <v/>
      </c>
      <c r="O30" t="s">
        <v>409</v>
      </c>
    </row>
    <row r="31" spans="1:15">
      <c r="A31" t="s">
        <v>408</v>
      </c>
      <c r="B31">
        <f>Left(F31,1)</f>
        <v/>
      </c>
      <c r="C31">
        <f>Left(F31,2)</f>
        <v/>
      </c>
      <c r="D31">
        <f>Left(F31,3)</f>
        <v/>
      </c>
      <c r="E31">
        <f>Left(F31,4)</f>
        <v/>
      </c>
      <c r="F31" t="n">
        <v>44820020</v>
      </c>
      <c r="G31">
        <f>VLOOKUP(F31,'Trial Balance'!F:G,2,0)</f>
        <v/>
      </c>
      <c r="H31">
        <f>VLOOKUP(F31,'Trial Balance'!F:H,3,0)</f>
        <v/>
      </c>
      <c r="I31">
        <f>VLOOKUP(F31,'Trial Balance'!F:I,4,0)</f>
        <v/>
      </c>
      <c r="J31">
        <f>VLOOKUP(F31,'Trial Balance'!F:J,5,0)</f>
        <v/>
      </c>
      <c r="K31">
        <f>VLOOKUP(F31,'Trial Balance'!F:K,6,0)</f>
        <v/>
      </c>
      <c r="L31">
        <f>K31-H31</f>
        <v/>
      </c>
      <c r="M31">
        <f>IFERROR(L31/H31," ")</f>
        <v/>
      </c>
      <c r="N31">
        <f>VLOOKUP(F31,'Trial Balance'!F:N,9,0)</f>
        <v/>
      </c>
      <c r="O31" t="s">
        <v>409</v>
      </c>
    </row>
  </sheetData>
  <conditionalFormatting sqref="H6">
    <cfRule type="expression" priority="2" dxfId="3">
      <formula>$H$6="Please, fill F30 "</formula>
    </cfRule>
    <cfRule type="expression" priority="4" dxfId="2">
      <formula>$H$6="OK"</formula>
    </cfRule>
  </conditionalFormatting>
  <conditionalFormatting sqref="I6">
    <cfRule type="expression" priority="1" dxfId="3">
      <formula>$I$6="Please, fill F30 "</formula>
    </cfRule>
    <cfRule type="expression" priority="3" dxfId="2">
      <formula>$I$6="OK"</formula>
    </cfRule>
  </conditionalFormatting>
  <pageMargins left="0.7" right="0.7" top="0.75" bottom="0.75" header="0.3" footer="0.3"/>
  <pageSetup orientation="portrait"/>
</worksheet>
</file>

<file path=xl/worksheets/sheet20.xml><?xml version="1.0" encoding="utf-8"?>
<worksheet xmlns="http://schemas.openxmlformats.org/spreadsheetml/2006/main">
  <sheetPr>
    <tabColor rgb="FF7030A0"/>
    <outlinePr summaryBelow="1" summaryRight="1"/>
    <pageSetUpPr/>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baseColWidth="8" defaultColWidth="11.6640625" defaultRowHeight="10" outlineLevelCol="0"/>
  <cols>
    <col width="8.77734375" customWidth="1" style="105" min="1" max="1"/>
    <col width="49.44140625" customWidth="1" style="96" min="2" max="2"/>
    <col width="11.6640625" customWidth="1" style="96" min="3" max="3"/>
    <col width="11.6640625" customWidth="1" style="96" min="4" max="16384"/>
  </cols>
  <sheetData>
    <row r="2" spans="1:6" ht="66.75" customFormat="1" customHeight="1" s="95">
      <c r="A2" s="93" t="s">
        <v>2410</v>
      </c>
      <c r="B2" s="94" t="s">
        <v>23</v>
      </c>
      <c r="C2" s="95" t="s">
        <v>3222</v>
      </c>
      <c r="D2" s="95" t="s">
        <v>3223</v>
      </c>
      <c r="F2" s="95" t="s">
        <v>2413</v>
      </c>
    </row>
    <row r="3" spans="1:6" ht="12.75" customHeight="1">
      <c r="A3" s="96" t="s">
        <v>3224</v>
      </c>
      <c r="B3" s="96" t="s">
        <v>3225</v>
      </c>
      <c r="C3" s="96" t="s">
        <v>3224</v>
      </c>
      <c r="D3" s="96" t="s">
        <v>3226</v>
      </c>
    </row>
    <row r="4" spans="1:6" ht="12.75" customHeight="1">
      <c r="A4" s="96" t="s">
        <v>3227</v>
      </c>
      <c r="B4" s="96" t="s">
        <v>3228</v>
      </c>
      <c r="C4" s="96" t="s">
        <v>3229</v>
      </c>
      <c r="D4" s="96" t="s">
        <v>3226</v>
      </c>
    </row>
    <row r="5" spans="1:6" ht="12.75" customHeight="1">
      <c r="A5" s="96" t="s">
        <v>3230</v>
      </c>
      <c r="B5" s="96" t="s">
        <v>3231</v>
      </c>
      <c r="C5" s="96" t="s">
        <v>3229</v>
      </c>
      <c r="D5" s="96" t="s">
        <v>3226</v>
      </c>
    </row>
    <row r="6" spans="1:6" ht="12.75" customHeight="1">
      <c r="A6" s="96" t="s">
        <v>3232</v>
      </c>
      <c r="B6" s="96" t="s">
        <v>3233</v>
      </c>
      <c r="C6" s="96" t="s">
        <v>3229</v>
      </c>
      <c r="D6" s="96" t="s">
        <v>3226</v>
      </c>
    </row>
    <row r="7" spans="1:6" ht="12.75" customHeight="1">
      <c r="A7" s="96" t="s">
        <v>3234</v>
      </c>
      <c r="B7" s="96" t="s">
        <v>3235</v>
      </c>
      <c r="C7" s="96" t="s">
        <v>3229</v>
      </c>
      <c r="D7" s="96" t="s">
        <v>3226</v>
      </c>
    </row>
    <row r="8" spans="1:6" ht="12.75" customHeight="1">
      <c r="A8" s="96" t="s">
        <v>3236</v>
      </c>
      <c r="B8" s="96" t="s">
        <v>3237</v>
      </c>
      <c r="C8" s="96" t="s">
        <v>3229</v>
      </c>
      <c r="D8" s="96" t="s">
        <v>3226</v>
      </c>
    </row>
    <row r="9" spans="1:6" ht="12.75" customHeight="1">
      <c r="A9" s="96" t="s">
        <v>3238</v>
      </c>
      <c r="B9" s="96" t="s">
        <v>3239</v>
      </c>
      <c r="C9" s="96" t="s">
        <v>3229</v>
      </c>
      <c r="D9" s="96" t="s">
        <v>3226</v>
      </c>
    </row>
    <row r="10" spans="1:6" ht="12.75" customHeight="1">
      <c r="A10" s="96" t="s">
        <v>3240</v>
      </c>
      <c r="B10" s="96" t="s">
        <v>3241</v>
      </c>
      <c r="C10" s="96" t="s">
        <v>3229</v>
      </c>
      <c r="D10" s="96" t="s">
        <v>3226</v>
      </c>
    </row>
    <row r="11" spans="1:6" ht="12.75" customHeight="1">
      <c r="A11" s="96" t="s">
        <v>3242</v>
      </c>
      <c r="B11" s="96" t="s">
        <v>3243</v>
      </c>
      <c r="C11" s="96" t="s">
        <v>3242</v>
      </c>
      <c r="D11" s="96" t="s">
        <v>3244</v>
      </c>
    </row>
    <row r="12" spans="1:6" ht="12.75" customHeight="1">
      <c r="A12" s="96" t="s">
        <v>3245</v>
      </c>
      <c r="B12" s="96" t="s">
        <v>3246</v>
      </c>
      <c r="C12" s="96" t="s">
        <v>3245</v>
      </c>
      <c r="D12" s="96" t="s">
        <v>3244</v>
      </c>
    </row>
    <row r="13" spans="1:6" ht="12.75" customHeight="1">
      <c r="A13" s="96" t="s">
        <v>3247</v>
      </c>
      <c r="B13" s="96" t="s">
        <v>3248</v>
      </c>
      <c r="C13" s="96" t="s">
        <v>3247</v>
      </c>
      <c r="D13" s="96" t="s">
        <v>3249</v>
      </c>
    </row>
    <row r="14" spans="1:6" ht="12.75" customHeight="1">
      <c r="A14" s="96" t="s">
        <v>3250</v>
      </c>
      <c r="B14" s="96" t="s">
        <v>3251</v>
      </c>
      <c r="C14" s="96" t="s">
        <v>3250</v>
      </c>
      <c r="D14" s="96" t="s">
        <v>3244</v>
      </c>
    </row>
    <row r="15" spans="1:6" ht="12.75" customHeight="1">
      <c r="A15" s="96" t="s">
        <v>3252</v>
      </c>
      <c r="B15" s="96" t="s">
        <v>3253</v>
      </c>
      <c r="C15" s="96" t="s">
        <v>3252</v>
      </c>
      <c r="D15" s="96" t="s">
        <v>3254</v>
      </c>
    </row>
    <row r="16" spans="1:6" ht="12.75" customHeight="1">
      <c r="A16" s="96" t="s">
        <v>3255</v>
      </c>
      <c r="B16" s="96" t="s">
        <v>3256</v>
      </c>
      <c r="C16" s="96" t="s">
        <v>3255</v>
      </c>
      <c r="D16" s="96" t="s">
        <v>3244</v>
      </c>
    </row>
    <row r="17" spans="1:6" ht="12.75" customHeight="1">
      <c r="A17" s="96" t="s">
        <v>3257</v>
      </c>
      <c r="B17" s="96" t="s">
        <v>3258</v>
      </c>
      <c r="C17" s="96" t="s">
        <v>3257</v>
      </c>
      <c r="D17" s="96" t="s">
        <v>3259</v>
      </c>
    </row>
    <row r="18" spans="1:6" ht="12.75" customHeight="1">
      <c r="A18" s="96" t="s">
        <v>3260</v>
      </c>
      <c r="B18" s="96" t="s">
        <v>3261</v>
      </c>
      <c r="C18" s="96" t="s">
        <v>3260</v>
      </c>
      <c r="D18" s="96" t="s">
        <v>3262</v>
      </c>
      <c r="F18" s="96" t="s">
        <v>2397</v>
      </c>
    </row>
    <row r="19" spans="1:6" ht="12.75" customHeight="1">
      <c r="A19" s="96" t="s">
        <v>3263</v>
      </c>
      <c r="B19" s="96" t="s">
        <v>3264</v>
      </c>
      <c r="C19" s="96" t="s">
        <v>3263</v>
      </c>
      <c r="D19" s="96" t="s">
        <v>3262</v>
      </c>
      <c r="F19" s="96" t="s">
        <v>2391</v>
      </c>
    </row>
    <row r="20" spans="1:6" ht="12.75" customHeight="1">
      <c r="A20" s="256" t="n">
        <v>6121</v>
      </c>
      <c r="B20" s="256" t="s">
        <v>3265</v>
      </c>
      <c r="C20" s="256" t="s">
        <v>3263</v>
      </c>
      <c r="D20" s="256" t="s">
        <v>3262</v>
      </c>
      <c r="E20" s="256" t="n"/>
      <c r="F20" s="256" t="s">
        <v>2391</v>
      </c>
    </row>
    <row r="21" spans="1:6" ht="12.75" customHeight="1">
      <c r="A21" s="256" t="n">
        <v>6122</v>
      </c>
      <c r="B21" s="256" t="s">
        <v>3266</v>
      </c>
      <c r="C21" s="256" t="s">
        <v>3263</v>
      </c>
      <c r="D21" s="256" t="s">
        <v>3262</v>
      </c>
      <c r="E21" s="256" t="n"/>
      <c r="F21" s="256" t="s">
        <v>2391</v>
      </c>
    </row>
    <row r="22" spans="1:6" ht="12.75" customHeight="1">
      <c r="A22" s="256" t="n">
        <v>6123</v>
      </c>
      <c r="B22" s="256" t="s">
        <v>3267</v>
      </c>
      <c r="C22" s="256" t="s">
        <v>3263</v>
      </c>
      <c r="D22" s="256" t="s">
        <v>3262</v>
      </c>
      <c r="E22" s="256" t="n"/>
      <c r="F22" s="256" t="s">
        <v>2391</v>
      </c>
    </row>
    <row r="23" spans="1:6" ht="12.75" customHeight="1">
      <c r="A23" s="96" t="s">
        <v>3268</v>
      </c>
      <c r="B23" s="96" t="s">
        <v>3269</v>
      </c>
      <c r="C23" s="96" t="s">
        <v>3268</v>
      </c>
      <c r="D23" s="96" t="s">
        <v>3262</v>
      </c>
      <c r="F23" s="96" t="s">
        <v>2393</v>
      </c>
    </row>
    <row r="24" spans="1:6" ht="12.75" customHeight="1">
      <c r="A24" s="96" t="s">
        <v>3270</v>
      </c>
      <c r="B24" s="96" t="s">
        <v>3271</v>
      </c>
      <c r="C24" s="96" t="s">
        <v>3270</v>
      </c>
      <c r="D24" s="96" t="s">
        <v>3262</v>
      </c>
    </row>
    <row r="25" spans="1:6" ht="12.75" customHeight="1">
      <c r="A25" s="96" t="s">
        <v>3272</v>
      </c>
      <c r="B25" s="96" t="s">
        <v>3273</v>
      </c>
      <c r="C25" s="96" t="s">
        <v>3272</v>
      </c>
      <c r="D25" s="96" t="s">
        <v>3262</v>
      </c>
    </row>
    <row r="26" spans="1:6" ht="12.75" customHeight="1">
      <c r="A26" s="256" t="n">
        <v>616</v>
      </c>
      <c r="B26" s="256" t="s">
        <v>3274</v>
      </c>
      <c r="C26" s="256" t="n">
        <v>616</v>
      </c>
      <c r="D26" s="256" t="s">
        <v>3262</v>
      </c>
      <c r="E26" s="256" t="n"/>
      <c r="F26" s="256" t="n"/>
    </row>
    <row r="27" spans="1:6" ht="12.75" customHeight="1">
      <c r="A27" s="256" t="n">
        <v>617</v>
      </c>
      <c r="B27" s="256" t="s">
        <v>3275</v>
      </c>
      <c r="C27" s="256" t="n">
        <v>617</v>
      </c>
      <c r="D27" s="256" t="s">
        <v>3262</v>
      </c>
      <c r="E27" s="256" t="n"/>
      <c r="F27" s="256" t="n"/>
    </row>
    <row r="28" spans="1:6" ht="12.75" customHeight="1">
      <c r="A28" s="256" t="n">
        <v>618</v>
      </c>
      <c r="B28" s="256" t="s">
        <v>3276</v>
      </c>
      <c r="C28" s="256" t="n">
        <v>617</v>
      </c>
      <c r="D28" s="256" t="s">
        <v>3262</v>
      </c>
      <c r="E28" s="256" t="n"/>
      <c r="F28" s="256" t="n"/>
    </row>
    <row r="29" spans="1:6" ht="12.75" customHeight="1">
      <c r="A29" s="96" t="s">
        <v>3277</v>
      </c>
      <c r="B29" s="96" t="s">
        <v>3278</v>
      </c>
      <c r="C29" s="96" t="s">
        <v>3277</v>
      </c>
      <c r="D29" s="96" t="s">
        <v>3262</v>
      </c>
    </row>
    <row r="30" spans="1:6" ht="12.75" customHeight="1">
      <c r="A30" s="96" t="s">
        <v>3279</v>
      </c>
      <c r="B30" s="96" t="s">
        <v>3278</v>
      </c>
      <c r="C30" s="96" t="s">
        <v>3277</v>
      </c>
      <c r="D30" s="96" t="s">
        <v>3280</v>
      </c>
    </row>
    <row r="31" spans="1:6" ht="12.75" customHeight="1">
      <c r="A31" s="96" t="s">
        <v>3281</v>
      </c>
      <c r="B31" s="96" t="s">
        <v>3282</v>
      </c>
      <c r="C31" s="96" t="s">
        <v>3281</v>
      </c>
      <c r="D31" s="96" t="s">
        <v>3262</v>
      </c>
      <c r="F31" s="96" t="s">
        <v>2394</v>
      </c>
    </row>
    <row r="32" spans="1:6" ht="12.75" customHeight="1">
      <c r="A32" s="96" t="s">
        <v>3283</v>
      </c>
      <c r="B32" s="96" t="s">
        <v>3284</v>
      </c>
      <c r="C32" s="96" t="s">
        <v>3283</v>
      </c>
      <c r="D32" s="96" t="s">
        <v>3262</v>
      </c>
      <c r="F32" s="96" t="s">
        <v>2400</v>
      </c>
    </row>
    <row r="33" spans="1:6" ht="12.75" customHeight="1">
      <c r="A33" s="96" t="s">
        <v>3285</v>
      </c>
      <c r="B33" s="96" t="s">
        <v>3286</v>
      </c>
      <c r="C33" s="96" t="s">
        <v>3285</v>
      </c>
      <c r="D33" s="96" t="s">
        <v>3262</v>
      </c>
      <c r="F33" s="96" t="s">
        <v>2390</v>
      </c>
    </row>
    <row r="34" spans="1:6" ht="12.75" customHeight="1">
      <c r="A34" s="96" t="s">
        <v>3287</v>
      </c>
      <c r="B34" s="96" t="s">
        <v>3288</v>
      </c>
      <c r="C34" s="96" t="s">
        <v>3287</v>
      </c>
      <c r="D34" s="96" t="s">
        <v>3262</v>
      </c>
      <c r="F34" s="96" t="s">
        <v>2399</v>
      </c>
    </row>
    <row r="35" spans="1:6" ht="12.75" customHeight="1">
      <c r="A35" s="96" t="s">
        <v>3289</v>
      </c>
      <c r="B35" s="96" t="s">
        <v>3290</v>
      </c>
      <c r="C35" s="96" t="s">
        <v>3289</v>
      </c>
      <c r="D35" s="96" t="s">
        <v>3262</v>
      </c>
      <c r="F35" s="101" t="s">
        <v>2398</v>
      </c>
    </row>
    <row r="36" spans="1:6" ht="12.75" customHeight="1">
      <c r="A36" s="96" t="s">
        <v>3291</v>
      </c>
      <c r="B36" s="96" t="s">
        <v>3292</v>
      </c>
      <c r="C36" s="96" t="s">
        <v>3291</v>
      </c>
      <c r="D36" s="96" t="s">
        <v>3262</v>
      </c>
      <c r="F36" s="96" t="s">
        <v>2392</v>
      </c>
    </row>
    <row r="37" spans="1:6" ht="12.75" customHeight="1">
      <c r="A37" s="96" t="s">
        <v>3293</v>
      </c>
      <c r="B37" s="96" t="s">
        <v>3294</v>
      </c>
      <c r="C37" s="96" t="s">
        <v>3293</v>
      </c>
      <c r="D37" s="96" t="s">
        <v>3262</v>
      </c>
      <c r="F37" s="96" t="s">
        <v>2401</v>
      </c>
    </row>
    <row r="38" spans="1:6" ht="12.75" customHeight="1">
      <c r="A38" s="96" t="s">
        <v>3295</v>
      </c>
      <c r="B38" s="96" t="s">
        <v>3296</v>
      </c>
      <c r="C38" s="96" t="s">
        <v>3295</v>
      </c>
      <c r="D38" s="96" t="s">
        <v>3297</v>
      </c>
      <c r="F38" s="96" t="s">
        <v>2404</v>
      </c>
    </row>
    <row r="39" spans="1:6" ht="12.75" customHeight="1">
      <c r="A39" s="96" t="s">
        <v>3298</v>
      </c>
      <c r="B39" s="96" t="s">
        <v>3299</v>
      </c>
      <c r="C39" s="96" t="s">
        <v>3298</v>
      </c>
      <c r="D39" s="96" t="s">
        <v>3280</v>
      </c>
      <c r="F39" s="96" t="s">
        <v>2381</v>
      </c>
    </row>
    <row r="40" spans="1:6" ht="12.75" customHeight="1">
      <c r="A40" s="96" t="s">
        <v>3300</v>
      </c>
      <c r="B40" s="96" t="s">
        <v>3301</v>
      </c>
      <c r="C40" s="96" t="s">
        <v>3300</v>
      </c>
      <c r="D40" s="96" t="s">
        <v>3280</v>
      </c>
      <c r="F40" s="96" t="s">
        <v>2384</v>
      </c>
    </row>
    <row r="41" spans="1:6" ht="12.75" customHeight="1">
      <c r="A41" s="96" t="s">
        <v>3302</v>
      </c>
      <c r="B41" s="96" t="s">
        <v>3303</v>
      </c>
      <c r="C41" s="96" t="s">
        <v>3300</v>
      </c>
      <c r="D41" s="96" t="s">
        <v>3280</v>
      </c>
      <c r="F41" s="96" t="s">
        <v>2384</v>
      </c>
    </row>
    <row r="42" spans="1:6" ht="12.75" customHeight="1">
      <c r="A42" s="96" t="s">
        <v>3304</v>
      </c>
      <c r="B42" s="96" t="s">
        <v>3305</v>
      </c>
      <c r="C42" s="96" t="s">
        <v>3300</v>
      </c>
      <c r="D42" s="96" t="s">
        <v>3280</v>
      </c>
      <c r="F42" s="96" t="s">
        <v>2385</v>
      </c>
    </row>
    <row r="43" spans="1:6" ht="12.75" customHeight="1">
      <c r="A43" s="96" t="s">
        <v>3306</v>
      </c>
      <c r="B43" s="96" t="s">
        <v>3307</v>
      </c>
      <c r="C43" s="96" t="s">
        <v>3306</v>
      </c>
      <c r="D43" s="96" t="s">
        <v>3280</v>
      </c>
      <c r="F43" s="96" t="s">
        <v>3308</v>
      </c>
    </row>
    <row r="44" spans="1:6" ht="12.75" customHeight="1">
      <c r="A44" s="96" t="s">
        <v>3309</v>
      </c>
      <c r="B44" s="96" t="s">
        <v>3310</v>
      </c>
      <c r="C44" s="96" t="s">
        <v>3309</v>
      </c>
      <c r="D44" s="96" t="s">
        <v>3280</v>
      </c>
      <c r="F44" s="96" t="s">
        <v>2386</v>
      </c>
    </row>
    <row r="45" spans="1:6" ht="12.75" customHeight="1">
      <c r="A45" s="96" t="s">
        <v>3311</v>
      </c>
      <c r="B45" s="96" t="s">
        <v>3312</v>
      </c>
      <c r="C45" s="96" t="s">
        <v>3311</v>
      </c>
      <c r="D45" s="96" t="s">
        <v>3313</v>
      </c>
      <c r="F45" s="96" t="s">
        <v>2388</v>
      </c>
    </row>
    <row r="46" spans="1:6" ht="12.75" customHeight="1">
      <c r="A46" s="96" t="s">
        <v>3314</v>
      </c>
      <c r="B46" s="96" t="s">
        <v>3315</v>
      </c>
      <c r="C46" s="96" t="s">
        <v>3314</v>
      </c>
      <c r="D46" s="96" t="s">
        <v>3313</v>
      </c>
      <c r="F46" s="96" t="s">
        <v>2388</v>
      </c>
    </row>
    <row r="47" spans="1:6" ht="12.75" customHeight="1">
      <c r="A47" s="96" t="s">
        <v>3316</v>
      </c>
      <c r="B47" s="96" t="s">
        <v>3317</v>
      </c>
      <c r="C47" s="96" t="s">
        <v>3311</v>
      </c>
      <c r="D47" s="96" t="s">
        <v>3313</v>
      </c>
      <c r="F47" s="96" t="s">
        <v>2388</v>
      </c>
    </row>
    <row r="48" spans="1:6" ht="12.75" customHeight="1">
      <c r="A48" s="96" t="s">
        <v>3318</v>
      </c>
      <c r="B48" s="96" t="s">
        <v>3319</v>
      </c>
      <c r="C48" s="96" t="s">
        <v>3311</v>
      </c>
      <c r="D48" s="96" t="s">
        <v>3313</v>
      </c>
      <c r="F48" s="96" t="s">
        <v>2388</v>
      </c>
    </row>
    <row r="49" spans="1:6" ht="12.75" customHeight="1">
      <c r="A49" s="96" t="s">
        <v>3320</v>
      </c>
      <c r="B49" s="96" t="s">
        <v>3321</v>
      </c>
      <c r="C49" s="96" t="s">
        <v>3311</v>
      </c>
      <c r="D49" s="96" t="s">
        <v>3313</v>
      </c>
      <c r="F49" s="96" t="s">
        <v>2388</v>
      </c>
    </row>
    <row r="50" spans="1:6" ht="12.75" customHeight="1">
      <c r="A50" s="96" t="s">
        <v>3322</v>
      </c>
      <c r="B50" s="96" t="s">
        <v>3323</v>
      </c>
      <c r="C50" s="96" t="s">
        <v>3311</v>
      </c>
      <c r="D50" s="96" t="s">
        <v>3313</v>
      </c>
      <c r="F50" s="96" t="s">
        <v>2388</v>
      </c>
    </row>
    <row r="51" spans="1:6" ht="12.75" customHeight="1">
      <c r="A51" s="96" t="s">
        <v>3324</v>
      </c>
      <c r="B51" s="96" t="s">
        <v>3325</v>
      </c>
      <c r="C51" s="96" t="s">
        <v>3311</v>
      </c>
      <c r="D51" s="96" t="s">
        <v>3313</v>
      </c>
      <c r="F51" s="96" t="s">
        <v>2388</v>
      </c>
    </row>
    <row r="52" spans="1:6" ht="12.75" customHeight="1">
      <c r="A52" s="96" t="s">
        <v>3326</v>
      </c>
      <c r="B52" s="96" t="s">
        <v>3327</v>
      </c>
      <c r="C52" s="96" t="s">
        <v>3311</v>
      </c>
      <c r="D52" s="96" t="s">
        <v>3313</v>
      </c>
      <c r="F52" s="96" t="s">
        <v>2388</v>
      </c>
    </row>
    <row r="53" spans="1:6" ht="12.75" customHeight="1">
      <c r="A53" s="96" t="s">
        <v>3328</v>
      </c>
      <c r="B53" s="96" t="s">
        <v>3329</v>
      </c>
      <c r="C53" s="96" t="s">
        <v>3311</v>
      </c>
      <c r="D53" s="96" t="s">
        <v>3313</v>
      </c>
      <c r="F53" s="96" t="s">
        <v>2388</v>
      </c>
    </row>
    <row r="54" spans="1:6" ht="12.75" customHeight="1">
      <c r="A54" s="96" t="s">
        <v>3330</v>
      </c>
      <c r="B54" s="96" t="s">
        <v>3331</v>
      </c>
      <c r="C54" s="96" t="s">
        <v>3332</v>
      </c>
      <c r="D54" s="96" t="s">
        <v>3333</v>
      </c>
    </row>
    <row r="55" spans="1:6" ht="12.75" customHeight="1">
      <c r="A55" s="96" t="s">
        <v>3334</v>
      </c>
      <c r="B55" s="96" t="s">
        <v>3335</v>
      </c>
      <c r="C55" s="96" t="s">
        <v>3332</v>
      </c>
      <c r="D55" s="96" t="s">
        <v>3333</v>
      </c>
    </row>
    <row r="56" spans="1:6" ht="12.75" customHeight="1">
      <c r="A56" s="96" t="s">
        <v>3336</v>
      </c>
      <c r="B56" s="96" t="s">
        <v>3337</v>
      </c>
      <c r="C56" s="96" t="s">
        <v>3332</v>
      </c>
      <c r="D56" s="96" t="s">
        <v>3333</v>
      </c>
    </row>
    <row r="57" spans="1:6" ht="12.75" customHeight="1">
      <c r="A57" s="96" t="s">
        <v>3338</v>
      </c>
      <c r="B57" s="96" t="s">
        <v>3339</v>
      </c>
      <c r="C57" s="96" t="s">
        <v>3338</v>
      </c>
      <c r="D57" s="96" t="s">
        <v>3340</v>
      </c>
      <c r="F57" s="96" t="s">
        <v>2405</v>
      </c>
    </row>
    <row r="58" spans="1:6" ht="12.75" customHeight="1">
      <c r="A58" s="96" t="s">
        <v>3341</v>
      </c>
      <c r="B58" s="96" t="s">
        <v>3342</v>
      </c>
      <c r="C58" s="96" t="s">
        <v>3341</v>
      </c>
      <c r="D58" s="96" t="s">
        <v>3343</v>
      </c>
      <c r="F58" s="96" t="s">
        <v>2408</v>
      </c>
    </row>
    <row r="59" spans="1:6" ht="12.75" customHeight="1">
      <c r="A59" s="96" t="s">
        <v>3344</v>
      </c>
      <c r="B59" s="96" t="s">
        <v>3345</v>
      </c>
      <c r="C59" s="96" t="s">
        <v>3344</v>
      </c>
      <c r="D59" s="96" t="s">
        <v>3346</v>
      </c>
      <c r="F59" s="96" t="s">
        <v>2406</v>
      </c>
    </row>
    <row r="60" spans="1:6" ht="12.75" customHeight="1">
      <c r="A60" s="96" t="s">
        <v>3347</v>
      </c>
      <c r="B60" s="96" t="s">
        <v>3348</v>
      </c>
      <c r="C60" s="96" t="s">
        <v>3349</v>
      </c>
      <c r="D60" s="96" t="s">
        <v>3333</v>
      </c>
      <c r="F60" s="96" t="s">
        <v>2408</v>
      </c>
    </row>
    <row r="61" spans="1:6" ht="12.75" customHeight="1">
      <c r="A61" s="96" t="s">
        <v>3350</v>
      </c>
      <c r="B61" s="96" t="s">
        <v>3351</v>
      </c>
      <c r="C61" s="96" t="s">
        <v>3349</v>
      </c>
      <c r="D61" s="96" t="s">
        <v>3333</v>
      </c>
      <c r="F61" s="96" t="s">
        <v>2408</v>
      </c>
    </row>
    <row r="62" spans="1:6" ht="12.75" customHeight="1">
      <c r="A62" s="96" t="s">
        <v>3352</v>
      </c>
      <c r="B62" s="96" t="s">
        <v>3353</v>
      </c>
      <c r="C62" s="96" t="s">
        <v>3349</v>
      </c>
      <c r="D62" s="96" t="s">
        <v>3333</v>
      </c>
      <c r="F62" s="96" t="s">
        <v>2408</v>
      </c>
    </row>
    <row r="63" spans="1:6" ht="12.75" customHeight="1">
      <c r="A63" s="96" t="s">
        <v>3354</v>
      </c>
      <c r="B63" s="96" t="s">
        <v>3355</v>
      </c>
      <c r="C63" s="96" t="s">
        <v>3349</v>
      </c>
      <c r="D63" s="96" t="s">
        <v>3333</v>
      </c>
      <c r="F63" s="96" t="s">
        <v>2408</v>
      </c>
    </row>
    <row r="64" spans="1:6" ht="12.75" customHeight="1">
      <c r="A64" s="96" t="s">
        <v>3356</v>
      </c>
      <c r="B64" s="96" t="s">
        <v>3357</v>
      </c>
      <c r="C64" s="96" t="s">
        <v>3349</v>
      </c>
      <c r="D64" s="96" t="s">
        <v>3297</v>
      </c>
      <c r="F64" s="96" t="s">
        <v>2408</v>
      </c>
    </row>
    <row r="65" spans="1:6" ht="12.75" customHeight="1">
      <c r="A65" s="96" t="s">
        <v>3358</v>
      </c>
      <c r="B65" s="96" t="s">
        <v>3359</v>
      </c>
      <c r="C65" s="96" t="s">
        <v>3349</v>
      </c>
      <c r="D65" s="96" t="s">
        <v>3333</v>
      </c>
      <c r="F65" s="96" t="s">
        <v>2408</v>
      </c>
    </row>
    <row r="66" spans="1:6" ht="12.75" customHeight="1">
      <c r="A66" s="96" t="s">
        <v>3360</v>
      </c>
      <c r="B66" s="96" t="s">
        <v>3361</v>
      </c>
      <c r="C66" s="96" t="s">
        <v>3349</v>
      </c>
      <c r="D66" s="96" t="s">
        <v>3362</v>
      </c>
      <c r="F66" s="96" t="s">
        <v>2408</v>
      </c>
    </row>
    <row r="67" spans="1:6" ht="12.75" customHeight="1">
      <c r="A67" s="96" t="s">
        <v>3363</v>
      </c>
      <c r="B67" s="96" t="s">
        <v>3364</v>
      </c>
      <c r="C67" s="96" t="s">
        <v>3363</v>
      </c>
      <c r="D67" s="96" t="s">
        <v>3365</v>
      </c>
    </row>
    <row r="68" spans="1:6" ht="12.75" customHeight="1">
      <c r="A68" s="96" t="s">
        <v>3366</v>
      </c>
      <c r="B68" s="96" t="s">
        <v>3367</v>
      </c>
      <c r="C68" s="96" t="s">
        <v>3368</v>
      </c>
      <c r="D68" s="96" t="s">
        <v>3365</v>
      </c>
    </row>
    <row r="69" spans="1:6" ht="12.75" customHeight="1">
      <c r="A69" s="96" t="s">
        <v>3369</v>
      </c>
      <c r="B69" s="96" t="s">
        <v>3370</v>
      </c>
      <c r="C69" s="96" t="s">
        <v>3368</v>
      </c>
      <c r="D69" s="106" t="s">
        <v>3365</v>
      </c>
    </row>
    <row r="70" spans="1:6" ht="12.75" customHeight="1">
      <c r="A70" s="96" t="s">
        <v>3371</v>
      </c>
      <c r="B70" s="96" t="s">
        <v>3372</v>
      </c>
      <c r="C70" s="96" t="s">
        <v>3371</v>
      </c>
      <c r="D70" s="96" t="s">
        <v>3365</v>
      </c>
    </row>
    <row r="71" spans="1:6" ht="12.75" customHeight="1">
      <c r="A71" s="96" t="s">
        <v>3373</v>
      </c>
      <c r="B71" s="96" t="s">
        <v>3374</v>
      </c>
      <c r="C71" s="96" t="s">
        <v>3371</v>
      </c>
      <c r="D71" s="96" t="s">
        <v>3365</v>
      </c>
      <c r="E71" s="96" t="s">
        <v>3375</v>
      </c>
    </row>
    <row r="72" spans="1:6" ht="12.75" customHeight="1">
      <c r="A72" s="96" t="s">
        <v>3376</v>
      </c>
      <c r="B72" s="96" t="s">
        <v>3377</v>
      </c>
      <c r="C72" s="96" t="s">
        <v>3371</v>
      </c>
      <c r="D72" s="96" t="s">
        <v>3365</v>
      </c>
      <c r="E72" s="96" t="s">
        <v>3375</v>
      </c>
    </row>
    <row r="73" spans="1:6" ht="12.75" customHeight="1">
      <c r="A73" s="96" t="s">
        <v>3378</v>
      </c>
      <c r="B73" s="96" t="s">
        <v>3379</v>
      </c>
      <c r="C73" s="96" t="s">
        <v>3378</v>
      </c>
      <c r="D73" s="96" t="s">
        <v>3380</v>
      </c>
    </row>
    <row r="74" spans="1:6" ht="12.75" customHeight="1">
      <c r="A74" s="96" t="s">
        <v>3381</v>
      </c>
      <c r="B74" s="96" t="s">
        <v>3379</v>
      </c>
      <c r="C74" s="96" t="s">
        <v>3378</v>
      </c>
    </row>
    <row r="75" spans="1:6" ht="12.75" customHeight="1">
      <c r="A75" s="96" t="s">
        <v>3382</v>
      </c>
      <c r="B75" s="96" t="s">
        <v>3383</v>
      </c>
      <c r="C75" s="96" t="s">
        <v>3382</v>
      </c>
      <c r="D75" s="96" t="s">
        <v>3365</v>
      </c>
    </row>
    <row r="76" spans="1:6" ht="12.75" customHeight="1">
      <c r="A76" s="96" t="s">
        <v>3384</v>
      </c>
      <c r="B76" s="96" t="s">
        <v>3385</v>
      </c>
      <c r="C76" s="96" t="s">
        <v>3384</v>
      </c>
      <c r="D76" s="96" t="s">
        <v>3365</v>
      </c>
    </row>
    <row r="77" spans="1:6" ht="12.75" customHeight="1">
      <c r="A77" s="96" t="s">
        <v>3386</v>
      </c>
      <c r="B77" s="99" t="s">
        <v>3387</v>
      </c>
      <c r="C77" s="96" t="s">
        <v>3386</v>
      </c>
    </row>
    <row r="78" spans="1:6" ht="12.75" customHeight="1">
      <c r="A78" s="96" t="s">
        <v>3388</v>
      </c>
      <c r="B78" s="96" t="s">
        <v>3389</v>
      </c>
      <c r="C78" s="96" t="s">
        <v>3390</v>
      </c>
      <c r="D78" s="96" t="s">
        <v>3391</v>
      </c>
    </row>
    <row r="79" spans="1:6" ht="12.75" customHeight="1">
      <c r="A79" s="96" t="s">
        <v>3392</v>
      </c>
      <c r="B79" s="96" t="s">
        <v>3393</v>
      </c>
      <c r="C79" s="96" t="s">
        <v>3390</v>
      </c>
      <c r="D79" s="96" t="s">
        <v>3394</v>
      </c>
    </row>
    <row r="80" spans="1:6" ht="12.75" customHeight="1">
      <c r="A80" s="96" t="s">
        <v>3395</v>
      </c>
      <c r="B80" s="96" t="s">
        <v>3396</v>
      </c>
      <c r="C80" s="96" t="s">
        <v>3390</v>
      </c>
      <c r="D80" s="96" t="s">
        <v>3391</v>
      </c>
    </row>
    <row r="81" spans="1:6" ht="13.5" customHeight="1">
      <c r="A81" s="96" t="s">
        <v>3397</v>
      </c>
      <c r="B81" s="96" t="s">
        <v>3398</v>
      </c>
      <c r="C81" s="96" t="s">
        <v>3390</v>
      </c>
      <c r="D81" s="96" t="s">
        <v>3343</v>
      </c>
    </row>
    <row r="82" spans="1:6" ht="12.75" customHeight="1">
      <c r="A82" s="96" t="s">
        <v>3399</v>
      </c>
      <c r="B82" s="96" t="s">
        <v>3400</v>
      </c>
      <c r="C82" s="96" t="s">
        <v>3390</v>
      </c>
      <c r="D82" s="96" t="s">
        <v>3391</v>
      </c>
    </row>
    <row r="83" spans="1:6" ht="12.75" customHeight="1">
      <c r="A83" s="96" t="s">
        <v>3401</v>
      </c>
      <c r="B83" s="96" t="s">
        <v>3402</v>
      </c>
      <c r="C83" s="96" t="s">
        <v>3390</v>
      </c>
    </row>
    <row r="84" spans="1:6" ht="12.75" customHeight="1">
      <c r="A84" s="96" t="s">
        <v>3403</v>
      </c>
      <c r="B84" s="96" t="s">
        <v>3404</v>
      </c>
      <c r="C84" s="96" t="s">
        <v>3405</v>
      </c>
      <c r="D84" s="96" t="s">
        <v>3406</v>
      </c>
    </row>
    <row r="85" spans="1:6" ht="12.75" customHeight="1">
      <c r="A85" s="96" t="s">
        <v>3407</v>
      </c>
      <c r="B85" s="96" t="s">
        <v>3408</v>
      </c>
      <c r="C85" s="96" t="s">
        <v>3405</v>
      </c>
      <c r="D85" s="96" t="s">
        <v>3406</v>
      </c>
    </row>
    <row r="86" spans="1:6" ht="12.75" customHeight="1">
      <c r="A86" s="96" t="s">
        <v>3409</v>
      </c>
      <c r="B86" s="96" t="s">
        <v>3410</v>
      </c>
      <c r="C86" s="96" t="s">
        <v>3405</v>
      </c>
      <c r="D86" s="96" t="s">
        <v>3406</v>
      </c>
    </row>
    <row r="87" spans="1:6" ht="12.75" customHeight="1">
      <c r="A87" s="96" t="s">
        <v>3411</v>
      </c>
      <c r="B87" s="96" t="s">
        <v>3412</v>
      </c>
      <c r="C87" s="96" t="s">
        <v>3405</v>
      </c>
      <c r="D87" s="96" t="s">
        <v>3406</v>
      </c>
    </row>
    <row r="88" spans="1:6" ht="12.75" customHeight="1">
      <c r="A88" s="96" t="s">
        <v>3413</v>
      </c>
      <c r="B88" s="96" t="s">
        <v>3414</v>
      </c>
      <c r="C88" s="96" t="s">
        <v>3405</v>
      </c>
      <c r="D88" s="96" t="s">
        <v>3406</v>
      </c>
    </row>
    <row r="89" spans="1:6" ht="12.75" customHeight="1">
      <c r="A89" s="96" t="s">
        <v>3415</v>
      </c>
      <c r="B89" s="96" t="s">
        <v>3416</v>
      </c>
      <c r="C89" s="96" t="s">
        <v>3415</v>
      </c>
      <c r="D89" s="96" t="s">
        <v>3417</v>
      </c>
    </row>
    <row r="90" spans="1:6" ht="12.75" customHeight="1">
      <c r="A90" s="96" t="n">
        <v>694</v>
      </c>
      <c r="C90" s="96" t="n">
        <v>694</v>
      </c>
      <c r="D90" s="96" t="s">
        <v>3418</v>
      </c>
    </row>
    <row r="91" spans="1:6" ht="12.75" customHeight="1">
      <c r="A91" s="96" t="s">
        <v>3419</v>
      </c>
      <c r="B91" s="96" t="s">
        <v>3420</v>
      </c>
      <c r="C91" s="96" t="s">
        <v>3419</v>
      </c>
      <c r="D91" s="96" t="s">
        <v>3421</v>
      </c>
    </row>
    <row r="92" spans="1:6" ht="12.75" customHeight="1">
      <c r="A92" s="96" t="s">
        <v>3422</v>
      </c>
      <c r="B92" s="96" t="s">
        <v>3423</v>
      </c>
      <c r="C92" s="96" t="s">
        <v>3422</v>
      </c>
      <c r="D92" s="96" t="s">
        <v>3424</v>
      </c>
    </row>
    <row r="93" spans="1:6" ht="12.75" customHeight="1">
      <c r="A93" s="96" t="s">
        <v>3425</v>
      </c>
      <c r="B93" s="96" t="s">
        <v>3426</v>
      </c>
      <c r="C93" s="96" t="s">
        <v>3425</v>
      </c>
      <c r="D93" s="96" t="s">
        <v>3427</v>
      </c>
    </row>
    <row r="94" spans="1:6" ht="12.75" customHeight="1">
      <c r="A94" s="96" t="s">
        <v>3428</v>
      </c>
      <c r="B94" s="105" t="s">
        <v>3429</v>
      </c>
      <c r="C94" s="96" t="s">
        <v>3425</v>
      </c>
      <c r="D94" s="96" t="s">
        <v>3427</v>
      </c>
    </row>
    <row r="95" spans="1:6" ht="12.75" customFormat="1" customHeight="1" s="106">
      <c r="A95" s="96" t="s">
        <v>3430</v>
      </c>
      <c r="B95" s="105" t="s">
        <v>3431</v>
      </c>
      <c r="C95" s="96" t="s">
        <v>3425</v>
      </c>
      <c r="D95" s="96" t="s">
        <v>3427</v>
      </c>
      <c r="F95" s="96" t="n"/>
    </row>
    <row r="96" spans="1:6" ht="12.75" customHeight="1">
      <c r="A96" s="96" t="s">
        <v>3432</v>
      </c>
      <c r="B96" s="96" t="s">
        <v>3426</v>
      </c>
      <c r="C96" s="96" t="s">
        <v>3425</v>
      </c>
      <c r="D96" s="96" t="s">
        <v>3427</v>
      </c>
    </row>
    <row r="97" spans="1:6" ht="12.75" customHeight="1">
      <c r="A97" s="96" t="s">
        <v>3433</v>
      </c>
      <c r="B97" s="96" t="s">
        <v>3434</v>
      </c>
      <c r="C97" s="96" t="s">
        <v>3433</v>
      </c>
      <c r="D97" s="96" t="s">
        <v>3427</v>
      </c>
    </row>
    <row r="98" spans="1:6" ht="12.75" customHeight="1">
      <c r="A98" s="96" t="s">
        <v>3435</v>
      </c>
      <c r="B98" s="96" t="s">
        <v>3436</v>
      </c>
      <c r="C98" s="96" t="s">
        <v>3435</v>
      </c>
      <c r="D98" s="96" t="s">
        <v>3427</v>
      </c>
    </row>
    <row r="99" spans="1:6" ht="12.75" customHeight="1">
      <c r="A99" s="96" t="s">
        <v>3437</v>
      </c>
      <c r="B99" s="96" t="s">
        <v>3438</v>
      </c>
      <c r="C99" s="96" t="s">
        <v>3437</v>
      </c>
      <c r="D99" s="96" t="s">
        <v>3427</v>
      </c>
    </row>
    <row r="100" spans="1:6" ht="12.75" customHeight="1">
      <c r="A100" s="96" t="s">
        <v>3439</v>
      </c>
      <c r="B100" s="96" t="s">
        <v>3440</v>
      </c>
      <c r="C100" s="96" t="s">
        <v>3439</v>
      </c>
      <c r="D100" s="96" t="s">
        <v>3427</v>
      </c>
    </row>
    <row r="101" spans="1:6" ht="12.75" customHeight="1">
      <c r="A101" s="96" t="s">
        <v>3441</v>
      </c>
      <c r="B101" s="96" t="s">
        <v>3442</v>
      </c>
      <c r="C101" s="96" t="s">
        <v>3441</v>
      </c>
      <c r="D101" s="96" t="s">
        <v>3427</v>
      </c>
    </row>
    <row r="102" spans="1:6" ht="12.75" customHeight="1">
      <c r="A102" s="96" t="s">
        <v>3443</v>
      </c>
      <c r="B102" s="96" t="s">
        <v>3444</v>
      </c>
      <c r="C102" s="96" t="s">
        <v>3443</v>
      </c>
      <c r="D102" s="96" t="s">
        <v>3445</v>
      </c>
    </row>
    <row r="103" spans="1:6" ht="12.75" customHeight="1">
      <c r="A103" s="96" t="s">
        <v>3446</v>
      </c>
      <c r="B103" s="96" t="s">
        <v>3447</v>
      </c>
      <c r="C103" s="96" t="s">
        <v>3446</v>
      </c>
      <c r="D103" s="96" t="s">
        <v>3427</v>
      </c>
    </row>
    <row r="104" spans="1:6" ht="12.75" customHeight="1">
      <c r="A104" s="96" t="s">
        <v>3448</v>
      </c>
      <c r="B104" s="96" t="s">
        <v>3449</v>
      </c>
      <c r="C104" s="96" t="s">
        <v>3448</v>
      </c>
      <c r="D104" s="96" t="s">
        <v>3450</v>
      </c>
    </row>
    <row r="105" spans="1:6" ht="12.75" customHeight="1">
      <c r="A105" s="96" t="s">
        <v>3451</v>
      </c>
      <c r="B105" s="96" t="s">
        <v>3452</v>
      </c>
      <c r="C105" s="96" t="s">
        <v>3451</v>
      </c>
      <c r="D105" s="107" t="s">
        <v>3453</v>
      </c>
    </row>
    <row r="106" spans="1:6" ht="12.75" customHeight="1">
      <c r="A106" s="96" t="s">
        <v>3454</v>
      </c>
      <c r="B106" s="96" t="s">
        <v>3455</v>
      </c>
      <c r="C106" s="96" t="s">
        <v>3454</v>
      </c>
      <c r="D106" s="107" t="s">
        <v>3453</v>
      </c>
    </row>
    <row r="107" spans="1:6" ht="12.75" customHeight="1">
      <c r="A107" s="96" t="s">
        <v>3456</v>
      </c>
      <c r="B107" s="96" t="s">
        <v>3457</v>
      </c>
      <c r="C107" s="96" t="s">
        <v>3456</v>
      </c>
      <c r="D107" s="96" t="s">
        <v>3458</v>
      </c>
    </row>
    <row r="108" spans="1:6" ht="12.75" customHeight="1">
      <c r="A108" s="96" t="s">
        <v>3459</v>
      </c>
      <c r="B108" s="96" t="s">
        <v>3460</v>
      </c>
      <c r="C108" s="96" t="s">
        <v>3459</v>
      </c>
      <c r="D108" s="96" t="s">
        <v>3458</v>
      </c>
    </row>
    <row r="109" spans="1:6" ht="12.75" customHeight="1">
      <c r="A109" s="96" t="s">
        <v>3461</v>
      </c>
      <c r="B109" s="96" t="s">
        <v>3462</v>
      </c>
      <c r="C109" s="96" t="s">
        <v>3461</v>
      </c>
      <c r="D109" s="96" t="s">
        <v>3463</v>
      </c>
    </row>
    <row r="110" spans="1:6" ht="12.75" customHeight="1">
      <c r="A110" s="96" t="s">
        <v>3464</v>
      </c>
      <c r="B110" s="96" t="s">
        <v>3465</v>
      </c>
      <c r="C110" s="96" t="s">
        <v>3466</v>
      </c>
      <c r="D110" s="96" t="s">
        <v>3467</v>
      </c>
    </row>
    <row r="111" spans="1:6" ht="12.75" customHeight="1">
      <c r="A111" s="96" t="s">
        <v>3468</v>
      </c>
      <c r="B111" s="96" t="s">
        <v>3469</v>
      </c>
      <c r="C111" s="96" t="s">
        <v>3466</v>
      </c>
      <c r="D111" s="96" t="s">
        <v>3470</v>
      </c>
    </row>
    <row r="112" spans="1:6" ht="12.75" customHeight="1">
      <c r="A112" s="96" t="s">
        <v>3471</v>
      </c>
      <c r="B112" s="96" t="s">
        <v>3472</v>
      </c>
      <c r="C112" s="96" t="s">
        <v>3466</v>
      </c>
      <c r="D112" s="96" t="s">
        <v>3470</v>
      </c>
    </row>
    <row r="113" spans="1:6" ht="12.75" customHeight="1">
      <c r="A113" s="96" t="s">
        <v>3473</v>
      </c>
      <c r="B113" s="96" t="s">
        <v>3474</v>
      </c>
      <c r="C113" s="96" t="s">
        <v>3466</v>
      </c>
      <c r="D113" s="96" t="s">
        <v>3470</v>
      </c>
    </row>
    <row r="114" spans="1:6" ht="12.75" customHeight="1">
      <c r="A114" s="96" t="s">
        <v>3475</v>
      </c>
      <c r="B114" s="96" t="s">
        <v>3476</v>
      </c>
      <c r="C114" s="96" t="s">
        <v>3466</v>
      </c>
      <c r="D114" s="96" t="s">
        <v>3470</v>
      </c>
    </row>
    <row r="115" spans="1:6" ht="12.75" customHeight="1">
      <c r="A115" s="96" t="s">
        <v>3477</v>
      </c>
      <c r="B115" s="96" t="s">
        <v>3478</v>
      </c>
      <c r="C115" s="96" t="s">
        <v>3466</v>
      </c>
      <c r="D115" s="96" t="s">
        <v>3470</v>
      </c>
    </row>
    <row r="116" spans="1:6" ht="12.75" customHeight="1">
      <c r="A116" s="96" t="s">
        <v>3479</v>
      </c>
      <c r="B116" s="96" t="s">
        <v>3480</v>
      </c>
      <c r="C116" s="96" t="s">
        <v>3466</v>
      </c>
      <c r="D116" s="96" t="s">
        <v>3470</v>
      </c>
    </row>
    <row r="117" spans="1:6" ht="12.75" customHeight="1">
      <c r="A117" s="96" t="s">
        <v>3481</v>
      </c>
      <c r="B117" s="96" t="s">
        <v>3482</v>
      </c>
      <c r="C117" s="96" t="s">
        <v>3466</v>
      </c>
      <c r="D117" s="96" t="s">
        <v>3483</v>
      </c>
    </row>
    <row r="118" spans="1:6" ht="12.75" customHeight="1">
      <c r="A118" s="96" t="s">
        <v>3484</v>
      </c>
      <c r="B118" s="96" t="s">
        <v>3485</v>
      </c>
      <c r="C118" s="96" t="s">
        <v>3466</v>
      </c>
      <c r="D118" s="96" t="s">
        <v>3470</v>
      </c>
    </row>
    <row r="119" spans="1:6" ht="12.75" customHeight="1">
      <c r="A119" s="96" t="s">
        <v>3486</v>
      </c>
      <c r="B119" s="96" t="s">
        <v>3487</v>
      </c>
      <c r="C119" s="96" t="s">
        <v>3488</v>
      </c>
      <c r="D119" s="96" t="s">
        <v>3489</v>
      </c>
    </row>
    <row r="120" spans="1:6" ht="12.75" customHeight="1">
      <c r="A120" s="96" t="s">
        <v>3490</v>
      </c>
      <c r="B120" s="96" t="s">
        <v>3491</v>
      </c>
      <c r="C120" s="96" t="s">
        <v>3488</v>
      </c>
      <c r="D120" s="96" t="s">
        <v>3489</v>
      </c>
    </row>
    <row r="121" spans="1:6" ht="12.75" customHeight="1">
      <c r="A121" s="96" t="s">
        <v>3492</v>
      </c>
      <c r="B121" s="96" t="s">
        <v>3493</v>
      </c>
      <c r="C121" s="96" t="s">
        <v>3488</v>
      </c>
      <c r="D121" s="96" t="s">
        <v>3489</v>
      </c>
    </row>
    <row r="122" spans="1:6" ht="12.75" customHeight="1">
      <c r="A122" s="96" t="s">
        <v>3494</v>
      </c>
      <c r="B122" s="96" t="s">
        <v>3495</v>
      </c>
      <c r="C122" s="96" t="s">
        <v>3494</v>
      </c>
      <c r="D122" s="96" t="s">
        <v>3496</v>
      </c>
    </row>
    <row r="123" spans="1:6">
      <c r="A123" s="96" t="s">
        <v>3497</v>
      </c>
      <c r="B123" s="96" t="s">
        <v>3498</v>
      </c>
      <c r="C123" s="96" t="s">
        <v>3497</v>
      </c>
      <c r="D123" s="96" t="s">
        <v>3499</v>
      </c>
    </row>
    <row r="124" spans="1:6">
      <c r="A124" s="96" t="s">
        <v>3500</v>
      </c>
      <c r="B124" s="96" t="s">
        <v>3501</v>
      </c>
      <c r="C124" s="96" t="s">
        <v>3502</v>
      </c>
      <c r="D124" s="96" t="s">
        <v>3489</v>
      </c>
    </row>
    <row r="125" spans="1:6">
      <c r="A125" s="96" t="s">
        <v>3503</v>
      </c>
      <c r="B125" s="96" t="s">
        <v>3504</v>
      </c>
      <c r="C125" s="96" t="s">
        <v>3502</v>
      </c>
      <c r="D125" s="96" t="s">
        <v>3489</v>
      </c>
    </row>
    <row r="126" spans="1:6">
      <c r="A126" s="96" t="s">
        <v>3505</v>
      </c>
      <c r="B126" s="96" t="s">
        <v>3506</v>
      </c>
      <c r="C126" s="96" t="s">
        <v>3502</v>
      </c>
      <c r="D126" s="96" t="s">
        <v>3489</v>
      </c>
    </row>
    <row r="127" spans="1:6">
      <c r="A127" s="96" t="s">
        <v>3507</v>
      </c>
      <c r="B127" s="96" t="s">
        <v>3508</v>
      </c>
      <c r="C127" s="96" t="s">
        <v>3502</v>
      </c>
      <c r="D127" s="96" t="s">
        <v>3489</v>
      </c>
    </row>
    <row r="128" spans="1:6">
      <c r="A128" s="96" t="s">
        <v>3509</v>
      </c>
      <c r="B128" s="96" t="s">
        <v>3510</v>
      </c>
      <c r="C128" s="96" t="s">
        <v>3502</v>
      </c>
      <c r="D128" s="96" t="s">
        <v>3489</v>
      </c>
    </row>
    <row r="129" spans="1:6">
      <c r="A129" s="96" t="s">
        <v>3511</v>
      </c>
      <c r="B129" s="96" t="s">
        <v>3512</v>
      </c>
      <c r="C129" s="96" t="s">
        <v>3513</v>
      </c>
      <c r="D129" s="96" t="s">
        <v>3514</v>
      </c>
    </row>
    <row r="130" spans="1:6">
      <c r="A130" s="96" t="s">
        <v>3515</v>
      </c>
      <c r="B130" s="96" t="s">
        <v>3516</v>
      </c>
      <c r="C130" s="96" t="s">
        <v>3513</v>
      </c>
      <c r="D130" s="96" t="s">
        <v>3514</v>
      </c>
    </row>
    <row r="131" spans="1:6">
      <c r="A131" s="96" t="s">
        <v>3517</v>
      </c>
      <c r="B131" s="96" t="s">
        <v>3518</v>
      </c>
      <c r="C131" s="96" t="s">
        <v>3513</v>
      </c>
      <c r="D131" s="96" t="s">
        <v>3519</v>
      </c>
    </row>
    <row r="132" spans="1:6">
      <c r="A132" s="96" t="s">
        <v>3520</v>
      </c>
      <c r="B132" s="96" t="s">
        <v>3521</v>
      </c>
      <c r="C132" s="96" t="s">
        <v>3513</v>
      </c>
      <c r="D132" s="96" t="s">
        <v>3514</v>
      </c>
    </row>
    <row r="133" spans="1:6">
      <c r="A133" s="96" t="s">
        <v>3522</v>
      </c>
      <c r="B133" s="96" t="s">
        <v>3523</v>
      </c>
      <c r="C133" s="96" t="s">
        <v>3522</v>
      </c>
      <c r="D133" s="96" t="s">
        <v>3519</v>
      </c>
    </row>
    <row r="134" spans="1:6">
      <c r="A134" s="96" t="s">
        <v>3524</v>
      </c>
      <c r="B134" s="99" t="s">
        <v>3525</v>
      </c>
      <c r="C134" s="96" t="s">
        <v>3524</v>
      </c>
    </row>
    <row r="135" spans="1:6">
      <c r="A135" s="96" t="s">
        <v>3526</v>
      </c>
      <c r="B135" s="96" t="s">
        <v>3527</v>
      </c>
      <c r="C135" s="96" t="s">
        <v>3526</v>
      </c>
      <c r="D135" s="96" t="s">
        <v>3519</v>
      </c>
    </row>
    <row r="136" spans="1:6">
      <c r="A136" s="96" t="s">
        <v>3528</v>
      </c>
      <c r="B136" s="96" t="s">
        <v>3529</v>
      </c>
      <c r="C136" s="96" t="s">
        <v>3526</v>
      </c>
      <c r="D136" s="96" t="s">
        <v>3519</v>
      </c>
    </row>
    <row r="137" spans="1:6">
      <c r="A137" s="96" t="s">
        <v>3530</v>
      </c>
      <c r="B137" s="96" t="s">
        <v>3531</v>
      </c>
      <c r="C137" s="96" t="s">
        <v>3526</v>
      </c>
      <c r="D137" s="96" t="s">
        <v>3519</v>
      </c>
    </row>
    <row r="138" spans="1:6">
      <c r="A138" s="96" t="s">
        <v>3532</v>
      </c>
      <c r="B138" s="96" t="s">
        <v>3533</v>
      </c>
      <c r="C138" s="96" t="s">
        <v>3532</v>
      </c>
      <c r="D138" s="96" t="s">
        <v>3519</v>
      </c>
    </row>
    <row r="139" spans="1:6">
      <c r="A139" s="96" t="s">
        <v>3534</v>
      </c>
      <c r="B139" s="96" t="s">
        <v>3535</v>
      </c>
      <c r="C139" s="96" t="s">
        <v>3532</v>
      </c>
      <c r="D139" s="96" t="s">
        <v>3519</v>
      </c>
    </row>
    <row r="140" spans="1:6">
      <c r="A140" s="96" t="s">
        <v>3536</v>
      </c>
      <c r="B140" s="96" t="s">
        <v>3537</v>
      </c>
      <c r="C140" s="96" t="s">
        <v>3532</v>
      </c>
      <c r="D140" s="96" t="s">
        <v>3519</v>
      </c>
    </row>
    <row r="141" spans="1:6">
      <c r="A141" s="96" t="s">
        <v>3538</v>
      </c>
      <c r="B141" s="96" t="s">
        <v>3539</v>
      </c>
      <c r="C141" s="96" t="s">
        <v>3538</v>
      </c>
      <c r="D141" s="96" t="s">
        <v>3540</v>
      </c>
    </row>
    <row r="142" spans="1:6">
      <c r="A142" s="96" t="s">
        <v>3541</v>
      </c>
      <c r="B142" s="96" t="s">
        <v>3539</v>
      </c>
      <c r="C142" s="96" t="s">
        <v>3538</v>
      </c>
    </row>
    <row r="143" spans="1:6">
      <c r="A143" s="96" t="s">
        <v>3542</v>
      </c>
      <c r="C143" s="96" t="s">
        <v>3538</v>
      </c>
      <c r="D143" s="96" t="s">
        <v>3540</v>
      </c>
    </row>
    <row r="144" spans="1:6">
      <c r="A144" s="96" t="s">
        <v>3543</v>
      </c>
      <c r="B144" s="96" t="s">
        <v>3544</v>
      </c>
      <c r="C144" s="96" t="s">
        <v>3543</v>
      </c>
      <c r="D144" s="96" t="s">
        <v>3519</v>
      </c>
    </row>
    <row r="145" spans="1:6">
      <c r="A145" s="96" t="s">
        <v>3545</v>
      </c>
      <c r="B145" s="96" t="s">
        <v>3546</v>
      </c>
      <c r="C145" s="96" t="s">
        <v>3545</v>
      </c>
      <c r="D145" s="96" t="s">
        <v>3519</v>
      </c>
    </row>
    <row r="146" spans="1:6">
      <c r="A146" s="96" t="s">
        <v>3547</v>
      </c>
      <c r="B146" s="99" t="s">
        <v>3548</v>
      </c>
      <c r="C146" s="96" t="s">
        <v>3547</v>
      </c>
    </row>
    <row r="147" spans="1:6">
      <c r="A147" s="96" t="s">
        <v>3549</v>
      </c>
      <c r="B147" s="96" t="s">
        <v>3550</v>
      </c>
      <c r="C147" s="96" t="s">
        <v>3551</v>
      </c>
      <c r="D147" s="96" t="s">
        <v>3552</v>
      </c>
    </row>
    <row r="148" spans="1:6">
      <c r="A148" s="96" t="s">
        <v>3553</v>
      </c>
      <c r="B148" s="96" t="s">
        <v>3554</v>
      </c>
      <c r="C148" s="96" t="s">
        <v>3551</v>
      </c>
      <c r="D148" s="96" t="s">
        <v>3555</v>
      </c>
    </row>
    <row r="149" spans="1:6">
      <c r="A149" s="96" t="s">
        <v>3556</v>
      </c>
      <c r="B149" s="96" t="s">
        <v>3557</v>
      </c>
      <c r="C149" s="96" t="s">
        <v>3551</v>
      </c>
      <c r="D149" s="96" t="s">
        <v>3496</v>
      </c>
    </row>
    <row r="150" spans="1:6">
      <c r="A150" s="96" t="s">
        <v>3558</v>
      </c>
      <c r="B150" s="96" t="s">
        <v>3559</v>
      </c>
      <c r="C150" s="96" t="s">
        <v>3551</v>
      </c>
      <c r="D150" s="96" t="s">
        <v>3489</v>
      </c>
    </row>
    <row r="151" spans="1:6">
      <c r="A151" s="96" t="s">
        <v>3560</v>
      </c>
      <c r="B151" s="96" t="s">
        <v>3561</v>
      </c>
      <c r="C151" s="96" t="s">
        <v>3551</v>
      </c>
    </row>
    <row r="152" spans="1:6">
      <c r="A152" s="96" t="s">
        <v>3562</v>
      </c>
      <c r="B152" s="96" t="s">
        <v>3563</v>
      </c>
      <c r="C152" s="96" t="s">
        <v>3562</v>
      </c>
      <c r="D152" s="96" t="s">
        <v>3564</v>
      </c>
    </row>
    <row r="153" spans="1:6">
      <c r="A153" s="96" t="s">
        <v>3565</v>
      </c>
      <c r="B153" s="96" t="s">
        <v>3566</v>
      </c>
      <c r="C153" s="96" t="s">
        <v>3562</v>
      </c>
      <c r="D153" s="96" t="s">
        <v>3564</v>
      </c>
    </row>
    <row r="154" spans="1:6">
      <c r="A154" s="96" t="s">
        <v>3567</v>
      </c>
      <c r="B154" s="96" t="s">
        <v>3568</v>
      </c>
      <c r="C154" s="96" t="s">
        <v>3562</v>
      </c>
      <c r="D154" s="96" t="s">
        <v>3564</v>
      </c>
    </row>
    <row r="155" spans="1:6" ht="12.75" customHeight="1">
      <c r="A155" s="96" t="s">
        <v>3569</v>
      </c>
      <c r="B155" s="96" t="s">
        <v>3465</v>
      </c>
      <c r="C155" s="96" t="s">
        <v>3466</v>
      </c>
      <c r="D155" s="96" t="s">
        <v>3467</v>
      </c>
    </row>
    <row r="156" spans="1:6">
      <c r="A156" s="105" t="n">
        <v>794</v>
      </c>
      <c r="C156" s="105" t="n">
        <v>794</v>
      </c>
      <c r="D156" s="96" t="s">
        <v>3570</v>
      </c>
    </row>
  </sheetData>
  <autoFilter ref="A2:J156"/>
  <pageMargins left="0.17" right="0.17" top="0.75" bottom="0.75" header="0.3" footer="0.3"/>
  <pageSetup orientation="portrait" paperSize="9" scale="60"/>
</worksheet>
</file>

<file path=xl/worksheets/sheet21.xml><?xml version="1.0" encoding="utf-8"?>
<worksheet xmlns="http://schemas.openxmlformats.org/spreadsheetml/2006/main">
  <sheetPr>
    <tabColor rgb="FF7030A0"/>
    <outlinePr summaryBelow="1" summaryRight="1"/>
    <pageSetUpPr/>
  </sheetPr>
  <dimension ref="A1:D486"/>
  <sheetViews>
    <sheetView zoomScale="70" zoomScaleNormal="70" workbookViewId="0">
      <pane xSplit="2" ySplit="1" topLeftCell="C2" activePane="bottomRight" state="frozen"/>
      <selection activeCell="A1" sqref="A1:XFD1048576"/>
      <selection pane="topRight" activeCell="A1" sqref="A1:XFD1048576"/>
      <selection pane="bottomLeft" activeCell="A1" sqref="A1:XFD1048576"/>
      <selection pane="bottomRight" activeCell="A1" sqref="A1:XFD1048576"/>
    </sheetView>
  </sheetViews>
  <sheetFormatPr baseColWidth="8" defaultColWidth="9.109375" defaultRowHeight="14.5" customHeight="1" outlineLevelCol="0"/>
  <cols>
    <col width="23.109375" bestFit="1" customWidth="1" style="109" min="1" max="1"/>
    <col width="174.44140625" customWidth="1" style="109" min="2" max="2"/>
    <col width="9.109375" customWidth="1" style="109" min="3" max="3"/>
    <col width="9.109375" customWidth="1" style="109" min="4" max="16384"/>
  </cols>
  <sheetData>
    <row r="1" spans="1:4" ht="39" customHeight="1">
      <c r="A1" s="108" t="s">
        <v>2410</v>
      </c>
      <c r="B1" s="108" t="s">
        <v>23</v>
      </c>
      <c r="C1" s="108" t="s">
        <v>3571</v>
      </c>
    </row>
    <row r="2" spans="1:4" ht="14.5" customHeight="1">
      <c r="A2" s="109" t="s">
        <v>3572</v>
      </c>
      <c r="B2" s="110" t="s">
        <v>2417</v>
      </c>
    </row>
    <row r="3" spans="1:4" ht="14.5" customHeight="1">
      <c r="A3" s="109" t="s">
        <v>2419</v>
      </c>
      <c r="B3" s="110" t="s">
        <v>2420</v>
      </c>
      <c r="C3" s="109" t="n">
        <v>151</v>
      </c>
    </row>
    <row r="4" spans="1:4" ht="14.5" customHeight="1">
      <c r="A4" s="109" t="s">
        <v>2421</v>
      </c>
      <c r="B4" s="110" t="s">
        <v>2422</v>
      </c>
    </row>
    <row r="5" spans="1:4" ht="14.5" customHeight="1">
      <c r="A5" s="109" t="s">
        <v>2423</v>
      </c>
      <c r="B5" s="110" t="s">
        <v>2424</v>
      </c>
    </row>
    <row r="6" spans="1:4" ht="14.5" customHeight="1">
      <c r="A6" s="109" t="s">
        <v>2426</v>
      </c>
      <c r="B6" s="110" t="s">
        <v>2427</v>
      </c>
    </row>
    <row r="7" spans="1:4" ht="14.5" customHeight="1">
      <c r="A7" s="109" t="s">
        <v>2429</v>
      </c>
      <c r="B7" s="110" t="s">
        <v>2430</v>
      </c>
    </row>
    <row r="8" spans="1:4" ht="14.5" customHeight="1">
      <c r="A8" s="109" t="s">
        <v>2431</v>
      </c>
      <c r="B8" s="110" t="s">
        <v>2088</v>
      </c>
    </row>
    <row r="9" spans="1:4" ht="14.5" customHeight="1">
      <c r="A9" s="109" t="s">
        <v>2432</v>
      </c>
      <c r="B9" s="110" t="s">
        <v>2433</v>
      </c>
    </row>
    <row r="10" spans="1:4" ht="14.5" customHeight="1">
      <c r="A10" s="109" t="s">
        <v>2434</v>
      </c>
      <c r="B10" s="110" t="s">
        <v>2435</v>
      </c>
    </row>
    <row r="11" spans="1:4" ht="14.5" customHeight="1">
      <c r="A11" s="109" t="s">
        <v>2437</v>
      </c>
      <c r="B11" s="110" t="s">
        <v>2438</v>
      </c>
    </row>
    <row r="12" spans="1:4" ht="14.5" customHeight="1">
      <c r="A12" s="109" t="s">
        <v>2439</v>
      </c>
      <c r="B12" s="110" t="s">
        <v>2440</v>
      </c>
    </row>
    <row r="13" spans="1:4" ht="14.5" customHeight="1">
      <c r="A13" s="109" t="s">
        <v>2441</v>
      </c>
      <c r="B13" s="110" t="s">
        <v>2442</v>
      </c>
    </row>
    <row r="14" spans="1:4" ht="14.5" customHeight="1">
      <c r="A14" s="109" t="s">
        <v>2443</v>
      </c>
      <c r="B14" s="110" t="s">
        <v>2444</v>
      </c>
    </row>
    <row r="15" spans="1:4" ht="14.5" customHeight="1">
      <c r="A15" s="109" t="s">
        <v>2445</v>
      </c>
      <c r="B15" s="110" t="s">
        <v>2446</v>
      </c>
    </row>
    <row r="16" spans="1:4" ht="14.5" customHeight="1">
      <c r="A16" s="109" t="s">
        <v>2448</v>
      </c>
      <c r="B16" s="110" t="s">
        <v>2449</v>
      </c>
    </row>
    <row r="17" spans="1:4" ht="14.5" customHeight="1">
      <c r="A17" s="109" t="s">
        <v>2450</v>
      </c>
      <c r="B17" s="111" t="s">
        <v>2451</v>
      </c>
    </row>
    <row r="18" spans="1:4" ht="14.5" customHeight="1">
      <c r="A18" s="109" t="s">
        <v>2453</v>
      </c>
      <c r="B18" s="110" t="s">
        <v>2454</v>
      </c>
    </row>
    <row r="19" spans="1:4" ht="14.5" customHeight="1">
      <c r="A19" s="109" t="s">
        <v>2455</v>
      </c>
      <c r="B19" s="110" t="s">
        <v>2456</v>
      </c>
    </row>
    <row r="20" spans="1:4" ht="14.5" customHeight="1">
      <c r="A20" s="109" t="s">
        <v>2458</v>
      </c>
      <c r="B20" s="110" t="s">
        <v>2459</v>
      </c>
    </row>
    <row r="21" spans="1:4" ht="14.5" customHeight="1">
      <c r="A21" s="109" t="s">
        <v>2460</v>
      </c>
      <c r="B21" s="110" t="s">
        <v>2461</v>
      </c>
    </row>
    <row r="22" spans="1:4" ht="14.5" customHeight="1">
      <c r="A22" s="109" t="s">
        <v>2462</v>
      </c>
      <c r="B22" s="110" t="s">
        <v>2463</v>
      </c>
    </row>
    <row r="23" spans="1:4" ht="14.5" customHeight="1">
      <c r="A23" s="109" t="s">
        <v>2465</v>
      </c>
      <c r="B23" s="110" t="s">
        <v>2466</v>
      </c>
    </row>
    <row r="24" spans="1:4" ht="14.5" customHeight="1">
      <c r="A24" s="109" t="s">
        <v>2467</v>
      </c>
      <c r="B24" s="110" t="s">
        <v>2468</v>
      </c>
    </row>
    <row r="25" spans="1:4" ht="14.5" customHeight="1">
      <c r="A25" s="109" t="s">
        <v>2469</v>
      </c>
      <c r="B25" s="110" t="s">
        <v>2126</v>
      </c>
    </row>
    <row r="26" spans="1:4" ht="14.5" customHeight="1">
      <c r="A26" s="109" t="s">
        <v>2470</v>
      </c>
      <c r="B26" s="110" t="s">
        <v>2471</v>
      </c>
    </row>
    <row r="27" spans="1:4" ht="14.5" customHeight="1">
      <c r="A27" s="109" t="s">
        <v>2472</v>
      </c>
      <c r="B27" s="110" t="s">
        <v>2473</v>
      </c>
    </row>
    <row r="28" spans="1:4" ht="14.5" customHeight="1">
      <c r="A28" s="109" t="s">
        <v>2474</v>
      </c>
      <c r="B28" s="110" t="s">
        <v>2475</v>
      </c>
    </row>
    <row r="29" spans="1:4" ht="14.5" customHeight="1">
      <c r="A29" s="109" t="s">
        <v>2477</v>
      </c>
      <c r="B29" s="110" t="s">
        <v>2478</v>
      </c>
    </row>
    <row r="30" spans="1:4" ht="14.5" customHeight="1">
      <c r="A30" s="109" t="s">
        <v>2479</v>
      </c>
      <c r="B30" s="110" t="s">
        <v>2480</v>
      </c>
    </row>
    <row r="31" spans="1:4" ht="14.5" customHeight="1">
      <c r="A31" s="109" t="s">
        <v>2481</v>
      </c>
      <c r="B31" s="110" t="s">
        <v>2482</v>
      </c>
    </row>
    <row r="32" spans="1:4" ht="14.5" customHeight="1">
      <c r="A32" s="109" t="s">
        <v>2483</v>
      </c>
      <c r="B32" s="110" t="s">
        <v>2484</v>
      </c>
    </row>
    <row r="33" spans="1:4" ht="14.5" customHeight="1">
      <c r="A33" s="109" t="s">
        <v>2485</v>
      </c>
      <c r="B33" s="110" t="s">
        <v>2486</v>
      </c>
    </row>
    <row r="34" spans="1:4" ht="14.5" customHeight="1">
      <c r="A34" s="109" t="s">
        <v>2487</v>
      </c>
      <c r="B34" s="110" t="s">
        <v>2488</v>
      </c>
    </row>
    <row r="35" spans="1:4" ht="14.5" customHeight="1">
      <c r="A35" s="109" t="s">
        <v>2489</v>
      </c>
      <c r="B35" s="110" t="s">
        <v>2490</v>
      </c>
    </row>
    <row r="36" spans="1:4" ht="14.5" customHeight="1">
      <c r="A36" s="109" t="s">
        <v>2491</v>
      </c>
      <c r="B36" s="110" t="s">
        <v>2492</v>
      </c>
    </row>
    <row r="37" spans="1:4" ht="14.5" customHeight="1">
      <c r="A37" s="109" t="s">
        <v>2493</v>
      </c>
      <c r="B37" s="110" t="s">
        <v>2494</v>
      </c>
    </row>
    <row r="38" spans="1:4" ht="14.5" customHeight="1">
      <c r="A38" s="109" t="s">
        <v>2497</v>
      </c>
      <c r="B38" s="110" t="s">
        <v>2498</v>
      </c>
    </row>
    <row r="39" spans="1:4" ht="14.5" customHeight="1">
      <c r="A39" s="109" t="s">
        <v>2500</v>
      </c>
      <c r="B39" s="110" t="s">
        <v>2501</v>
      </c>
    </row>
    <row r="40" spans="1:4" ht="14.5" customHeight="1">
      <c r="A40" s="109" t="s">
        <v>2503</v>
      </c>
      <c r="B40" s="110" t="s">
        <v>2504</v>
      </c>
    </row>
    <row r="41" spans="1:4" ht="14.5" customHeight="1">
      <c r="A41" s="109" t="s">
        <v>2505</v>
      </c>
      <c r="B41" s="110" t="s">
        <v>2506</v>
      </c>
    </row>
    <row r="42" spans="1:4" ht="14.5" customHeight="1">
      <c r="A42" s="109" t="s">
        <v>2507</v>
      </c>
      <c r="B42" s="110" t="s">
        <v>2508</v>
      </c>
    </row>
    <row r="43" spans="1:4" ht="14.5" customHeight="1">
      <c r="A43" s="109" t="s">
        <v>2509</v>
      </c>
      <c r="B43" s="110" t="s">
        <v>2510</v>
      </c>
    </row>
    <row r="44" spans="1:4" ht="14.5" customHeight="1">
      <c r="A44" s="109" t="s">
        <v>2511</v>
      </c>
      <c r="B44" s="110" t="s">
        <v>2512</v>
      </c>
    </row>
    <row r="45" spans="1:4" ht="14.5" customHeight="1">
      <c r="A45" s="109" t="s">
        <v>2513</v>
      </c>
      <c r="B45" s="110" t="s">
        <v>2514</v>
      </c>
    </row>
    <row r="46" spans="1:4" ht="14.5" customHeight="1">
      <c r="A46" s="109" t="s">
        <v>2517</v>
      </c>
      <c r="B46" s="110" t="s">
        <v>2518</v>
      </c>
    </row>
    <row r="47" spans="1:4" ht="14.5" customHeight="1">
      <c r="A47" s="109" t="s">
        <v>2519</v>
      </c>
      <c r="B47" s="110" t="s">
        <v>2520</v>
      </c>
    </row>
    <row r="48" spans="1:4" ht="14.5" customHeight="1">
      <c r="A48" s="109" t="s">
        <v>2521</v>
      </c>
      <c r="B48" s="110" t="s">
        <v>2522</v>
      </c>
    </row>
    <row r="49" spans="1:4" ht="14.5" customHeight="1">
      <c r="A49" s="109" t="s">
        <v>2523</v>
      </c>
      <c r="B49" s="110" t="s">
        <v>2514</v>
      </c>
    </row>
    <row r="50" spans="1:4" ht="14.5" customHeight="1">
      <c r="A50" s="109" t="s">
        <v>2524</v>
      </c>
      <c r="B50" s="110" t="s">
        <v>2525</v>
      </c>
    </row>
    <row r="51" spans="1:4" ht="14.5" customHeight="1">
      <c r="A51" s="109" t="s">
        <v>2528</v>
      </c>
      <c r="B51" s="110" t="s">
        <v>2529</v>
      </c>
    </row>
    <row r="52" spans="1:4" ht="14.5" customHeight="1">
      <c r="A52" s="109" t="s">
        <v>2530</v>
      </c>
      <c r="B52" s="110" t="s">
        <v>2531</v>
      </c>
    </row>
    <row r="53" spans="1:4" ht="14.5" customHeight="1">
      <c r="A53" s="109" t="s">
        <v>2532</v>
      </c>
      <c r="B53" s="110" t="s">
        <v>2533</v>
      </c>
    </row>
    <row r="54" spans="1:4" ht="14.5" customHeight="1">
      <c r="A54" s="109" t="s">
        <v>2534</v>
      </c>
      <c r="B54" s="110" t="s">
        <v>2535</v>
      </c>
    </row>
    <row r="55" spans="1:4" ht="14.5" customHeight="1">
      <c r="A55" s="109" t="s">
        <v>2536</v>
      </c>
      <c r="B55" s="110" t="s">
        <v>2537</v>
      </c>
    </row>
    <row r="56" spans="1:4" ht="14.5" customHeight="1">
      <c r="A56" s="109" t="s">
        <v>2539</v>
      </c>
      <c r="B56" s="110" t="s">
        <v>2540</v>
      </c>
      <c r="C56" s="109" t="n">
        <v>117</v>
      </c>
    </row>
    <row r="57" spans="1:4" ht="14.5" customHeight="1">
      <c r="A57" s="109" t="s">
        <v>2541</v>
      </c>
      <c r="B57" s="110" t="s">
        <v>2542</v>
      </c>
    </row>
    <row r="58" spans="1:4" ht="14.5" customHeight="1">
      <c r="A58" s="109" t="s">
        <v>2545</v>
      </c>
      <c r="B58" s="110" t="s">
        <v>2546</v>
      </c>
    </row>
    <row r="59" spans="1:4" ht="14.5" customHeight="1">
      <c r="A59" s="109" t="s">
        <v>2548</v>
      </c>
      <c r="B59" s="110" t="s">
        <v>2549</v>
      </c>
      <c r="C59" s="109" t="n">
        <v>121</v>
      </c>
    </row>
    <row r="60" spans="1:4" ht="14.5" customHeight="1">
      <c r="A60" s="109" t="s">
        <v>2551</v>
      </c>
      <c r="B60" s="110" t="s">
        <v>2552</v>
      </c>
    </row>
    <row r="61" spans="1:4" ht="14.5" customHeight="1">
      <c r="A61" s="109" t="s">
        <v>2554</v>
      </c>
      <c r="B61" s="110" t="s">
        <v>2555</v>
      </c>
      <c r="C61" s="109" t="n">
        <v>117</v>
      </c>
    </row>
    <row r="62" spans="1:4" ht="14.5" customHeight="1">
      <c r="A62" s="109" t="s">
        <v>2558</v>
      </c>
      <c r="B62" s="110" t="s">
        <v>2559</v>
      </c>
    </row>
    <row r="63" spans="1:4" ht="14.5" customHeight="1">
      <c r="A63" s="109" t="s">
        <v>2561</v>
      </c>
      <c r="B63" s="110" t="s">
        <v>2562</v>
      </c>
    </row>
    <row r="64" spans="1:4" ht="14.5" customHeight="1">
      <c r="A64" s="109" t="s">
        <v>2564</v>
      </c>
      <c r="B64" s="110" t="s">
        <v>2565</v>
      </c>
    </row>
    <row r="65" spans="1:4" ht="14.5" customHeight="1">
      <c r="A65" s="109" t="s">
        <v>2566</v>
      </c>
      <c r="B65" s="110" t="s">
        <v>2567</v>
      </c>
    </row>
    <row r="66" spans="1:4" ht="14.5" customHeight="1">
      <c r="A66" s="109" t="s">
        <v>2568</v>
      </c>
      <c r="B66" s="110" t="s">
        <v>2569</v>
      </c>
    </row>
    <row r="67" spans="1:4" ht="14.5" customHeight="1">
      <c r="A67" s="109" t="s">
        <v>2570</v>
      </c>
      <c r="B67" s="110" t="s">
        <v>2571</v>
      </c>
    </row>
    <row r="68" spans="1:4" ht="14.5" customHeight="1">
      <c r="A68" s="109" t="s">
        <v>2572</v>
      </c>
      <c r="B68" s="110" t="s">
        <v>2573</v>
      </c>
    </row>
    <row r="69" spans="1:4" ht="14.5" customHeight="1">
      <c r="A69" s="109" t="s">
        <v>2575</v>
      </c>
      <c r="B69" s="110" t="s">
        <v>2576</v>
      </c>
      <c r="C69" s="109" t="n">
        <v>42</v>
      </c>
    </row>
    <row r="70" spans="1:4" ht="14.5" customHeight="1">
      <c r="A70" s="109" t="s">
        <v>2578</v>
      </c>
      <c r="B70" s="110" t="s">
        <v>2579</v>
      </c>
      <c r="C70" s="109" t="n">
        <v>156</v>
      </c>
    </row>
    <row r="71" spans="1:4" ht="14.5" customHeight="1">
      <c r="A71" s="109" t="s">
        <v>2581</v>
      </c>
      <c r="B71" s="110" t="s">
        <v>2582</v>
      </c>
    </row>
    <row r="72" spans="1:4" ht="14.5" customHeight="1">
      <c r="A72" s="109" t="s">
        <v>2584</v>
      </c>
      <c r="B72" s="110" t="s">
        <v>2585</v>
      </c>
    </row>
    <row r="73" spans="1:4" ht="14.5" customHeight="1">
      <c r="A73" s="109" t="s">
        <v>2588</v>
      </c>
      <c r="B73" s="110" t="s">
        <v>2589</v>
      </c>
    </row>
    <row r="74" spans="1:4" ht="14.5" customHeight="1">
      <c r="A74" s="109" t="s">
        <v>2591</v>
      </c>
      <c r="B74" s="110" t="s">
        <v>2592</v>
      </c>
    </row>
    <row r="75" spans="1:4" ht="14.5" customHeight="1">
      <c r="A75" s="109" t="s">
        <v>2593</v>
      </c>
      <c r="B75" s="110" t="s">
        <v>2594</v>
      </c>
    </row>
    <row r="76" spans="1:4" ht="14.5" customHeight="1">
      <c r="A76" s="109" t="s">
        <v>2596</v>
      </c>
      <c r="B76" s="110" t="s">
        <v>2597</v>
      </c>
    </row>
    <row r="77" spans="1:4" ht="14.5" customHeight="1">
      <c r="A77" s="109" t="s">
        <v>2598</v>
      </c>
      <c r="B77" s="110" t="s">
        <v>2599</v>
      </c>
    </row>
    <row r="78" spans="1:4" ht="14.5" customHeight="1">
      <c r="A78" s="109" t="s">
        <v>2600</v>
      </c>
      <c r="B78" s="110" t="s">
        <v>2601</v>
      </c>
    </row>
    <row r="79" spans="1:4" ht="14.5" customHeight="1">
      <c r="A79" s="109" t="s">
        <v>2602</v>
      </c>
      <c r="B79" s="110" t="s">
        <v>2603</v>
      </c>
    </row>
    <row r="80" spans="1:4" ht="14.5" customHeight="1">
      <c r="A80" s="109" t="s">
        <v>2605</v>
      </c>
      <c r="B80" s="110" t="s">
        <v>2606</v>
      </c>
    </row>
    <row r="81" spans="1:4" ht="14.5" customHeight="1">
      <c r="A81" s="109" t="s">
        <v>2607</v>
      </c>
      <c r="B81" s="110" t="s">
        <v>2608</v>
      </c>
    </row>
    <row r="82" spans="1:4" ht="14.5" customHeight="1">
      <c r="A82" s="109" t="s">
        <v>2609</v>
      </c>
      <c r="B82" s="110" t="s">
        <v>2610</v>
      </c>
    </row>
    <row r="83" spans="1:4" ht="14.5" customHeight="1">
      <c r="A83" s="109" t="s">
        <v>2611</v>
      </c>
      <c r="B83" s="111" t="s">
        <v>2612</v>
      </c>
    </row>
    <row r="84" spans="1:4" ht="14.5" customHeight="1">
      <c r="A84" s="109" t="s">
        <v>2613</v>
      </c>
      <c r="B84" s="110" t="s">
        <v>2614</v>
      </c>
    </row>
    <row r="85" spans="1:4" ht="14.5" customHeight="1">
      <c r="A85" s="109" t="s">
        <v>2616</v>
      </c>
      <c r="B85" s="110" t="s">
        <v>2617</v>
      </c>
    </row>
    <row r="86" spans="1:4" ht="14.5" customHeight="1">
      <c r="A86" s="109" t="s">
        <v>2619</v>
      </c>
      <c r="B86" s="110" t="s">
        <v>2620</v>
      </c>
    </row>
    <row r="87" spans="1:4" ht="14.5" customHeight="1">
      <c r="A87" s="109" t="s">
        <v>2622</v>
      </c>
      <c r="B87" s="110" t="s">
        <v>2623</v>
      </c>
    </row>
    <row r="88" spans="1:4" ht="14.5" customHeight="1">
      <c r="A88" s="109" t="s">
        <v>2625</v>
      </c>
      <c r="B88" s="110" t="s">
        <v>2626</v>
      </c>
    </row>
    <row r="89" spans="1:4" ht="14.5" customHeight="1">
      <c r="A89" s="109" t="s">
        <v>2627</v>
      </c>
      <c r="B89" s="110" t="s">
        <v>2628</v>
      </c>
    </row>
    <row r="90" spans="1:4" ht="14.5" customHeight="1">
      <c r="A90" s="109" t="s">
        <v>2629</v>
      </c>
      <c r="B90" s="110" t="s">
        <v>2630</v>
      </c>
    </row>
    <row r="91" spans="1:4" ht="14.5" customHeight="1">
      <c r="A91" s="109" t="s">
        <v>2631</v>
      </c>
      <c r="B91" s="110" t="s">
        <v>2632</v>
      </c>
    </row>
    <row r="92" spans="1:4" ht="14.5" customHeight="1">
      <c r="A92" s="109" t="s">
        <v>2634</v>
      </c>
      <c r="B92" s="111" t="s">
        <v>2635</v>
      </c>
    </row>
    <row r="93" spans="1:4" ht="14.5" customHeight="1">
      <c r="A93" s="109" t="s">
        <v>2637</v>
      </c>
      <c r="B93" s="111" t="s">
        <v>2638</v>
      </c>
    </row>
    <row r="94" spans="1:4" ht="14.5" customHeight="1">
      <c r="A94" s="109" t="s">
        <v>2640</v>
      </c>
      <c r="B94" s="111" t="s">
        <v>2641</v>
      </c>
    </row>
    <row r="95" spans="1:4" ht="14.5" customHeight="1">
      <c r="A95" s="109" t="s">
        <v>2642</v>
      </c>
      <c r="B95" s="110" t="s">
        <v>2643</v>
      </c>
    </row>
    <row r="96" spans="1:4" ht="14.5" customHeight="1">
      <c r="A96" s="109" t="s">
        <v>2645</v>
      </c>
      <c r="B96" s="110" t="s">
        <v>2646</v>
      </c>
    </row>
    <row r="97" spans="1:4" ht="14.5" customHeight="1">
      <c r="A97" s="109" t="s">
        <v>2648</v>
      </c>
      <c r="B97" s="110" t="s">
        <v>2649</v>
      </c>
    </row>
    <row r="98" spans="1:4" ht="14.5" customHeight="1">
      <c r="A98" s="109" t="s">
        <v>2651</v>
      </c>
      <c r="B98" s="110" t="s">
        <v>2652</v>
      </c>
    </row>
    <row r="99" spans="1:4" ht="14.5" customHeight="1">
      <c r="A99" s="109" t="s">
        <v>2653</v>
      </c>
      <c r="B99" s="110" t="s">
        <v>2654</v>
      </c>
    </row>
    <row r="100" spans="1:4" ht="14.5" customHeight="1">
      <c r="A100" s="109" t="s">
        <v>2655</v>
      </c>
      <c r="B100" s="110" t="s">
        <v>2656</v>
      </c>
    </row>
    <row r="101" spans="1:4" ht="14.5" customHeight="1">
      <c r="A101" s="109" t="s">
        <v>2658</v>
      </c>
      <c r="B101" s="110" t="s">
        <v>2659</v>
      </c>
    </row>
    <row r="102" spans="1:4" ht="14.5" customHeight="1">
      <c r="A102" s="109" t="s">
        <v>2662</v>
      </c>
      <c r="B102" s="110" t="s">
        <v>2663</v>
      </c>
    </row>
    <row r="103" spans="1:4" ht="14.5" customHeight="1">
      <c r="A103" s="109" t="s">
        <v>2664</v>
      </c>
      <c r="B103" s="110" t="s">
        <v>2665</v>
      </c>
    </row>
    <row r="104" spans="1:4" ht="14.5" customHeight="1">
      <c r="A104" s="109" t="s">
        <v>2667</v>
      </c>
      <c r="B104" s="110" t="s">
        <v>2668</v>
      </c>
    </row>
    <row r="105" spans="1:4" ht="14.5" customHeight="1">
      <c r="A105" s="109" t="s">
        <v>2669</v>
      </c>
      <c r="B105" s="110" t="s">
        <v>2670</v>
      </c>
    </row>
    <row r="106" spans="1:4" ht="14.5" customHeight="1">
      <c r="A106" s="109" t="s">
        <v>2672</v>
      </c>
      <c r="B106" s="110" t="s">
        <v>2673</v>
      </c>
    </row>
    <row r="107" spans="1:4" ht="14.5" customHeight="1">
      <c r="A107" s="109" t="s">
        <v>2674</v>
      </c>
      <c r="B107" s="110" t="s">
        <v>2675</v>
      </c>
    </row>
    <row r="108" spans="1:4" ht="14.5" customHeight="1">
      <c r="A108" s="109" t="s">
        <v>2676</v>
      </c>
      <c r="B108" s="110" t="s">
        <v>2677</v>
      </c>
    </row>
    <row r="109" spans="1:4" ht="14.5" customHeight="1">
      <c r="A109" s="109" t="s">
        <v>2678</v>
      </c>
      <c r="B109" s="110" t="s">
        <v>2679</v>
      </c>
    </row>
    <row r="110" spans="1:4" ht="14.5" customHeight="1">
      <c r="A110" s="109" t="s">
        <v>2680</v>
      </c>
      <c r="B110" s="110" t="s">
        <v>2681</v>
      </c>
      <c r="C110" s="109" t="n">
        <v>141</v>
      </c>
    </row>
    <row r="111" spans="1:4" ht="14.5" customHeight="1">
      <c r="A111" s="109" t="s">
        <v>2683</v>
      </c>
      <c r="B111" s="110" t="s">
        <v>2684</v>
      </c>
      <c r="C111" s="109" t="n">
        <v>141</v>
      </c>
    </row>
    <row r="112" spans="1:4" ht="14.5" customHeight="1">
      <c r="A112" s="109" t="s">
        <v>2685</v>
      </c>
      <c r="B112" s="110" t="s">
        <v>2686</v>
      </c>
      <c r="C112" s="109" t="n">
        <v>141</v>
      </c>
    </row>
    <row r="113" spans="1:4" ht="14.5" customHeight="1">
      <c r="A113" s="109" t="s">
        <v>2687</v>
      </c>
      <c r="B113" s="110" t="s">
        <v>2688</v>
      </c>
      <c r="C113" s="109" t="n">
        <v>141</v>
      </c>
    </row>
    <row r="114" spans="1:4" ht="14.5" customHeight="1">
      <c r="A114" s="109" t="s">
        <v>2689</v>
      </c>
      <c r="B114" s="110" t="s">
        <v>2690</v>
      </c>
    </row>
    <row r="115" spans="1:4" ht="14.5" customHeight="1">
      <c r="A115" s="109" t="s">
        <v>2692</v>
      </c>
      <c r="B115" s="110" t="s">
        <v>2693</v>
      </c>
    </row>
    <row r="116" spans="1:4" ht="14.5" customHeight="1">
      <c r="A116" s="109" t="s">
        <v>2694</v>
      </c>
      <c r="B116" s="110" t="s">
        <v>2695</v>
      </c>
    </row>
    <row r="117" spans="1:4" ht="14.5" customHeight="1">
      <c r="A117" s="109" t="s">
        <v>2696</v>
      </c>
      <c r="B117" s="110" t="s">
        <v>2697</v>
      </c>
    </row>
    <row r="118" spans="1:4" ht="14.5" customHeight="1">
      <c r="A118" s="109" t="s">
        <v>2698</v>
      </c>
      <c r="B118" s="110" t="s">
        <v>2699</v>
      </c>
    </row>
    <row r="119" spans="1:4" ht="14.5" customHeight="1">
      <c r="A119" s="109" t="s">
        <v>2700</v>
      </c>
      <c r="B119" s="110" t="s">
        <v>2701</v>
      </c>
    </row>
    <row r="120" spans="1:4" ht="14.5" customHeight="1">
      <c r="A120" s="109" t="s">
        <v>2702</v>
      </c>
      <c r="B120" s="110" t="s">
        <v>2703</v>
      </c>
    </row>
    <row r="121" spans="1:4" ht="14.5" customHeight="1">
      <c r="A121" s="109" t="s">
        <v>2705</v>
      </c>
      <c r="B121" s="110" t="s">
        <v>2706</v>
      </c>
    </row>
    <row r="122" spans="1:4" ht="14.5" customHeight="1">
      <c r="A122" s="109" t="s">
        <v>2707</v>
      </c>
      <c r="B122" s="110" t="s">
        <v>2708</v>
      </c>
    </row>
    <row r="123" spans="1:4" ht="14.5" customHeight="1">
      <c r="A123" s="109" t="s">
        <v>2709</v>
      </c>
      <c r="B123" s="110" t="s">
        <v>2710</v>
      </c>
    </row>
    <row r="124" spans="1:4" ht="14.5" customHeight="1">
      <c r="A124" s="109" t="s">
        <v>2711</v>
      </c>
      <c r="B124" s="110" t="s">
        <v>2712</v>
      </c>
    </row>
    <row r="125" spans="1:4" ht="14.5" customHeight="1">
      <c r="A125" s="109" t="s">
        <v>2713</v>
      </c>
      <c r="B125" s="110" t="s">
        <v>2714</v>
      </c>
    </row>
    <row r="126" spans="1:4" ht="14.5" customHeight="1">
      <c r="A126" s="109" t="s">
        <v>2715</v>
      </c>
      <c r="B126" s="110" t="s">
        <v>2716</v>
      </c>
    </row>
    <row r="127" spans="1:4" ht="14.5" customHeight="1">
      <c r="A127" s="109" t="s">
        <v>2717</v>
      </c>
      <c r="B127" s="110" t="s">
        <v>2718</v>
      </c>
    </row>
    <row r="128" spans="1:4" ht="14.5" customHeight="1">
      <c r="A128" s="109" t="s">
        <v>2721</v>
      </c>
      <c r="B128" s="110" t="s">
        <v>2722</v>
      </c>
    </row>
    <row r="129" spans="1:4" ht="14.5" customHeight="1">
      <c r="A129" s="109" t="s">
        <v>2724</v>
      </c>
      <c r="B129" s="110" t="s">
        <v>2725</v>
      </c>
    </row>
    <row r="130" spans="1:4" ht="14.5" customHeight="1">
      <c r="A130" s="109" t="s">
        <v>2727</v>
      </c>
      <c r="B130" s="110" t="s">
        <v>2728</v>
      </c>
    </row>
    <row r="131" spans="1:4" ht="14.5" customHeight="1">
      <c r="A131" s="109" t="s">
        <v>2730</v>
      </c>
      <c r="B131" s="111" t="s">
        <v>2731</v>
      </c>
    </row>
    <row r="132" spans="1:4" ht="14.5" customHeight="1">
      <c r="A132" s="109" t="s">
        <v>2733</v>
      </c>
      <c r="B132" s="110" t="s">
        <v>2734</v>
      </c>
    </row>
    <row r="133" spans="1:4" ht="14.5" customHeight="1">
      <c r="A133" s="109" t="s">
        <v>2737</v>
      </c>
      <c r="B133" s="110" t="s">
        <v>2738</v>
      </c>
    </row>
    <row r="134" spans="1:4" ht="14.5" customHeight="1">
      <c r="A134" s="109" t="s">
        <v>2740</v>
      </c>
      <c r="B134" s="110" t="s">
        <v>2741</v>
      </c>
    </row>
    <row r="135" spans="1:4" ht="14.5" customHeight="1">
      <c r="A135" s="109" t="s">
        <v>2743</v>
      </c>
      <c r="B135" s="110" t="s">
        <v>2744</v>
      </c>
    </row>
    <row r="136" spans="1:4" ht="14.5" customHeight="1">
      <c r="A136" s="109" t="s">
        <v>2746</v>
      </c>
      <c r="B136" s="110" t="s">
        <v>2747</v>
      </c>
    </row>
    <row r="137" spans="1:4" ht="14.5" customHeight="1">
      <c r="A137" s="109" t="s">
        <v>2749</v>
      </c>
      <c r="B137" s="110" t="s">
        <v>2750</v>
      </c>
    </row>
    <row r="138" spans="1:4" ht="14.5" customHeight="1">
      <c r="A138" s="109" t="s">
        <v>2752</v>
      </c>
      <c r="B138" s="110" t="s">
        <v>2753</v>
      </c>
    </row>
    <row r="139" spans="1:4" ht="14.5" customHeight="1">
      <c r="A139" s="109" t="s">
        <v>2755</v>
      </c>
      <c r="B139" s="111" t="s">
        <v>2756</v>
      </c>
    </row>
    <row r="140" spans="1:4" ht="14.5" customHeight="1">
      <c r="A140" s="109" t="s">
        <v>2758</v>
      </c>
      <c r="B140" s="110" t="s">
        <v>2759</v>
      </c>
    </row>
    <row r="141" spans="1:4" ht="14.5" customHeight="1">
      <c r="A141" s="109" t="s">
        <v>2761</v>
      </c>
      <c r="B141" s="110" t="s">
        <v>2762</v>
      </c>
    </row>
    <row r="142" spans="1:4" ht="14.5" customHeight="1">
      <c r="A142" s="109" t="s">
        <v>2764</v>
      </c>
      <c r="B142" s="110" t="s">
        <v>2765</v>
      </c>
    </row>
    <row r="143" spans="1:4" ht="14.5" customHeight="1">
      <c r="A143" s="109" t="s">
        <v>2768</v>
      </c>
      <c r="B143" s="110" t="s">
        <v>2769</v>
      </c>
    </row>
    <row r="144" spans="1:4" ht="14.5" customHeight="1">
      <c r="A144" s="109" t="s">
        <v>2770</v>
      </c>
      <c r="B144" s="110" t="s">
        <v>2771</v>
      </c>
    </row>
    <row r="145" spans="1:4" ht="14.5" customHeight="1">
      <c r="A145" s="109" t="s">
        <v>2773</v>
      </c>
      <c r="B145" s="110" t="s">
        <v>2774</v>
      </c>
    </row>
    <row r="146" spans="1:4" ht="14.5" customHeight="1">
      <c r="A146" s="109" t="s">
        <v>2775</v>
      </c>
      <c r="B146" s="110" t="s">
        <v>2776</v>
      </c>
    </row>
    <row r="147" spans="1:4" ht="14.5" customHeight="1">
      <c r="A147" s="109" t="s">
        <v>2778</v>
      </c>
      <c r="B147" s="110" t="s">
        <v>2779</v>
      </c>
    </row>
    <row r="148" spans="1:4" ht="14.5" customHeight="1">
      <c r="A148" s="109" t="s">
        <v>2780</v>
      </c>
      <c r="B148" s="110" t="s">
        <v>2781</v>
      </c>
    </row>
    <row r="149" spans="1:4" ht="14.5" customHeight="1">
      <c r="A149" s="109" t="s">
        <v>2782</v>
      </c>
      <c r="B149" s="110" t="s">
        <v>2783</v>
      </c>
    </row>
    <row r="150" spans="1:4" ht="14.5" customHeight="1">
      <c r="A150" s="109" t="s">
        <v>2785</v>
      </c>
      <c r="B150" s="110" t="s">
        <v>2786</v>
      </c>
    </row>
    <row r="151" spans="1:4" ht="14.5" customHeight="1">
      <c r="A151" s="109" t="s">
        <v>2788</v>
      </c>
      <c r="B151" s="110" t="s">
        <v>2789</v>
      </c>
    </row>
    <row r="152" spans="1:4" ht="14.5" customHeight="1">
      <c r="A152" s="109" t="s">
        <v>2790</v>
      </c>
      <c r="B152" s="110" t="s">
        <v>2791</v>
      </c>
    </row>
    <row r="153" spans="1:4" ht="14.5" customHeight="1">
      <c r="A153" s="109" t="s">
        <v>2792</v>
      </c>
      <c r="B153" s="110" t="s">
        <v>2793</v>
      </c>
    </row>
    <row r="154" spans="1:4" ht="14.5" customHeight="1">
      <c r="A154" s="109" t="s">
        <v>2794</v>
      </c>
      <c r="B154" s="110" t="s">
        <v>2795</v>
      </c>
    </row>
    <row r="155" spans="1:4" ht="14.5" customHeight="1">
      <c r="A155" s="109" t="s">
        <v>2796</v>
      </c>
      <c r="B155" s="110" t="s">
        <v>2797</v>
      </c>
    </row>
    <row r="156" spans="1:4" ht="14.5" customHeight="1">
      <c r="A156" s="109" t="s">
        <v>2798</v>
      </c>
      <c r="B156" s="110" t="s">
        <v>2799</v>
      </c>
    </row>
    <row r="157" spans="1:4" ht="14.5" customHeight="1">
      <c r="A157" s="109" t="s">
        <v>2800</v>
      </c>
      <c r="B157" s="110" t="s">
        <v>2801</v>
      </c>
    </row>
    <row r="158" spans="1:4" ht="14.5" customHeight="1">
      <c r="A158" s="109" t="s">
        <v>2802</v>
      </c>
      <c r="B158" s="110" t="s">
        <v>2803</v>
      </c>
    </row>
    <row r="159" spans="1:4" ht="14.5" customHeight="1">
      <c r="A159" s="109" t="s">
        <v>2805</v>
      </c>
      <c r="B159" s="110" t="s">
        <v>2806</v>
      </c>
    </row>
    <row r="160" spans="1:4" ht="14.5" customHeight="1">
      <c r="A160" s="109" t="s">
        <v>2807</v>
      </c>
      <c r="B160" s="110" t="s">
        <v>2808</v>
      </c>
    </row>
    <row r="161" spans="1:4" ht="14.5" customHeight="1">
      <c r="A161" s="109" t="s">
        <v>2809</v>
      </c>
      <c r="B161" s="110" t="s">
        <v>2810</v>
      </c>
    </row>
    <row r="162" spans="1:4" ht="14.5" customHeight="1">
      <c r="A162" s="109" t="s">
        <v>2811</v>
      </c>
      <c r="B162" s="110" t="s">
        <v>2812</v>
      </c>
    </row>
    <row r="163" spans="1:4" ht="14.5" customHeight="1">
      <c r="A163" s="109" t="s">
        <v>2814</v>
      </c>
      <c r="B163" s="110" t="s">
        <v>2815</v>
      </c>
    </row>
    <row r="164" spans="1:4" ht="14.5" customHeight="1">
      <c r="A164" s="109" t="s">
        <v>2816</v>
      </c>
      <c r="B164" s="110" t="s">
        <v>2817</v>
      </c>
    </row>
    <row r="165" spans="1:4" ht="14.5" customHeight="1">
      <c r="A165" s="109" t="s">
        <v>2818</v>
      </c>
      <c r="B165" s="110" t="s">
        <v>2819</v>
      </c>
    </row>
    <row r="166" spans="1:4" ht="14.5" customHeight="1">
      <c r="A166" s="109" t="s">
        <v>2821</v>
      </c>
      <c r="B166" s="110" t="s">
        <v>2822</v>
      </c>
    </row>
    <row r="167" spans="1:4" ht="14.5" customHeight="1">
      <c r="A167" s="109" t="s">
        <v>2823</v>
      </c>
      <c r="B167" s="110" t="s">
        <v>2824</v>
      </c>
    </row>
    <row r="168" spans="1:4" ht="14.5" customHeight="1">
      <c r="A168" s="109" t="s">
        <v>2825</v>
      </c>
      <c r="B168" s="110" t="s">
        <v>2826</v>
      </c>
    </row>
    <row r="169" spans="1:4" ht="14.5" customHeight="1">
      <c r="A169" s="109" t="s">
        <v>2827</v>
      </c>
      <c r="B169" s="110" t="s">
        <v>2828</v>
      </c>
    </row>
    <row r="170" spans="1:4" ht="14.5" customHeight="1">
      <c r="A170" s="109" t="s">
        <v>2829</v>
      </c>
      <c r="B170" s="110" t="s">
        <v>2830</v>
      </c>
    </row>
    <row r="171" spans="1:4" ht="14.5" customHeight="1">
      <c r="A171" s="109" t="s">
        <v>2831</v>
      </c>
      <c r="B171" s="110" t="s">
        <v>2832</v>
      </c>
    </row>
    <row r="172" spans="1:4" ht="14.5" customHeight="1">
      <c r="A172" s="109" t="s">
        <v>2833</v>
      </c>
      <c r="B172" s="110" t="s">
        <v>2834</v>
      </c>
    </row>
    <row r="173" spans="1:4" ht="14.5" customHeight="1">
      <c r="A173" s="109" t="s">
        <v>2835</v>
      </c>
      <c r="B173" s="110" t="s">
        <v>2836</v>
      </c>
    </row>
    <row r="174" spans="1:4" ht="14.5" customHeight="1">
      <c r="A174" s="109" t="s">
        <v>2837</v>
      </c>
      <c r="B174" s="110" t="s">
        <v>2838</v>
      </c>
    </row>
    <row r="175" spans="1:4" ht="14.5" customHeight="1">
      <c r="A175" s="109" t="s">
        <v>2839</v>
      </c>
      <c r="B175" s="110" t="s">
        <v>2840</v>
      </c>
    </row>
    <row r="176" spans="1:4" ht="14.5" customHeight="1">
      <c r="A176" s="109" t="s">
        <v>2841</v>
      </c>
      <c r="B176" s="110" t="s">
        <v>2842</v>
      </c>
    </row>
    <row r="177" spans="1:4" ht="14.5" customHeight="1">
      <c r="A177" s="109" t="s">
        <v>2843</v>
      </c>
      <c r="B177" s="110" t="s">
        <v>2844</v>
      </c>
    </row>
    <row r="178" spans="1:4" ht="14.5" customHeight="1">
      <c r="A178" s="109" t="s">
        <v>2845</v>
      </c>
      <c r="B178" s="110" t="s">
        <v>2846</v>
      </c>
    </row>
    <row r="179" spans="1:4" ht="14.5" customHeight="1">
      <c r="A179" s="109" t="s">
        <v>2848</v>
      </c>
      <c r="B179" s="110" t="s">
        <v>2849</v>
      </c>
    </row>
    <row r="180" spans="1:4" ht="14.5" customHeight="1">
      <c r="A180" s="109" t="s">
        <v>2850</v>
      </c>
      <c r="B180" s="110" t="s">
        <v>2851</v>
      </c>
    </row>
    <row r="181" spans="1:4" ht="14.5" customHeight="1">
      <c r="A181" s="109" t="s">
        <v>2852</v>
      </c>
      <c r="B181" s="110" t="s">
        <v>2853</v>
      </c>
    </row>
    <row r="182" spans="1:4" ht="14.5" customHeight="1">
      <c r="A182" s="109" t="s">
        <v>2854</v>
      </c>
      <c r="B182" s="110" t="s">
        <v>2855</v>
      </c>
    </row>
    <row r="183" spans="1:4" ht="14.5" customHeight="1">
      <c r="A183" s="109" t="s">
        <v>2856</v>
      </c>
      <c r="B183" s="110" t="s">
        <v>2857</v>
      </c>
    </row>
    <row r="184" spans="1:4" ht="14.5" customHeight="1">
      <c r="A184" s="109" t="s">
        <v>2858</v>
      </c>
      <c r="B184" s="110" t="s">
        <v>2859</v>
      </c>
    </row>
    <row r="185" spans="1:4" ht="14.5" customHeight="1">
      <c r="A185" s="109" t="s">
        <v>2860</v>
      </c>
      <c r="B185" s="110" t="s">
        <v>2861</v>
      </c>
    </row>
    <row r="186" spans="1:4" ht="14.5" customHeight="1">
      <c r="A186" s="109" t="s">
        <v>2863</v>
      </c>
      <c r="B186" s="110" t="s">
        <v>2864</v>
      </c>
    </row>
    <row r="187" spans="1:4" ht="14.5" customHeight="1">
      <c r="A187" s="109" t="s">
        <v>2865</v>
      </c>
      <c r="B187" s="110" t="s">
        <v>2866</v>
      </c>
    </row>
    <row r="188" spans="1:4" ht="14.5" customHeight="1">
      <c r="A188" s="109" t="s">
        <v>2867</v>
      </c>
      <c r="B188" s="110" t="s">
        <v>2868</v>
      </c>
    </row>
    <row r="189" spans="1:4" ht="14.5" customHeight="1">
      <c r="A189" s="109" t="s">
        <v>2869</v>
      </c>
      <c r="B189" s="110" t="s">
        <v>2870</v>
      </c>
    </row>
    <row r="190" spans="1:4" ht="14.5" customHeight="1">
      <c r="A190" s="109" t="s">
        <v>2872</v>
      </c>
      <c r="B190" s="110" t="s">
        <v>2873</v>
      </c>
    </row>
    <row r="191" spans="1:4" ht="14.5" customHeight="1">
      <c r="A191" s="109" t="s">
        <v>2874</v>
      </c>
      <c r="B191" s="110" t="s">
        <v>2875</v>
      </c>
    </row>
    <row r="192" spans="1:4" ht="14.5" customHeight="1">
      <c r="A192" s="109" t="s">
        <v>2876</v>
      </c>
      <c r="B192" s="110" t="s">
        <v>2877</v>
      </c>
    </row>
    <row r="193" spans="1:4" ht="14.5" customHeight="1">
      <c r="A193" s="109" t="s">
        <v>2878</v>
      </c>
      <c r="B193" s="110" t="s">
        <v>2879</v>
      </c>
    </row>
    <row r="194" spans="1:4" ht="14.5" customHeight="1">
      <c r="A194" s="109" t="s">
        <v>2881</v>
      </c>
      <c r="B194" s="110" t="s">
        <v>2882</v>
      </c>
    </row>
    <row r="195" spans="1:4" ht="14.5" customHeight="1">
      <c r="A195" s="109" t="s">
        <v>2883</v>
      </c>
      <c r="B195" s="110" t="s">
        <v>2884</v>
      </c>
    </row>
    <row r="196" spans="1:4" ht="14.5" customHeight="1">
      <c r="A196" s="109" t="s">
        <v>2885</v>
      </c>
      <c r="B196" s="110" t="s">
        <v>2886</v>
      </c>
    </row>
    <row r="197" spans="1:4" ht="14.5" customHeight="1">
      <c r="A197" s="109" t="s">
        <v>2887</v>
      </c>
      <c r="B197" s="110" t="s">
        <v>2888</v>
      </c>
    </row>
    <row r="198" spans="1:4" ht="14.5" customHeight="1">
      <c r="A198" s="109" t="s">
        <v>2889</v>
      </c>
      <c r="B198" s="110" t="s">
        <v>2890</v>
      </c>
    </row>
    <row r="199" spans="1:4" ht="14.5" customHeight="1">
      <c r="A199" s="109" t="s">
        <v>2891</v>
      </c>
      <c r="B199" s="110" t="s">
        <v>2892</v>
      </c>
    </row>
    <row r="200" spans="1:4" ht="14.5" customHeight="1">
      <c r="A200" s="109" t="s">
        <v>2893</v>
      </c>
      <c r="B200" s="110" t="s">
        <v>2894</v>
      </c>
    </row>
    <row r="201" spans="1:4" ht="14.5" customHeight="1">
      <c r="A201" s="109" t="s">
        <v>2895</v>
      </c>
      <c r="B201" s="110" t="s">
        <v>2896</v>
      </c>
    </row>
    <row r="202" spans="1:4" ht="14.5" customHeight="1">
      <c r="A202" s="109" t="s">
        <v>2897</v>
      </c>
      <c r="B202" s="110" t="s">
        <v>2898</v>
      </c>
    </row>
    <row r="203" spans="1:4" ht="14.5" customHeight="1">
      <c r="A203" s="109" t="s">
        <v>2899</v>
      </c>
      <c r="B203" s="110" t="s">
        <v>2900</v>
      </c>
    </row>
    <row r="204" spans="1:4" ht="14.5" customHeight="1">
      <c r="A204" s="109" t="s">
        <v>2901</v>
      </c>
      <c r="B204" s="110" t="s">
        <v>2902</v>
      </c>
    </row>
    <row r="205" spans="1:4" ht="14.5" customHeight="1">
      <c r="A205" s="109" t="s">
        <v>2904</v>
      </c>
      <c r="B205" s="110" t="s">
        <v>2905</v>
      </c>
      <c r="C205" s="109" t="n">
        <v>124</v>
      </c>
    </row>
    <row r="206" spans="1:4" ht="14.5" customHeight="1">
      <c r="A206" s="109" t="s">
        <v>2907</v>
      </c>
      <c r="B206" s="110" t="s">
        <v>2908</v>
      </c>
      <c r="C206" s="109" t="n">
        <v>124</v>
      </c>
    </row>
    <row r="207" spans="1:4" ht="14.5" customHeight="1">
      <c r="A207" s="109" t="s">
        <v>2910</v>
      </c>
      <c r="B207" s="110" t="s">
        <v>2911</v>
      </c>
      <c r="C207" s="109" t="n">
        <v>124</v>
      </c>
    </row>
    <row r="208" spans="1:4" ht="14.5" customHeight="1">
      <c r="A208" s="109" t="s">
        <v>2912</v>
      </c>
      <c r="B208" s="110" t="s">
        <v>2913</v>
      </c>
      <c r="C208" s="109" t="n">
        <v>124</v>
      </c>
    </row>
    <row r="209" spans="1:4" ht="14.5" customHeight="1">
      <c r="A209" s="109" t="s">
        <v>2914</v>
      </c>
      <c r="B209" s="110" t="s">
        <v>2915</v>
      </c>
      <c r="C209" s="109" t="n">
        <v>124</v>
      </c>
    </row>
    <row r="210" spans="1:4" ht="14.5" customHeight="1">
      <c r="A210" s="109" t="s">
        <v>2916</v>
      </c>
      <c r="B210" s="110" t="s">
        <v>2917</v>
      </c>
    </row>
    <row r="211" spans="1:4" ht="14.5" customHeight="1">
      <c r="A211" s="109" t="s">
        <v>2918</v>
      </c>
      <c r="B211" s="110" t="s">
        <v>2920</v>
      </c>
    </row>
    <row r="212" spans="1:4" ht="14.5" customHeight="1">
      <c r="B212" s="110" t="s">
        <v>2922</v>
      </c>
    </row>
    <row r="213" spans="1:4" ht="14.5" customHeight="1">
      <c r="A213" s="109" t="s">
        <v>2924</v>
      </c>
      <c r="B213" s="110" t="s">
        <v>2925</v>
      </c>
      <c r="C213" s="109" t="n">
        <v>52</v>
      </c>
    </row>
    <row r="214" spans="1:4" ht="14.5" customHeight="1">
      <c r="A214" s="109" t="s">
        <v>2926</v>
      </c>
      <c r="B214" s="110" t="s">
        <v>2927</v>
      </c>
    </row>
    <row r="215" spans="1:4" ht="14.5" customHeight="1">
      <c r="A215" s="109" t="s">
        <v>2929</v>
      </c>
      <c r="B215" s="110" t="s">
        <v>2930</v>
      </c>
      <c r="C215" s="109" t="n">
        <v>68</v>
      </c>
    </row>
    <row r="216" spans="1:4" ht="14.5" customHeight="1">
      <c r="A216" s="109" t="s">
        <v>2932</v>
      </c>
      <c r="B216" s="110" t="s">
        <v>2933</v>
      </c>
      <c r="C216" s="109" t="n">
        <v>68</v>
      </c>
    </row>
    <row r="217" spans="1:4" ht="14.5" customHeight="1">
      <c r="A217" s="109" t="s">
        <v>2934</v>
      </c>
      <c r="B217" s="110" t="s">
        <v>2935</v>
      </c>
      <c r="C217" s="109" t="n">
        <v>68</v>
      </c>
    </row>
    <row r="218" spans="1:4" ht="14.5" customHeight="1">
      <c r="A218" s="109" t="s">
        <v>2936</v>
      </c>
      <c r="B218" s="110" t="s">
        <v>2937</v>
      </c>
      <c r="C218" s="109" t="n">
        <v>68</v>
      </c>
    </row>
    <row r="219" spans="1:4" ht="14.5" customHeight="1">
      <c r="A219" s="109" t="s">
        <v>2938</v>
      </c>
      <c r="B219" s="110" t="s">
        <v>2939</v>
      </c>
      <c r="C219" s="109" t="n">
        <v>124</v>
      </c>
    </row>
    <row r="220" spans="1:4" ht="14.5" customHeight="1">
      <c r="A220" s="109" t="s">
        <v>2941</v>
      </c>
      <c r="B220" s="110" t="s">
        <v>2942</v>
      </c>
      <c r="C220" s="109" t="n">
        <v>127</v>
      </c>
    </row>
    <row r="221" spans="1:4" ht="14.5" customHeight="1">
      <c r="A221" s="109" t="s">
        <v>2943</v>
      </c>
      <c r="B221" s="110" t="s">
        <v>2944</v>
      </c>
      <c r="C221" s="109" t="n">
        <v>127</v>
      </c>
    </row>
    <row r="222" spans="1:4" ht="14.5" customHeight="1">
      <c r="A222" s="109" t="s">
        <v>2945</v>
      </c>
      <c r="B222" s="110" t="s">
        <v>2946</v>
      </c>
      <c r="C222" s="109" t="n">
        <v>127</v>
      </c>
    </row>
    <row r="223" spans="1:4" ht="14.5" customHeight="1">
      <c r="A223" s="109" t="s">
        <v>2947</v>
      </c>
      <c r="B223" s="110" t="s">
        <v>2948</v>
      </c>
      <c r="C223" s="109" t="n">
        <v>72</v>
      </c>
    </row>
    <row r="224" spans="1:4" ht="14.5" customHeight="1">
      <c r="A224" s="109" t="s">
        <v>2950</v>
      </c>
      <c r="B224" s="110" t="s">
        <v>2951</v>
      </c>
    </row>
    <row r="225" spans="1:4" ht="14.5" customHeight="1">
      <c r="A225" s="109" t="s">
        <v>2952</v>
      </c>
      <c r="B225" s="110" t="s">
        <v>2953</v>
      </c>
      <c r="C225" s="109" t="n">
        <v>127</v>
      </c>
    </row>
    <row r="226" spans="1:4" ht="14.5" customHeight="1">
      <c r="A226" s="109" t="s">
        <v>2954</v>
      </c>
      <c r="B226" s="110" t="s">
        <v>2955</v>
      </c>
      <c r="C226" s="109" t="n">
        <v>72</v>
      </c>
    </row>
    <row r="227" spans="1:4" ht="14.5" customHeight="1">
      <c r="A227" s="109" t="s">
        <v>2957</v>
      </c>
      <c r="B227" s="110" t="s">
        <v>2958</v>
      </c>
      <c r="C227" s="109" t="n">
        <v>127</v>
      </c>
    </row>
    <row r="228" spans="1:4" ht="14.5" customHeight="1">
      <c r="A228" s="109" t="s">
        <v>2959</v>
      </c>
      <c r="B228" s="112" t="s">
        <v>2960</v>
      </c>
      <c r="C228" s="109" t="n">
        <v>129</v>
      </c>
      <c r="D228" s="109" t="n">
        <v>10</v>
      </c>
    </row>
    <row r="229" spans="1:4" ht="14.5" customHeight="1">
      <c r="A229" s="109" t="s">
        <v>2961</v>
      </c>
      <c r="B229" s="112" t="s">
        <v>2960</v>
      </c>
      <c r="C229" s="109" t="n">
        <v>129</v>
      </c>
      <c r="D229" s="109" t="n">
        <v>10</v>
      </c>
    </row>
    <row r="230" spans="1:4" ht="14.5" customHeight="1">
      <c r="A230" s="109" t="s">
        <v>2962</v>
      </c>
      <c r="B230" s="112" t="s">
        <v>2963</v>
      </c>
      <c r="C230" s="109" t="n">
        <v>129</v>
      </c>
      <c r="D230" s="109" t="n">
        <v>10</v>
      </c>
    </row>
    <row r="231" spans="1:4" ht="14.5" customHeight="1">
      <c r="A231" s="109" t="s">
        <v>2964</v>
      </c>
      <c r="B231" s="112" t="s">
        <v>2965</v>
      </c>
      <c r="C231" s="109" t="n">
        <v>129</v>
      </c>
      <c r="D231" s="109" t="n">
        <v>11</v>
      </c>
    </row>
    <row r="232" spans="1:4" ht="14.5" customHeight="1">
      <c r="A232" s="109" t="s">
        <v>2966</v>
      </c>
      <c r="B232" s="112" t="s">
        <v>2967</v>
      </c>
      <c r="C232" s="109" t="n">
        <v>129</v>
      </c>
      <c r="D232" s="109" t="n">
        <v>11</v>
      </c>
    </row>
    <row r="233" spans="1:4" ht="14.5" customHeight="1">
      <c r="A233" s="109" t="s">
        <v>2968</v>
      </c>
      <c r="B233" s="112" t="s">
        <v>2969</v>
      </c>
      <c r="C233" s="109" t="n">
        <v>130</v>
      </c>
      <c r="D233" s="109" t="n">
        <v>14</v>
      </c>
    </row>
    <row r="234" spans="1:4" ht="14.5" customHeight="1">
      <c r="A234" s="109" t="s">
        <v>2970</v>
      </c>
      <c r="B234" s="112" t="s">
        <v>2971</v>
      </c>
      <c r="C234" s="109" t="n">
        <v>129</v>
      </c>
      <c r="D234" s="109" t="n">
        <v>13</v>
      </c>
    </row>
    <row r="235" spans="1:4" ht="14.5" customHeight="1">
      <c r="A235" s="109" t="s">
        <v>2972</v>
      </c>
      <c r="B235" s="110" t="s">
        <v>2973</v>
      </c>
      <c r="D235" s="109" t="n">
        <v>13</v>
      </c>
    </row>
    <row r="236" spans="1:4" ht="14.5" customHeight="1">
      <c r="A236" s="109" t="s">
        <v>2974</v>
      </c>
      <c r="B236" s="110" t="s">
        <v>2975</v>
      </c>
      <c r="D236" s="109" t="n">
        <v>13</v>
      </c>
    </row>
    <row r="237" spans="1:4" ht="14.5" customHeight="1">
      <c r="A237" s="109" t="s">
        <v>2976</v>
      </c>
      <c r="B237" s="110" t="s">
        <v>2977</v>
      </c>
      <c r="C237" s="109" t="n">
        <v>74</v>
      </c>
      <c r="D237" s="109" t="n">
        <v>14</v>
      </c>
    </row>
    <row r="238" spans="1:4" ht="14.5" customHeight="1">
      <c r="A238" s="109" t="s">
        <v>2979</v>
      </c>
      <c r="B238" s="110" t="s">
        <v>2980</v>
      </c>
      <c r="C238" s="109" t="n">
        <v>129</v>
      </c>
      <c r="D238" s="109" t="n">
        <v>14</v>
      </c>
    </row>
    <row r="239" spans="1:4" ht="14.5" customHeight="1">
      <c r="A239" s="109" t="s">
        <v>2981</v>
      </c>
      <c r="B239" s="110" t="s">
        <v>2982</v>
      </c>
      <c r="C239" s="109" t="n">
        <v>130</v>
      </c>
    </row>
    <row r="240" spans="1:4" ht="14.5" customHeight="1">
      <c r="A240" s="109" t="s">
        <v>2984</v>
      </c>
      <c r="B240" s="110" t="s">
        <v>2985</v>
      </c>
    </row>
    <row r="241" spans="1:4" ht="14.5" customHeight="1">
      <c r="A241" s="109" t="s">
        <v>2986</v>
      </c>
      <c r="B241" s="110" t="s">
        <v>2987</v>
      </c>
    </row>
    <row r="242" spans="1:4" ht="14.5" customHeight="1">
      <c r="A242" s="109" t="s">
        <v>2989</v>
      </c>
      <c r="B242" s="110" t="s">
        <v>2990</v>
      </c>
      <c r="C242" s="109" t="n">
        <v>75</v>
      </c>
    </row>
    <row r="243" spans="1:4" ht="14.5" customHeight="1">
      <c r="A243" s="109" t="s">
        <v>2991</v>
      </c>
      <c r="B243" s="110" t="s">
        <v>2992</v>
      </c>
    </row>
    <row r="244" spans="1:4" ht="14.5" customHeight="1">
      <c r="A244" s="109" t="s">
        <v>2993</v>
      </c>
      <c r="B244" s="110" t="s">
        <v>2987</v>
      </c>
      <c r="C244" s="109" t="n">
        <v>130</v>
      </c>
    </row>
    <row r="245" spans="1:4" ht="14.5" customHeight="1">
      <c r="A245" s="109" t="s">
        <v>2994</v>
      </c>
      <c r="B245" s="110" t="s">
        <v>2995</v>
      </c>
      <c r="C245" s="109" t="n">
        <v>130</v>
      </c>
    </row>
    <row r="246" spans="1:4" ht="14.5" customHeight="1">
      <c r="A246" s="109" t="s">
        <v>2996</v>
      </c>
      <c r="B246" s="110" t="s">
        <v>2997</v>
      </c>
    </row>
    <row r="247" spans="1:4" ht="14.5" customHeight="1">
      <c r="A247" s="109" t="s">
        <v>2998</v>
      </c>
      <c r="B247" s="110" t="s">
        <v>2999</v>
      </c>
      <c r="C247" s="109" t="n">
        <v>130</v>
      </c>
    </row>
    <row r="248" spans="1:4" ht="14.5" customHeight="1">
      <c r="A248" s="109" t="s">
        <v>3000</v>
      </c>
      <c r="B248" s="110" t="s">
        <v>3001</v>
      </c>
      <c r="C248" s="109" t="n">
        <v>76</v>
      </c>
    </row>
    <row r="249" spans="1:4" ht="14.5" customHeight="1">
      <c r="A249" s="109" t="s">
        <v>3002</v>
      </c>
      <c r="B249" s="110" t="s">
        <v>3003</v>
      </c>
      <c r="C249" s="109" t="n">
        <v>76</v>
      </c>
    </row>
    <row r="250" spans="1:4" ht="14.5" customHeight="1">
      <c r="A250" s="109" t="s">
        <v>3004</v>
      </c>
      <c r="B250" s="110" t="s">
        <v>3005</v>
      </c>
      <c r="C250" s="109" t="n">
        <v>76</v>
      </c>
    </row>
    <row r="251" spans="1:4" ht="14.5" customHeight="1">
      <c r="A251" s="109" t="s">
        <v>3006</v>
      </c>
      <c r="B251" s="110" t="s">
        <v>3007</v>
      </c>
      <c r="C251" s="109" t="n">
        <v>76</v>
      </c>
    </row>
    <row r="252" spans="1:4" ht="14.5" customHeight="1">
      <c r="A252" s="109" t="s">
        <v>3008</v>
      </c>
      <c r="B252" s="110" t="s">
        <v>3009</v>
      </c>
      <c r="C252" s="109" t="n">
        <v>130</v>
      </c>
    </row>
    <row r="253" spans="1:4" ht="14.5" customHeight="1">
      <c r="A253" s="109" t="s">
        <v>3010</v>
      </c>
      <c r="B253" s="110" t="s">
        <v>3011</v>
      </c>
      <c r="C253" s="109" t="n">
        <v>131</v>
      </c>
    </row>
    <row r="254" spans="1:4" ht="14.5" customHeight="1">
      <c r="A254" s="109" t="s">
        <v>3012</v>
      </c>
      <c r="B254" s="110" t="s">
        <v>3013</v>
      </c>
      <c r="C254" s="109" t="n">
        <v>78</v>
      </c>
    </row>
    <row r="255" spans="1:4" ht="14.5" customHeight="1">
      <c r="A255" s="109" t="s">
        <v>3015</v>
      </c>
      <c r="B255" s="110" t="s">
        <v>3016</v>
      </c>
      <c r="C255" s="109" t="n">
        <v>132</v>
      </c>
    </row>
    <row r="256" spans="1:4" ht="14.5" customHeight="1">
      <c r="A256" s="109" t="s">
        <v>3017</v>
      </c>
      <c r="B256" s="110" t="s">
        <v>3018</v>
      </c>
    </row>
    <row r="257" spans="1:4" ht="14.5" customHeight="1">
      <c r="A257" s="109" t="s">
        <v>3020</v>
      </c>
      <c r="B257" s="110" t="s">
        <v>3021</v>
      </c>
    </row>
    <row r="258" spans="1:4" ht="14.5" customHeight="1">
      <c r="A258" s="109" t="s">
        <v>3023</v>
      </c>
      <c r="B258" s="110" t="s">
        <v>3024</v>
      </c>
    </row>
    <row r="259" spans="1:4" ht="14.5" customHeight="1">
      <c r="A259" s="109" t="s">
        <v>3020</v>
      </c>
      <c r="B259" s="110" t="s">
        <v>3021</v>
      </c>
    </row>
    <row r="260" spans="1:4" ht="14.5" customHeight="1">
      <c r="A260" s="109" t="s">
        <v>3023</v>
      </c>
      <c r="B260" s="110" t="s">
        <v>3024</v>
      </c>
    </row>
    <row r="261" spans="1:4" ht="14.5" customHeight="1">
      <c r="A261" s="109" t="s">
        <v>3025</v>
      </c>
      <c r="B261" s="110" t="s">
        <v>3026</v>
      </c>
      <c r="C261" s="109" t="n">
        <v>141</v>
      </c>
    </row>
    <row r="262" spans="1:4" ht="14.5" customHeight="1">
      <c r="A262" s="109" t="s">
        <v>3028</v>
      </c>
      <c r="B262" s="110" t="s">
        <v>3029</v>
      </c>
      <c r="C262" s="109" t="n">
        <v>141</v>
      </c>
    </row>
    <row r="263" spans="1:4" ht="14.5" customHeight="1">
      <c r="A263" s="109" t="s">
        <v>3025</v>
      </c>
      <c r="B263" s="110" t="s">
        <v>3026</v>
      </c>
      <c r="C263" s="109" t="n">
        <v>141</v>
      </c>
    </row>
    <row r="264" spans="1:4" ht="14.5" customHeight="1">
      <c r="A264" s="109" t="s">
        <v>3028</v>
      </c>
      <c r="B264" s="110" t="s">
        <v>3029</v>
      </c>
      <c r="C264" s="109" t="n">
        <v>141</v>
      </c>
    </row>
    <row r="265" spans="1:4" ht="14.5" customHeight="1">
      <c r="A265" s="109" t="s">
        <v>3030</v>
      </c>
      <c r="B265" s="110" t="s">
        <v>3031</v>
      </c>
      <c r="C265" s="109" t="n">
        <v>137</v>
      </c>
    </row>
    <row r="266" spans="1:4" ht="14.5" customHeight="1">
      <c r="A266" s="109" t="s">
        <v>3033</v>
      </c>
      <c r="B266" s="110" t="s">
        <v>3034</v>
      </c>
      <c r="C266" s="109" t="n">
        <v>137</v>
      </c>
    </row>
    <row r="267" spans="1:4" ht="14.5" customHeight="1">
      <c r="A267" s="109" t="s">
        <v>3035</v>
      </c>
      <c r="B267" s="110" t="s">
        <v>3036</v>
      </c>
      <c r="C267" s="109" t="n">
        <v>141</v>
      </c>
    </row>
    <row r="268" spans="1:4" ht="14.5" customHeight="1">
      <c r="A268" s="109" t="s">
        <v>3038</v>
      </c>
      <c r="B268" s="110" t="s">
        <v>3039</v>
      </c>
      <c r="C268" s="109" t="n">
        <v>141</v>
      </c>
    </row>
    <row r="269" spans="1:4" ht="14.5" customHeight="1">
      <c r="A269" s="109" t="s">
        <v>3040</v>
      </c>
      <c r="B269" s="110" t="s">
        <v>3041</v>
      </c>
    </row>
    <row r="270" spans="1:4" ht="14.5" customHeight="1">
      <c r="A270" s="109" t="s">
        <v>3043</v>
      </c>
      <c r="B270" s="110" t="s">
        <v>3044</v>
      </c>
      <c r="C270" s="109" t="n">
        <v>141</v>
      </c>
    </row>
    <row r="271" spans="1:4" ht="14.5" customHeight="1">
      <c r="A271" s="109" t="s">
        <v>3045</v>
      </c>
      <c r="B271" s="110" t="s">
        <v>3046</v>
      </c>
    </row>
    <row r="272" spans="1:4" ht="14.5" customHeight="1">
      <c r="A272" s="109" t="s">
        <v>3047</v>
      </c>
      <c r="B272" s="110" t="s">
        <v>3048</v>
      </c>
      <c r="C272" s="109" t="n">
        <v>141</v>
      </c>
    </row>
    <row r="273" spans="1:4" ht="14.5" customHeight="1">
      <c r="A273" s="109" t="s">
        <v>3049</v>
      </c>
      <c r="B273" s="110" t="s">
        <v>3050</v>
      </c>
    </row>
    <row r="274" spans="1:4" ht="14.5" customHeight="1">
      <c r="A274" s="109" t="s">
        <v>3052</v>
      </c>
      <c r="B274" s="110" t="s">
        <v>3053</v>
      </c>
    </row>
    <row r="275" spans="1:4" ht="14.5" customHeight="1">
      <c r="A275" s="109" t="s">
        <v>3055</v>
      </c>
      <c r="B275" s="110" t="s">
        <v>3056</v>
      </c>
      <c r="C275" s="109" t="n">
        <v>141</v>
      </c>
    </row>
    <row r="276" spans="1:4" ht="14.5" customHeight="1">
      <c r="A276" s="109" t="n">
        <v>4651</v>
      </c>
      <c r="B276" s="110" t="s">
        <v>3573</v>
      </c>
      <c r="C276" s="109" t="n">
        <v>140</v>
      </c>
    </row>
    <row r="277" spans="1:4" ht="14.5" customHeight="1">
      <c r="A277" s="109" t="s">
        <v>3057</v>
      </c>
      <c r="B277" s="110" t="s">
        <v>3058</v>
      </c>
    </row>
    <row r="278" spans="1:4" ht="14.5" customHeight="1">
      <c r="A278" s="109" t="s">
        <v>3060</v>
      </c>
      <c r="B278" s="110" t="s">
        <v>3061</v>
      </c>
      <c r="C278" s="109" t="n">
        <v>141</v>
      </c>
    </row>
    <row r="279" spans="1:4" ht="14.5" customHeight="1">
      <c r="A279" s="109" t="s">
        <v>3063</v>
      </c>
      <c r="B279" s="110" t="s">
        <v>3061</v>
      </c>
      <c r="C279" s="109" t="n">
        <v>141</v>
      </c>
    </row>
    <row r="280" spans="1:4" ht="14.5" customHeight="1">
      <c r="A280" s="109" t="s">
        <v>3064</v>
      </c>
      <c r="B280" s="110" t="s">
        <v>3065</v>
      </c>
      <c r="C280" s="109" t="n">
        <v>141</v>
      </c>
    </row>
    <row r="281" spans="1:4" ht="14.5" customHeight="1">
      <c r="A281" s="109" t="s">
        <v>3066</v>
      </c>
      <c r="B281" s="110" t="s">
        <v>3067</v>
      </c>
    </row>
    <row r="282" spans="1:4" ht="14.5" customHeight="1">
      <c r="A282" s="109" t="s">
        <v>3070</v>
      </c>
      <c r="B282" s="110" t="s">
        <v>3071</v>
      </c>
    </row>
    <row r="283" spans="1:4" ht="14.5" customHeight="1">
      <c r="A283" s="109" t="s">
        <v>3072</v>
      </c>
      <c r="B283" s="110" t="s">
        <v>3073</v>
      </c>
    </row>
    <row r="284" spans="1:4" ht="14.5" customHeight="1">
      <c r="A284" s="109" t="s">
        <v>3074</v>
      </c>
      <c r="B284" s="110" t="s">
        <v>3075</v>
      </c>
    </row>
    <row r="285" spans="1:4" ht="14.5" customHeight="1">
      <c r="A285" s="109" t="s">
        <v>3076</v>
      </c>
      <c r="B285" s="110" t="s">
        <v>3077</v>
      </c>
    </row>
    <row r="286" spans="1:4" ht="14.5" customHeight="1">
      <c r="A286" s="109" t="s">
        <v>3078</v>
      </c>
      <c r="B286" s="110" t="s">
        <v>3079</v>
      </c>
      <c r="C286" s="109" t="n">
        <v>141</v>
      </c>
    </row>
    <row r="287" spans="1:4" ht="14.5" customHeight="1">
      <c r="A287" s="109" t="s">
        <v>3081</v>
      </c>
      <c r="B287" s="110" t="s">
        <v>3082</v>
      </c>
    </row>
    <row r="288" spans="1:4" ht="14.5" customHeight="1">
      <c r="A288" s="109" t="s">
        <v>3083</v>
      </c>
      <c r="B288" s="110" t="s">
        <v>3084</v>
      </c>
    </row>
    <row r="289" spans="1:4" ht="14.5" customHeight="1">
      <c r="A289" s="109" t="s">
        <v>3085</v>
      </c>
      <c r="B289" s="110" t="s">
        <v>3086</v>
      </c>
    </row>
    <row r="290" spans="1:4" ht="14.5" customHeight="1">
      <c r="A290" s="109" t="s">
        <v>3088</v>
      </c>
      <c r="B290" s="110" t="s">
        <v>3089</v>
      </c>
    </row>
    <row r="291" spans="1:4" ht="14.5" customHeight="1">
      <c r="A291" s="109" t="s">
        <v>3090</v>
      </c>
      <c r="B291" s="110" t="s">
        <v>3091</v>
      </c>
    </row>
    <row r="292" spans="1:4" ht="14.5" customHeight="1">
      <c r="A292" s="109" t="s">
        <v>3092</v>
      </c>
      <c r="B292" s="110" t="s">
        <v>3093</v>
      </c>
    </row>
    <row r="293" spans="1:4" ht="14.5" customHeight="1">
      <c r="A293" s="109" t="s">
        <v>3094</v>
      </c>
      <c r="B293" s="110" t="s">
        <v>3095</v>
      </c>
    </row>
    <row r="294" spans="1:4" ht="14.5" customHeight="1">
      <c r="A294" s="109" t="s">
        <v>3096</v>
      </c>
      <c r="B294" s="110" t="s">
        <v>3097</v>
      </c>
    </row>
    <row r="295" spans="1:4" ht="14.5" customHeight="1">
      <c r="A295" s="109" t="s">
        <v>3096</v>
      </c>
      <c r="B295" s="110" t="s">
        <v>3097</v>
      </c>
    </row>
    <row r="296" spans="1:4" ht="14.5" customHeight="1">
      <c r="A296" s="109" t="s">
        <v>3100</v>
      </c>
      <c r="B296" s="110" t="s">
        <v>3101</v>
      </c>
    </row>
    <row r="297" spans="1:4" ht="14.5" customHeight="1">
      <c r="A297" s="109" t="s">
        <v>3102</v>
      </c>
      <c r="B297" s="110" t="s">
        <v>2646</v>
      </c>
    </row>
    <row r="298" spans="1:4" ht="14.5" customHeight="1">
      <c r="A298" s="109" t="s">
        <v>3104</v>
      </c>
      <c r="B298" s="110" t="s">
        <v>3105</v>
      </c>
    </row>
    <row r="299" spans="1:4" ht="14.5" customHeight="1">
      <c r="A299" s="109" t="s">
        <v>3107</v>
      </c>
      <c r="B299" s="110" t="s">
        <v>3108</v>
      </c>
    </row>
    <row r="300" spans="1:4" ht="14.5" customHeight="1">
      <c r="A300" s="109" t="s">
        <v>3109</v>
      </c>
      <c r="B300" s="110" t="s">
        <v>3110</v>
      </c>
    </row>
    <row r="301" spans="1:4" ht="14.5" customHeight="1">
      <c r="A301" s="109" t="s">
        <v>3111</v>
      </c>
      <c r="B301" s="110" t="s">
        <v>3112</v>
      </c>
    </row>
    <row r="302" spans="1:4" ht="14.5" customHeight="1">
      <c r="A302" s="109" t="s">
        <v>3113</v>
      </c>
      <c r="B302" s="110" t="s">
        <v>3114</v>
      </c>
    </row>
    <row r="303" spans="1:4" ht="14.5" customHeight="1">
      <c r="A303" s="109" t="s">
        <v>3115</v>
      </c>
      <c r="B303" s="110" t="s">
        <v>3116</v>
      </c>
    </row>
    <row r="304" spans="1:4" ht="14.5" customHeight="1">
      <c r="A304" s="109" t="s">
        <v>3117</v>
      </c>
      <c r="B304" s="110" t="s">
        <v>3118</v>
      </c>
      <c r="C304" s="109" t="n">
        <v>141</v>
      </c>
    </row>
    <row r="305" spans="1:4" ht="14.5" customHeight="1">
      <c r="A305" s="109" t="s">
        <v>3120</v>
      </c>
      <c r="B305" s="110" t="s">
        <v>3121</v>
      </c>
      <c r="C305" s="109" t="n">
        <v>141</v>
      </c>
    </row>
    <row r="306" spans="1:4" ht="14.5" customHeight="1">
      <c r="A306" s="109" t="s">
        <v>3122</v>
      </c>
      <c r="B306" s="110" t="s">
        <v>3123</v>
      </c>
      <c r="C306" s="109" t="n">
        <v>98</v>
      </c>
    </row>
    <row r="307" spans="1:4" ht="14.5" customHeight="1">
      <c r="A307" s="109" t="s">
        <v>3125</v>
      </c>
      <c r="B307" s="110" t="s">
        <v>3126</v>
      </c>
      <c r="C307" s="109" t="n">
        <v>98</v>
      </c>
    </row>
    <row r="308" spans="1:4" ht="14.5" customHeight="1">
      <c r="A308" s="109" t="s">
        <v>3127</v>
      </c>
      <c r="B308" s="110" t="s">
        <v>3128</v>
      </c>
      <c r="C308" s="109" t="n">
        <v>108</v>
      </c>
    </row>
    <row r="309" spans="1:4" ht="14.5" customHeight="1">
      <c r="A309" s="109" t="s">
        <v>3130</v>
      </c>
      <c r="B309" s="110" t="s">
        <v>3131</v>
      </c>
      <c r="C309" s="109" t="n">
        <v>103</v>
      </c>
    </row>
    <row r="310" spans="1:4" ht="14.5" customHeight="1">
      <c r="A310" s="109" t="s">
        <v>3133</v>
      </c>
      <c r="B310" s="110" t="s">
        <v>3134</v>
      </c>
      <c r="C310" s="109" t="n">
        <v>105</v>
      </c>
    </row>
    <row r="311" spans="1:4" ht="14.5" customHeight="1">
      <c r="A311" s="109" t="s">
        <v>3135</v>
      </c>
      <c r="B311" s="110" t="s">
        <v>3136</v>
      </c>
      <c r="C311" s="109" t="n">
        <v>108</v>
      </c>
    </row>
    <row r="312" spans="1:4" ht="14.5" customHeight="1">
      <c r="A312" s="109" t="s">
        <v>3137</v>
      </c>
      <c r="B312" s="110" t="s">
        <v>3138</v>
      </c>
      <c r="C312" s="109" t="n">
        <v>88</v>
      </c>
    </row>
    <row r="313" spans="1:4" ht="14.5" customHeight="1">
      <c r="A313" s="109" t="s">
        <v>3140</v>
      </c>
      <c r="B313" s="110" t="s">
        <v>3141</v>
      </c>
      <c r="C313" s="109" t="n">
        <v>147</v>
      </c>
    </row>
    <row r="314" spans="1:4" ht="14.5" customHeight="1">
      <c r="A314" s="109" t="s">
        <v>3142</v>
      </c>
      <c r="B314" s="110" t="s">
        <v>3143</v>
      </c>
    </row>
    <row r="315" spans="1:4" ht="14.5" customHeight="1">
      <c r="A315" s="109" t="s">
        <v>3145</v>
      </c>
      <c r="B315" s="110" t="s">
        <v>3146</v>
      </c>
    </row>
    <row r="316" spans="1:4" ht="14.5" customHeight="1">
      <c r="A316" s="109" t="s">
        <v>3147</v>
      </c>
      <c r="B316" s="110" t="s">
        <v>3148</v>
      </c>
    </row>
    <row r="317" spans="1:4" ht="14.5" customHeight="1">
      <c r="A317" s="109" t="s">
        <v>3149</v>
      </c>
      <c r="B317" s="110" t="s">
        <v>2537</v>
      </c>
    </row>
    <row r="318" spans="1:4" ht="14.5" customHeight="1">
      <c r="A318" s="109" t="s">
        <v>3150</v>
      </c>
      <c r="B318" s="110" t="s">
        <v>3151</v>
      </c>
    </row>
    <row r="319" spans="1:4" ht="14.5" customHeight="1">
      <c r="A319" s="109" t="s">
        <v>3152</v>
      </c>
      <c r="B319" s="110" t="s">
        <v>3153</v>
      </c>
    </row>
    <row r="320" spans="1:4" ht="14.5" customHeight="1">
      <c r="A320" s="109" t="s">
        <v>3154</v>
      </c>
      <c r="B320" s="110" t="s">
        <v>2540</v>
      </c>
    </row>
    <row r="321" spans="1:4" ht="14.5" customHeight="1">
      <c r="A321" s="109" t="s">
        <v>3155</v>
      </c>
      <c r="B321" s="110" t="s">
        <v>3156</v>
      </c>
    </row>
    <row r="322" spans="1:4" ht="14.5" customHeight="1">
      <c r="A322" s="109" t="s">
        <v>3157</v>
      </c>
      <c r="B322" s="110" t="s">
        <v>3158</v>
      </c>
      <c r="C322" s="109" t="n">
        <v>100</v>
      </c>
    </row>
    <row r="323" spans="1:4" ht="14.5" customHeight="1">
      <c r="A323" s="109" t="s">
        <v>3160</v>
      </c>
      <c r="B323" s="110" t="s">
        <v>3161</v>
      </c>
      <c r="C323" s="109" t="n">
        <v>101</v>
      </c>
    </row>
    <row r="324" spans="1:4" ht="14.5" customHeight="1">
      <c r="A324" s="109" t="s">
        <v>3162</v>
      </c>
      <c r="B324" s="110" t="s">
        <v>3163</v>
      </c>
    </row>
    <row r="325" spans="1:4" ht="14.5" customHeight="1">
      <c r="A325" s="109" t="s">
        <v>3165</v>
      </c>
      <c r="B325" s="110" t="s">
        <v>3166</v>
      </c>
    </row>
    <row r="326" spans="1:4" ht="14.5" customHeight="1">
      <c r="A326" s="109" t="s">
        <v>3167</v>
      </c>
      <c r="B326" s="110" t="s">
        <v>3168</v>
      </c>
    </row>
    <row r="327" spans="1:4" ht="14.5" customHeight="1">
      <c r="A327" s="109" t="s">
        <v>3169</v>
      </c>
      <c r="B327" s="110" t="s">
        <v>3170</v>
      </c>
    </row>
    <row r="328" spans="1:4" ht="14.5" customHeight="1">
      <c r="A328" s="109" t="s">
        <v>3171</v>
      </c>
      <c r="B328" s="110" t="s">
        <v>3172</v>
      </c>
      <c r="C328" s="109" t="n">
        <v>108</v>
      </c>
    </row>
    <row r="329" spans="1:4" ht="14.5" customHeight="1">
      <c r="A329" s="109" t="s">
        <v>3174</v>
      </c>
      <c r="B329" s="110" t="s">
        <v>3175</v>
      </c>
      <c r="C329" s="109" t="n">
        <v>109</v>
      </c>
    </row>
    <row r="330" spans="1:4" ht="14.5" customHeight="1">
      <c r="A330" s="109" t="s">
        <v>3176</v>
      </c>
      <c r="B330" s="110" t="s">
        <v>3175</v>
      </c>
      <c r="C330" s="109" t="n">
        <v>109</v>
      </c>
    </row>
    <row r="331" spans="1:4" ht="14.5" customHeight="1">
      <c r="A331" s="109" t="s">
        <v>3177</v>
      </c>
      <c r="B331" s="110" t="s">
        <v>3178</v>
      </c>
    </row>
    <row r="332" spans="1:4" ht="14.5" customHeight="1">
      <c r="A332" s="109" t="s">
        <v>3179</v>
      </c>
      <c r="B332" s="110" t="s">
        <v>3180</v>
      </c>
    </row>
    <row r="333" spans="1:4" ht="14.5" customHeight="1">
      <c r="A333" s="109" t="s">
        <v>3181</v>
      </c>
      <c r="B333" s="110" t="s">
        <v>2765</v>
      </c>
    </row>
    <row r="334" spans="1:4" ht="14.5" customHeight="1">
      <c r="A334" s="109" t="s">
        <v>3182</v>
      </c>
      <c r="B334" s="110" t="s">
        <v>3183</v>
      </c>
    </row>
    <row r="335" spans="1:4" ht="14.5" customHeight="1">
      <c r="A335" s="109" t="s">
        <v>3184</v>
      </c>
      <c r="B335" s="110" t="s">
        <v>3185</v>
      </c>
    </row>
    <row r="336" spans="1:4" ht="14.5" customHeight="1">
      <c r="A336" s="109" t="s">
        <v>3186</v>
      </c>
      <c r="B336" s="110" t="s">
        <v>3187</v>
      </c>
    </row>
    <row r="337" spans="1:4" ht="14.5" customHeight="1">
      <c r="A337" s="109" t="s">
        <v>3188</v>
      </c>
      <c r="B337" s="110" t="n"/>
    </row>
    <row r="338" spans="1:4" ht="14.5" customHeight="1">
      <c r="A338" s="109" t="s">
        <v>2464</v>
      </c>
      <c r="B338" s="110" t="n"/>
    </row>
    <row r="339" spans="1:4" ht="14.5" customHeight="1">
      <c r="A339" s="109" t="s">
        <v>3189</v>
      </c>
      <c r="B339" s="110" t="n"/>
    </row>
    <row r="340" spans="1:4" ht="14.5" customHeight="1">
      <c r="A340" s="109" t="s">
        <v>3190</v>
      </c>
      <c r="B340" s="110" t="n"/>
    </row>
    <row r="341" spans="1:4" ht="14.5" customHeight="1">
      <c r="A341" s="109" t="s">
        <v>3224</v>
      </c>
      <c r="B341" s="113" t="s">
        <v>3225</v>
      </c>
    </row>
    <row r="342" spans="1:4" ht="14.5" customHeight="1">
      <c r="A342" s="109" t="s">
        <v>3227</v>
      </c>
      <c r="B342" s="113" t="s">
        <v>3228</v>
      </c>
    </row>
    <row r="343" spans="1:4" ht="14.5" customHeight="1">
      <c r="A343" s="109" t="s">
        <v>3230</v>
      </c>
      <c r="B343" s="113" t="s">
        <v>3231</v>
      </c>
    </row>
    <row r="344" spans="1:4" ht="14.5" customHeight="1">
      <c r="A344" s="109" t="s">
        <v>3232</v>
      </c>
      <c r="B344" s="113" t="s">
        <v>3233</v>
      </c>
    </row>
    <row r="345" spans="1:4" ht="14.5" customHeight="1">
      <c r="A345" s="109" t="s">
        <v>3234</v>
      </c>
      <c r="B345" s="113" t="s">
        <v>3235</v>
      </c>
    </row>
    <row r="346" spans="1:4" ht="14.5" customHeight="1">
      <c r="A346" s="109" t="s">
        <v>3236</v>
      </c>
      <c r="B346" s="113" t="s">
        <v>3237</v>
      </c>
    </row>
    <row r="347" spans="1:4" ht="14.5" customHeight="1">
      <c r="A347" s="109" t="s">
        <v>3238</v>
      </c>
      <c r="B347" s="113" t="s">
        <v>3239</v>
      </c>
    </row>
    <row r="348" spans="1:4" ht="14.5" customHeight="1">
      <c r="A348" s="109" t="s">
        <v>3240</v>
      </c>
      <c r="B348" s="113" t="s">
        <v>3241</v>
      </c>
    </row>
    <row r="349" spans="1:4" ht="14.5" customHeight="1">
      <c r="A349" s="109" t="s">
        <v>3242</v>
      </c>
      <c r="B349" s="113" t="s">
        <v>3243</v>
      </c>
    </row>
    <row r="350" spans="1:4" ht="14.5" customHeight="1">
      <c r="A350" s="109" t="s">
        <v>3245</v>
      </c>
      <c r="B350" s="113" t="s">
        <v>3246</v>
      </c>
    </row>
    <row r="351" spans="1:4" ht="14.5" customHeight="1">
      <c r="A351" s="109" t="s">
        <v>3247</v>
      </c>
      <c r="B351" s="113" t="s">
        <v>3248</v>
      </c>
    </row>
    <row r="352" spans="1:4" ht="14.5" customHeight="1">
      <c r="A352" s="109" t="s">
        <v>3250</v>
      </c>
      <c r="B352" s="113" t="s">
        <v>3251</v>
      </c>
    </row>
    <row r="353" spans="1:4" ht="14.5" customHeight="1">
      <c r="A353" s="109" t="s">
        <v>3252</v>
      </c>
      <c r="B353" s="113" t="s">
        <v>3253</v>
      </c>
    </row>
    <row r="354" spans="1:4" ht="14.5" customHeight="1">
      <c r="A354" s="109" t="s">
        <v>3255</v>
      </c>
      <c r="B354" s="113" t="s">
        <v>3256</v>
      </c>
    </row>
    <row r="355" spans="1:4" ht="14.5" customHeight="1">
      <c r="A355" s="109" t="s">
        <v>3257</v>
      </c>
      <c r="B355" s="113" t="s">
        <v>3258</v>
      </c>
    </row>
    <row r="356" spans="1:4" ht="14.5" customHeight="1">
      <c r="A356" s="109" t="s">
        <v>3260</v>
      </c>
      <c r="B356" s="113" t="s">
        <v>3261</v>
      </c>
    </row>
    <row r="357" spans="1:4" ht="14.5" customHeight="1">
      <c r="A357" s="109" t="s">
        <v>3263</v>
      </c>
      <c r="B357" s="113" t="s">
        <v>3264</v>
      </c>
    </row>
    <row r="358" spans="1:4" ht="14.5" customHeight="1">
      <c r="A358" s="109" t="s">
        <v>3268</v>
      </c>
      <c r="B358" s="113" t="s">
        <v>3269</v>
      </c>
    </row>
    <row r="359" spans="1:4" ht="14.5" customHeight="1">
      <c r="A359" s="109" t="s">
        <v>3270</v>
      </c>
      <c r="B359" s="113" t="s">
        <v>3271</v>
      </c>
    </row>
    <row r="360" spans="1:4" ht="14.5" customHeight="1">
      <c r="A360" s="109" t="s">
        <v>3272</v>
      </c>
      <c r="B360" s="113" t="s">
        <v>3273</v>
      </c>
    </row>
    <row r="361" spans="1:4" ht="14.5" customHeight="1">
      <c r="A361" s="109" t="s">
        <v>3277</v>
      </c>
      <c r="B361" s="113" t="s">
        <v>3278</v>
      </c>
      <c r="C361" s="109" t="n">
        <v>157</v>
      </c>
    </row>
    <row r="362" spans="1:4" ht="14.5" customHeight="1">
      <c r="A362" s="109" t="s">
        <v>3279</v>
      </c>
      <c r="B362" s="113" t="s">
        <v>3278</v>
      </c>
      <c r="C362" s="109" t="n">
        <v>157</v>
      </c>
    </row>
    <row r="363" spans="1:4" ht="14.5" customHeight="1">
      <c r="A363" s="109" t="s">
        <v>3281</v>
      </c>
      <c r="B363" s="113" t="s">
        <v>3282</v>
      </c>
    </row>
    <row r="364" spans="1:4" ht="14.5" customHeight="1">
      <c r="A364" s="109" t="s">
        <v>3283</v>
      </c>
      <c r="B364" s="113" t="s">
        <v>3284</v>
      </c>
    </row>
    <row r="365" spans="1:4" ht="14.5" customHeight="1">
      <c r="A365" s="109" t="s">
        <v>3285</v>
      </c>
      <c r="B365" s="113" t="s">
        <v>3286</v>
      </c>
    </row>
    <row r="366" spans="1:4" ht="14.5" customHeight="1">
      <c r="A366" s="109" t="s">
        <v>3287</v>
      </c>
      <c r="B366" s="113" t="s">
        <v>3288</v>
      </c>
    </row>
    <row r="367" spans="1:4" ht="14.5" customHeight="1">
      <c r="A367" s="109" t="s">
        <v>3289</v>
      </c>
      <c r="B367" s="113" t="s">
        <v>3290</v>
      </c>
    </row>
    <row r="368" spans="1:4" ht="14.5" customHeight="1">
      <c r="A368" s="109" t="s">
        <v>3291</v>
      </c>
      <c r="B368" s="113" t="s">
        <v>3292</v>
      </c>
    </row>
    <row r="369" spans="1:4" ht="14.5" customHeight="1">
      <c r="A369" s="109" t="s">
        <v>3293</v>
      </c>
      <c r="B369" s="113" t="s">
        <v>3294</v>
      </c>
    </row>
    <row r="370" spans="1:4" ht="14.5" customHeight="1">
      <c r="A370" s="109" t="s">
        <v>3295</v>
      </c>
      <c r="B370" s="113" t="s">
        <v>3296</v>
      </c>
    </row>
    <row r="371" spans="1:4" ht="14.5" customHeight="1">
      <c r="A371" s="109" t="s">
        <v>3298</v>
      </c>
      <c r="B371" s="113" t="s">
        <v>3299</v>
      </c>
    </row>
    <row r="372" spans="1:4" ht="14.5" customHeight="1">
      <c r="A372" s="109" t="s">
        <v>3300</v>
      </c>
      <c r="B372" s="113" t="s">
        <v>3301</v>
      </c>
    </row>
    <row r="373" spans="1:4" ht="14.5" customHeight="1">
      <c r="A373" s="109" t="s">
        <v>3302</v>
      </c>
      <c r="B373" s="113" t="s">
        <v>3303</v>
      </c>
    </row>
    <row r="374" spans="1:4" ht="14.5" customHeight="1">
      <c r="A374" s="109" t="s">
        <v>3304</v>
      </c>
      <c r="B374" s="113" t="s">
        <v>3305</v>
      </c>
    </row>
    <row r="375" spans="1:4" ht="14.5" customHeight="1">
      <c r="A375" s="109" t="s">
        <v>3306</v>
      </c>
      <c r="B375" s="113" t="s">
        <v>3307</v>
      </c>
    </row>
    <row r="376" spans="1:4" ht="14.5" customHeight="1">
      <c r="A376" s="109" t="s">
        <v>3309</v>
      </c>
      <c r="B376" s="113" t="s">
        <v>3310</v>
      </c>
    </row>
    <row r="377" spans="1:4" ht="14.5" customHeight="1">
      <c r="A377" s="109" t="s">
        <v>3311</v>
      </c>
      <c r="B377" s="113" t="s">
        <v>3312</v>
      </c>
    </row>
    <row r="378" spans="1:4" ht="14.5" customHeight="1">
      <c r="A378" s="109" t="s">
        <v>3314</v>
      </c>
      <c r="B378" s="113" t="s">
        <v>3315</v>
      </c>
    </row>
    <row r="379" spans="1:4" ht="14.5" customHeight="1">
      <c r="A379" s="109" t="s">
        <v>3316</v>
      </c>
      <c r="B379" s="113" t="s">
        <v>3317</v>
      </c>
    </row>
    <row r="380" spans="1:4" ht="14.5" customHeight="1">
      <c r="A380" s="109" t="s">
        <v>3318</v>
      </c>
      <c r="B380" s="113" t="s">
        <v>3319</v>
      </c>
    </row>
    <row r="381" spans="1:4" ht="14.5" customHeight="1">
      <c r="A381" s="109" t="s">
        <v>3320</v>
      </c>
      <c r="B381" s="113" t="s">
        <v>3321</v>
      </c>
    </row>
    <row r="382" spans="1:4" ht="14.5" customHeight="1">
      <c r="A382" s="109" t="s">
        <v>3322</v>
      </c>
      <c r="B382" s="113" t="s">
        <v>3323</v>
      </c>
    </row>
    <row r="383" spans="1:4" ht="14.5" customHeight="1">
      <c r="A383" s="109" t="s">
        <v>3324</v>
      </c>
      <c r="B383" s="113" t="s">
        <v>3325</v>
      </c>
    </row>
    <row r="384" spans="1:4" ht="14.5" customHeight="1">
      <c r="A384" s="109" t="s">
        <v>3326</v>
      </c>
      <c r="B384" s="113" t="s">
        <v>3327</v>
      </c>
    </row>
    <row r="385" spans="1:4" ht="14.5" customHeight="1">
      <c r="A385" s="109" t="s">
        <v>3328</v>
      </c>
      <c r="B385" s="113" t="s">
        <v>3329</v>
      </c>
    </row>
    <row r="386" spans="1:4" ht="14.5" customHeight="1">
      <c r="A386" s="109" t="s">
        <v>3330</v>
      </c>
      <c r="B386" s="113" t="s">
        <v>3331</v>
      </c>
    </row>
    <row r="387" spans="1:4" ht="14.5" customHeight="1">
      <c r="A387" s="109" t="s">
        <v>3334</v>
      </c>
      <c r="B387" s="113" t="s">
        <v>3335</v>
      </c>
    </row>
    <row r="388" spans="1:4" ht="14.5" customHeight="1">
      <c r="A388" s="109" t="s">
        <v>3336</v>
      </c>
      <c r="B388" s="113" t="s">
        <v>3337</v>
      </c>
    </row>
    <row r="389" spans="1:4" ht="14.5" customHeight="1">
      <c r="A389" s="109" t="s">
        <v>3338</v>
      </c>
      <c r="B389" s="113" t="s">
        <v>3339</v>
      </c>
    </row>
    <row r="390" spans="1:4" ht="14.5" customHeight="1">
      <c r="A390" s="109" t="s">
        <v>3341</v>
      </c>
      <c r="B390" s="113" t="s">
        <v>3342</v>
      </c>
    </row>
    <row r="391" spans="1:4" ht="14.5" customHeight="1">
      <c r="A391" s="109" t="s">
        <v>3344</v>
      </c>
      <c r="B391" s="113" t="s">
        <v>3345</v>
      </c>
    </row>
    <row r="392" spans="1:4" ht="14.5" customHeight="1">
      <c r="A392" s="109" t="s">
        <v>3347</v>
      </c>
      <c r="B392" s="113" t="s">
        <v>3348</v>
      </c>
    </row>
    <row r="393" spans="1:4" ht="14.5" customHeight="1">
      <c r="A393" s="109" t="s">
        <v>3350</v>
      </c>
      <c r="B393" s="113" t="s">
        <v>3351</v>
      </c>
    </row>
    <row r="394" spans="1:4" ht="14.5" customHeight="1">
      <c r="A394" s="109" t="s">
        <v>3352</v>
      </c>
      <c r="B394" s="113" t="s">
        <v>3353</v>
      </c>
    </row>
    <row r="395" spans="1:4" ht="14.5" customHeight="1">
      <c r="A395" s="109" t="s">
        <v>3354</v>
      </c>
      <c r="B395" s="113" t="s">
        <v>3355</v>
      </c>
    </row>
    <row r="396" spans="1:4" ht="14.5" customHeight="1">
      <c r="A396" s="109" t="s">
        <v>3356</v>
      </c>
      <c r="B396" s="113" t="s">
        <v>3357</v>
      </c>
    </row>
    <row r="397" spans="1:4" ht="14.5" customHeight="1">
      <c r="A397" s="109" t="s">
        <v>3358</v>
      </c>
      <c r="B397" s="113" t="s">
        <v>3359</v>
      </c>
    </row>
    <row r="398" spans="1:4" ht="14.5" customHeight="1">
      <c r="A398" s="109" t="s">
        <v>3360</v>
      </c>
      <c r="B398" s="113" t="s">
        <v>3361</v>
      </c>
    </row>
    <row r="399" spans="1:4" ht="14.5" customHeight="1">
      <c r="A399" s="109" t="s">
        <v>3363</v>
      </c>
      <c r="B399" s="113" t="s">
        <v>3364</v>
      </c>
    </row>
    <row r="400" spans="1:4" ht="14.5" customHeight="1">
      <c r="A400" s="109" t="s">
        <v>3366</v>
      </c>
      <c r="B400" s="113" t="s">
        <v>3367</v>
      </c>
    </row>
    <row r="401" spans="1:4" ht="14.5" customHeight="1">
      <c r="A401" s="109" t="s">
        <v>3369</v>
      </c>
      <c r="B401" s="113" t="s">
        <v>3370</v>
      </c>
    </row>
    <row r="402" spans="1:4" ht="14.5" customHeight="1">
      <c r="A402" s="109" t="s">
        <v>3371</v>
      </c>
      <c r="B402" s="113" t="s">
        <v>3372</v>
      </c>
    </row>
    <row r="403" spans="1:4" ht="14.5" customHeight="1">
      <c r="A403" s="109" t="s">
        <v>3373</v>
      </c>
      <c r="B403" s="113" t="s">
        <v>3374</v>
      </c>
    </row>
    <row r="404" spans="1:4" ht="14.5" customHeight="1">
      <c r="A404" s="109" t="s">
        <v>3376</v>
      </c>
      <c r="B404" s="113" t="s">
        <v>3377</v>
      </c>
    </row>
    <row r="405" spans="1:4" ht="14.5" customHeight="1">
      <c r="A405" s="109" t="s">
        <v>3378</v>
      </c>
      <c r="B405" s="113" t="s">
        <v>3379</v>
      </c>
    </row>
    <row r="406" spans="1:4" ht="14.5" customHeight="1">
      <c r="A406" s="109" t="s">
        <v>3381</v>
      </c>
      <c r="B406" s="113" t="s">
        <v>3379</v>
      </c>
    </row>
    <row r="407" spans="1:4" ht="14.5" customHeight="1">
      <c r="A407" s="109" t="s">
        <v>3382</v>
      </c>
      <c r="B407" s="113" t="s">
        <v>3383</v>
      </c>
    </row>
    <row r="408" spans="1:4" ht="14.5" customHeight="1">
      <c r="A408" s="109" t="s">
        <v>3384</v>
      </c>
      <c r="B408" s="113" t="s">
        <v>3385</v>
      </c>
    </row>
    <row r="409" spans="1:4" ht="14.5" customHeight="1">
      <c r="A409" s="109" t="s">
        <v>3386</v>
      </c>
      <c r="B409" s="114" t="s">
        <v>3387</v>
      </c>
    </row>
    <row r="410" spans="1:4" ht="14.5" customHeight="1">
      <c r="A410" s="109" t="s">
        <v>3388</v>
      </c>
      <c r="B410" s="113" t="s">
        <v>3389</v>
      </c>
    </row>
    <row r="411" spans="1:4" ht="14.5" customHeight="1">
      <c r="A411" s="109" t="s">
        <v>3392</v>
      </c>
      <c r="B411" s="113" t="s">
        <v>3393</v>
      </c>
    </row>
    <row r="412" spans="1:4" ht="14.5" customHeight="1">
      <c r="A412" s="109" t="s">
        <v>3395</v>
      </c>
      <c r="B412" s="113" t="s">
        <v>3396</v>
      </c>
    </row>
    <row r="413" spans="1:4" ht="14.5" customHeight="1">
      <c r="A413" s="109" t="s">
        <v>3397</v>
      </c>
      <c r="B413" s="113" t="s">
        <v>3398</v>
      </c>
    </row>
    <row r="414" spans="1:4" ht="14.5" customHeight="1">
      <c r="A414" s="109" t="s">
        <v>3399</v>
      </c>
      <c r="B414" s="113" t="s">
        <v>3400</v>
      </c>
    </row>
    <row r="415" spans="1:4" ht="14.5" customHeight="1">
      <c r="A415" s="109" t="s">
        <v>3401</v>
      </c>
      <c r="B415" s="113" t="s">
        <v>3402</v>
      </c>
    </row>
    <row r="416" spans="1:4" ht="14.5" customHeight="1">
      <c r="A416" s="109" t="s">
        <v>3403</v>
      </c>
      <c r="B416" s="113" t="s">
        <v>3404</v>
      </c>
    </row>
    <row r="417" spans="1:4" ht="14.5" customHeight="1">
      <c r="A417" s="109" t="s">
        <v>3407</v>
      </c>
      <c r="B417" s="113" t="s">
        <v>3408</v>
      </c>
    </row>
    <row r="418" spans="1:4" ht="14.5" customHeight="1">
      <c r="A418" s="109" t="s">
        <v>3409</v>
      </c>
      <c r="B418" s="113" t="s">
        <v>3410</v>
      </c>
    </row>
    <row r="419" spans="1:4" ht="14.5" customHeight="1">
      <c r="A419" s="109" t="s">
        <v>3411</v>
      </c>
      <c r="B419" s="113" t="s">
        <v>3412</v>
      </c>
    </row>
    <row r="420" spans="1:4" ht="14.5" customHeight="1">
      <c r="A420" s="109" t="s">
        <v>3413</v>
      </c>
      <c r="B420" s="113" t="s">
        <v>3414</v>
      </c>
    </row>
    <row r="421" spans="1:4" ht="14.5" customHeight="1">
      <c r="A421" s="109" t="s">
        <v>3415</v>
      </c>
      <c r="B421" s="113" t="s">
        <v>3416</v>
      </c>
    </row>
    <row r="422" spans="1:4" ht="14.5" customHeight="1">
      <c r="A422" s="109" t="s">
        <v>3419</v>
      </c>
      <c r="B422" s="113" t="s">
        <v>3420</v>
      </c>
    </row>
    <row r="423" spans="1:4" ht="14.5" customHeight="1">
      <c r="A423" s="109" t="s">
        <v>3422</v>
      </c>
      <c r="B423" s="113" t="s">
        <v>3423</v>
      </c>
    </row>
    <row r="424" spans="1:4" ht="14.5" customHeight="1">
      <c r="A424" s="109" t="s">
        <v>3425</v>
      </c>
      <c r="B424" s="113" t="s">
        <v>3426</v>
      </c>
    </row>
    <row r="425" spans="1:4" ht="14.5" customHeight="1">
      <c r="A425" s="109" t="s">
        <v>3428</v>
      </c>
      <c r="B425" s="115" t="s">
        <v>3429</v>
      </c>
    </row>
    <row r="426" spans="1:4" ht="14.5" customHeight="1">
      <c r="A426" s="109" t="s">
        <v>3430</v>
      </c>
      <c r="B426" s="115" t="s">
        <v>3431</v>
      </c>
    </row>
    <row r="427" spans="1:4" ht="14.5" customHeight="1">
      <c r="A427" s="109" t="s">
        <v>3432</v>
      </c>
      <c r="B427" s="113" t="s">
        <v>3426</v>
      </c>
    </row>
    <row r="428" spans="1:4" ht="14.5" customHeight="1">
      <c r="A428" s="109" t="s">
        <v>3433</v>
      </c>
      <c r="B428" s="113" t="s">
        <v>3434</v>
      </c>
    </row>
    <row r="429" spans="1:4" ht="14.5" customHeight="1">
      <c r="A429" s="109" t="s">
        <v>3435</v>
      </c>
      <c r="B429" s="113" t="s">
        <v>3436</v>
      </c>
    </row>
    <row r="430" spans="1:4" ht="14.5" customHeight="1">
      <c r="A430" s="109" t="s">
        <v>3437</v>
      </c>
      <c r="B430" s="113" t="s">
        <v>3438</v>
      </c>
    </row>
    <row r="431" spans="1:4" ht="14.5" customHeight="1">
      <c r="A431" s="109" t="s">
        <v>3439</v>
      </c>
      <c r="B431" s="113" t="s">
        <v>3440</v>
      </c>
    </row>
    <row r="432" spans="1:4" ht="14.5" customHeight="1">
      <c r="A432" s="109" t="s">
        <v>3441</v>
      </c>
      <c r="B432" s="113" t="s">
        <v>3442</v>
      </c>
    </row>
    <row r="433" spans="1:4" ht="14.5" customHeight="1">
      <c r="A433" s="109" t="s">
        <v>3443</v>
      </c>
      <c r="B433" s="113" t="s">
        <v>3444</v>
      </c>
    </row>
    <row r="434" spans="1:4" ht="14.5" customHeight="1">
      <c r="A434" s="109" t="s">
        <v>3446</v>
      </c>
      <c r="B434" s="113" t="s">
        <v>3447</v>
      </c>
    </row>
    <row r="435" spans="1:4" ht="14.5" customHeight="1">
      <c r="A435" s="109" t="s">
        <v>3448</v>
      </c>
      <c r="B435" s="113" t="s">
        <v>3449</v>
      </c>
    </row>
    <row r="436" spans="1:4" ht="14.5" customHeight="1">
      <c r="A436" s="109" t="s">
        <v>3451</v>
      </c>
      <c r="B436" s="113" t="s">
        <v>3452</v>
      </c>
    </row>
    <row r="437" spans="1:4" ht="14.5" customHeight="1">
      <c r="A437" s="109" t="s">
        <v>3454</v>
      </c>
      <c r="B437" s="113" t="s">
        <v>3455</v>
      </c>
    </row>
    <row r="438" spans="1:4" ht="14.5" customHeight="1">
      <c r="A438" s="109" t="s">
        <v>3456</v>
      </c>
      <c r="B438" s="113" t="s">
        <v>3457</v>
      </c>
    </row>
    <row r="439" spans="1:4" ht="14.5" customHeight="1">
      <c r="A439" s="109" t="s">
        <v>3459</v>
      </c>
      <c r="B439" s="113" t="s">
        <v>3460</v>
      </c>
    </row>
    <row r="440" spans="1:4" ht="14.5" customHeight="1">
      <c r="A440" s="109" t="s">
        <v>3461</v>
      </c>
      <c r="B440" s="113" t="s">
        <v>3462</v>
      </c>
    </row>
    <row r="441" spans="1:4" ht="14.5" customHeight="1">
      <c r="A441" s="109" t="s">
        <v>3464</v>
      </c>
      <c r="B441" s="113" t="s">
        <v>3465</v>
      </c>
    </row>
    <row r="442" spans="1:4" ht="14.5" customHeight="1">
      <c r="A442" s="109" t="s">
        <v>3468</v>
      </c>
      <c r="B442" s="113" t="s">
        <v>3469</v>
      </c>
    </row>
    <row r="443" spans="1:4" ht="14.5" customHeight="1">
      <c r="A443" s="109" t="s">
        <v>3471</v>
      </c>
      <c r="B443" s="113" t="s">
        <v>3472</v>
      </c>
    </row>
    <row r="444" spans="1:4" ht="14.5" customHeight="1">
      <c r="A444" s="109" t="s">
        <v>3473</v>
      </c>
      <c r="B444" s="113" t="s">
        <v>3474</v>
      </c>
    </row>
    <row r="445" spans="1:4" ht="14.5" customHeight="1">
      <c r="A445" s="109" t="s">
        <v>3475</v>
      </c>
      <c r="B445" s="113" t="s">
        <v>3476</v>
      </c>
    </row>
    <row r="446" spans="1:4" ht="14.5" customHeight="1">
      <c r="A446" s="109" t="s">
        <v>3477</v>
      </c>
      <c r="B446" s="113" t="s">
        <v>3478</v>
      </c>
    </row>
    <row r="447" spans="1:4" ht="14.5" customHeight="1">
      <c r="A447" s="109" t="s">
        <v>3479</v>
      </c>
      <c r="B447" s="113" t="s">
        <v>3480</v>
      </c>
    </row>
    <row r="448" spans="1:4" ht="14.5" customHeight="1">
      <c r="A448" s="109" t="s">
        <v>3481</v>
      </c>
      <c r="B448" s="113" t="s">
        <v>3482</v>
      </c>
    </row>
    <row r="449" spans="1:4" ht="14.5" customHeight="1">
      <c r="A449" s="109" t="s">
        <v>3484</v>
      </c>
      <c r="B449" s="113" t="s">
        <v>3485</v>
      </c>
    </row>
    <row r="450" spans="1:4" ht="14.5" customHeight="1">
      <c r="A450" s="109" t="s">
        <v>3486</v>
      </c>
      <c r="B450" s="113" t="s">
        <v>3487</v>
      </c>
    </row>
    <row r="451" spans="1:4" ht="14.5" customHeight="1">
      <c r="A451" s="109" t="s">
        <v>3490</v>
      </c>
      <c r="B451" s="113" t="s">
        <v>3491</v>
      </c>
    </row>
    <row r="452" spans="1:4" ht="14.5" customHeight="1">
      <c r="A452" s="109" t="s">
        <v>3492</v>
      </c>
      <c r="B452" s="113" t="s">
        <v>3493</v>
      </c>
    </row>
    <row r="453" spans="1:4" ht="14.5" customHeight="1">
      <c r="A453" s="109" t="s">
        <v>3494</v>
      </c>
      <c r="B453" s="109" t="s">
        <v>3495</v>
      </c>
    </row>
    <row r="454" spans="1:4" ht="14.5" customHeight="1">
      <c r="A454" s="109" t="s">
        <v>3497</v>
      </c>
      <c r="B454" s="109" t="s">
        <v>3498</v>
      </c>
    </row>
    <row r="455" spans="1:4" ht="14.5" customHeight="1">
      <c r="A455" s="109" t="s">
        <v>3500</v>
      </c>
      <c r="B455" s="109" t="s">
        <v>3501</v>
      </c>
    </row>
    <row r="456" spans="1:4" ht="14.5" customHeight="1">
      <c r="A456" s="109" t="s">
        <v>3503</v>
      </c>
      <c r="B456" s="109" t="s">
        <v>3504</v>
      </c>
    </row>
    <row r="457" spans="1:4" ht="14.5" customHeight="1">
      <c r="A457" s="109" t="s">
        <v>3505</v>
      </c>
      <c r="B457" s="109" t="s">
        <v>3506</v>
      </c>
    </row>
    <row r="458" spans="1:4" ht="14.5" customHeight="1">
      <c r="A458" s="109" t="s">
        <v>3507</v>
      </c>
      <c r="B458" s="109" t="s">
        <v>3508</v>
      </c>
    </row>
    <row r="459" spans="1:4" ht="14.5" customHeight="1">
      <c r="A459" s="109" t="s">
        <v>3509</v>
      </c>
      <c r="B459" s="109" t="s">
        <v>3510</v>
      </c>
    </row>
    <row r="460" spans="1:4" ht="14.5" customHeight="1">
      <c r="A460" s="109" t="s">
        <v>3511</v>
      </c>
      <c r="B460" s="109" t="s">
        <v>3512</v>
      </c>
    </row>
    <row r="461" spans="1:4" ht="14.5" customHeight="1">
      <c r="A461" s="109" t="s">
        <v>3515</v>
      </c>
      <c r="B461" s="109" t="s">
        <v>3516</v>
      </c>
    </row>
    <row r="462" spans="1:4" ht="14.5" customHeight="1">
      <c r="A462" s="109" t="s">
        <v>3517</v>
      </c>
      <c r="B462" s="109" t="s">
        <v>3518</v>
      </c>
    </row>
    <row r="463" spans="1:4" ht="14.5" customHeight="1">
      <c r="A463" s="109" t="s">
        <v>3520</v>
      </c>
      <c r="B463" s="109" t="s">
        <v>3521</v>
      </c>
    </row>
    <row r="464" spans="1:4" ht="14.5" customHeight="1">
      <c r="A464" s="109" t="s">
        <v>3522</v>
      </c>
      <c r="B464" s="109" t="s">
        <v>3523</v>
      </c>
    </row>
    <row r="465" spans="1:4" ht="14.5" customHeight="1">
      <c r="A465" s="109" t="s">
        <v>3524</v>
      </c>
      <c r="B465" s="116" t="s">
        <v>3525</v>
      </c>
    </row>
    <row r="466" spans="1:4" ht="14.5" customHeight="1">
      <c r="A466" s="109" t="s">
        <v>3526</v>
      </c>
      <c r="B466" s="109" t="s">
        <v>3527</v>
      </c>
    </row>
    <row r="467" spans="1:4" ht="14.5" customHeight="1">
      <c r="A467" s="109" t="s">
        <v>3528</v>
      </c>
      <c r="B467" s="109" t="s">
        <v>3529</v>
      </c>
    </row>
    <row r="468" spans="1:4" ht="14.5" customHeight="1">
      <c r="A468" s="109" t="s">
        <v>3530</v>
      </c>
      <c r="B468" s="109" t="s">
        <v>3531</v>
      </c>
    </row>
    <row r="469" spans="1:4" ht="14.5" customHeight="1">
      <c r="A469" s="109" t="s">
        <v>3532</v>
      </c>
      <c r="B469" s="109" t="s">
        <v>3533</v>
      </c>
    </row>
    <row r="470" spans="1:4" ht="14.5" customHeight="1">
      <c r="A470" s="109" t="s">
        <v>3534</v>
      </c>
      <c r="B470" s="109" t="s">
        <v>3535</v>
      </c>
    </row>
    <row r="471" spans="1:4" ht="14.5" customHeight="1">
      <c r="A471" s="109" t="s">
        <v>3536</v>
      </c>
      <c r="B471" s="109" t="s">
        <v>3537</v>
      </c>
    </row>
    <row r="472" spans="1:4" ht="14.5" customHeight="1">
      <c r="A472" s="109" t="s">
        <v>3538</v>
      </c>
      <c r="B472" s="109" t="s">
        <v>3539</v>
      </c>
    </row>
    <row r="473" spans="1:4" ht="14.5" customHeight="1">
      <c r="A473" s="109" t="s">
        <v>3541</v>
      </c>
      <c r="B473" s="109" t="s">
        <v>3539</v>
      </c>
    </row>
    <row r="474" spans="1:4" ht="14.5" customHeight="1">
      <c r="A474" s="109" t="s">
        <v>3542</v>
      </c>
    </row>
    <row r="475" spans="1:4" ht="14.5" customHeight="1">
      <c r="A475" s="109" t="s">
        <v>3543</v>
      </c>
      <c r="B475" s="109" t="s">
        <v>3544</v>
      </c>
    </row>
    <row r="476" spans="1:4" ht="14.5" customHeight="1">
      <c r="A476" s="109" t="s">
        <v>3545</v>
      </c>
      <c r="B476" s="109" t="s">
        <v>3546</v>
      </c>
    </row>
    <row r="477" spans="1:4" ht="14.5" customHeight="1">
      <c r="A477" s="109" t="s">
        <v>3547</v>
      </c>
      <c r="B477" s="116" t="s">
        <v>3548</v>
      </c>
    </row>
    <row r="478" spans="1:4" ht="14.5" customHeight="1">
      <c r="A478" s="109" t="s">
        <v>3549</v>
      </c>
      <c r="B478" s="109" t="s">
        <v>3550</v>
      </c>
    </row>
    <row r="479" spans="1:4" ht="14.5" customHeight="1">
      <c r="A479" s="109" t="s">
        <v>3553</v>
      </c>
      <c r="B479" s="109" t="s">
        <v>3554</v>
      </c>
    </row>
    <row r="480" spans="1:4" ht="14.5" customHeight="1">
      <c r="A480" s="109" t="s">
        <v>3556</v>
      </c>
      <c r="B480" s="109" t="s">
        <v>3557</v>
      </c>
    </row>
    <row r="481" spans="1:4" ht="14.5" customHeight="1">
      <c r="A481" s="109" t="s">
        <v>3558</v>
      </c>
      <c r="B481" s="109" t="s">
        <v>3559</v>
      </c>
    </row>
    <row r="482" spans="1:4" ht="14.5" customHeight="1">
      <c r="A482" s="109" t="s">
        <v>3560</v>
      </c>
      <c r="B482" s="109" t="s">
        <v>3561</v>
      </c>
    </row>
    <row r="483" spans="1:4" ht="14.5" customHeight="1">
      <c r="A483" s="109" t="s">
        <v>3562</v>
      </c>
      <c r="B483" s="109" t="s">
        <v>3563</v>
      </c>
    </row>
    <row r="484" spans="1:4" ht="14.5" customHeight="1">
      <c r="A484" s="109" t="s">
        <v>3565</v>
      </c>
      <c r="B484" s="109" t="s">
        <v>3566</v>
      </c>
    </row>
    <row r="485" spans="1:4" ht="14.5" customHeight="1">
      <c r="A485" s="109" t="s">
        <v>3567</v>
      </c>
      <c r="B485" s="109" t="s">
        <v>3568</v>
      </c>
    </row>
    <row r="486" spans="1:4" ht="14.5" customHeight="1">
      <c r="A486" s="109" t="s">
        <v>3569</v>
      </c>
      <c r="B486" s="113" t="s">
        <v>3465</v>
      </c>
    </row>
  </sheetData>
  <autoFilter ref="A1:C486"/>
  <pageMargins left="0.7" right="0.7" top="0.75" bottom="0.75" header="0.3" footer="0.3"/>
  <pageSetup orientation="portrait"/>
</worksheet>
</file>

<file path=xl/worksheets/sheet22.xml><?xml version="1.0" encoding="utf-8"?>
<worksheet xmlns="http://schemas.openxmlformats.org/spreadsheetml/2006/main">
  <sheetPr>
    <tabColor rgb="FF7030A0"/>
    <outlinePr summaryBelow="1" summaryRight="1"/>
    <pageSetUpPr/>
  </sheetPr>
  <dimension ref="A1:E83"/>
  <sheetViews>
    <sheetView zoomScale="70" zoomScaleNormal="70" workbookViewId="0">
      <pane ySplit="1" topLeftCell="A50" activePane="bottomLeft" state="frozen"/>
      <selection activeCell="A1" sqref="A1:XFD1048576"/>
      <selection pane="bottomLeft" activeCell="A2" sqref="A2:E83"/>
    </sheetView>
  </sheetViews>
  <sheetFormatPr baseColWidth="8" defaultColWidth="9.109375" defaultRowHeight="12.5" outlineLevelCol="0"/>
  <cols>
    <col width="9.109375" customWidth="1" style="109" min="1" max="1"/>
    <col width="115.44140625" bestFit="1" customWidth="1" style="109" min="2" max="2"/>
    <col width="12.77734375" bestFit="1" customWidth="1" style="109" min="3" max="3"/>
    <col width="37.109375" customWidth="1" style="109" min="4" max="4"/>
    <col width="9.109375" customWidth="1" style="109" min="5" max="5"/>
    <col width="9.109375" customWidth="1" style="109" min="6" max="16384"/>
  </cols>
  <sheetData>
    <row r="1" spans="1:5" ht="26.15" customHeight="1">
      <c r="A1" s="108" t="s">
        <v>2410</v>
      </c>
      <c r="B1" s="108" t="s">
        <v>23</v>
      </c>
      <c r="C1" s="117" t="s">
        <v>30</v>
      </c>
      <c r="D1" s="117" t="s">
        <v>3574</v>
      </c>
      <c r="E1" s="117" t="s">
        <v>32</v>
      </c>
    </row>
    <row r="2" spans="1:5">
      <c r="A2" s="109" t="s">
        <v>2572</v>
      </c>
      <c r="B2" s="110" t="s">
        <v>2573</v>
      </c>
      <c r="C2" s="118" t="s">
        <v>1740</v>
      </c>
      <c r="D2" s="109" t="s">
        <v>1741</v>
      </c>
      <c r="E2" s="109" t="s">
        <v>1742</v>
      </c>
    </row>
    <row r="3" spans="1:5">
      <c r="A3" s="109" t="s">
        <v>2575</v>
      </c>
      <c r="B3" s="110" t="s">
        <v>2576</v>
      </c>
      <c r="C3" s="118" t="s">
        <v>1748</v>
      </c>
      <c r="D3" s="109" t="s">
        <v>1749</v>
      </c>
      <c r="E3" s="109" t="s">
        <v>1750</v>
      </c>
    </row>
    <row r="4" spans="1:5" ht="13" customHeight="1">
      <c r="A4" s="109" t="s">
        <v>2578</v>
      </c>
      <c r="B4" s="110" t="s">
        <v>2579</v>
      </c>
      <c r="C4" s="119" t="s">
        <v>1756</v>
      </c>
      <c r="D4" s="109" t="s">
        <v>1757</v>
      </c>
      <c r="E4" s="109" t="s">
        <v>1758</v>
      </c>
    </row>
    <row r="5" spans="1:5">
      <c r="A5" s="109" t="s">
        <v>2581</v>
      </c>
      <c r="B5" s="110" t="s">
        <v>2582</v>
      </c>
      <c r="C5" s="109" t="s">
        <v>1772</v>
      </c>
      <c r="D5" s="109" t="s">
        <v>1773</v>
      </c>
      <c r="E5" s="109" t="s">
        <v>1774</v>
      </c>
    </row>
    <row r="6" spans="1:5">
      <c r="A6" s="109" t="s">
        <v>2584</v>
      </c>
      <c r="B6" s="110" t="s">
        <v>2585</v>
      </c>
      <c r="C6" s="109" t="s">
        <v>1764</v>
      </c>
      <c r="D6" s="109" t="s">
        <v>1765</v>
      </c>
      <c r="E6" s="109" t="s">
        <v>1766</v>
      </c>
    </row>
    <row r="7" spans="1:5">
      <c r="A7" s="109" t="s">
        <v>2588</v>
      </c>
      <c r="B7" s="110" t="s">
        <v>2589</v>
      </c>
      <c r="C7" s="109" t="s">
        <v>1764</v>
      </c>
      <c r="D7" s="109" t="s">
        <v>1765</v>
      </c>
      <c r="E7" s="109" t="s">
        <v>1766</v>
      </c>
    </row>
    <row r="8" spans="1:5" ht="13" customHeight="1">
      <c r="A8" s="109" t="s">
        <v>2591</v>
      </c>
      <c r="B8" s="110" t="s">
        <v>2592</v>
      </c>
      <c r="C8" s="119" t="s">
        <v>1756</v>
      </c>
      <c r="D8" s="109" t="s">
        <v>1757</v>
      </c>
      <c r="E8" s="109" t="s">
        <v>1758</v>
      </c>
    </row>
    <row r="9" spans="1:5" ht="13" customHeight="1">
      <c r="A9" s="109" t="s">
        <v>2924</v>
      </c>
      <c r="B9" s="110" t="s">
        <v>2925</v>
      </c>
      <c r="C9" s="119" t="s">
        <v>1780</v>
      </c>
      <c r="D9" s="109" t="s">
        <v>1781</v>
      </c>
      <c r="E9" s="109" t="s">
        <v>1782</v>
      </c>
    </row>
    <row r="10" spans="1:5">
      <c r="A10" s="109" t="s">
        <v>2593</v>
      </c>
      <c r="B10" s="110" t="s">
        <v>2594</v>
      </c>
      <c r="C10" s="109" t="s">
        <v>1798</v>
      </c>
      <c r="D10" s="109" t="s">
        <v>1799</v>
      </c>
      <c r="E10" s="109" t="s">
        <v>1800</v>
      </c>
    </row>
    <row r="11" spans="1:5">
      <c r="A11" s="109" t="s">
        <v>2596</v>
      </c>
      <c r="B11" s="110" t="s">
        <v>2597</v>
      </c>
      <c r="C11" s="109" t="s">
        <v>1798</v>
      </c>
      <c r="D11" s="109" t="s">
        <v>1799</v>
      </c>
      <c r="E11" s="109" t="s">
        <v>1800</v>
      </c>
    </row>
    <row r="12" spans="1:5">
      <c r="A12" s="109" t="s">
        <v>2598</v>
      </c>
      <c r="B12" s="110" t="s">
        <v>2599</v>
      </c>
      <c r="C12" s="109" t="s">
        <v>1798</v>
      </c>
      <c r="D12" s="109" t="s">
        <v>1799</v>
      </c>
      <c r="E12" s="109" t="s">
        <v>1800</v>
      </c>
    </row>
    <row r="13" spans="1:5">
      <c r="A13" s="109" t="s">
        <v>2600</v>
      </c>
      <c r="B13" s="110" t="s">
        <v>2601</v>
      </c>
      <c r="C13" s="109" t="s">
        <v>1806</v>
      </c>
      <c r="D13" s="109" t="s">
        <v>1807</v>
      </c>
      <c r="E13" s="109" t="s">
        <v>1808</v>
      </c>
    </row>
    <row r="14" spans="1:5">
      <c r="A14" s="109" t="s">
        <v>2602</v>
      </c>
      <c r="B14" s="110" t="s">
        <v>2603</v>
      </c>
      <c r="C14" s="109" t="s">
        <v>1813</v>
      </c>
      <c r="D14" s="109" t="s">
        <v>1814</v>
      </c>
      <c r="E14" s="109" t="s">
        <v>1815</v>
      </c>
    </row>
    <row r="15" spans="1:5">
      <c r="A15" s="109" t="s">
        <v>2605</v>
      </c>
      <c r="B15" s="110" t="s">
        <v>2606</v>
      </c>
      <c r="C15" s="109" t="s">
        <v>1813</v>
      </c>
      <c r="D15" s="109" t="s">
        <v>1814</v>
      </c>
      <c r="E15" s="109" t="s">
        <v>1815</v>
      </c>
    </row>
    <row r="16" spans="1:5">
      <c r="A16" s="109" t="s">
        <v>2607</v>
      </c>
      <c r="B16" s="110" t="s">
        <v>2608</v>
      </c>
      <c r="C16" s="109" t="s">
        <v>1813</v>
      </c>
      <c r="D16" s="109" t="s">
        <v>1814</v>
      </c>
      <c r="E16" s="109" t="s">
        <v>1815</v>
      </c>
    </row>
    <row r="17" spans="1:5">
      <c r="A17" s="109" t="s">
        <v>2609</v>
      </c>
      <c r="B17" s="110" t="s">
        <v>2610</v>
      </c>
      <c r="C17" s="109" t="s">
        <v>1813</v>
      </c>
      <c r="D17" s="109" t="s">
        <v>1814</v>
      </c>
      <c r="E17" s="109" t="s">
        <v>1815</v>
      </c>
    </row>
    <row r="18" spans="1:5">
      <c r="A18" s="109" t="s">
        <v>2611</v>
      </c>
      <c r="B18" s="111" t="s">
        <v>2612</v>
      </c>
      <c r="C18" s="109" t="s">
        <v>1813</v>
      </c>
      <c r="D18" s="109" t="s">
        <v>1814</v>
      </c>
      <c r="E18" s="109" t="s">
        <v>1815</v>
      </c>
    </row>
    <row r="19" spans="1:5">
      <c r="A19" s="109" t="s">
        <v>2613</v>
      </c>
      <c r="B19" s="110" t="s">
        <v>2614</v>
      </c>
      <c r="C19" s="109" t="s">
        <v>1820</v>
      </c>
      <c r="D19" s="109" t="s">
        <v>1821</v>
      </c>
      <c r="E19" s="109" t="s">
        <v>1822</v>
      </c>
    </row>
    <row r="20" spans="1:5">
      <c r="A20" s="109" t="s">
        <v>2616</v>
      </c>
      <c r="B20" s="110" t="s">
        <v>2617</v>
      </c>
      <c r="C20" s="109" t="s">
        <v>1827</v>
      </c>
      <c r="D20" s="109" t="s">
        <v>1828</v>
      </c>
      <c r="E20" s="109" t="s">
        <v>1829</v>
      </c>
    </row>
    <row r="21" spans="1:5">
      <c r="A21" s="109" t="s">
        <v>2619</v>
      </c>
      <c r="B21" s="110" t="s">
        <v>2620</v>
      </c>
      <c r="C21" s="109" t="s">
        <v>1848</v>
      </c>
      <c r="D21" s="109" t="s">
        <v>1849</v>
      </c>
      <c r="E21" s="109" t="s">
        <v>1850</v>
      </c>
    </row>
    <row r="22" spans="1:5">
      <c r="A22" s="109" t="s">
        <v>2622</v>
      </c>
      <c r="B22" s="110" t="s">
        <v>2623</v>
      </c>
      <c r="C22" s="109" t="s">
        <v>1855</v>
      </c>
      <c r="D22" s="109" t="s">
        <v>1856</v>
      </c>
      <c r="E22" s="109" t="s">
        <v>1857</v>
      </c>
    </row>
    <row r="23" spans="1:5">
      <c r="A23" s="109" t="s">
        <v>2625</v>
      </c>
      <c r="B23" s="110" t="s">
        <v>2626</v>
      </c>
      <c r="C23" s="109" t="s">
        <v>1834</v>
      </c>
      <c r="D23" s="109" t="s">
        <v>1835</v>
      </c>
      <c r="E23" s="109" t="s">
        <v>1836</v>
      </c>
    </row>
    <row r="24" spans="1:5">
      <c r="A24" s="109" t="s">
        <v>2627</v>
      </c>
      <c r="B24" s="110" t="s">
        <v>2628</v>
      </c>
      <c r="C24" s="109" t="s">
        <v>1834</v>
      </c>
      <c r="D24" s="109" t="s">
        <v>1835</v>
      </c>
      <c r="E24" s="109" t="s">
        <v>1836</v>
      </c>
    </row>
    <row r="25" spans="1:5">
      <c r="A25" s="109" t="s">
        <v>2629</v>
      </c>
      <c r="B25" s="110" t="s">
        <v>2630</v>
      </c>
      <c r="C25" s="109" t="s">
        <v>1834</v>
      </c>
      <c r="D25" s="109" t="s">
        <v>1835</v>
      </c>
      <c r="E25" s="109" t="s">
        <v>1836</v>
      </c>
    </row>
    <row r="26" spans="1:5">
      <c r="A26" s="109" t="s">
        <v>2631</v>
      </c>
      <c r="B26" s="110" t="s">
        <v>2632</v>
      </c>
      <c r="C26" s="109" t="s">
        <v>1834</v>
      </c>
      <c r="D26" s="109" t="s">
        <v>1835</v>
      </c>
      <c r="E26" s="109" t="s">
        <v>1836</v>
      </c>
    </row>
    <row r="27" spans="1:5">
      <c r="A27" s="109" t="s">
        <v>2921</v>
      </c>
      <c r="B27" s="111" t="s">
        <v>2635</v>
      </c>
      <c r="C27" s="109" t="s">
        <v>1862</v>
      </c>
      <c r="D27" s="109" t="s">
        <v>1863</v>
      </c>
      <c r="E27" s="109" t="s">
        <v>1864</v>
      </c>
    </row>
    <row r="28" spans="1:5">
      <c r="A28" s="109" t="s">
        <v>2637</v>
      </c>
      <c r="B28" s="111" t="s">
        <v>2638</v>
      </c>
      <c r="C28" s="109" t="s">
        <v>1756</v>
      </c>
      <c r="D28" s="109" t="s">
        <v>1757</v>
      </c>
      <c r="E28" s="109" t="s">
        <v>1758</v>
      </c>
    </row>
    <row r="29" spans="1:5">
      <c r="A29" s="109" t="s">
        <v>2642</v>
      </c>
      <c r="B29" s="110" t="s">
        <v>2643</v>
      </c>
      <c r="C29" s="109" t="s">
        <v>1841</v>
      </c>
      <c r="D29" s="109" t="s">
        <v>1842</v>
      </c>
      <c r="E29" s="109" t="s">
        <v>1843</v>
      </c>
    </row>
    <row r="30" spans="1:5">
      <c r="A30" s="109" t="s">
        <v>2645</v>
      </c>
      <c r="B30" s="110" t="s">
        <v>2646</v>
      </c>
      <c r="C30" s="109" t="s">
        <v>1876</v>
      </c>
      <c r="D30" s="109" t="s">
        <v>1877</v>
      </c>
      <c r="E30" s="109" t="s">
        <v>1878</v>
      </c>
    </row>
    <row r="31" spans="1:5">
      <c r="A31" s="109" t="s">
        <v>2648</v>
      </c>
      <c r="B31" s="110" t="s">
        <v>2649</v>
      </c>
      <c r="C31" s="109" t="s">
        <v>1876</v>
      </c>
      <c r="D31" s="109" t="s">
        <v>1877</v>
      </c>
      <c r="E31" s="109" t="s">
        <v>1878</v>
      </c>
    </row>
    <row r="32" spans="1:5">
      <c r="A32" s="109" t="s">
        <v>2651</v>
      </c>
      <c r="B32" s="110" t="s">
        <v>2652</v>
      </c>
      <c r="C32" s="109" t="s">
        <v>1876</v>
      </c>
      <c r="D32" s="109" t="s">
        <v>1877</v>
      </c>
      <c r="E32" s="109" t="s">
        <v>1878</v>
      </c>
    </row>
    <row r="33" spans="1:5">
      <c r="A33" s="109" t="s">
        <v>2653</v>
      </c>
      <c r="B33" s="110" t="s">
        <v>2654</v>
      </c>
      <c r="C33" s="109" t="s">
        <v>1876</v>
      </c>
      <c r="D33" s="109" t="s">
        <v>1877</v>
      </c>
      <c r="E33" s="109" t="s">
        <v>1878</v>
      </c>
    </row>
    <row r="34" spans="1:5">
      <c r="A34" s="109" t="s">
        <v>2655</v>
      </c>
      <c r="B34" s="110" t="s">
        <v>2656</v>
      </c>
      <c r="C34" s="109" t="s">
        <v>1876</v>
      </c>
      <c r="D34" s="109" t="s">
        <v>1877</v>
      </c>
      <c r="E34" s="109" t="s">
        <v>1878</v>
      </c>
    </row>
    <row r="35" spans="1:5">
      <c r="A35" s="109" t="s">
        <v>3575</v>
      </c>
      <c r="B35" s="110" t="n"/>
      <c r="C35" s="109" t="s">
        <v>1876</v>
      </c>
      <c r="D35" s="109" t="s">
        <v>1877</v>
      </c>
      <c r="E35" s="109" t="s">
        <v>1878</v>
      </c>
    </row>
    <row r="36" spans="1:5">
      <c r="A36" s="109" t="s">
        <v>2658</v>
      </c>
      <c r="B36" s="110" t="s">
        <v>2659</v>
      </c>
      <c r="C36" s="109" t="s">
        <v>1876</v>
      </c>
      <c r="D36" s="109" t="s">
        <v>1877</v>
      </c>
      <c r="E36" s="109" t="s">
        <v>1878</v>
      </c>
    </row>
    <row r="37" spans="1:5">
      <c r="A37" s="109" t="s">
        <v>2662</v>
      </c>
      <c r="B37" s="110" t="s">
        <v>2663</v>
      </c>
      <c r="C37" s="109" t="s">
        <v>1876</v>
      </c>
      <c r="D37" s="109" t="s">
        <v>1877</v>
      </c>
      <c r="E37" s="109" t="s">
        <v>1878</v>
      </c>
    </row>
    <row r="38" spans="1:5">
      <c r="A38" s="109" t="s">
        <v>2664</v>
      </c>
      <c r="B38" s="110" t="s">
        <v>2665</v>
      </c>
      <c r="C38" s="109" t="s">
        <v>1876</v>
      </c>
      <c r="D38" s="109" t="s">
        <v>1877</v>
      </c>
      <c r="E38" s="109" t="s">
        <v>1878</v>
      </c>
    </row>
    <row r="39" spans="1:5">
      <c r="A39" s="109" t="s">
        <v>2667</v>
      </c>
      <c r="B39" s="110" t="s">
        <v>2668</v>
      </c>
      <c r="C39" s="109" t="s">
        <v>1876</v>
      </c>
      <c r="D39" s="109" t="s">
        <v>1877</v>
      </c>
      <c r="E39" s="109" t="s">
        <v>1878</v>
      </c>
    </row>
    <row r="40" spans="1:5">
      <c r="A40" s="109" t="s">
        <v>2669</v>
      </c>
      <c r="B40" s="110" t="s">
        <v>2670</v>
      </c>
      <c r="C40" s="109" t="s">
        <v>1876</v>
      </c>
      <c r="D40" s="109" t="s">
        <v>1877</v>
      </c>
      <c r="E40" s="109" t="s">
        <v>1878</v>
      </c>
    </row>
    <row r="41" spans="1:5">
      <c r="A41" s="109" t="s">
        <v>2672</v>
      </c>
      <c r="B41" s="110" t="s">
        <v>2673</v>
      </c>
      <c r="C41" s="109" t="s">
        <v>1876</v>
      </c>
      <c r="D41" s="109" t="s">
        <v>1877</v>
      </c>
      <c r="E41" s="109" t="s">
        <v>1878</v>
      </c>
    </row>
    <row r="42" spans="1:5">
      <c r="A42" s="109" t="s">
        <v>2674</v>
      </c>
      <c r="B42" s="110" t="s">
        <v>2675</v>
      </c>
      <c r="C42" s="109" t="s">
        <v>1876</v>
      </c>
      <c r="D42" s="109" t="s">
        <v>1877</v>
      </c>
      <c r="E42" s="109" t="s">
        <v>1878</v>
      </c>
    </row>
    <row r="43" spans="1:5" ht="13" customHeight="1">
      <c r="A43" s="109" t="s">
        <v>2676</v>
      </c>
      <c r="B43" s="110" t="s">
        <v>2677</v>
      </c>
      <c r="C43" s="120" t="s">
        <v>1876</v>
      </c>
      <c r="D43" s="109" t="s">
        <v>1877</v>
      </c>
      <c r="E43" s="109" t="s">
        <v>1878</v>
      </c>
    </row>
    <row r="44" spans="1:5">
      <c r="A44" s="109" t="s">
        <v>2678</v>
      </c>
      <c r="B44" s="110" t="s">
        <v>2679</v>
      </c>
      <c r="C44" s="109" t="s">
        <v>1876</v>
      </c>
      <c r="D44" s="109" t="s">
        <v>1877</v>
      </c>
      <c r="E44" s="109" t="s">
        <v>1878</v>
      </c>
    </row>
    <row r="45" spans="1:5">
      <c r="A45" s="109" t="s">
        <v>2680</v>
      </c>
      <c r="B45" s="110" t="s">
        <v>2681</v>
      </c>
    </row>
    <row r="46" spans="1:5">
      <c r="A46" s="109" t="s">
        <v>2683</v>
      </c>
      <c r="B46" s="110" t="s">
        <v>2684</v>
      </c>
    </row>
    <row r="47" spans="1:5">
      <c r="A47" s="109" t="s">
        <v>2685</v>
      </c>
      <c r="B47" s="110" t="s">
        <v>2686</v>
      </c>
    </row>
    <row r="48" spans="1:5">
      <c r="A48" s="109" t="s">
        <v>2687</v>
      </c>
      <c r="B48" s="110" t="s">
        <v>2688</v>
      </c>
    </row>
    <row r="49" spans="1:5">
      <c r="A49" s="109" t="s">
        <v>2689</v>
      </c>
      <c r="B49" s="110" t="s">
        <v>2690</v>
      </c>
      <c r="C49" s="109" t="s">
        <v>1892</v>
      </c>
      <c r="D49" s="109" t="s">
        <v>1893</v>
      </c>
      <c r="E49" s="109" t="s">
        <v>1894</v>
      </c>
    </row>
    <row r="50" spans="1:5">
      <c r="A50" s="109" t="s">
        <v>2692</v>
      </c>
      <c r="B50" s="110" t="s">
        <v>2693</v>
      </c>
      <c r="C50" s="109" t="s">
        <v>1896</v>
      </c>
      <c r="D50" s="109" t="s">
        <v>1897</v>
      </c>
      <c r="E50" s="109" t="s">
        <v>1898</v>
      </c>
    </row>
    <row r="51" spans="1:5">
      <c r="A51" s="109" t="s">
        <v>2694</v>
      </c>
      <c r="B51" s="110" t="s">
        <v>2695</v>
      </c>
      <c r="C51" s="109" t="s">
        <v>1900</v>
      </c>
      <c r="D51" s="109" t="s">
        <v>1901</v>
      </c>
      <c r="E51" s="109" t="s">
        <v>1902</v>
      </c>
    </row>
    <row r="52" spans="1:5">
      <c r="A52" s="109" t="s">
        <v>2696</v>
      </c>
      <c r="B52" s="110" t="s">
        <v>2697</v>
      </c>
      <c r="C52" s="109" t="s">
        <v>1908</v>
      </c>
      <c r="D52" s="109" t="s">
        <v>1909</v>
      </c>
      <c r="E52" s="109" t="s">
        <v>1910</v>
      </c>
    </row>
    <row r="53" spans="1:5">
      <c r="A53" s="109" t="s">
        <v>2698</v>
      </c>
      <c r="B53" s="110" t="s">
        <v>2699</v>
      </c>
      <c r="C53" s="109" t="s">
        <v>1900</v>
      </c>
      <c r="D53" s="109" t="s">
        <v>1901</v>
      </c>
      <c r="E53" s="109" t="s">
        <v>1902</v>
      </c>
    </row>
    <row r="54" spans="1:5">
      <c r="A54" s="109" t="s">
        <v>2700</v>
      </c>
      <c r="B54" s="110" t="s">
        <v>2701</v>
      </c>
      <c r="C54" s="109" t="s">
        <v>1904</v>
      </c>
      <c r="D54" s="109" t="s">
        <v>1905</v>
      </c>
      <c r="E54" s="109" t="s">
        <v>1906</v>
      </c>
    </row>
    <row r="55" spans="1:5">
      <c r="A55" s="109" t="s">
        <v>2702</v>
      </c>
      <c r="B55" s="110" t="s">
        <v>2703</v>
      </c>
      <c r="C55" s="109" t="s">
        <v>1921</v>
      </c>
      <c r="D55" s="109" t="s">
        <v>1922</v>
      </c>
      <c r="E55" s="109" t="s">
        <v>1923</v>
      </c>
    </row>
    <row r="56" spans="1:5">
      <c r="A56" s="109" t="s">
        <v>2705</v>
      </c>
      <c r="B56" s="110" t="s">
        <v>2706</v>
      </c>
      <c r="C56" s="109" t="s">
        <v>1926</v>
      </c>
      <c r="D56" s="109" t="s">
        <v>1927</v>
      </c>
      <c r="E56" s="109" t="s">
        <v>1928</v>
      </c>
    </row>
    <row r="57" spans="1:5">
      <c r="A57" s="109" t="s">
        <v>2707</v>
      </c>
      <c r="B57" s="110" t="s">
        <v>2708</v>
      </c>
      <c r="C57" s="109" t="s">
        <v>1931</v>
      </c>
      <c r="D57" s="109" t="s">
        <v>1932</v>
      </c>
      <c r="E57" s="109" t="s">
        <v>1933</v>
      </c>
    </row>
    <row r="58" spans="1:5">
      <c r="A58" s="109" t="s">
        <v>2709</v>
      </c>
      <c r="B58" s="110" t="s">
        <v>2710</v>
      </c>
      <c r="C58" s="109" t="s">
        <v>1936</v>
      </c>
      <c r="D58" s="109" t="s">
        <v>1937</v>
      </c>
      <c r="E58" s="109" t="s">
        <v>1938</v>
      </c>
    </row>
    <row r="59" spans="1:5">
      <c r="A59" s="109" t="s">
        <v>2711</v>
      </c>
      <c r="B59" s="110" t="s">
        <v>2712</v>
      </c>
      <c r="C59" s="109" t="s">
        <v>1941</v>
      </c>
      <c r="D59" s="109" t="s">
        <v>1942</v>
      </c>
      <c r="E59" s="109" t="s">
        <v>1943</v>
      </c>
    </row>
    <row r="60" spans="1:5">
      <c r="A60" s="109" t="s">
        <v>2713</v>
      </c>
      <c r="B60" s="110" t="s">
        <v>2714</v>
      </c>
      <c r="C60" s="109" t="s">
        <v>1946</v>
      </c>
      <c r="D60" s="109" t="s">
        <v>1947</v>
      </c>
      <c r="E60" s="109" t="s">
        <v>1948</v>
      </c>
    </row>
    <row r="61" spans="1:5">
      <c r="A61" s="109" t="s">
        <v>2715</v>
      </c>
      <c r="B61" s="110" t="s">
        <v>2716</v>
      </c>
      <c r="C61" s="109" t="s">
        <v>1952</v>
      </c>
      <c r="D61" s="109" t="s">
        <v>1953</v>
      </c>
      <c r="E61" s="109" t="s">
        <v>1954</v>
      </c>
    </row>
    <row r="62" spans="1:5">
      <c r="A62" s="109" t="s">
        <v>2717</v>
      </c>
      <c r="B62" s="110" t="s">
        <v>2718</v>
      </c>
      <c r="C62" s="109" t="s">
        <v>1974</v>
      </c>
      <c r="D62" s="109" t="s">
        <v>1975</v>
      </c>
      <c r="E62" s="109" t="s">
        <v>1976</v>
      </c>
    </row>
    <row r="63" spans="1:5">
      <c r="A63" s="109" t="s">
        <v>2721</v>
      </c>
      <c r="B63" s="110" t="s">
        <v>2722</v>
      </c>
      <c r="C63" s="109" t="s">
        <v>1983</v>
      </c>
      <c r="D63" s="109" t="s">
        <v>1984</v>
      </c>
      <c r="E63" s="109" t="s">
        <v>1985</v>
      </c>
    </row>
    <row r="64" spans="1:5">
      <c r="A64" s="109" t="s">
        <v>2724</v>
      </c>
      <c r="B64" s="110" t="s">
        <v>2725</v>
      </c>
      <c r="C64" s="109" t="s">
        <v>1988</v>
      </c>
      <c r="D64" s="109" t="s">
        <v>1989</v>
      </c>
      <c r="E64" s="109" t="s">
        <v>1990</v>
      </c>
    </row>
    <row r="65" spans="1:5">
      <c r="A65" s="109" t="s">
        <v>2727</v>
      </c>
      <c r="B65" s="110" t="s">
        <v>2728</v>
      </c>
      <c r="C65" s="109" t="s">
        <v>1983</v>
      </c>
      <c r="D65" s="109" t="s">
        <v>1984</v>
      </c>
      <c r="E65" s="109" t="s">
        <v>1985</v>
      </c>
    </row>
    <row r="66" spans="1:5">
      <c r="A66" s="109" t="s">
        <v>2730</v>
      </c>
      <c r="B66" s="111" t="s">
        <v>2731</v>
      </c>
    </row>
    <row r="67" spans="1:5">
      <c r="A67" s="109" t="s">
        <v>2733</v>
      </c>
      <c r="B67" s="110" t="s">
        <v>2734</v>
      </c>
      <c r="C67" s="109" t="s">
        <v>2006</v>
      </c>
      <c r="D67" s="109" t="s">
        <v>2007</v>
      </c>
      <c r="E67" s="109" t="s">
        <v>2008</v>
      </c>
    </row>
    <row r="68" spans="1:5">
      <c r="A68" s="109" t="s">
        <v>2737</v>
      </c>
      <c r="B68" s="110" t="s">
        <v>2738</v>
      </c>
      <c r="C68" s="109" t="s">
        <v>2010</v>
      </c>
      <c r="D68" s="109" t="s">
        <v>2011</v>
      </c>
      <c r="E68" s="109" t="s">
        <v>2012</v>
      </c>
    </row>
    <row r="69" spans="1:5">
      <c r="A69" s="109" t="s">
        <v>2740</v>
      </c>
      <c r="B69" s="110" t="s">
        <v>2741</v>
      </c>
      <c r="C69" s="109" t="s">
        <v>2014</v>
      </c>
      <c r="D69" s="109" t="s">
        <v>2015</v>
      </c>
      <c r="E69" s="109" t="s">
        <v>2016</v>
      </c>
    </row>
    <row r="70" spans="1:5">
      <c r="A70" s="109" t="s">
        <v>2743</v>
      </c>
      <c r="B70" s="110" t="s">
        <v>2744</v>
      </c>
      <c r="C70" s="109" t="s">
        <v>2018</v>
      </c>
      <c r="D70" s="109" t="s">
        <v>2019</v>
      </c>
      <c r="E70" s="109" t="s">
        <v>2020</v>
      </c>
    </row>
    <row r="71" spans="1:5">
      <c r="A71" s="109" t="s">
        <v>2746</v>
      </c>
      <c r="B71" s="110" t="s">
        <v>2747</v>
      </c>
      <c r="C71" s="109" t="s">
        <v>2022</v>
      </c>
      <c r="D71" s="109" t="s">
        <v>2023</v>
      </c>
      <c r="E71" s="109" t="s">
        <v>2024</v>
      </c>
    </row>
    <row r="72" spans="1:5">
      <c r="A72" s="109" t="s">
        <v>2749</v>
      </c>
      <c r="B72" s="110" t="s">
        <v>2750</v>
      </c>
      <c r="C72" s="109" t="s">
        <v>2034</v>
      </c>
      <c r="D72" s="109" t="s">
        <v>2035</v>
      </c>
      <c r="E72" s="109" t="s">
        <v>2036</v>
      </c>
    </row>
    <row r="73" spans="1:5">
      <c r="A73" s="109" t="s">
        <v>2752</v>
      </c>
      <c r="B73" s="110" t="s">
        <v>2753</v>
      </c>
      <c r="C73" s="109" t="s">
        <v>2038</v>
      </c>
      <c r="D73" s="109" t="s">
        <v>2039</v>
      </c>
      <c r="E73" s="109" t="s">
        <v>2040</v>
      </c>
    </row>
    <row r="74" spans="1:5">
      <c r="A74" s="109" t="s">
        <v>2755</v>
      </c>
      <c r="B74" s="111" t="s">
        <v>2756</v>
      </c>
    </row>
    <row r="75" spans="1:5">
      <c r="A75" s="109" t="s">
        <v>2758</v>
      </c>
      <c r="B75" s="110" t="s">
        <v>2759</v>
      </c>
      <c r="C75" s="109" t="s">
        <v>2026</v>
      </c>
      <c r="D75" s="109" t="s">
        <v>2027</v>
      </c>
      <c r="E75" s="109" t="s">
        <v>2028</v>
      </c>
    </row>
    <row r="76" spans="1:5" ht="13" customHeight="1">
      <c r="A76" s="109" t="s">
        <v>2761</v>
      </c>
      <c r="B76" s="110" t="s">
        <v>2762</v>
      </c>
      <c r="C76" s="120" t="s">
        <v>2030</v>
      </c>
      <c r="D76" s="109" t="s">
        <v>2031</v>
      </c>
      <c r="E76" s="109" t="s">
        <v>2032</v>
      </c>
    </row>
    <row r="77" spans="1:5">
      <c r="A77" s="109" t="s">
        <v>2764</v>
      </c>
      <c r="B77" s="110" t="s">
        <v>2765</v>
      </c>
      <c r="C77" s="109" t="s">
        <v>2057</v>
      </c>
      <c r="D77" s="109" t="s">
        <v>2058</v>
      </c>
      <c r="E77" s="109" t="s">
        <v>2059</v>
      </c>
    </row>
    <row r="78" spans="1:5">
      <c r="A78" s="109" t="s">
        <v>2768</v>
      </c>
      <c r="B78" s="110" t="s">
        <v>2769</v>
      </c>
      <c r="C78" s="109" t="s">
        <v>2057</v>
      </c>
      <c r="D78" s="109" t="s">
        <v>2058</v>
      </c>
      <c r="E78" s="109" t="s">
        <v>2059</v>
      </c>
    </row>
    <row r="79" spans="1:5">
      <c r="A79" s="109" t="s">
        <v>2770</v>
      </c>
      <c r="B79" s="110" t="s">
        <v>2771</v>
      </c>
      <c r="C79" s="109" t="s">
        <v>2057</v>
      </c>
      <c r="D79" s="109" t="s">
        <v>2058</v>
      </c>
      <c r="E79" s="109" t="s">
        <v>2059</v>
      </c>
    </row>
    <row r="80" spans="1:5">
      <c r="A80" s="109" t="s">
        <v>2773</v>
      </c>
      <c r="B80" s="110" t="s">
        <v>2774</v>
      </c>
      <c r="C80" s="109" t="s">
        <v>2057</v>
      </c>
      <c r="D80" s="109" t="s">
        <v>2058</v>
      </c>
      <c r="E80" s="109" t="s">
        <v>2059</v>
      </c>
    </row>
    <row r="81" spans="1:5">
      <c r="A81" s="109" t="s">
        <v>2775</v>
      </c>
      <c r="B81" s="110" t="s">
        <v>2776</v>
      </c>
      <c r="C81" s="109" t="s">
        <v>2057</v>
      </c>
      <c r="D81" s="109" t="s">
        <v>2058</v>
      </c>
      <c r="E81" s="109" t="s">
        <v>2059</v>
      </c>
    </row>
    <row r="82" spans="1:5">
      <c r="A82" s="109" t="s">
        <v>2778</v>
      </c>
      <c r="B82" s="110" t="s">
        <v>2779</v>
      </c>
      <c r="C82" s="109" t="s">
        <v>2057</v>
      </c>
      <c r="D82" s="109" t="s">
        <v>2058</v>
      </c>
      <c r="E82" s="109" t="s">
        <v>2059</v>
      </c>
    </row>
    <row r="83" spans="1:5">
      <c r="A83" s="109" t="s">
        <v>2780</v>
      </c>
      <c r="B83" s="110" t="s">
        <v>2781</v>
      </c>
      <c r="C83" s="109" t="s">
        <v>2057</v>
      </c>
      <c r="D83" s="109" t="s">
        <v>2058</v>
      </c>
      <c r="E83" s="109" t="s">
        <v>2059</v>
      </c>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3:C7"/>
  <sheetViews>
    <sheetView workbookViewId="0">
      <selection activeCell="A6" sqref="A6"/>
    </sheetView>
  </sheetViews>
  <sheetFormatPr baseColWidth="8" defaultRowHeight="12"/>
  <sheetData>
    <row r="3" spans="1:3">
      <c r="A3" s="45" t="n">
        <v>1171</v>
      </c>
      <c r="B3" s="45">
        <f>SUMIF('Trial Balance'!E:E,A3,'Trial Balance'!H:H)</f>
        <v/>
      </c>
      <c r="C3" s="45">
        <f>IF(B3&lt;0,"C","D")</f>
        <v/>
      </c>
    </row>
    <row r="4" spans="1:3">
      <c r="A4" s="45" t="n">
        <v>1172</v>
      </c>
      <c r="B4" s="45">
        <f>SUMIF('Trial Balance'!E:E,A4,'Trial Balance'!H:H)</f>
        <v/>
      </c>
      <c r="C4" s="45">
        <f>IF(B4&lt;0,"C","D")</f>
        <v/>
      </c>
    </row>
    <row r="5" spans="1:3">
      <c r="A5" s="45" t="n">
        <v>1173</v>
      </c>
      <c r="B5" s="45">
        <f>SUMIF('Trial Balance'!E:E,A5,'Trial Balance'!H:H)</f>
        <v/>
      </c>
      <c r="C5" s="45">
        <f>IF(B5&lt;0,"C","D")</f>
        <v/>
      </c>
    </row>
    <row r="6" spans="1:3">
      <c r="A6" s="45" t="n">
        <v>1174</v>
      </c>
      <c r="B6" s="45">
        <f>SUMIF('Trial Balance'!E:E,A6,'Trial Balance'!H:H)</f>
        <v/>
      </c>
      <c r="C6" s="45">
        <f>IF(B6&lt;0,"C","D")</f>
        <v/>
      </c>
    </row>
    <row r="7" spans="1:3">
      <c r="A7" s="45" t="n">
        <v>1176</v>
      </c>
      <c r="B7" s="45">
        <f>SUMIF('Trial Balance'!E:E,A7,'Trial Balance'!H:H)</f>
        <v/>
      </c>
      <c r="C7" s="45">
        <f>IF(B7&lt;0,"C","D")</f>
        <v/>
      </c>
    </row>
  </sheetData>
  <pageMargins left="0.7" right="0.7" top="0.75" bottom="0.75" header="0.3" footer="0.3"/>
</worksheet>
</file>

<file path=xl/worksheets/sheet24.xml><?xml version="1.0" encoding="utf-8"?>
<worksheet xmlns="http://schemas.openxmlformats.org/spreadsheetml/2006/main">
  <sheetPr>
    <tabColor rgb="FF7030A0"/>
    <outlinePr summaryBelow="1" summaryRight="1"/>
    <pageSetUpPr/>
  </sheetPr>
  <dimension ref="A2:C40"/>
  <sheetViews>
    <sheetView topLeftCell="A15" workbookViewId="0">
      <selection activeCell="E24" sqref="E24"/>
    </sheetView>
  </sheetViews>
  <sheetFormatPr baseColWidth="8" defaultRowHeight="12" outlineLevelCol="0"/>
  <cols>
    <col width="49.77734375" bestFit="1" customWidth="1" min="1" max="1"/>
    <col width="12.109375" bestFit="1" customWidth="1" min="2" max="2"/>
  </cols>
  <sheetData>
    <row r="2" spans="1:3">
      <c r="A2" s="3" t="s">
        <v>3576</v>
      </c>
      <c r="B2" s="3" t="s">
        <v>4</v>
      </c>
    </row>
    <row r="3" spans="1:3">
      <c r="A3" t="s">
        <v>455</v>
      </c>
      <c r="B3">
        <f>_xlfn.XLOOKUP(A3,'1. F10'!L:L,'1. F10'!C:C)</f>
        <v/>
      </c>
    </row>
    <row r="4" spans="1:3">
      <c r="A4" t="s">
        <v>487</v>
      </c>
      <c r="B4">
        <f>_xlfn.XLOOKUP(A4,'1. F10'!L:L,'1. F10'!C:C)</f>
        <v/>
      </c>
    </row>
    <row r="5" spans="1:3">
      <c r="A5" t="s">
        <v>492</v>
      </c>
      <c r="B5">
        <f>_xlfn.XLOOKUP(A5,'1. F10'!L:L,'1. F10'!C:C)</f>
        <v/>
      </c>
    </row>
    <row r="6" spans="1:3">
      <c r="A6" t="s">
        <v>496</v>
      </c>
      <c r="B6">
        <f>_xlfn.XLOOKUP(A6,'1. F10'!L:L,'1. F10'!C:C)</f>
        <v/>
      </c>
    </row>
    <row r="7" spans="1:3">
      <c r="A7" t="s">
        <v>500</v>
      </c>
      <c r="B7">
        <f>_xlfn.XLOOKUP(A7,'1. F10'!L:L,'1. F10'!C:C)</f>
        <v/>
      </c>
    </row>
    <row r="8" spans="1:3">
      <c r="A8" t="s">
        <v>504</v>
      </c>
      <c r="B8">
        <f>_xlfn.XLOOKUP(A8,'1. F10'!L:L,'1. F10'!C:C)</f>
        <v/>
      </c>
    </row>
    <row r="9" spans="1:3">
      <c r="A9" t="s">
        <v>508</v>
      </c>
      <c r="B9">
        <f>_xlfn.XLOOKUP(A9,'1. F10'!L:L,'1. F10'!C:C)</f>
        <v/>
      </c>
    </row>
    <row r="10" spans="1:3">
      <c r="A10" t="s">
        <v>512</v>
      </c>
      <c r="B10">
        <f>_xlfn.XLOOKUP(A10,'1. F10'!L:L,'1. F10'!C:C)</f>
        <v/>
      </c>
    </row>
    <row r="11" spans="1:3">
      <c r="A11" t="s">
        <v>522</v>
      </c>
      <c r="B11">
        <f>_xlfn.XLOOKUP(A11,'1. F10'!L:L,'1. F10'!C:C)</f>
        <v/>
      </c>
    </row>
    <row r="12" spans="1:3">
      <c r="A12" t="s">
        <v>559</v>
      </c>
      <c r="B12">
        <f>_xlfn.XLOOKUP(A12,'1. F10'!L:L,'1. F10'!C:C)</f>
        <v/>
      </c>
    </row>
    <row r="13" spans="1:3">
      <c r="A13" t="s">
        <v>570</v>
      </c>
      <c r="B13">
        <f>_xlfn.XLOOKUP(A13,'1. F10'!L:L,'1. F10'!C:C)</f>
        <v/>
      </c>
    </row>
    <row r="14" spans="1:3">
      <c r="A14" t="s">
        <v>574</v>
      </c>
      <c r="B14">
        <f>_xlfn.XLOOKUP(A14,'1. F10'!L:L,'1. F10'!C:C)</f>
        <v/>
      </c>
    </row>
    <row r="15" spans="1:3">
      <c r="A15" t="s">
        <v>581</v>
      </c>
      <c r="B15">
        <f>_xlfn.XLOOKUP(A15,'1. F10'!L:L,'1. F10'!C:C)</f>
        <v/>
      </c>
    </row>
    <row r="16" spans="1:3">
      <c r="A16" t="s">
        <v>592</v>
      </c>
      <c r="B16">
        <f>_xlfn.XLOOKUP(A16,'1. F10'!L:L,'1. F10'!C:C)</f>
        <v/>
      </c>
    </row>
    <row r="17" spans="1:3">
      <c r="A17" t="s">
        <v>596</v>
      </c>
      <c r="B17">
        <f>_xlfn.XLOOKUP(A17,'1. F10'!L:L,'1. F10'!C:C)</f>
        <v/>
      </c>
    </row>
    <row r="18" spans="1:3">
      <c r="A18" t="s">
        <v>600</v>
      </c>
      <c r="B18">
        <f>_xlfn.XLOOKUP(A18,'1. F10'!L:L,'1. F10'!C:C)</f>
        <v/>
      </c>
    </row>
    <row r="19" spans="1:3">
      <c r="A19" t="s">
        <v>604</v>
      </c>
      <c r="B19">
        <f>_xlfn.XLOOKUP(A19,'1. F10'!L:L,'1. F10'!C:C)</f>
        <v/>
      </c>
    </row>
    <row r="20" spans="1:3">
      <c r="A20" t="s">
        <v>608</v>
      </c>
      <c r="B20">
        <f>_xlfn.XLOOKUP(A20,'1. F10'!L:L,'1. F10'!C:C)</f>
        <v/>
      </c>
    </row>
    <row r="21" spans="1:3">
      <c r="A21" t="s">
        <v>612</v>
      </c>
      <c r="B21">
        <f>_xlfn.XLOOKUP(A21,'1. F10'!L:L,'1. F10'!C:C)</f>
        <v/>
      </c>
    </row>
    <row r="22" spans="1:3">
      <c r="A22" t="s">
        <v>616</v>
      </c>
      <c r="B22">
        <f>_xlfn.XLOOKUP(A22,'1. F10'!L:L,'1. F10'!C:C)</f>
        <v/>
      </c>
    </row>
    <row r="23" spans="1:3">
      <c r="A23" t="s">
        <v>620</v>
      </c>
      <c r="B23">
        <f>_xlfn.XLOOKUP(A23,'1. F10'!L:L,'1. F10'!C:C)</f>
        <v/>
      </c>
    </row>
    <row r="24" spans="1:3">
      <c r="A24" t="s">
        <v>634</v>
      </c>
      <c r="B24">
        <f>_xlfn.XLOOKUP(A24,'1. F10'!L:L,'1. F10'!C:C)</f>
        <v/>
      </c>
    </row>
    <row r="25" spans="1:3">
      <c r="A25" t="s">
        <v>638</v>
      </c>
      <c r="B25">
        <f>_xlfn.XLOOKUP(A25,'1. F10'!L:L,'1. F10'!C:C)</f>
        <v/>
      </c>
    </row>
    <row r="26" spans="1:3">
      <c r="A26" t="s">
        <v>641</v>
      </c>
      <c r="B26">
        <f>_xlfn.XLOOKUP(A26,'1. F10'!L:L,'1. F10'!C:C)</f>
        <v/>
      </c>
    </row>
    <row r="27" spans="1:3">
      <c r="A27" t="s">
        <v>645</v>
      </c>
      <c r="B27">
        <f>_xlfn.XLOOKUP(A27,'1. F10'!L:L,'1. F10'!C:C)</f>
        <v/>
      </c>
    </row>
    <row r="28" spans="1:3">
      <c r="A28" t="s">
        <v>648</v>
      </c>
      <c r="B28">
        <f>_xlfn.XLOOKUP(A28,'1. F10'!L:L,'1. F10'!C:C)</f>
        <v/>
      </c>
    </row>
    <row r="29" spans="1:3">
      <c r="A29" t="s">
        <v>652</v>
      </c>
      <c r="B29">
        <f>_xlfn.XLOOKUP(A29,'1. F10'!L:L,'1. F10'!C:C)</f>
        <v/>
      </c>
    </row>
    <row r="30" spans="1:3">
      <c r="A30" t="s">
        <v>655</v>
      </c>
      <c r="B30">
        <f>_xlfn.XLOOKUP(A30,'1. F10'!L:L,'1. F10'!C:C)</f>
        <v/>
      </c>
    </row>
    <row r="31" spans="1:3">
      <c r="A31" t="s">
        <v>659</v>
      </c>
      <c r="B31">
        <f>_xlfn.XLOOKUP(A31,'1. F10'!L:L,'1. F10'!C:C)</f>
        <v/>
      </c>
    </row>
    <row r="32" spans="1:3">
      <c r="A32" t="s">
        <v>676</v>
      </c>
      <c r="B32">
        <f>_xlfn.XLOOKUP(A32,'1. F10'!L:L,'1. F10'!C:C)</f>
        <v/>
      </c>
    </row>
    <row r="33" spans="1:3">
      <c r="A33" t="s">
        <v>711</v>
      </c>
      <c r="B33">
        <f>_xlfn.XLOOKUP(A33,'1. F10'!L:L,'1. F10'!C:C)</f>
        <v/>
      </c>
    </row>
    <row r="34" spans="1:3">
      <c r="A34" t="s">
        <v>715</v>
      </c>
      <c r="B34">
        <f>_xlfn.XLOOKUP(A34,'1. F10'!L:L,'1. F10'!C:C)</f>
        <v/>
      </c>
    </row>
    <row r="35" spans="1:3">
      <c r="A35" t="s">
        <v>735</v>
      </c>
      <c r="B35">
        <f>_xlfn.XLOOKUP(A35,'1. F10'!L:L,'1. F10'!C:C)</f>
        <v/>
      </c>
    </row>
    <row r="36" spans="1:3">
      <c r="A36" t="s">
        <v>739</v>
      </c>
      <c r="B36">
        <f>_xlfn.XLOOKUP(A36,'1. F10'!L:L,'1. F10'!C:C)</f>
        <v/>
      </c>
    </row>
    <row r="37" spans="1:3">
      <c r="A37" t="s">
        <v>742</v>
      </c>
      <c r="B37">
        <f>_xlfn.XLOOKUP(A37,'1. F10'!L:L,'1. F10'!C:C)</f>
        <v/>
      </c>
    </row>
    <row r="38" spans="1:3">
      <c r="A38" t="s">
        <v>766</v>
      </c>
      <c r="B38">
        <f>_xlfn.XLOOKUP(A38,'1. F10'!L:L,'1. F10'!C:C)</f>
        <v/>
      </c>
      <c r="C38">
        <f>'1. F10'!C124</f>
        <v/>
      </c>
    </row>
    <row r="39" spans="1:3">
      <c r="A39" t="s">
        <v>774</v>
      </c>
      <c r="B39">
        <f>_xlfn.XLOOKUP(A39,'1. F10'!L:L,'1. F10'!C:C)</f>
        <v/>
      </c>
      <c r="C39">
        <f>'1. F10'!C127</f>
        <v/>
      </c>
    </row>
    <row r="40" spans="1:3">
      <c r="A40" t="s">
        <v>50</v>
      </c>
      <c r="B40">
        <f>_xlfn.XLOOKUP(A40,'1. F10'!L:L,'1. F10'!C:C)</f>
        <v/>
      </c>
    </row>
  </sheetData>
  <autoFilter ref="A2:B40"/>
  <pageMargins left="0.7" right="0.7" top="0.75" bottom="0.75" header="0.3" footer="0.3"/>
  <pageSetup orientation="portrait"/>
</worksheet>
</file>

<file path=xl/worksheets/sheet3.xml><?xml version="1.0" encoding="utf-8"?>
<worksheet xmlns="http://schemas.openxmlformats.org/spreadsheetml/2006/main">
  <sheetPr>
    <tabColor rgb="FFFF0000"/>
    <outlinePr summaryBelow="1" summaryRight="1"/>
    <pageSetUpPr/>
  </sheetPr>
  <dimension ref="A2:C21"/>
  <sheetViews>
    <sheetView showGridLines="0" workbookViewId="0">
      <selection activeCell="E23" sqref="E23"/>
    </sheetView>
  </sheetViews>
  <sheetFormatPr baseColWidth="8" defaultRowHeight="12" outlineLevelCol="0"/>
  <cols>
    <col width="38.77734375" customWidth="1" min="1" max="1"/>
    <col width="23.44140625" bestFit="1" customWidth="1" min="2" max="2"/>
    <col width="17.109375" customWidth="1" min="3" max="3"/>
  </cols>
  <sheetData>
    <row r="2" spans="1:3" ht="19.5" customHeight="1">
      <c r="A2" s="210" t="s">
        <v>410</v>
      </c>
    </row>
    <row r="3" spans="1:3">
      <c r="A3" s="33" t="n"/>
    </row>
    <row r="6" spans="1:3">
      <c r="A6" s="209" t="s">
        <v>411</v>
      </c>
    </row>
    <row r="8" spans="1:3" ht="12.5" customHeight="1" thickBot="1">
      <c r="A8" s="23" t="n"/>
      <c r="B8" s="23" t="n"/>
      <c r="C8" s="23" t="n"/>
    </row>
    <row r="9" spans="1:3" ht="25" customHeight="1" thickBot="1" thickTop="1">
      <c r="A9" s="207" t="s">
        <v>412</v>
      </c>
      <c r="B9" s="207" t="s">
        <v>413</v>
      </c>
      <c r="C9" s="208" t="s">
        <v>414</v>
      </c>
    </row>
    <row r="10" spans="1:3" ht="12.5" customHeight="1" thickTop="1">
      <c r="A10" s="3" t="s">
        <v>415</v>
      </c>
      <c r="B10" s="9">
        <f>'1. F10'!E40+'1. F10'!E61+'1. F10'!E62</f>
        <v/>
      </c>
      <c r="C10">
        <f>IF(B10&gt;16000000,"DA","NU")</f>
        <v/>
      </c>
    </row>
    <row r="11" spans="1:3">
      <c r="A11" s="3" t="s">
        <v>416</v>
      </c>
      <c r="B11" s="9">
        <f>'2. F20'!E12</f>
        <v/>
      </c>
      <c r="C11">
        <f>IF(B11&gt;32000000,"DA","NU")</f>
        <v/>
      </c>
    </row>
    <row r="12" spans="1:3" ht="12.5" customHeight="1" thickBot="1">
      <c r="A12" s="16" t="s">
        <v>417</v>
      </c>
      <c r="B12" s="24">
        <f>'3. F30'!$D$47</f>
        <v/>
      </c>
      <c r="C12" s="23">
        <f>IF(B12&gt;50,"DA","NU")</f>
        <v/>
      </c>
    </row>
    <row r="13" spans="1:3" ht="12.5" customHeight="1" thickTop="1"/>
    <row r="15" spans="1:3">
      <c r="A15" s="209" t="s">
        <v>418</v>
      </c>
    </row>
    <row r="17" spans="1:3" ht="12.5" customHeight="1" thickBot="1">
      <c r="A17" s="23" t="n"/>
      <c r="B17" s="23" t="n"/>
      <c r="C17" s="23" t="n"/>
    </row>
    <row r="18" spans="1:3" ht="25" customHeight="1" thickBot="1" thickTop="1">
      <c r="A18" s="207" t="s">
        <v>412</v>
      </c>
      <c r="B18" s="207" t="s">
        <v>413</v>
      </c>
      <c r="C18" s="208" t="s">
        <v>419</v>
      </c>
    </row>
    <row r="19" spans="1:3" ht="12.5" customHeight="1" thickTop="1">
      <c r="A19" s="3" t="s">
        <v>415</v>
      </c>
      <c r="B19" s="9">
        <f>'1. F10'!E40+'1. F10'!E61+'1. F10'!E62</f>
        <v/>
      </c>
      <c r="C19">
        <f>IF(B19&gt;17500000,"DA","NU")</f>
        <v/>
      </c>
    </row>
    <row r="20" spans="1:3">
      <c r="A20" s="3" t="s">
        <v>416</v>
      </c>
      <c r="B20" s="9">
        <f>'2. F20'!E12</f>
        <v/>
      </c>
      <c r="C20">
        <f>IF(B20&gt;35000000,"DA","NU")</f>
        <v/>
      </c>
    </row>
    <row r="21" spans="1:3" ht="12.5" customHeight="1" thickBot="1">
      <c r="A21" s="16" t="s">
        <v>417</v>
      </c>
      <c r="B21" s="24">
        <f>'3. F30'!$D$47</f>
        <v/>
      </c>
      <c r="C21" s="23">
        <f>IF(B21&gt;50,"DA","NU")</f>
        <v/>
      </c>
    </row>
    <row r="22" spans="1:3" ht="12.5" customHeight="1" thickTop="1"/>
  </sheetData>
  <conditionalFormatting sqref="C10:C12">
    <cfRule type="containsText" priority="2" operator="containsText" dxfId="0" text="DA">
      <formula>NOT(ISERROR(SEARCH("DA",C10)))</formula>
    </cfRule>
  </conditionalFormatting>
  <conditionalFormatting sqref="C19:C21">
    <cfRule type="containsText" priority="1" operator="containsText" dxfId="0" text="DA">
      <formula>NOT(ISERROR(SEARCH("DA",C19)))</formula>
    </cfRule>
  </conditionalFormatting>
  <pageMargins left="0.7" right="0.7" top="0.75" bottom="0.75" header="0.3" footer="0.3"/>
</worksheet>
</file>

<file path=xl/worksheets/sheet4.xml><?xml version="1.0" encoding="utf-8"?>
<worksheet xmlns="http://schemas.openxmlformats.org/spreadsheetml/2006/main">
  <sheetPr>
    <tabColor rgb="FF00B050"/>
    <outlinePr summaryBelow="1" summaryRight="1"/>
    <pageSetUpPr/>
  </sheetPr>
  <dimension ref="A1:AY137"/>
  <sheetViews>
    <sheetView showGridLines="0" topLeftCell="A2" workbookViewId="0">
      <selection activeCell="A13" sqref="A13"/>
    </sheetView>
  </sheetViews>
  <sheetFormatPr baseColWidth="8" defaultColWidth="13.109375" defaultRowHeight="12" outlineLevelCol="1"/>
  <cols>
    <col width="62.109375" customWidth="1" min="1" max="1"/>
    <col width="19.44140625" customWidth="1" min="2" max="3"/>
    <col width="13.6640625" bestFit="1" customWidth="1" min="4" max="4"/>
    <col width="14.77734375" bestFit="1" customWidth="1" min="5" max="6"/>
    <col width="20.109375" bestFit="1" customWidth="1" min="7" max="7"/>
    <col width="1" customWidth="1" min="8" max="8"/>
    <col hidden="1" outlineLevel="1" width="13.109375" customWidth="1" min="12" max="12"/>
    <col collapsed="1" width="13.109375" customWidth="1" min="13" max="13"/>
    <col width="19.44140625" customWidth="1" min="50" max="51"/>
  </cols>
  <sheetData>
    <row r="1" spans="1:51">
      <c r="A1" s="1" t="s">
        <v>0</v>
      </c>
      <c r="B1" s="18">
        <f>'Trial Balance'!B1</f>
        <v/>
      </c>
      <c r="C1" s="3" t="n"/>
    </row>
    <row r="2" spans="1:51">
      <c r="A2" s="1" t="s">
        <v>1</v>
      </c>
      <c r="B2" s="18">
        <f>'Trial Balance'!B2</f>
        <v/>
      </c>
      <c r="C2" s="3" t="n"/>
    </row>
    <row r="3" spans="1:51">
      <c r="A3" s="1" t="s">
        <v>6</v>
      </c>
      <c r="B3" s="18">
        <f>'Trial Balance'!B3</f>
        <v/>
      </c>
      <c r="C3" s="3" t="n"/>
    </row>
    <row r="4" spans="1:51">
      <c r="A4" s="1" t="s">
        <v>7</v>
      </c>
      <c r="B4" s="18">
        <f>'Trial Balance'!B4</f>
        <v/>
      </c>
      <c r="C4" s="3" t="n"/>
    </row>
    <row r="5" spans="1:51">
      <c r="A5" s="1" t="s">
        <v>8</v>
      </c>
      <c r="B5" s="18">
        <f>'Trial Balance'!B5</f>
        <v/>
      </c>
      <c r="C5" s="3" t="n"/>
    </row>
    <row r="6" spans="1:51">
      <c r="A6" s="1" t="s">
        <v>9</v>
      </c>
      <c r="B6" s="18">
        <f>'Trial Balance'!B6</f>
        <v/>
      </c>
      <c r="C6" s="3" t="n"/>
    </row>
    <row r="7" spans="1:51">
      <c r="A7" s="1" t="s">
        <v>11</v>
      </c>
      <c r="B7" s="18">
        <f>'Trial Balance'!B7</f>
        <v/>
      </c>
      <c r="C7" s="18" t="n"/>
    </row>
    <row r="8" spans="1:51"/>
    <row r="9" spans="1:51">
      <c r="I9" s="38" t="s">
        <v>420</v>
      </c>
      <c r="J9" s="38" t="s">
        <v>421</v>
      </c>
    </row>
    <row r="10" spans="1:51">
      <c r="A10" s="26" t="s">
        <v>422</v>
      </c>
      <c r="B10" s="3" t="n"/>
      <c r="C10" s="3" t="n"/>
      <c r="D10" s="38" t="s">
        <v>423</v>
      </c>
      <c r="E10" s="38" t="s">
        <v>424</v>
      </c>
      <c r="I10" s="27">
        <f>SUM(I14:I132)</f>
        <v/>
      </c>
      <c r="J10" s="27">
        <f>SUM(J14:J132)</f>
        <v/>
      </c>
    </row>
    <row r="11" spans="1:51" ht="24.65" customHeight="1" thickBot="1">
      <c r="A11" s="39" t="s">
        <v>425</v>
      </c>
      <c r="B11" s="40" t="s">
        <v>426</v>
      </c>
      <c r="C11" s="40" t="s">
        <v>427</v>
      </c>
      <c r="D11" s="39">
        <f>'Trial Balance'!J6</f>
        <v/>
      </c>
      <c r="E11" s="39">
        <f>'Trial Balance'!K6</f>
        <v/>
      </c>
      <c r="F11" s="41" t="s">
        <v>4</v>
      </c>
      <c r="G11" s="41" t="s">
        <v>428</v>
      </c>
      <c r="I11" s="41" t="s">
        <v>5</v>
      </c>
      <c r="J11" s="41" t="s">
        <v>3</v>
      </c>
      <c r="L11" s="41" t="s">
        <v>429</v>
      </c>
      <c r="M11" s="41" t="s">
        <v>430</v>
      </c>
      <c r="N11" s="41" t="s">
        <v>431</v>
      </c>
      <c r="O11" s="263" t="s">
        <v>420</v>
      </c>
      <c r="P11" s="263" t="s">
        <v>421</v>
      </c>
      <c r="AX11" t="s">
        <v>432</v>
      </c>
      <c r="AY11" t="s">
        <v>433</v>
      </c>
    </row>
    <row r="12" spans="1:51" ht="12.65" customHeight="1" thickTop="1">
      <c r="A12" s="42" t="s">
        <v>434</v>
      </c>
      <c r="B12" s="43" t="n"/>
      <c r="C12" s="43" t="n"/>
      <c r="D12" s="43" t="n"/>
      <c r="E12" s="43" t="n"/>
      <c r="M12" s="265" t="n"/>
      <c r="N12" s="265" t="n"/>
      <c r="O12">
        <f>D12-M12</f>
        <v/>
      </c>
      <c r="P12">
        <f>E12-N12</f>
        <v/>
      </c>
    </row>
    <row r="13" spans="1:51" ht="14.5" customHeight="1">
      <c r="A13" s="44" t="s">
        <v>435</v>
      </c>
      <c r="B13" s="45" t="n"/>
      <c r="C13" s="45" t="n"/>
      <c r="D13" s="45" t="n"/>
      <c r="E13" s="45" t="n"/>
      <c r="M13" s="265" t="n"/>
      <c r="N13" s="265" t="n"/>
      <c r="O13">
        <f>D13-M13</f>
        <v/>
      </c>
      <c r="P13">
        <f>E13-N13</f>
        <v/>
      </c>
    </row>
    <row r="14" spans="1:51" ht="14.5" customHeight="1">
      <c r="A14" s="45" t="s">
        <v>436</v>
      </c>
      <c r="B14" s="45" t="n">
        <v>1</v>
      </c>
      <c r="C14" s="45" t="n">
        <v>1</v>
      </c>
      <c r="D14" s="46">
        <f>ROUND(SUMIF('Trial Balance'!N:N,F14,'Trial Balance'!H:H),0)</f>
        <v/>
      </c>
      <c r="E14" s="46">
        <f>ROUND(SUMIF('Trial Balance'!N:N,F14,'Trial Balance'!K:K),0)+G14</f>
        <v/>
      </c>
      <c r="F14">
        <f>"BS"&amp;C14</f>
        <v/>
      </c>
      <c r="I14" s="9">
        <f>SUMIF('Trial Balance'!N:N,F14,'Trial Balance'!H:H)</f>
        <v/>
      </c>
      <c r="J14" s="9">
        <f>SUMIF('Trial Balance'!N:N,F14,'Trial Balance'!K:K)</f>
        <v/>
      </c>
      <c r="M14" s="265" t="n">
        <v>130219</v>
      </c>
      <c r="N14" s="265" t="n">
        <v>37607</v>
      </c>
      <c r="O14">
        <f>D14-M14</f>
        <v/>
      </c>
      <c r="P14">
        <f>E14-N14</f>
        <v/>
      </c>
      <c r="AX14" t="s">
        <v>437</v>
      </c>
      <c r="AY14" t="s">
        <v>438</v>
      </c>
    </row>
    <row r="15" spans="1:51" ht="14.5" customHeight="1">
      <c r="A15" s="45" t="s">
        <v>439</v>
      </c>
      <c r="B15" s="45" t="n">
        <v>2</v>
      </c>
      <c r="C15" s="45" t="n">
        <v>2</v>
      </c>
      <c r="D15" s="46">
        <f>ROUND(SUMIF('Trial Balance'!N:N,F15,'Trial Balance'!H:H),0)</f>
        <v/>
      </c>
      <c r="E15" s="46">
        <f>ROUND(SUMIF('Trial Balance'!N:N,F15,'Trial Balance'!K:K),0)+G15</f>
        <v/>
      </c>
      <c r="F15">
        <f>"BS"&amp;C15</f>
        <v/>
      </c>
      <c r="I15" s="9">
        <f>SUMIF('Trial Balance'!N:N,F15,'Trial Balance'!H:H)</f>
        <v/>
      </c>
      <c r="J15" s="9">
        <f>SUMIF('Trial Balance'!N:N,F15,'Trial Balance'!K:K)</f>
        <v/>
      </c>
      <c r="M15" s="265" t="n"/>
      <c r="N15" s="265" t="n"/>
      <c r="O15">
        <f>D15-M15</f>
        <v/>
      </c>
      <c r="P15">
        <f>E15-N15</f>
        <v/>
      </c>
      <c r="AX15" t="s">
        <v>440</v>
      </c>
      <c r="AY15" t="s">
        <v>441</v>
      </c>
    </row>
    <row r="16" spans="1:51" ht="14.5" customHeight="1">
      <c r="A16" s="45" t="s">
        <v>442</v>
      </c>
      <c r="B16" s="45" t="n">
        <v>3</v>
      </c>
      <c r="C16" s="45" t="n">
        <v>3</v>
      </c>
      <c r="D16" s="46">
        <f>ROUND(SUMIF('Trial Balance'!N:N,F16,'Trial Balance'!H:H),0)</f>
        <v/>
      </c>
      <c r="E16" s="46">
        <f>ROUND(SUMIF('Trial Balance'!N:N,F16,'Trial Balance'!K:K),0)+G16</f>
        <v/>
      </c>
      <c r="F16">
        <f>"BS"&amp;C16</f>
        <v/>
      </c>
      <c r="I16" s="9">
        <f>SUMIF('Trial Balance'!N:N,F16,'Trial Balance'!H:H)</f>
        <v/>
      </c>
      <c r="J16" s="9">
        <f>SUMIF('Trial Balance'!N:N,F16,'Trial Balance'!K:K)</f>
        <v/>
      </c>
      <c r="M16" s="265" t="n"/>
      <c r="N16" s="265" t="n"/>
      <c r="O16">
        <f>D16-M16</f>
        <v/>
      </c>
      <c r="P16">
        <f>E16-N16</f>
        <v/>
      </c>
      <c r="AX16" t="s">
        <v>443</v>
      </c>
      <c r="AY16" t="s">
        <v>444</v>
      </c>
    </row>
    <row r="17" spans="1:51" ht="14.5" customHeight="1">
      <c r="A17" s="45" t="s">
        <v>445</v>
      </c>
      <c r="B17" s="45" t="n">
        <v>4</v>
      </c>
      <c r="C17" s="45" t="n">
        <v>4</v>
      </c>
      <c r="D17" s="46">
        <f>ROUND(SUMIF('Trial Balance'!N:N,F17,'Trial Balance'!H:H),0)</f>
        <v/>
      </c>
      <c r="E17" s="46">
        <f>ROUND(SUMIF('Trial Balance'!N:N,F17,'Trial Balance'!K:K),0)+G17</f>
        <v/>
      </c>
      <c r="F17">
        <f>"BS"&amp;C17</f>
        <v/>
      </c>
      <c r="I17" s="9">
        <f>SUMIF('Trial Balance'!N:N,F17,'Trial Balance'!H:H)</f>
        <v/>
      </c>
      <c r="J17" s="9">
        <f>SUMIF('Trial Balance'!N:N,F17,'Trial Balance'!K:K)</f>
        <v/>
      </c>
      <c r="M17" s="265" t="n"/>
      <c r="N17" s="265" t="n"/>
      <c r="O17">
        <f>D17-M17</f>
        <v/>
      </c>
      <c r="P17">
        <f>E17-N17</f>
        <v/>
      </c>
      <c r="AX17" t="s">
        <v>446</v>
      </c>
      <c r="AY17" t="s">
        <v>447</v>
      </c>
    </row>
    <row r="18" spans="1:51" ht="14.5" customHeight="1">
      <c r="A18" s="45" t="s">
        <v>448</v>
      </c>
      <c r="B18" s="45" t="n">
        <v>5</v>
      </c>
      <c r="C18" s="45" t="n">
        <v>5</v>
      </c>
      <c r="D18" s="46">
        <f>ROUND(SUMIF('Trial Balance'!N:N,F18,'Trial Balance'!H:H),0)</f>
        <v/>
      </c>
      <c r="E18" s="46">
        <f>ROUND(SUMIF('Trial Balance'!N:N,F18,'Trial Balance'!K:K),0)+G18</f>
        <v/>
      </c>
      <c r="F18">
        <f>"BS"&amp;C18</f>
        <v/>
      </c>
      <c r="I18" s="9">
        <f>SUMIF('Trial Balance'!N:N,F18,'Trial Balance'!H:H)</f>
        <v/>
      </c>
      <c r="J18" s="9">
        <f>SUMIF('Trial Balance'!N:N,F18,'Trial Balance'!K:K)</f>
        <v/>
      </c>
      <c r="M18" s="265" t="n"/>
      <c r="N18" s="265" t="n"/>
      <c r="O18">
        <f>D18-M18</f>
        <v/>
      </c>
      <c r="P18">
        <f>E18-N18</f>
        <v/>
      </c>
      <c r="AX18" t="s">
        <v>449</v>
      </c>
      <c r="AY18" t="s">
        <v>450</v>
      </c>
    </row>
    <row r="19" spans="1:51" ht="14.5" customHeight="1">
      <c r="A19" s="45" t="s">
        <v>451</v>
      </c>
      <c r="B19" s="45" t="n">
        <v>6</v>
      </c>
      <c r="C19" s="45" t="n">
        <v>6</v>
      </c>
      <c r="D19" s="46">
        <f>ROUND(SUMIF('Trial Balance'!N:N,F19,'Trial Balance'!H:H),0)</f>
        <v/>
      </c>
      <c r="E19" s="46">
        <f>ROUND(SUMIF('Trial Balance'!N:N,F19,'Trial Balance'!K:K),0)+G19</f>
        <v/>
      </c>
      <c r="F19">
        <f>"BS"&amp;C19</f>
        <v/>
      </c>
      <c r="I19" s="9">
        <f>SUMIF('Trial Balance'!N:N,F19,'Trial Balance'!H:H)</f>
        <v/>
      </c>
      <c r="J19" s="9">
        <f>SUMIF('Trial Balance'!N:N,F19,'Trial Balance'!K:K)</f>
        <v/>
      </c>
      <c r="M19" s="265" t="n"/>
      <c r="N19" s="265" t="n"/>
      <c r="O19">
        <f>D19-M19</f>
        <v/>
      </c>
      <c r="P19">
        <f>E19-N19</f>
        <v/>
      </c>
      <c r="AX19" t="s">
        <v>452</v>
      </c>
      <c r="AY19" t="s">
        <v>453</v>
      </c>
    </row>
    <row r="20" spans="1:51" ht="14.5" customHeight="1">
      <c r="A20" s="47" t="s">
        <v>454</v>
      </c>
      <c r="B20" s="47" t="n">
        <v>7</v>
      </c>
      <c r="C20" s="47" t="n">
        <v>7</v>
      </c>
      <c r="D20" s="48">
        <f>SUM(D14:D19)</f>
        <v/>
      </c>
      <c r="E20" s="48">
        <f>SUM(E14:E19)</f>
        <v/>
      </c>
      <c r="F20">
        <f>"BS"&amp;C20</f>
        <v/>
      </c>
      <c r="L20" t="s">
        <v>455</v>
      </c>
      <c r="M20" s="265" t="n">
        <v>130219</v>
      </c>
      <c r="N20" s="265" t="n">
        <v>37607</v>
      </c>
      <c r="O20">
        <f>D20-M20</f>
        <v/>
      </c>
      <c r="P20">
        <f>E20-N20</f>
        <v/>
      </c>
      <c r="AX20" t="s">
        <v>456</v>
      </c>
      <c r="AY20" t="s">
        <v>457</v>
      </c>
    </row>
    <row r="21" spans="1:51" ht="14.5" customHeight="1">
      <c r="A21" s="44" t="s">
        <v>458</v>
      </c>
      <c r="B21" s="45" t="n"/>
      <c r="C21" s="45" t="n"/>
      <c r="D21" s="46" t="n"/>
      <c r="E21" s="46" t="n"/>
      <c r="M21" s="265" t="n"/>
      <c r="N21" s="265" t="n"/>
      <c r="O21">
        <f>D21-M21</f>
        <v/>
      </c>
      <c r="P21">
        <f>E21-N21</f>
        <v/>
      </c>
    </row>
    <row r="22" spans="1:51" ht="14.5" customHeight="1">
      <c r="A22" s="45" t="s">
        <v>459</v>
      </c>
      <c r="B22" s="45" t="n">
        <v>8</v>
      </c>
      <c r="C22" s="45" t="n">
        <v>8</v>
      </c>
      <c r="D22" s="46">
        <f>ROUND(SUMIF('Trial Balance'!N:N,F22,'Trial Balance'!H:H),0)</f>
        <v/>
      </c>
      <c r="E22" s="46">
        <f>ROUND(SUMIF('Trial Balance'!N:N,F22,'Trial Balance'!K:K),0)+G22</f>
        <v/>
      </c>
      <c r="F22">
        <f>"BS"&amp;C22</f>
        <v/>
      </c>
      <c r="I22" s="9">
        <f>SUMIF('Trial Balance'!N:N,F22,'Trial Balance'!H:H)</f>
        <v/>
      </c>
      <c r="J22" s="9">
        <f>SUMIF('Trial Balance'!N:N,F22,'Trial Balance'!K:K)</f>
        <v/>
      </c>
      <c r="M22" s="265" t="n">
        <v>44509644</v>
      </c>
      <c r="N22" s="265" t="n">
        <v>43005433</v>
      </c>
      <c r="O22">
        <f>D22-M22</f>
        <v/>
      </c>
      <c r="P22">
        <f>E22-N22</f>
        <v/>
      </c>
      <c r="AX22" t="s">
        <v>460</v>
      </c>
      <c r="AY22" t="s">
        <v>461</v>
      </c>
    </row>
    <row r="23" spans="1:51" ht="14.5" customHeight="1">
      <c r="A23" s="45" t="s">
        <v>462</v>
      </c>
      <c r="B23" s="45" t="n">
        <v>9</v>
      </c>
      <c r="C23" s="45" t="n">
        <v>9</v>
      </c>
      <c r="D23" s="46">
        <f>ROUND(SUMIF('Trial Balance'!N:N,F23,'Trial Balance'!H:H),0)</f>
        <v/>
      </c>
      <c r="E23" s="46">
        <f>ROUND(SUMIF('Trial Balance'!N:N,F23,'Trial Balance'!K:K),0)+G23</f>
        <v/>
      </c>
      <c r="F23">
        <f>"BS"&amp;C23</f>
        <v/>
      </c>
      <c r="I23" s="9">
        <f>SUMIF('Trial Balance'!N:N,F23,'Trial Balance'!H:H)</f>
        <v/>
      </c>
      <c r="J23" s="9">
        <f>SUMIF('Trial Balance'!N:N,F23,'Trial Balance'!K:K)</f>
        <v/>
      </c>
      <c r="M23" s="265" t="n">
        <v>53399032</v>
      </c>
      <c r="N23" s="265" t="n">
        <v>55511074</v>
      </c>
      <c r="O23">
        <f>D23-M23</f>
        <v/>
      </c>
      <c r="P23">
        <f>E23-N23</f>
        <v/>
      </c>
      <c r="AX23" t="s">
        <v>463</v>
      </c>
      <c r="AY23" t="s">
        <v>464</v>
      </c>
    </row>
    <row r="24" spans="1:51" ht="14.5" customHeight="1">
      <c r="A24" s="45" t="s">
        <v>465</v>
      </c>
      <c r="B24" s="45" t="n">
        <v>10</v>
      </c>
      <c r="C24" s="45" t="n">
        <v>10</v>
      </c>
      <c r="D24" s="46">
        <f>ROUND(SUMIF('Trial Balance'!N:N,F24,'Trial Balance'!H:H),0)</f>
        <v/>
      </c>
      <c r="E24" s="46">
        <f>ROUND(SUMIF('Trial Balance'!N:N,F24,'Trial Balance'!K:K),0)+G24</f>
        <v/>
      </c>
      <c r="F24">
        <f>"BS"&amp;C24</f>
        <v/>
      </c>
      <c r="I24" s="9">
        <f>SUMIF('Trial Balance'!N:N,F24,'Trial Balance'!H:H)</f>
        <v/>
      </c>
      <c r="J24" s="9">
        <f>SUMIF('Trial Balance'!N:N,F24,'Trial Balance'!K:K)</f>
        <v/>
      </c>
      <c r="M24" s="265" t="n">
        <v>1470147</v>
      </c>
      <c r="N24" s="265" t="n">
        <v>1627345</v>
      </c>
      <c r="O24">
        <f>D24-M24</f>
        <v/>
      </c>
      <c r="P24">
        <f>E24-N24</f>
        <v/>
      </c>
      <c r="AX24" t="s">
        <v>466</v>
      </c>
      <c r="AY24" t="s">
        <v>467</v>
      </c>
    </row>
    <row r="25" spans="1:51" ht="14.5" customHeight="1">
      <c r="A25" s="45" t="s">
        <v>468</v>
      </c>
      <c r="B25" s="45" t="n">
        <v>11</v>
      </c>
      <c r="C25" s="45" t="n">
        <v>11</v>
      </c>
      <c r="D25" s="46">
        <f>ROUND(SUMIF('Trial Balance'!N:N,F25,'Trial Balance'!H:H),0)</f>
        <v/>
      </c>
      <c r="E25" s="46">
        <f>ROUND(SUMIF('Trial Balance'!N:N,F25,'Trial Balance'!K:K),0)+G25</f>
        <v/>
      </c>
      <c r="F25">
        <f>"BS"&amp;C25</f>
        <v/>
      </c>
      <c r="I25" s="9">
        <f>SUMIF('Trial Balance'!N:N,F25,'Trial Balance'!H:H)</f>
        <v/>
      </c>
      <c r="J25" s="9">
        <f>SUMIF('Trial Balance'!N:N,F25,'Trial Balance'!K:K)</f>
        <v/>
      </c>
      <c r="M25" s="265" t="n"/>
      <c r="N25" s="265" t="n"/>
      <c r="O25">
        <f>D25-M25</f>
        <v/>
      </c>
      <c r="P25">
        <f>E25-N25</f>
        <v/>
      </c>
      <c r="AX25" t="s">
        <v>469</v>
      </c>
      <c r="AY25" t="s">
        <v>470</v>
      </c>
    </row>
    <row r="26" spans="1:51" ht="14.5" customHeight="1">
      <c r="A26" s="45" t="s">
        <v>471</v>
      </c>
      <c r="B26" s="45" t="n">
        <v>12</v>
      </c>
      <c r="C26" s="45" t="n">
        <v>12</v>
      </c>
      <c r="D26" s="46">
        <f>ROUND(SUMIF('Trial Balance'!N:N,F26,'Trial Balance'!H:H),0)</f>
        <v/>
      </c>
      <c r="E26" s="46">
        <f>ROUND(SUMIF('Trial Balance'!N:N,F26,'Trial Balance'!K:K),0)+G26</f>
        <v/>
      </c>
      <c r="F26">
        <f>"BS"&amp;C26</f>
        <v/>
      </c>
      <c r="I26" s="9">
        <f>SUMIF('Trial Balance'!N:N,F26,'Trial Balance'!H:H)</f>
        <v/>
      </c>
      <c r="J26" s="9">
        <f>SUMIF('Trial Balance'!N:N,F26,'Trial Balance'!K:K)</f>
        <v/>
      </c>
      <c r="M26" s="265" t="n">
        <v>7562297</v>
      </c>
      <c r="N26" s="265" t="n">
        <v>3301760</v>
      </c>
      <c r="O26">
        <f>D26-M26</f>
        <v/>
      </c>
      <c r="P26">
        <f>E26-N26</f>
        <v/>
      </c>
      <c r="AX26" t="s">
        <v>472</v>
      </c>
      <c r="AY26" t="s">
        <v>473</v>
      </c>
    </row>
    <row r="27" spans="1:51" ht="14.5" customHeight="1">
      <c r="A27" s="45" t="s">
        <v>474</v>
      </c>
      <c r="B27" s="45" t="n">
        <v>13</v>
      </c>
      <c r="C27" s="45" t="n">
        <v>13</v>
      </c>
      <c r="D27" s="46">
        <f>ROUND(SUMIF('Trial Balance'!N:N,F27,'Trial Balance'!H:H),0)</f>
        <v/>
      </c>
      <c r="E27" s="46">
        <f>ROUND(SUMIF('Trial Balance'!N:N,F27,'Trial Balance'!K:K),0)+G27</f>
        <v/>
      </c>
      <c r="F27">
        <f>"BS"&amp;C27</f>
        <v/>
      </c>
      <c r="I27" s="9">
        <f>SUMIF('Trial Balance'!N:N,F27,'Trial Balance'!H:H)</f>
        <v/>
      </c>
      <c r="J27" s="9">
        <f>SUMIF('Trial Balance'!N:N,F27,'Trial Balance'!K:K)</f>
        <v/>
      </c>
      <c r="M27" s="265" t="n"/>
      <c r="N27" s="265" t="n"/>
      <c r="O27">
        <f>D27-M27</f>
        <v/>
      </c>
      <c r="P27">
        <f>E27-N27</f>
        <v/>
      </c>
      <c r="AX27" t="s">
        <v>475</v>
      </c>
      <c r="AY27" t="s">
        <v>476</v>
      </c>
    </row>
    <row r="28" spans="1:51" ht="14.5" customHeight="1">
      <c r="A28" s="45" t="s">
        <v>477</v>
      </c>
      <c r="B28" s="45" t="n">
        <v>14</v>
      </c>
      <c r="C28" s="45" t="n">
        <v>14</v>
      </c>
      <c r="D28" s="46">
        <f>ROUND(SUMIF('Trial Balance'!N:N,F28,'Trial Balance'!H:H),0)</f>
        <v/>
      </c>
      <c r="E28" s="46">
        <f>ROUND(SUMIF('Trial Balance'!N:N,F28,'Trial Balance'!K:K),0)+G28</f>
        <v/>
      </c>
      <c r="F28">
        <f>"BS"&amp;C28</f>
        <v/>
      </c>
      <c r="I28" s="9">
        <f>SUMIF('Trial Balance'!N:N,F28,'Trial Balance'!H:H)</f>
        <v/>
      </c>
      <c r="J28" s="9">
        <f>SUMIF('Trial Balance'!N:N,F28,'Trial Balance'!K:K)</f>
        <v/>
      </c>
      <c r="M28" s="265" t="n"/>
      <c r="N28" s="265" t="n"/>
      <c r="O28">
        <f>D28-M28</f>
        <v/>
      </c>
      <c r="P28">
        <f>E28-N28</f>
        <v/>
      </c>
      <c r="AX28" t="s">
        <v>478</v>
      </c>
      <c r="AY28" t="s">
        <v>479</v>
      </c>
    </row>
    <row r="29" spans="1:51" ht="14.5" customHeight="1">
      <c r="A29" s="45" t="s">
        <v>480</v>
      </c>
      <c r="B29" s="45" t="n">
        <v>15</v>
      </c>
      <c r="C29" s="45" t="n">
        <v>15</v>
      </c>
      <c r="D29" s="46">
        <f>ROUND(SUMIF('Trial Balance'!N:N,F29,'Trial Balance'!H:H),0)</f>
        <v/>
      </c>
      <c r="E29" s="46">
        <f>ROUND(SUMIF('Trial Balance'!N:N,F29,'Trial Balance'!K:K),0)+G29</f>
        <v/>
      </c>
      <c r="F29">
        <f>"BS"&amp;C29</f>
        <v/>
      </c>
      <c r="I29" s="9">
        <f>SUMIF('Trial Balance'!N:N,F29,'Trial Balance'!H:H)</f>
        <v/>
      </c>
      <c r="J29" s="9">
        <f>SUMIF('Trial Balance'!N:N,F29,'Trial Balance'!K:K)</f>
        <v/>
      </c>
      <c r="M29" s="265" t="n"/>
      <c r="N29" s="265" t="n"/>
      <c r="O29">
        <f>D29-M29</f>
        <v/>
      </c>
      <c r="P29">
        <f>E29-N29</f>
        <v/>
      </c>
      <c r="AX29" t="s">
        <v>481</v>
      </c>
      <c r="AY29" t="s">
        <v>482</v>
      </c>
    </row>
    <row r="30" spans="1:51" ht="14.5" customHeight="1">
      <c r="A30" s="45" t="s">
        <v>483</v>
      </c>
      <c r="B30" s="45" t="n">
        <v>16</v>
      </c>
      <c r="C30" s="45" t="n">
        <v>16</v>
      </c>
      <c r="D30" s="46">
        <f>ROUND(SUMIF('Trial Balance'!N:N,F30,'Trial Balance'!H:H),0)</f>
        <v/>
      </c>
      <c r="E30" s="46">
        <f>ROUND(SUMIF('Trial Balance'!N:N,F30,'Trial Balance'!K:K),0)+G30</f>
        <v/>
      </c>
      <c r="F30">
        <f>"BS"&amp;C30</f>
        <v/>
      </c>
      <c r="I30" s="9">
        <f>SUMIF('Trial Balance'!N:N,F30,'Trial Balance'!H:H)</f>
        <v/>
      </c>
      <c r="J30" s="9">
        <f>SUMIF('Trial Balance'!N:N,F30,'Trial Balance'!K:K)</f>
        <v/>
      </c>
      <c r="M30" s="265" t="n">
        <v>552026</v>
      </c>
      <c r="N30" s="265" t="n">
        <v>1059744</v>
      </c>
      <c r="O30">
        <f>D30-M30</f>
        <v/>
      </c>
      <c r="P30">
        <f>E30-N30</f>
        <v/>
      </c>
      <c r="AX30" t="s">
        <v>484</v>
      </c>
      <c r="AY30" t="s">
        <v>485</v>
      </c>
    </row>
    <row r="31" spans="1:51" ht="14.5" customHeight="1">
      <c r="A31" s="47" t="s">
        <v>486</v>
      </c>
      <c r="B31" s="47" t="n">
        <v>17</v>
      </c>
      <c r="C31" s="47" t="n">
        <v>17</v>
      </c>
      <c r="D31" s="48">
        <f>SUM(D22:D30)</f>
        <v/>
      </c>
      <c r="E31" s="48">
        <f>SUM(E22:E30)</f>
        <v/>
      </c>
      <c r="F31">
        <f>"BS"&amp;C31</f>
        <v/>
      </c>
      <c r="L31" t="s">
        <v>487</v>
      </c>
      <c r="M31" s="265" t="n">
        <v>107493146</v>
      </c>
      <c r="N31" s="265" t="n">
        <v>104505356</v>
      </c>
      <c r="O31">
        <f>D31-M31</f>
        <v/>
      </c>
      <c r="P31">
        <f>E31-N31</f>
        <v/>
      </c>
      <c r="AX31" t="s">
        <v>488</v>
      </c>
      <c r="AY31" t="s">
        <v>489</v>
      </c>
    </row>
    <row r="32" spans="1:51" ht="14.5" customHeight="1">
      <c r="A32" s="44" t="s">
        <v>490</v>
      </c>
      <c r="B32" s="45" t="n"/>
      <c r="C32" s="45" t="n"/>
      <c r="D32" s="46" t="n"/>
      <c r="E32" s="46" t="n"/>
      <c r="M32" s="265" t="n"/>
      <c r="N32" s="265" t="n"/>
      <c r="O32">
        <f>D32-M32</f>
        <v/>
      </c>
      <c r="P32">
        <f>E32-N32</f>
        <v/>
      </c>
    </row>
    <row r="33" spans="1:51" ht="14.5" customHeight="1">
      <c r="A33" s="45" t="s">
        <v>491</v>
      </c>
      <c r="B33" s="45" t="n">
        <v>18</v>
      </c>
      <c r="C33" s="45" t="n">
        <v>18</v>
      </c>
      <c r="D33" s="46">
        <f>ROUND(SUMIF('Trial Balance'!N:N,F33,'Trial Balance'!H:H),0)</f>
        <v/>
      </c>
      <c r="E33" s="46">
        <f>ROUND(SUMIF('Trial Balance'!N:N,F33,'Trial Balance'!K:K),0)+G33</f>
        <v/>
      </c>
      <c r="F33">
        <f>"BS"&amp;C33</f>
        <v/>
      </c>
      <c r="I33" s="9">
        <f>SUMIF('Trial Balance'!N:N,F33,'Trial Balance'!H:H)</f>
        <v/>
      </c>
      <c r="J33" s="9">
        <f>SUMIF('Trial Balance'!N:N,F33,'Trial Balance'!K:K)</f>
        <v/>
      </c>
      <c r="L33" t="s">
        <v>492</v>
      </c>
      <c r="M33" s="265" t="n"/>
      <c r="N33" s="265" t="n"/>
      <c r="O33">
        <f>D33-M33</f>
        <v/>
      </c>
      <c r="P33">
        <f>E33-N33</f>
        <v/>
      </c>
      <c r="AX33" t="s">
        <v>493</v>
      </c>
      <c r="AY33" t="s">
        <v>494</v>
      </c>
    </row>
    <row r="34" spans="1:51" ht="14.5" customHeight="1">
      <c r="A34" s="45" t="s">
        <v>495</v>
      </c>
      <c r="B34" s="45" t="n">
        <v>19</v>
      </c>
      <c r="C34" s="45" t="n">
        <v>19</v>
      </c>
      <c r="D34" s="46">
        <f>ROUND(SUMIF('Trial Balance'!N:N,F34,'Trial Balance'!H:H),0)</f>
        <v/>
      </c>
      <c r="E34" s="46">
        <f>ROUND(SUMIF('Trial Balance'!N:N,F34,'Trial Balance'!K:K),0)+G34</f>
        <v/>
      </c>
      <c r="F34">
        <f>"BS"&amp;C34</f>
        <v/>
      </c>
      <c r="I34" s="9">
        <f>SUMIF('Trial Balance'!N:N,F34,'Trial Balance'!H:H)</f>
        <v/>
      </c>
      <c r="J34" s="9">
        <f>SUMIF('Trial Balance'!N:N,F34,'Trial Balance'!K:K)</f>
        <v/>
      </c>
      <c r="L34" t="s">
        <v>496</v>
      </c>
      <c r="M34" s="265" t="n"/>
      <c r="N34" s="265" t="n"/>
      <c r="O34">
        <f>D34-M34</f>
        <v/>
      </c>
      <c r="P34">
        <f>E34-N34</f>
        <v/>
      </c>
      <c r="AX34" t="s">
        <v>497</v>
      </c>
      <c r="AY34" t="s">
        <v>498</v>
      </c>
    </row>
    <row r="35" spans="1:51" ht="14.5" customHeight="1">
      <c r="A35" s="45" t="s">
        <v>499</v>
      </c>
      <c r="B35" s="45" t="n">
        <v>20</v>
      </c>
      <c r="C35" s="45" t="n">
        <v>20</v>
      </c>
      <c r="D35" s="46">
        <f>ROUND(SUMIF('Trial Balance'!N:N,F35,'Trial Balance'!H:H),0)</f>
        <v/>
      </c>
      <c r="E35" s="46">
        <f>ROUND(SUMIF('Trial Balance'!N:N,F35,'Trial Balance'!K:K),0)+G35</f>
        <v/>
      </c>
      <c r="F35">
        <f>"BS"&amp;C35</f>
        <v/>
      </c>
      <c r="I35" s="9">
        <f>SUMIF('Trial Balance'!N:N,F35,'Trial Balance'!H:H)</f>
        <v/>
      </c>
      <c r="J35" s="9">
        <f>SUMIF('Trial Balance'!N:N,F35,'Trial Balance'!K:K)</f>
        <v/>
      </c>
      <c r="L35" t="s">
        <v>500</v>
      </c>
      <c r="M35" s="265" t="n"/>
      <c r="N35" s="265" t="n"/>
      <c r="O35">
        <f>D35-M35</f>
        <v/>
      </c>
      <c r="P35">
        <f>E35-N35</f>
        <v/>
      </c>
      <c r="AX35" t="s">
        <v>501</v>
      </c>
      <c r="AY35" t="s">
        <v>502</v>
      </c>
    </row>
    <row r="36" spans="1:51" ht="14.5" customHeight="1">
      <c r="A36" s="45" t="s">
        <v>503</v>
      </c>
      <c r="B36" s="45" t="n">
        <v>21</v>
      </c>
      <c r="C36" s="45" t="n">
        <v>21</v>
      </c>
      <c r="D36" s="46">
        <f>ROUND(SUMIF('Trial Balance'!N:N,F36,'Trial Balance'!H:H),0)</f>
        <v/>
      </c>
      <c r="E36" s="46">
        <f>ROUND(SUMIF('Trial Balance'!N:N,F36,'Trial Balance'!K:K),0)+G36</f>
        <v/>
      </c>
      <c r="F36">
        <f>"BS"&amp;C36</f>
        <v/>
      </c>
      <c r="I36" s="9">
        <f>SUMIF('Trial Balance'!N:N,F36,'Trial Balance'!H:H)</f>
        <v/>
      </c>
      <c r="J36" s="9">
        <f>SUMIF('Trial Balance'!N:N,F36,'Trial Balance'!K:K)</f>
        <v/>
      </c>
      <c r="L36" t="s">
        <v>504</v>
      </c>
      <c r="M36" s="265" t="n"/>
      <c r="N36" s="265" t="n"/>
      <c r="O36">
        <f>D36-M36</f>
        <v/>
      </c>
      <c r="P36">
        <f>E36-N36</f>
        <v/>
      </c>
      <c r="AX36" t="s">
        <v>505</v>
      </c>
      <c r="AY36" t="s">
        <v>506</v>
      </c>
    </row>
    <row r="37" spans="1:51" ht="14.5" customHeight="1">
      <c r="A37" s="45" t="s">
        <v>507</v>
      </c>
      <c r="B37" s="45" t="n">
        <v>22</v>
      </c>
      <c r="C37" s="45" t="n">
        <v>22</v>
      </c>
      <c r="D37" s="46">
        <f>ROUND(SUMIF('Trial Balance'!N:N,F37,'Trial Balance'!H:H),0)</f>
        <v/>
      </c>
      <c r="E37" s="46">
        <f>ROUND(SUMIF('Trial Balance'!N:N,F37,'Trial Balance'!K:K),0)+G37</f>
        <v/>
      </c>
      <c r="F37">
        <f>"BS"&amp;C37</f>
        <v/>
      </c>
      <c r="I37" s="9">
        <f>SUMIF('Trial Balance'!N:N,F37,'Trial Balance'!H:H)</f>
        <v/>
      </c>
      <c r="J37" s="9">
        <f>SUMIF('Trial Balance'!N:N,F37,'Trial Balance'!K:K)</f>
        <v/>
      </c>
      <c r="L37" t="s">
        <v>508</v>
      </c>
      <c r="M37" s="265" t="n"/>
      <c r="N37" s="265" t="n"/>
      <c r="O37">
        <f>D37-M37</f>
        <v/>
      </c>
      <c r="P37">
        <f>E37-N37</f>
        <v/>
      </c>
      <c r="AX37" t="s">
        <v>509</v>
      </c>
      <c r="AY37" t="s">
        <v>510</v>
      </c>
    </row>
    <row r="38" spans="1:51" ht="14.5" customHeight="1">
      <c r="A38" s="45" t="s">
        <v>511</v>
      </c>
      <c r="B38" s="45" t="n">
        <v>23</v>
      </c>
      <c r="C38" s="45" t="n">
        <v>23</v>
      </c>
      <c r="D38" s="46">
        <f>ROUND(SUMIF('Trial Balance'!N:N,F38,'Trial Balance'!H:H),0)</f>
        <v/>
      </c>
      <c r="E38" s="46">
        <f>ROUND(SUMIF('Trial Balance'!N:N,F38,'Trial Balance'!K:K),0)+G38</f>
        <v/>
      </c>
      <c r="F38">
        <f>"BS"&amp;C38</f>
        <v/>
      </c>
      <c r="I38" s="9">
        <f>SUMIF('Trial Balance'!N:N,F38,'Trial Balance'!H:H)</f>
        <v/>
      </c>
      <c r="J38" s="9">
        <f>SUMIF('Trial Balance'!N:N,F38,'Trial Balance'!K:K)</f>
        <v/>
      </c>
      <c r="L38" t="s">
        <v>512</v>
      </c>
      <c r="M38" s="265" t="n">
        <v>20660</v>
      </c>
      <c r="N38" s="265" t="n">
        <v>20660</v>
      </c>
      <c r="O38">
        <f>D38-M38</f>
        <v/>
      </c>
      <c r="P38">
        <f>E38-N38</f>
        <v/>
      </c>
      <c r="AX38" t="s">
        <v>513</v>
      </c>
      <c r="AY38" t="s">
        <v>514</v>
      </c>
    </row>
    <row r="39" spans="1:51" ht="14.5" customHeight="1">
      <c r="A39" s="47" t="s">
        <v>515</v>
      </c>
      <c r="B39" s="47" t="n">
        <v>24</v>
      </c>
      <c r="C39" s="47" t="n">
        <v>24</v>
      </c>
      <c r="D39" s="48">
        <f>SUM(D33:D38)</f>
        <v/>
      </c>
      <c r="E39" s="48">
        <f>SUM(E33:E38)</f>
        <v/>
      </c>
      <c r="F39">
        <f>"BS"&amp;C39</f>
        <v/>
      </c>
      <c r="M39" s="265" t="n">
        <v>20660</v>
      </c>
      <c r="N39" s="265" t="n">
        <v>20660</v>
      </c>
      <c r="O39">
        <f>D39-M39</f>
        <v/>
      </c>
      <c r="P39">
        <f>E39-N39</f>
        <v/>
      </c>
      <c r="AX39" t="s">
        <v>516</v>
      </c>
      <c r="AY39" t="s">
        <v>517</v>
      </c>
    </row>
    <row r="40" spans="1:51" ht="14.5" customHeight="1">
      <c r="A40" s="47" t="s">
        <v>518</v>
      </c>
      <c r="B40" s="47" t="n">
        <v>25</v>
      </c>
      <c r="C40" s="47" t="n">
        <v>25</v>
      </c>
      <c r="D40" s="48">
        <f>D20+D31+D39</f>
        <v/>
      </c>
      <c r="E40" s="48">
        <f>E20+E31+E39</f>
        <v/>
      </c>
      <c r="F40">
        <f>"BS"&amp;C40</f>
        <v/>
      </c>
      <c r="M40" s="265" t="n">
        <v>107644025</v>
      </c>
      <c r="N40" s="265" t="n">
        <v>104563623</v>
      </c>
      <c r="O40">
        <f>D40-M40</f>
        <v/>
      </c>
      <c r="P40">
        <f>E40-N40</f>
        <v/>
      </c>
      <c r="AX40" t="s">
        <v>519</v>
      </c>
      <c r="AY40" t="s">
        <v>520</v>
      </c>
    </row>
    <row r="41" spans="1:51" ht="14.5" customHeight="1">
      <c r="A41" s="44" t="s">
        <v>521</v>
      </c>
      <c r="B41" s="45" t="n"/>
      <c r="C41" s="45" t="n"/>
      <c r="D41" s="46" t="n"/>
      <c r="E41" s="46" t="n"/>
      <c r="M41" s="265" t="n"/>
      <c r="N41" s="265" t="n"/>
      <c r="O41">
        <f>D41-M41</f>
        <v/>
      </c>
      <c r="P41">
        <f>E41-N41</f>
        <v/>
      </c>
    </row>
    <row r="42" spans="1:51" ht="14.5" customHeight="1">
      <c r="A42" s="44" t="s">
        <v>522</v>
      </c>
      <c r="B42" s="45" t="n"/>
      <c r="C42" s="45" t="n"/>
      <c r="D42" s="46" t="n"/>
      <c r="E42" s="46" t="n"/>
      <c r="M42" s="265" t="n"/>
      <c r="N42" s="265" t="n"/>
      <c r="O42">
        <f>D42-M42</f>
        <v/>
      </c>
      <c r="P42">
        <f>E42-N42</f>
        <v/>
      </c>
    </row>
    <row r="43" spans="1:51" ht="14.5" customHeight="1">
      <c r="A43" s="45" t="s">
        <v>523</v>
      </c>
      <c r="B43" s="45" t="n">
        <v>26</v>
      </c>
      <c r="C43" s="45" t="n">
        <v>26</v>
      </c>
      <c r="D43" s="46">
        <f>ROUND(SUMIF('Trial Balance'!N:N,F43,'Trial Balance'!H:H),0)</f>
        <v/>
      </c>
      <c r="E43" s="46">
        <f>ROUND(SUMIF('Trial Balance'!N:N,F43,'Trial Balance'!K:K),0)+G43</f>
        <v/>
      </c>
      <c r="F43">
        <f>"BS"&amp;C43</f>
        <v/>
      </c>
      <c r="I43" s="9">
        <f>SUMIF('Trial Balance'!N:N,F43,'Trial Balance'!H:H)</f>
        <v/>
      </c>
      <c r="J43" s="9">
        <f>SUMIF('Trial Balance'!N:N,F43,'Trial Balance'!K:K)</f>
        <v/>
      </c>
      <c r="M43" s="265" t="n">
        <v>20207663</v>
      </c>
      <c r="N43" s="265" t="n">
        <v>23272541</v>
      </c>
      <c r="O43">
        <f>D43-M43</f>
        <v/>
      </c>
      <c r="P43">
        <f>E43-N43</f>
        <v/>
      </c>
      <c r="AX43" t="s">
        <v>524</v>
      </c>
      <c r="AY43" t="s">
        <v>525</v>
      </c>
    </row>
    <row r="44" spans="1:51" ht="14.5" customHeight="1">
      <c r="A44" s="45" t="s">
        <v>526</v>
      </c>
      <c r="B44" s="45" t="n">
        <v>27</v>
      </c>
      <c r="C44" s="45" t="n">
        <v>27</v>
      </c>
      <c r="D44" s="46">
        <f>ROUND(SUMIF('Trial Balance'!N:N,F44,'Trial Balance'!H:H),0)</f>
        <v/>
      </c>
      <c r="E44" s="46">
        <f>ROUND(SUMIF('Trial Balance'!N:N,F44,'Trial Balance'!K:K),0)+G44</f>
        <v/>
      </c>
      <c r="F44">
        <f>"BS"&amp;C44</f>
        <v/>
      </c>
      <c r="I44" s="9">
        <f>SUMIF('Trial Balance'!N:N,F44,'Trial Balance'!H:H)</f>
        <v/>
      </c>
      <c r="J44" s="9">
        <f>SUMIF('Trial Balance'!N:N,F44,'Trial Balance'!K:K)</f>
        <v/>
      </c>
      <c r="M44" s="265" t="n">
        <v>8637421</v>
      </c>
      <c r="N44" s="265" t="n">
        <v>14969681</v>
      </c>
      <c r="O44">
        <f>D44-M44</f>
        <v/>
      </c>
      <c r="P44">
        <f>E44-N44</f>
        <v/>
      </c>
      <c r="AX44" t="s">
        <v>527</v>
      </c>
      <c r="AY44" t="s">
        <v>528</v>
      </c>
    </row>
    <row r="45" spans="1:51" ht="14.5" customHeight="1">
      <c r="A45" s="45" t="s">
        <v>529</v>
      </c>
      <c r="B45" s="45" t="n">
        <v>28</v>
      </c>
      <c r="C45" s="45" t="n">
        <v>28</v>
      </c>
      <c r="D45" s="46">
        <f>ROUND(SUMIF('Trial Balance'!N:N,F45,'Trial Balance'!H:H),0)</f>
        <v/>
      </c>
      <c r="E45" s="46">
        <f>ROUND(SUMIF('Trial Balance'!N:N,F45,'Trial Balance'!K:K),0)+G45</f>
        <v/>
      </c>
      <c r="F45">
        <f>"BS"&amp;C45</f>
        <v/>
      </c>
      <c r="I45" s="9">
        <f>SUMIF('Trial Balance'!N:N,F45,'Trial Balance'!H:H)</f>
        <v/>
      </c>
      <c r="J45" s="9">
        <f>SUMIF('Trial Balance'!N:N,F45,'Trial Balance'!K:K)</f>
        <v/>
      </c>
      <c r="M45" s="265" t="n">
        <v>3554524</v>
      </c>
      <c r="N45" s="265" t="n">
        <v>2997214</v>
      </c>
      <c r="O45">
        <f>D45-M45</f>
        <v/>
      </c>
      <c r="P45">
        <f>E45-N45</f>
        <v/>
      </c>
      <c r="AX45" t="s">
        <v>530</v>
      </c>
      <c r="AY45" t="s">
        <v>531</v>
      </c>
    </row>
    <row r="46" spans="1:51" ht="14.5" customHeight="1">
      <c r="A46" s="45" t="s">
        <v>532</v>
      </c>
      <c r="B46" s="45" t="n">
        <v>29</v>
      </c>
      <c r="C46" s="45" t="n">
        <v>29</v>
      </c>
      <c r="D46" s="46">
        <f>ROUND(SUMIF('Trial Balance'!N:N,F46,'Trial Balance'!H:H),0)</f>
        <v/>
      </c>
      <c r="E46" s="46">
        <f>ROUND(SUMIF('Trial Balance'!N:N,F46,'Trial Balance'!K:K),0)+G46</f>
        <v/>
      </c>
      <c r="F46">
        <f>"BS"&amp;C46</f>
        <v/>
      </c>
      <c r="I46" s="9">
        <f>SUMIF('Trial Balance'!N:N,F46,'Trial Balance'!H:H)</f>
        <v/>
      </c>
      <c r="J46" s="9">
        <f>SUMIF('Trial Balance'!N:N,F46,'Trial Balance'!K:K)</f>
        <v/>
      </c>
      <c r="M46" s="265" t="n"/>
      <c r="N46" s="265" t="n"/>
      <c r="O46">
        <f>D46-M46</f>
        <v/>
      </c>
      <c r="P46">
        <f>E46-N46</f>
        <v/>
      </c>
      <c r="AX46" t="s">
        <v>533</v>
      </c>
      <c r="AY46" t="s">
        <v>534</v>
      </c>
    </row>
    <row r="47" spans="1:51" ht="14.5" customHeight="1">
      <c r="A47" s="47" t="s">
        <v>535</v>
      </c>
      <c r="B47" s="47" t="n">
        <v>30</v>
      </c>
      <c r="C47" s="47" t="n">
        <v>30</v>
      </c>
      <c r="D47" s="48">
        <f>SUM(D43:D46)</f>
        <v/>
      </c>
      <c r="E47" s="48">
        <f>SUM(E43:E46)</f>
        <v/>
      </c>
      <c r="F47">
        <f>"BS"&amp;C47</f>
        <v/>
      </c>
      <c r="L47" t="s">
        <v>522</v>
      </c>
      <c r="M47" s="265" t="n">
        <v>32399608</v>
      </c>
      <c r="N47" s="265" t="n">
        <v>41239436</v>
      </c>
      <c r="O47">
        <f>D47-M47</f>
        <v/>
      </c>
      <c r="P47">
        <f>E47-N47</f>
        <v/>
      </c>
      <c r="AX47" t="s">
        <v>536</v>
      </c>
      <c r="AY47" t="s">
        <v>537</v>
      </c>
    </row>
    <row r="48" spans="1:51" ht="14.5" customHeight="1">
      <c r="A48" s="44" t="s">
        <v>538</v>
      </c>
      <c r="B48" s="45" t="n"/>
      <c r="C48" s="45" t="n"/>
      <c r="D48" s="46" t="n"/>
      <c r="E48" s="46" t="n"/>
      <c r="M48" s="265" t="n"/>
      <c r="N48" s="265" t="n"/>
      <c r="O48">
        <f>D48-M48</f>
        <v/>
      </c>
      <c r="P48">
        <f>E48-N48</f>
        <v/>
      </c>
    </row>
    <row r="49" spans="1:51" ht="14.5" customHeight="1">
      <c r="A49" s="45" t="s">
        <v>539</v>
      </c>
      <c r="B49" s="45" t="n">
        <v>31</v>
      </c>
      <c r="C49" s="45" t="n">
        <v>31</v>
      </c>
      <c r="D49" s="46">
        <f>ROUND(SUMIF('Trial Balance'!N:N,F49,'Trial Balance'!H:H),0)</f>
        <v/>
      </c>
      <c r="E49" s="46">
        <f>ROUND(SUMIF('Trial Balance'!N:N,F49,'Trial Balance'!K:K),0)+G49</f>
        <v/>
      </c>
      <c r="F49">
        <f>"BS"&amp;C49</f>
        <v/>
      </c>
      <c r="I49" s="9">
        <f>SUMIF('Trial Balance'!N:N,F49,'Trial Balance'!H:H)</f>
        <v/>
      </c>
      <c r="J49" s="9">
        <f>SUMIF('Trial Balance'!N:N,F49,'Trial Balance'!K:K)</f>
        <v/>
      </c>
      <c r="M49" s="265" t="n">
        <v>6391186</v>
      </c>
      <c r="N49" s="265" t="n">
        <v>8401471</v>
      </c>
      <c r="O49">
        <f>D49-M49</f>
        <v/>
      </c>
      <c r="P49">
        <f>E49-N49</f>
        <v/>
      </c>
      <c r="AX49" t="s">
        <v>540</v>
      </c>
      <c r="AY49" t="s">
        <v>541</v>
      </c>
    </row>
    <row r="50" spans="1:51" ht="14.5" customHeight="1">
      <c r="A50" s="45" t="s">
        <v>542</v>
      </c>
      <c r="B50" s="45" t="n">
        <v>32</v>
      </c>
      <c r="C50" s="45" t="n">
        <v>32</v>
      </c>
      <c r="D50" s="46">
        <f>ROUND(SUMIF('Trial Balance'!N:N,F50,'Trial Balance'!H:H),0)</f>
        <v/>
      </c>
      <c r="E50" s="46">
        <f>ROUND(SUMIF('Trial Balance'!N:N,F50,'Trial Balance'!K:K),0)+G50</f>
        <v/>
      </c>
      <c r="F50">
        <f>"BS"&amp;C50</f>
        <v/>
      </c>
      <c r="I50" s="9">
        <f>SUMIF('Trial Balance'!N:N,F50,'Trial Balance'!H:H)</f>
        <v/>
      </c>
      <c r="J50" s="9">
        <f>SUMIF('Trial Balance'!N:N,F50,'Trial Balance'!K:K)</f>
        <v/>
      </c>
      <c r="M50" s="265" t="n"/>
      <c r="N50" s="265" t="n"/>
      <c r="O50">
        <f>D50-M50</f>
        <v/>
      </c>
      <c r="P50">
        <f>E50-N50</f>
        <v/>
      </c>
      <c r="AX50" t="s">
        <v>543</v>
      </c>
      <c r="AY50" t="s">
        <v>544</v>
      </c>
    </row>
    <row r="51" spans="1:51" ht="14.5" customHeight="1">
      <c r="A51" s="45" t="s">
        <v>545</v>
      </c>
      <c r="B51" s="45" t="n">
        <v>33</v>
      </c>
      <c r="C51" s="45" t="n">
        <v>33</v>
      </c>
      <c r="D51" s="46">
        <f>ROUND(SUMIF('Trial Balance'!N:N,F51,'Trial Balance'!H:H),0)</f>
        <v/>
      </c>
      <c r="E51" s="46">
        <f>ROUND(SUMIF('Trial Balance'!N:N,F51,'Trial Balance'!K:K),0)+G51</f>
        <v/>
      </c>
      <c r="F51">
        <f>"BS"&amp;C51</f>
        <v/>
      </c>
      <c r="I51" s="9">
        <f>SUMIF('Trial Balance'!N:N,F51,'Trial Balance'!H:H)</f>
        <v/>
      </c>
      <c r="J51" s="9">
        <f>SUMIF('Trial Balance'!N:N,F51,'Trial Balance'!K:K)</f>
        <v/>
      </c>
      <c r="M51" s="265" t="n"/>
      <c r="N51" s="265" t="n"/>
      <c r="O51">
        <f>D51-M51</f>
        <v/>
      </c>
      <c r="P51">
        <f>E51-N51</f>
        <v/>
      </c>
      <c r="AX51" t="s">
        <v>546</v>
      </c>
      <c r="AY51" t="s">
        <v>547</v>
      </c>
    </row>
    <row r="52" spans="1:51" ht="14.5" customHeight="1">
      <c r="A52" s="45" t="s">
        <v>548</v>
      </c>
      <c r="B52" s="45" t="n">
        <v>34</v>
      </c>
      <c r="C52" s="45" t="n">
        <v>34</v>
      </c>
      <c r="D52" s="46">
        <f>ROUND(SUMIF('Trial Balance'!N:N,F52,'Trial Balance'!H:H),0)</f>
        <v/>
      </c>
      <c r="E52" s="46">
        <f>ROUND(SUMIF('Trial Balance'!N:N,F52,'Trial Balance'!K:K),0)+G52</f>
        <v/>
      </c>
      <c r="F52">
        <f>"BS"&amp;C52</f>
        <v/>
      </c>
      <c r="I52" s="9">
        <f>SUMIF('Trial Balance'!N:N,F52,'Trial Balance'!H:H)</f>
        <v/>
      </c>
      <c r="J52" s="9">
        <f>SUMIF('Trial Balance'!N:N,F52,'Trial Balance'!K:K)</f>
        <v/>
      </c>
      <c r="M52" s="265" t="n">
        <v>1505584</v>
      </c>
      <c r="N52" s="265" t="n">
        <v>1501949</v>
      </c>
      <c r="O52">
        <f>D52-M52</f>
        <v/>
      </c>
      <c r="P52">
        <f>E52-N52</f>
        <v/>
      </c>
      <c r="AX52" t="s">
        <v>549</v>
      </c>
      <c r="AY52" t="s">
        <v>550</v>
      </c>
    </row>
    <row r="53" spans="1:51" ht="14.5" customHeight="1">
      <c r="A53" s="45" t="s">
        <v>551</v>
      </c>
      <c r="B53" s="45" t="n">
        <v>35</v>
      </c>
      <c r="C53" s="45" t="n">
        <v>35</v>
      </c>
      <c r="D53" s="46">
        <f>ROUND(SUMIF('Trial Balance'!N:N,F53,'Trial Balance'!H:H),0)</f>
        <v/>
      </c>
      <c r="E53" s="46">
        <f>ROUND(SUMIF('Trial Balance'!N:N,F53,'Trial Balance'!K:K),0)+G53</f>
        <v/>
      </c>
      <c r="F53">
        <f>"BS"&amp;C53</f>
        <v/>
      </c>
      <c r="I53" s="9">
        <f>SUMIF('Trial Balance'!N:N,F53,'Trial Balance'!H:H)</f>
        <v/>
      </c>
      <c r="J53" s="9">
        <f>SUMIF('Trial Balance'!N:N,F53,'Trial Balance'!K:K)</f>
        <v/>
      </c>
      <c r="M53" s="265" t="n"/>
      <c r="N53" s="265" t="n"/>
      <c r="O53">
        <f>D53-M53</f>
        <v/>
      </c>
      <c r="P53">
        <f>E53-N53</f>
        <v/>
      </c>
      <c r="AX53" t="s">
        <v>552</v>
      </c>
      <c r="AY53" t="s">
        <v>553</v>
      </c>
    </row>
    <row r="54" spans="1:51" ht="14.5" customHeight="1">
      <c r="A54" s="45" t="s">
        <v>554</v>
      </c>
      <c r="B54" s="45" t="n">
        <v>36</v>
      </c>
      <c r="C54" s="166" t="s">
        <v>555</v>
      </c>
      <c r="D54" s="46">
        <f>ROUND(SUMIF('Trial Balance'!N:N,F54,'Trial Balance'!H:H),0)</f>
        <v/>
      </c>
      <c r="E54" s="46">
        <f>ROUND(SUMIF('Trial Balance'!N:N,F54,'Trial Balance'!K:K),0)+G54</f>
        <v/>
      </c>
      <c r="F54">
        <f>"BS"&amp;C54</f>
        <v/>
      </c>
      <c r="I54" s="9">
        <f>SUMIF('Trial Balance'!N:N,F54,'Trial Balance'!H:H)</f>
        <v/>
      </c>
      <c r="J54" s="9">
        <f>SUMIF('Trial Balance'!N:N,F54,'Trial Balance'!K:K)</f>
        <v/>
      </c>
      <c r="M54" s="265" t="n"/>
      <c r="N54" s="265" t="n"/>
      <c r="O54">
        <f>D54-M54</f>
        <v/>
      </c>
      <c r="P54">
        <f>E54-N54</f>
        <v/>
      </c>
      <c r="AX54" t="s">
        <v>556</v>
      </c>
      <c r="AY54" t="s">
        <v>557</v>
      </c>
    </row>
    <row r="55" spans="1:51" ht="14.5" customHeight="1">
      <c r="A55" s="47" t="s">
        <v>558</v>
      </c>
      <c r="B55" s="47" t="n">
        <v>37</v>
      </c>
      <c r="C55" s="47" t="n">
        <v>36</v>
      </c>
      <c r="D55" s="48">
        <f>SUM(D49:D54)</f>
        <v/>
      </c>
      <c r="E55" s="48">
        <f>SUM(E49:E54)</f>
        <v/>
      </c>
      <c r="F55">
        <f>"BS"&amp;C55</f>
        <v/>
      </c>
      <c r="L55" t="s">
        <v>559</v>
      </c>
      <c r="M55" s="265" t="n">
        <v>7896770</v>
      </c>
      <c r="N55" s="265" t="n">
        <v>9903420</v>
      </c>
      <c r="O55">
        <f>D55-M55</f>
        <v/>
      </c>
      <c r="P55">
        <f>E55-N55</f>
        <v/>
      </c>
      <c r="AX55" t="s">
        <v>560</v>
      </c>
      <c r="AY55" t="s">
        <v>561</v>
      </c>
    </row>
    <row r="56" spans="1:51" ht="14.5" customHeight="1">
      <c r="A56" s="44" t="s">
        <v>562</v>
      </c>
      <c r="B56" s="45" t="n"/>
      <c r="C56" s="45" t="n"/>
      <c r="D56" s="46" t="n"/>
      <c r="E56" s="46">
        <f>ROUND(SUMIF('Trial Balance'!N:N,F56,'Trial Balance'!K:K),0)</f>
        <v/>
      </c>
      <c r="M56" s="265" t="n"/>
      <c r="N56" s="265" t="n"/>
      <c r="O56">
        <f>D56-M56</f>
        <v/>
      </c>
      <c r="P56">
        <f>E56-N56</f>
        <v/>
      </c>
    </row>
    <row r="57" spans="1:51" ht="14.5" customHeight="1">
      <c r="A57" s="45" t="s">
        <v>563</v>
      </c>
      <c r="B57" s="45" t="n">
        <v>38</v>
      </c>
      <c r="C57" s="45" t="n">
        <v>37</v>
      </c>
      <c r="D57" s="46">
        <f>ROUND(SUMIF('Trial Balance'!N:N,F57,'Trial Balance'!H:H),0)</f>
        <v/>
      </c>
      <c r="E57" s="46">
        <f>ROUND(SUMIF('Trial Balance'!N:N,F57,'Trial Balance'!K:K),0)+G57</f>
        <v/>
      </c>
      <c r="F57">
        <f>"BS"&amp;C57</f>
        <v/>
      </c>
      <c r="I57" s="9">
        <f>SUMIF('Trial Balance'!N:N,F57,'Trial Balance'!H:H)</f>
        <v/>
      </c>
      <c r="J57" s="9">
        <f>SUMIF('Trial Balance'!N:N,F57,'Trial Balance'!K:K)</f>
        <v/>
      </c>
      <c r="M57" s="265" t="n"/>
      <c r="N57" s="265" t="n"/>
      <c r="O57">
        <f>D57-M57</f>
        <v/>
      </c>
      <c r="P57">
        <f>E57-N57</f>
        <v/>
      </c>
      <c r="AX57" t="s">
        <v>564</v>
      </c>
      <c r="AY57" t="s">
        <v>565</v>
      </c>
    </row>
    <row r="58" spans="1:51" ht="14.5" customHeight="1">
      <c r="A58" s="45" t="s">
        <v>566</v>
      </c>
      <c r="B58" s="45" t="n">
        <v>39</v>
      </c>
      <c r="C58" s="45" t="n">
        <v>38</v>
      </c>
      <c r="D58" s="46">
        <f>ROUND(SUMIF('Trial Balance'!N:N,F58,'Trial Balance'!H:H),0)</f>
        <v/>
      </c>
      <c r="E58" s="46">
        <f>ROUND(SUMIF('Trial Balance'!N:N,F58,'Trial Balance'!K:K),0)+G58</f>
        <v/>
      </c>
      <c r="F58">
        <f>"BS"&amp;C58</f>
        <v/>
      </c>
      <c r="I58" s="9">
        <f>SUMIF('Trial Balance'!N:N,F58,'Trial Balance'!H:H)</f>
        <v/>
      </c>
      <c r="J58" s="9">
        <f>SUMIF('Trial Balance'!N:N,F58,'Trial Balance'!K:K)</f>
        <v/>
      </c>
      <c r="M58" s="265" t="n">
        <v>1710</v>
      </c>
      <c r="N58" s="265" t="n">
        <v>6316</v>
      </c>
      <c r="O58">
        <f>D58-M58</f>
        <v/>
      </c>
      <c r="P58">
        <f>E58-N58</f>
        <v/>
      </c>
      <c r="AX58" t="s">
        <v>567</v>
      </c>
      <c r="AY58" t="s">
        <v>568</v>
      </c>
    </row>
    <row r="59" spans="1:51" ht="14.5" customHeight="1">
      <c r="A59" s="47" t="s">
        <v>569</v>
      </c>
      <c r="B59" s="47" t="n">
        <v>40</v>
      </c>
      <c r="C59" s="47" t="n">
        <v>39</v>
      </c>
      <c r="D59" s="48">
        <f>SUM(D57:D58)</f>
        <v/>
      </c>
      <c r="E59" s="48">
        <f>SUM(E57:E58)</f>
        <v/>
      </c>
      <c r="F59">
        <f>"BS"&amp;C59</f>
        <v/>
      </c>
      <c r="L59" t="s">
        <v>570</v>
      </c>
      <c r="M59" s="265" t="n">
        <v>1710</v>
      </c>
      <c r="N59" s="265" t="n">
        <v>6316</v>
      </c>
      <c r="O59">
        <f>D59-M59</f>
        <v/>
      </c>
      <c r="P59">
        <f>E59-N59</f>
        <v/>
      </c>
      <c r="AX59" t="s">
        <v>571</v>
      </c>
      <c r="AY59" t="s">
        <v>572</v>
      </c>
    </row>
    <row r="60" spans="1:51" ht="14.5" customHeight="1">
      <c r="A60" s="44" t="s">
        <v>573</v>
      </c>
      <c r="B60" s="45" t="n">
        <v>41</v>
      </c>
      <c r="C60" s="45" t="n">
        <v>40</v>
      </c>
      <c r="D60" s="46">
        <f>ROUND(SUMIF('Trial Balance'!N:N,F60,'Trial Balance'!H:H),0)</f>
        <v/>
      </c>
      <c r="E60" s="46">
        <f>ROUND(SUMIF('Trial Balance'!N:N,F60,'Trial Balance'!K:K),0)+G60</f>
        <v/>
      </c>
      <c r="F60">
        <f>"BS"&amp;C60</f>
        <v/>
      </c>
      <c r="I60" s="9">
        <f>SUMIF('Trial Balance'!N:N,F60,'Trial Balance'!H:H)</f>
        <v/>
      </c>
      <c r="J60" s="9">
        <f>SUMIF('Trial Balance'!N:N,F60,'Trial Balance'!K:K)</f>
        <v/>
      </c>
      <c r="L60" t="s">
        <v>574</v>
      </c>
      <c r="M60" s="265" t="n">
        <v>1540594</v>
      </c>
      <c r="N60" s="265" t="n">
        <v>1924954</v>
      </c>
      <c r="O60">
        <f>D60-M60</f>
        <v/>
      </c>
      <c r="P60">
        <f>E60-N60</f>
        <v/>
      </c>
      <c r="AX60" t="s">
        <v>575</v>
      </c>
      <c r="AY60" t="s">
        <v>576</v>
      </c>
    </row>
    <row r="61" spans="1:51" ht="14.5" customHeight="1">
      <c r="A61" s="47" t="s">
        <v>577</v>
      </c>
      <c r="B61" s="47" t="n">
        <v>42</v>
      </c>
      <c r="C61" s="47" t="n">
        <v>41</v>
      </c>
      <c r="D61" s="48">
        <f>D47+D55+D59+D60</f>
        <v/>
      </c>
      <c r="E61" s="48">
        <f>E47+E55+E59+E60</f>
        <v/>
      </c>
      <c r="F61">
        <f>"BS"&amp;C61</f>
        <v/>
      </c>
      <c r="M61" s="265" t="n">
        <v>41838682</v>
      </c>
      <c r="N61" s="265" t="n">
        <v>53074126</v>
      </c>
      <c r="O61">
        <f>D61-M61</f>
        <v/>
      </c>
      <c r="P61">
        <f>E61-N61</f>
        <v/>
      </c>
      <c r="AX61" t="s">
        <v>578</v>
      </c>
      <c r="AY61" t="s">
        <v>579</v>
      </c>
    </row>
    <row r="62" spans="1:51" ht="14.5" customHeight="1">
      <c r="A62" s="47" t="s">
        <v>580</v>
      </c>
      <c r="B62" s="47" t="n">
        <v>43</v>
      </c>
      <c r="C62" s="47" t="n">
        <v>42</v>
      </c>
      <c r="D62" s="48">
        <f>D63+D64</f>
        <v/>
      </c>
      <c r="E62" s="48">
        <f>E63+E64</f>
        <v/>
      </c>
      <c r="F62">
        <f>"BS"&amp;C62</f>
        <v/>
      </c>
      <c r="L62" t="s">
        <v>581</v>
      </c>
      <c r="M62" s="265" t="n">
        <v>11547</v>
      </c>
      <c r="N62" s="265" t="n">
        <v>72620</v>
      </c>
      <c r="O62">
        <f>D62-M62</f>
        <v/>
      </c>
      <c r="P62">
        <f>E62-N62</f>
        <v/>
      </c>
      <c r="AX62" t="s">
        <v>582</v>
      </c>
      <c r="AY62" t="s">
        <v>583</v>
      </c>
    </row>
    <row r="63" spans="1:51" ht="14.5" customHeight="1">
      <c r="A63" s="44" t="s">
        <v>584</v>
      </c>
      <c r="B63" s="45" t="n">
        <v>44</v>
      </c>
      <c r="C63" s="45" t="n">
        <v>43</v>
      </c>
      <c r="D63" s="46">
        <f>ROUND(SUMIF('Trial Balance'!N:N,F63,'Trial Balance'!H:H),0)</f>
        <v/>
      </c>
      <c r="E63" s="46">
        <f>ROUND(SUMIF('Trial Balance'!N:N,F63,'Trial Balance'!K:K),0)+G63</f>
        <v/>
      </c>
      <c r="F63">
        <f>"BS"&amp;C63</f>
        <v/>
      </c>
      <c r="I63" s="9">
        <f>SUMIF('Trial Balance'!N:N,F63,'Trial Balance'!H:H)</f>
        <v/>
      </c>
      <c r="J63" s="9">
        <f>SUMIF('Trial Balance'!N:N,F63,'Trial Balance'!K:K)</f>
        <v/>
      </c>
      <c r="M63" s="265" t="n">
        <v>11202</v>
      </c>
      <c r="N63" s="265" t="n">
        <v>72347</v>
      </c>
      <c r="O63">
        <f>D63-M63</f>
        <v/>
      </c>
      <c r="P63">
        <f>E63-N63</f>
        <v/>
      </c>
      <c r="AX63" t="s">
        <v>585</v>
      </c>
      <c r="AY63" t="s">
        <v>586</v>
      </c>
    </row>
    <row r="64" spans="1:51" ht="14.5" customHeight="1">
      <c r="A64" s="44" t="s">
        <v>587</v>
      </c>
      <c r="B64" s="45" t="n">
        <v>45</v>
      </c>
      <c r="C64" s="45" t="n">
        <v>44</v>
      </c>
      <c r="D64" s="46">
        <f>ROUND(SUMIF('Trial Balance'!N:N,F64,'Trial Balance'!H:H),0)</f>
        <v/>
      </c>
      <c r="E64" s="46">
        <f>ROUND(SUMIF('Trial Balance'!N:N,F64,'Trial Balance'!K:K),0)+G64</f>
        <v/>
      </c>
      <c r="F64">
        <f>"BS"&amp;C64</f>
        <v/>
      </c>
      <c r="I64" s="9">
        <f>SUMIF('Trial Balance'!N:N,F64,'Trial Balance'!H:H)</f>
        <v/>
      </c>
      <c r="J64" s="9">
        <f>SUMIF('Trial Balance'!N:N,F64,'Trial Balance'!K:K)</f>
        <v/>
      </c>
      <c r="M64" s="265" t="n">
        <v>345</v>
      </c>
      <c r="N64" s="265" t="n">
        <v>273</v>
      </c>
      <c r="O64">
        <f>D64-M64</f>
        <v/>
      </c>
      <c r="P64">
        <f>E64-N64</f>
        <v/>
      </c>
      <c r="AX64" t="s">
        <v>588</v>
      </c>
      <c r="AY64" t="s">
        <v>589</v>
      </c>
    </row>
    <row r="65" spans="1:51" ht="14.5" customHeight="1">
      <c r="A65" s="44" t="s">
        <v>590</v>
      </c>
      <c r="B65" s="45" t="n"/>
      <c r="C65" s="45" t="n"/>
      <c r="D65" s="46" t="n"/>
      <c r="E65" s="46" t="n"/>
      <c r="M65" s="265" t="n"/>
      <c r="N65" s="265" t="n"/>
      <c r="O65">
        <f>D65-M65</f>
        <v/>
      </c>
      <c r="P65">
        <f>E65-N65</f>
        <v/>
      </c>
    </row>
    <row r="66" spans="1:51" ht="14.5" customHeight="1">
      <c r="A66" s="45" t="s">
        <v>591</v>
      </c>
      <c r="B66" s="45" t="n">
        <v>46</v>
      </c>
      <c r="C66" s="45" t="n">
        <v>45</v>
      </c>
      <c r="D66" s="46">
        <f>-ROUND(SUMIF('Trial Balance'!N:N,F66,'Trial Balance'!H:H),0)</f>
        <v/>
      </c>
      <c r="E66" s="46">
        <f>-ROUND(SUMIF('Trial Balance'!N:N,F66,'Trial Balance'!K:K),0)+G66</f>
        <v/>
      </c>
      <c r="F66">
        <f>"BS"&amp;C66</f>
        <v/>
      </c>
      <c r="I66" s="9">
        <f>SUMIF('Trial Balance'!N:N,F66,'Trial Balance'!H:H)</f>
        <v/>
      </c>
      <c r="J66" s="9">
        <f>SUMIF('Trial Balance'!N:N,F66,'Trial Balance'!K:K)</f>
        <v/>
      </c>
      <c r="L66" t="s">
        <v>592</v>
      </c>
      <c r="M66" s="265" t="n"/>
      <c r="N66" s="265" t="n"/>
      <c r="O66">
        <f>D66-M66</f>
        <v/>
      </c>
      <c r="P66">
        <f>E66-N66</f>
        <v/>
      </c>
      <c r="AX66" t="s">
        <v>593</v>
      </c>
      <c r="AY66" t="s">
        <v>594</v>
      </c>
    </row>
    <row r="67" spans="1:51" ht="14.5" customHeight="1">
      <c r="A67" s="45" t="s">
        <v>595</v>
      </c>
      <c r="B67" s="45" t="n">
        <v>47</v>
      </c>
      <c r="C67" s="45" t="n">
        <v>46</v>
      </c>
      <c r="D67" s="46">
        <f>-ROUND(SUMIF('Trial Balance'!N:N,F67,'Trial Balance'!H:H),0)</f>
        <v/>
      </c>
      <c r="E67" s="46">
        <f>-ROUND(SUMIF('Trial Balance'!N:N,F67,'Trial Balance'!K:K),0)+G67</f>
        <v/>
      </c>
      <c r="F67">
        <f>"BS"&amp;C67</f>
        <v/>
      </c>
      <c r="I67" s="9">
        <f>SUMIF('Trial Balance'!N:N,F67,'Trial Balance'!H:H)</f>
        <v/>
      </c>
      <c r="J67" s="9">
        <f>SUMIF('Trial Balance'!N:N,F67,'Trial Balance'!K:K)</f>
        <v/>
      </c>
      <c r="L67" t="s">
        <v>596</v>
      </c>
      <c r="M67" s="265" t="n"/>
      <c r="N67" s="265" t="n"/>
      <c r="O67">
        <f>D67-M67</f>
        <v/>
      </c>
      <c r="P67">
        <f>E67-N67</f>
        <v/>
      </c>
      <c r="AX67" t="s">
        <v>597</v>
      </c>
      <c r="AY67" t="s">
        <v>598</v>
      </c>
    </row>
    <row r="68" spans="1:51" ht="14.5" customHeight="1">
      <c r="A68" s="45" t="s">
        <v>599</v>
      </c>
      <c r="B68" s="45" t="n">
        <v>48</v>
      </c>
      <c r="C68" s="45" t="n">
        <v>47</v>
      </c>
      <c r="D68" s="46">
        <f>-ROUND(SUMIF('Trial Balance'!N:N,F68,'Trial Balance'!H:H),0)</f>
        <v/>
      </c>
      <c r="E68" s="46">
        <f>-ROUND(SUMIF('Trial Balance'!N:N,F68,'Trial Balance'!K:K),0)+G68</f>
        <v/>
      </c>
      <c r="F68">
        <f>"BS"&amp;C68</f>
        <v/>
      </c>
      <c r="I68" s="9">
        <f>SUMIF('Trial Balance'!N:N,F68,'Trial Balance'!H:H)</f>
        <v/>
      </c>
      <c r="J68" s="9">
        <f>SUMIF('Trial Balance'!N:N,F68,'Trial Balance'!K:K)</f>
        <v/>
      </c>
      <c r="L68" t="s">
        <v>600</v>
      </c>
      <c r="M68" s="265" t="n">
        <v>14982</v>
      </c>
      <c r="N68" s="265" t="n">
        <v>0</v>
      </c>
      <c r="O68">
        <f>D68-M68</f>
        <v/>
      </c>
      <c r="P68">
        <f>E68-N68</f>
        <v/>
      </c>
      <c r="AX68" t="s">
        <v>601</v>
      </c>
      <c r="AY68" t="s">
        <v>602</v>
      </c>
    </row>
    <row r="69" spans="1:51" ht="14.5" customHeight="1">
      <c r="A69" s="45" t="s">
        <v>603</v>
      </c>
      <c r="B69" s="45" t="n">
        <v>49</v>
      </c>
      <c r="C69" s="45" t="n">
        <v>48</v>
      </c>
      <c r="D69" s="46">
        <f>-ROUND(SUMIF('Trial Balance'!N:N,F69,'Trial Balance'!H:H),0)</f>
        <v/>
      </c>
      <c r="E69" s="46">
        <f>-ROUND(SUMIF('Trial Balance'!N:N,F69,'Trial Balance'!K:K),0)+G69</f>
        <v/>
      </c>
      <c r="F69">
        <f>"BS"&amp;C69</f>
        <v/>
      </c>
      <c r="I69" s="9">
        <f>SUMIF('Trial Balance'!N:N,F69,'Trial Balance'!H:H)</f>
        <v/>
      </c>
      <c r="J69" s="9">
        <f>SUMIF('Trial Balance'!N:N,F69,'Trial Balance'!K:K)</f>
        <v/>
      </c>
      <c r="L69" t="s">
        <v>604</v>
      </c>
      <c r="M69" s="265" t="n">
        <v>16639642</v>
      </c>
      <c r="N69" s="265" t="n">
        <v>31003725</v>
      </c>
      <c r="O69">
        <f>D69-M69</f>
        <v/>
      </c>
      <c r="P69">
        <f>E69-N69</f>
        <v/>
      </c>
      <c r="AX69" t="s">
        <v>605</v>
      </c>
      <c r="AY69" t="s">
        <v>606</v>
      </c>
    </row>
    <row r="70" spans="1:51" ht="14.5" customHeight="1">
      <c r="A70" s="45" t="s">
        <v>607</v>
      </c>
      <c r="B70" s="45" t="n">
        <v>50</v>
      </c>
      <c r="C70" s="45" t="n">
        <v>49</v>
      </c>
      <c r="D70" s="46">
        <f>-ROUND(SUMIF('Trial Balance'!N:N,F70,'Trial Balance'!H:H),0)</f>
        <v/>
      </c>
      <c r="E70" s="46">
        <f>-ROUND(SUMIF('Trial Balance'!N:N,F70,'Trial Balance'!K:K),0)+G70</f>
        <v/>
      </c>
      <c r="F70">
        <f>"BS"&amp;C70</f>
        <v/>
      </c>
      <c r="I70" s="9">
        <f>SUMIF('Trial Balance'!N:N,F70,'Trial Balance'!H:H)</f>
        <v/>
      </c>
      <c r="J70" s="9">
        <f>SUMIF('Trial Balance'!N:N,F70,'Trial Balance'!K:K)</f>
        <v/>
      </c>
      <c r="L70" t="s">
        <v>608</v>
      </c>
      <c r="M70" s="265" t="n"/>
      <c r="N70" s="265" t="n"/>
      <c r="O70">
        <f>D70-M70</f>
        <v/>
      </c>
      <c r="P70">
        <f>E70-N70</f>
        <v/>
      </c>
      <c r="AX70" t="s">
        <v>609</v>
      </c>
      <c r="AY70" t="s">
        <v>610</v>
      </c>
    </row>
    <row r="71" spans="1:51" ht="14.5" customHeight="1">
      <c r="A71" s="45" t="s">
        <v>611</v>
      </c>
      <c r="B71" s="45" t="n">
        <v>51</v>
      </c>
      <c r="C71" s="45" t="n">
        <v>50</v>
      </c>
      <c r="D71" s="46">
        <f>-ROUND(SUMIF('Trial Balance'!N:N,F71,'Trial Balance'!H:H),0)</f>
        <v/>
      </c>
      <c r="E71" s="46">
        <f>-ROUND(SUMIF('Trial Balance'!N:N,F71,'Trial Balance'!K:K),0)+G71</f>
        <v/>
      </c>
      <c r="F71">
        <f>"BS"&amp;C71</f>
        <v/>
      </c>
      <c r="I71" s="9">
        <f>SUMIF('Trial Balance'!N:N,F71,'Trial Balance'!H:H)</f>
        <v/>
      </c>
      <c r="J71" s="9">
        <f>SUMIF('Trial Balance'!N:N,F71,'Trial Balance'!K:K)</f>
        <v/>
      </c>
      <c r="L71" t="s">
        <v>612</v>
      </c>
      <c r="M71" s="265" t="n">
        <v>7422150</v>
      </c>
      <c r="N71" s="265" t="n">
        <v>7421100</v>
      </c>
      <c r="O71">
        <f>D71-M71</f>
        <v/>
      </c>
      <c r="P71">
        <f>E71-N71</f>
        <v/>
      </c>
      <c r="AX71" t="s">
        <v>613</v>
      </c>
      <c r="AY71" t="s">
        <v>614</v>
      </c>
    </row>
    <row r="72" spans="1:51" ht="14.5" customHeight="1">
      <c r="A72" s="45" t="s">
        <v>615</v>
      </c>
      <c r="B72" s="45" t="n">
        <v>52</v>
      </c>
      <c r="C72" s="45" t="n">
        <v>51</v>
      </c>
      <c r="D72" s="46">
        <f>-ROUND(SUMIF('Trial Balance'!N:N,F72,'Trial Balance'!H:H),0)</f>
        <v/>
      </c>
      <c r="E72" s="46">
        <f>-ROUND(SUMIF('Trial Balance'!N:N,F72,'Trial Balance'!K:K),0)+G72</f>
        <v/>
      </c>
      <c r="F72">
        <f>"BS"&amp;C72</f>
        <v/>
      </c>
      <c r="I72" s="9">
        <f>SUMIF('Trial Balance'!N:N,F72,'Trial Balance'!H:H)</f>
        <v/>
      </c>
      <c r="J72" s="9">
        <f>SUMIF('Trial Balance'!N:N,F72,'Trial Balance'!K:K)</f>
        <v/>
      </c>
      <c r="L72" t="s">
        <v>616</v>
      </c>
      <c r="M72" s="265" t="n"/>
      <c r="N72" s="265" t="n"/>
      <c r="O72">
        <f>D72-M72</f>
        <v/>
      </c>
      <c r="P72">
        <f>E72-N72</f>
        <v/>
      </c>
      <c r="AX72" t="s">
        <v>617</v>
      </c>
      <c r="AY72" t="s">
        <v>618</v>
      </c>
    </row>
    <row r="73" spans="1:51" ht="14.5" customHeight="1">
      <c r="A73" s="45" t="s">
        <v>619</v>
      </c>
      <c r="B73" s="45" t="n">
        <v>53</v>
      </c>
      <c r="C73" s="45" t="n">
        <v>52</v>
      </c>
      <c r="D73" s="46">
        <f>-ROUND(SUMIF('Trial Balance'!N:N,F73,'Trial Balance'!H:H),0)</f>
        <v/>
      </c>
      <c r="E73" s="46">
        <f>-ROUND(SUMIF('Trial Balance'!N:N,F73,'Trial Balance'!K:K),0)+G73</f>
        <v/>
      </c>
      <c r="F73">
        <f>"BS"&amp;C73</f>
        <v/>
      </c>
      <c r="I73" s="9">
        <f>SUMIF('Trial Balance'!N:N,F73,'Trial Balance'!H:H)</f>
        <v/>
      </c>
      <c r="J73" s="9">
        <f>SUMIF('Trial Balance'!N:N,F73,'Trial Balance'!K:K)</f>
        <v/>
      </c>
      <c r="L73" t="s">
        <v>620</v>
      </c>
      <c r="M73" s="265" t="n">
        <v>3627394</v>
      </c>
      <c r="N73" s="265" t="n">
        <v>3635839</v>
      </c>
      <c r="O73">
        <f>D73-M73</f>
        <v/>
      </c>
      <c r="P73">
        <f>E73-N73</f>
        <v/>
      </c>
      <c r="AX73" t="s">
        <v>621</v>
      </c>
      <c r="AY73" t="s">
        <v>622</v>
      </c>
    </row>
    <row r="74" spans="1:51" ht="14.5" customHeight="1">
      <c r="A74" s="47" t="s">
        <v>623</v>
      </c>
      <c r="B74" s="47" t="n">
        <v>54</v>
      </c>
      <c r="C74" s="47" t="n">
        <v>53</v>
      </c>
      <c r="D74" s="48">
        <f>SUM(D66:D73)</f>
        <v/>
      </c>
      <c r="E74" s="48">
        <f>SUM(E66:E73)</f>
        <v/>
      </c>
      <c r="F74">
        <f>"BS"&amp;C74</f>
        <v/>
      </c>
      <c r="M74" s="265" t="n">
        <v>27704168</v>
      </c>
      <c r="N74" s="265" t="n">
        <v>42060664</v>
      </c>
      <c r="O74">
        <f>D74-M74</f>
        <v/>
      </c>
      <c r="P74">
        <f>E74-N74</f>
        <v/>
      </c>
      <c r="AX74" t="s">
        <v>624</v>
      </c>
      <c r="AY74" t="s">
        <v>625</v>
      </c>
    </row>
    <row r="75" spans="1:51" ht="14.5" customHeight="1">
      <c r="A75" s="47" t="s">
        <v>626</v>
      </c>
      <c r="B75" s="47" t="n">
        <v>55</v>
      </c>
      <c r="C75" s="47" t="n">
        <v>54</v>
      </c>
      <c r="D75" s="48">
        <f>D61+D63-D74-D94-D97-D100</f>
        <v/>
      </c>
      <c r="E75" s="48">
        <f>E61+E63-E74-E94-E97-E100</f>
        <v/>
      </c>
      <c r="F75">
        <f>"BS"&amp;C75</f>
        <v/>
      </c>
      <c r="M75" s="265" t="n">
        <v>14145716</v>
      </c>
      <c r="N75" s="265" t="n">
        <v>11085809</v>
      </c>
      <c r="O75">
        <f>D75-M75</f>
        <v/>
      </c>
      <c r="P75">
        <f>E75-N75</f>
        <v/>
      </c>
      <c r="AX75" t="s">
        <v>627</v>
      </c>
      <c r="AY75" t="s">
        <v>628</v>
      </c>
    </row>
    <row r="76" spans="1:51" ht="14.5" customHeight="1">
      <c r="A76" s="47" t="s">
        <v>629</v>
      </c>
      <c r="B76" s="47" t="n">
        <v>56</v>
      </c>
      <c r="C76" s="47" t="n">
        <v>55</v>
      </c>
      <c r="D76" s="48">
        <f>D40+D64+D75</f>
        <v/>
      </c>
      <c r="E76" s="48">
        <f>E40+E64+E75</f>
        <v/>
      </c>
      <c r="F76">
        <f>"BS"&amp;C76</f>
        <v/>
      </c>
      <c r="M76" s="265" t="n">
        <v>121790086</v>
      </c>
      <c r="N76" s="265" t="n">
        <v>115649705</v>
      </c>
      <c r="O76">
        <f>D76-M76</f>
        <v/>
      </c>
      <c r="P76">
        <f>E76-N76</f>
        <v/>
      </c>
      <c r="AX76" t="s">
        <v>630</v>
      </c>
      <c r="AY76" t="s">
        <v>631</v>
      </c>
    </row>
    <row r="77" spans="1:51" ht="14.5" customHeight="1">
      <c r="A77" s="44" t="s">
        <v>632</v>
      </c>
      <c r="B77" s="45" t="n"/>
      <c r="C77" s="45" t="n">
        <v>-1</v>
      </c>
      <c r="D77" s="46" t="n"/>
      <c r="E77" s="46" t="n"/>
      <c r="M77" s="265" t="n"/>
      <c r="N77" s="265" t="n"/>
      <c r="O77">
        <f>D77-M77</f>
        <v/>
      </c>
      <c r="P77">
        <f>E77-N77</f>
        <v/>
      </c>
    </row>
    <row r="78" spans="1:51" ht="14.5" customHeight="1">
      <c r="A78" s="45" t="s">
        <v>633</v>
      </c>
      <c r="B78" s="45" t="n">
        <v>57</v>
      </c>
      <c r="C78" s="45" t="n">
        <v>56</v>
      </c>
      <c r="D78" s="46">
        <f>-ROUND(SUMIF('Trial Balance'!N:N,F78,'Trial Balance'!H:H),0)</f>
        <v/>
      </c>
      <c r="E78" s="46">
        <f>-ROUND(SUMIF('Trial Balance'!N:N,F78,'Trial Balance'!K:K),0)+G78</f>
        <v/>
      </c>
      <c r="F78">
        <f>"BS"&amp;C78</f>
        <v/>
      </c>
      <c r="I78" s="9">
        <f>SUMIF('Trial Balance'!N:N,F78,'Trial Balance'!H:H)</f>
        <v/>
      </c>
      <c r="J78" s="9">
        <f>SUMIF('Trial Balance'!N:N,F78,'Trial Balance'!K:K)</f>
        <v/>
      </c>
      <c r="L78" t="s">
        <v>634</v>
      </c>
      <c r="M78" s="265" t="n"/>
      <c r="N78" s="265" t="n"/>
      <c r="O78">
        <f>D78-M78</f>
        <v/>
      </c>
      <c r="P78">
        <f>E78-N78</f>
        <v/>
      </c>
      <c r="AX78" t="s">
        <v>635</v>
      </c>
      <c r="AY78" t="s">
        <v>636</v>
      </c>
    </row>
    <row r="79" spans="1:51" ht="14.5" customHeight="1">
      <c r="A79" s="45" t="s">
        <v>637</v>
      </c>
      <c r="B79" s="45" t="n">
        <v>58</v>
      </c>
      <c r="C79" s="45" t="n">
        <v>57</v>
      </c>
      <c r="D79" s="46">
        <f>-ROUND(SUMIF('Trial Balance'!N:N,F79,'Trial Balance'!H:H),0)</f>
        <v/>
      </c>
      <c r="E79" s="46">
        <f>-ROUND(SUMIF('Trial Balance'!N:N,F79,'Trial Balance'!K:K),0)+G79</f>
        <v/>
      </c>
      <c r="F79">
        <f>"BS"&amp;C79</f>
        <v/>
      </c>
      <c r="I79" s="9">
        <f>SUMIF('Trial Balance'!N:N,F79,'Trial Balance'!H:H)</f>
        <v/>
      </c>
      <c r="J79" s="9">
        <f>SUMIF('Trial Balance'!N:N,F79,'Trial Balance'!K:K)</f>
        <v/>
      </c>
      <c r="L79" t="s">
        <v>638</v>
      </c>
      <c r="M79" s="265" t="n"/>
      <c r="N79" s="265" t="n"/>
      <c r="O79">
        <f>D79-M79</f>
        <v/>
      </c>
      <c r="P79">
        <f>E79-N79</f>
        <v/>
      </c>
      <c r="AX79" t="s">
        <v>639</v>
      </c>
      <c r="AY79" t="s">
        <v>640</v>
      </c>
    </row>
    <row r="80" spans="1:51" ht="14.5" customHeight="1">
      <c r="A80" s="45" t="s">
        <v>599</v>
      </c>
      <c r="B80" s="45" t="n">
        <v>59</v>
      </c>
      <c r="C80" s="45" t="n">
        <v>58</v>
      </c>
      <c r="D80" s="46">
        <f>-ROUND(SUMIF('Trial Balance'!N:N,F80,'Trial Balance'!H:H),0)</f>
        <v/>
      </c>
      <c r="E80" s="46">
        <f>-ROUND(SUMIF('Trial Balance'!N:N,F80,'Trial Balance'!K:K),0)+G80</f>
        <v/>
      </c>
      <c r="F80">
        <f>"BS"&amp;C80</f>
        <v/>
      </c>
      <c r="I80" s="9">
        <f>SUMIF('Trial Balance'!N:N,F80,'Trial Balance'!H:H)</f>
        <v/>
      </c>
      <c r="J80" s="9">
        <f>SUMIF('Trial Balance'!N:N,F80,'Trial Balance'!K:K)</f>
        <v/>
      </c>
      <c r="L80" t="s">
        <v>641</v>
      </c>
      <c r="M80" s="265" t="n"/>
      <c r="N80" s="265" t="n"/>
      <c r="O80">
        <f>D80-M80</f>
        <v/>
      </c>
      <c r="P80">
        <f>E80-N80</f>
        <v/>
      </c>
      <c r="AX80" t="s">
        <v>642</v>
      </c>
      <c r="AY80" t="s">
        <v>643</v>
      </c>
    </row>
    <row r="81" spans="1:51" ht="14.5" customHeight="1">
      <c r="A81" s="45" t="s">
        <v>644</v>
      </c>
      <c r="B81" s="45" t="n">
        <v>60</v>
      </c>
      <c r="C81" s="45" t="n">
        <v>59</v>
      </c>
      <c r="D81" s="46">
        <f>-ROUND(SUMIF('Trial Balance'!N:N,F81,'Trial Balance'!H:H),0)</f>
        <v/>
      </c>
      <c r="E81" s="46">
        <f>-ROUND(SUMIF('Trial Balance'!N:N,F81,'Trial Balance'!K:K),0)+G81</f>
        <v/>
      </c>
      <c r="F81">
        <f>"BS"&amp;C81</f>
        <v/>
      </c>
      <c r="I81" s="9">
        <f>SUMIF('Trial Balance'!N:N,F81,'Trial Balance'!H:H)</f>
        <v/>
      </c>
      <c r="J81" s="9">
        <f>SUMIF('Trial Balance'!N:N,F81,'Trial Balance'!K:K)</f>
        <v/>
      </c>
      <c r="L81" t="s">
        <v>645</v>
      </c>
      <c r="M81" s="265" t="n"/>
      <c r="N81" s="265" t="n"/>
      <c r="O81">
        <f>D81-M81</f>
        <v/>
      </c>
      <c r="P81">
        <f>E81-N81</f>
        <v/>
      </c>
      <c r="AX81" t="s">
        <v>646</v>
      </c>
      <c r="AY81" t="s">
        <v>647</v>
      </c>
    </row>
    <row r="82" spans="1:51" ht="14.5" customHeight="1">
      <c r="A82" s="45" t="s">
        <v>607</v>
      </c>
      <c r="B82" s="45" t="n">
        <v>61</v>
      </c>
      <c r="C82" s="45" t="n">
        <v>60</v>
      </c>
      <c r="D82" s="46">
        <f>-ROUND(SUMIF('Trial Balance'!N:N,F82,'Trial Balance'!H:H),0)</f>
        <v/>
      </c>
      <c r="E82" s="46">
        <f>-ROUND(SUMIF('Trial Balance'!N:N,F82,'Trial Balance'!K:K),0)+G82</f>
        <v/>
      </c>
      <c r="F82">
        <f>"BS"&amp;C82</f>
        <v/>
      </c>
      <c r="I82" s="9">
        <f>SUMIF('Trial Balance'!N:N,F82,'Trial Balance'!H:H)</f>
        <v/>
      </c>
      <c r="J82" s="9">
        <f>SUMIF('Trial Balance'!N:N,F82,'Trial Balance'!K:K)</f>
        <v/>
      </c>
      <c r="L82" t="s">
        <v>648</v>
      </c>
      <c r="M82" s="265" t="n"/>
      <c r="N82" s="265" t="n"/>
      <c r="O82">
        <f>D82-M82</f>
        <v/>
      </c>
      <c r="P82">
        <f>E82-N82</f>
        <v/>
      </c>
      <c r="AX82" t="s">
        <v>649</v>
      </c>
      <c r="AY82" t="s">
        <v>650</v>
      </c>
    </row>
    <row r="83" spans="1:51" ht="14.5" customHeight="1">
      <c r="A83" s="45" t="s">
        <v>651</v>
      </c>
      <c r="B83" s="45" t="n">
        <v>62</v>
      </c>
      <c r="C83" s="45" t="n">
        <v>61</v>
      </c>
      <c r="D83" s="46">
        <f>-ROUND(SUMIF('Trial Balance'!N:N,F83,'Trial Balance'!H:H),0)</f>
        <v/>
      </c>
      <c r="E83" s="46">
        <f>-ROUND(SUMIF('Trial Balance'!N:N,F83,'Trial Balance'!K:K),0)+G83</f>
        <v/>
      </c>
      <c r="F83">
        <f>"BS"&amp;C83</f>
        <v/>
      </c>
      <c r="I83" s="9">
        <f>SUMIF('Trial Balance'!N:N,F83,'Trial Balance'!H:H)</f>
        <v/>
      </c>
      <c r="J83" s="9">
        <f>SUMIF('Trial Balance'!N:N,F83,'Trial Balance'!K:K)</f>
        <v/>
      </c>
      <c r="L83" t="s">
        <v>652</v>
      </c>
      <c r="M83" s="265" t="n">
        <v>83513928</v>
      </c>
      <c r="N83" s="265" t="n">
        <v>76091012</v>
      </c>
      <c r="O83">
        <f>D83-M83</f>
        <v/>
      </c>
      <c r="P83">
        <f>E83-N83</f>
        <v/>
      </c>
      <c r="AX83" t="s">
        <v>653</v>
      </c>
      <c r="AY83" t="s">
        <v>654</v>
      </c>
    </row>
    <row r="84" spans="1:51" ht="14.5" customHeight="1">
      <c r="A84" s="45" t="s">
        <v>615</v>
      </c>
      <c r="B84" s="45" t="n">
        <v>63</v>
      </c>
      <c r="C84" s="45" t="n">
        <v>62</v>
      </c>
      <c r="D84" s="46">
        <f>-ROUND(SUMIF('Trial Balance'!N:N,F84,'Trial Balance'!H:H),0)</f>
        <v/>
      </c>
      <c r="E84" s="46">
        <f>-ROUND(SUMIF('Trial Balance'!N:N,F84,'Trial Balance'!K:K),0)+G84</f>
        <v/>
      </c>
      <c r="F84">
        <f>"BS"&amp;C84</f>
        <v/>
      </c>
      <c r="I84" s="9">
        <f>SUMIF('Trial Balance'!N:N,F84,'Trial Balance'!H:H)</f>
        <v/>
      </c>
      <c r="J84" s="9">
        <f>SUMIF('Trial Balance'!N:N,F84,'Trial Balance'!K:K)</f>
        <v/>
      </c>
      <c r="L84" t="s">
        <v>655</v>
      </c>
      <c r="M84" s="265" t="n"/>
      <c r="N84" s="265" t="n"/>
      <c r="O84">
        <f>D84-M84</f>
        <v/>
      </c>
      <c r="P84">
        <f>E84-N84</f>
        <v/>
      </c>
      <c r="AX84" t="s">
        <v>656</v>
      </c>
      <c r="AY84" t="s">
        <v>657</v>
      </c>
    </row>
    <row r="85" spans="1:51" ht="14.5" customHeight="1">
      <c r="A85" s="45" t="s">
        <v>658</v>
      </c>
      <c r="B85" s="45" t="n">
        <v>64</v>
      </c>
      <c r="C85" s="45" t="n">
        <v>63</v>
      </c>
      <c r="D85" s="46">
        <f>-ROUND(SUMIF('Trial Balance'!N:N,F85,'Trial Balance'!H:H),0)</f>
        <v/>
      </c>
      <c r="E85" s="46">
        <f>-ROUND(SUMIF('Trial Balance'!N:N,F85,'Trial Balance'!K:K),0)+G85</f>
        <v/>
      </c>
      <c r="F85">
        <f>"BS"&amp;C85</f>
        <v/>
      </c>
      <c r="I85" s="9">
        <f>SUMIF('Trial Balance'!N:N,F85,'Trial Balance'!H:H)</f>
        <v/>
      </c>
      <c r="J85" s="9">
        <f>SUMIF('Trial Balance'!N:N,F85,'Trial Balance'!K:K)</f>
        <v/>
      </c>
      <c r="L85" t="s">
        <v>659</v>
      </c>
      <c r="M85" s="265" t="n"/>
      <c r="N85" s="265" t="n"/>
      <c r="O85">
        <f>D85-M85</f>
        <v/>
      </c>
      <c r="P85">
        <f>E85-N85</f>
        <v/>
      </c>
      <c r="AX85" t="s">
        <v>660</v>
      </c>
      <c r="AY85" t="s">
        <v>661</v>
      </c>
    </row>
    <row r="86" spans="1:51" ht="14.5" customHeight="1">
      <c r="A86" s="47" t="s">
        <v>662</v>
      </c>
      <c r="B86" s="47" t="n">
        <v>65</v>
      </c>
      <c r="C86" s="47" t="n">
        <v>64</v>
      </c>
      <c r="D86" s="48">
        <f>SUM(D78:D85)</f>
        <v/>
      </c>
      <c r="E86" s="48">
        <f>SUM(E78:E85)</f>
        <v/>
      </c>
      <c r="F86">
        <f>"BS"&amp;C86</f>
        <v/>
      </c>
      <c r="M86" s="265" t="n">
        <v>83513928</v>
      </c>
      <c r="N86" s="265" t="n">
        <v>76091012</v>
      </c>
      <c r="O86">
        <f>D86-M86</f>
        <v/>
      </c>
      <c r="P86">
        <f>E86-N86</f>
        <v/>
      </c>
      <c r="AX86" t="s">
        <v>663</v>
      </c>
      <c r="AY86" t="s">
        <v>664</v>
      </c>
    </row>
    <row r="87" spans="1:51" ht="14.5" customHeight="1">
      <c r="A87" s="44" t="s">
        <v>665</v>
      </c>
      <c r="B87" s="45" t="n"/>
      <c r="C87" s="45" t="n"/>
      <c r="D87" s="46" t="n"/>
      <c r="E87" s="46" t="n"/>
      <c r="M87" s="265" t="n"/>
      <c r="N87" s="265" t="n"/>
      <c r="O87">
        <f>D87-M87</f>
        <v/>
      </c>
      <c r="P87">
        <f>E87-N87</f>
        <v/>
      </c>
    </row>
    <row r="88" spans="1:51" ht="14.5" customHeight="1">
      <c r="A88" s="45" t="s">
        <v>666</v>
      </c>
      <c r="B88" s="45" t="n">
        <v>66</v>
      </c>
      <c r="C88" s="45" t="n">
        <v>65</v>
      </c>
      <c r="D88" s="46">
        <f>-ROUND(SUMIF('Trial Balance'!N:N,F88,'Trial Balance'!H:H),0)</f>
        <v/>
      </c>
      <c r="E88" s="46">
        <f>-ROUND(SUMIF('Trial Balance'!N:N,F88,'Trial Balance'!K:K),0)+G88</f>
        <v/>
      </c>
      <c r="F88">
        <f>"BS"&amp;C88</f>
        <v/>
      </c>
      <c r="I88" s="9">
        <f>SUMIF('Trial Balance'!N:N,F88,'Trial Balance'!H:H)</f>
        <v/>
      </c>
      <c r="J88" s="9">
        <f>SUMIF('Trial Balance'!N:N,F88,'Trial Balance'!K:K)</f>
        <v/>
      </c>
      <c r="M88" s="265" t="n"/>
      <c r="N88" s="265" t="n"/>
      <c r="O88">
        <f>D88-M88</f>
        <v/>
      </c>
      <c r="P88">
        <f>E88-N88</f>
        <v/>
      </c>
      <c r="AX88" t="s">
        <v>667</v>
      </c>
      <c r="AY88" t="s">
        <v>668</v>
      </c>
    </row>
    <row r="89" spans="1:51" ht="14.5" customHeight="1">
      <c r="A89" s="45" t="s">
        <v>669</v>
      </c>
      <c r="B89" s="45" t="n">
        <v>67</v>
      </c>
      <c r="C89" s="45" t="n">
        <v>66</v>
      </c>
      <c r="D89" s="46">
        <f>-ROUND(SUMIF('Trial Balance'!N:N,F89,'Trial Balance'!H:H),0)</f>
        <v/>
      </c>
      <c r="E89" s="46">
        <f>-ROUND(SUMIF('Trial Balance'!N:N,F89,'Trial Balance'!K:K),0)+G89</f>
        <v/>
      </c>
      <c r="F89">
        <f>"BS"&amp;C89</f>
        <v/>
      </c>
      <c r="I89" s="9">
        <f>SUMIF('Trial Balance'!N:N,F89,'Trial Balance'!H:H)</f>
        <v/>
      </c>
      <c r="J89" s="9">
        <f>SUMIF('Trial Balance'!N:N,F89,'Trial Balance'!K:K)</f>
        <v/>
      </c>
      <c r="M89" s="265" t="n"/>
      <c r="N89" s="265" t="n"/>
      <c r="O89">
        <f>D89-M89</f>
        <v/>
      </c>
      <c r="P89">
        <f>E89-N89</f>
        <v/>
      </c>
      <c r="AX89" t="s">
        <v>670</v>
      </c>
      <c r="AY89" t="s">
        <v>671</v>
      </c>
    </row>
    <row r="90" spans="1:51" ht="14.5" customHeight="1">
      <c r="A90" s="45" t="s">
        <v>672</v>
      </c>
      <c r="B90" s="45" t="n">
        <v>68</v>
      </c>
      <c r="C90" s="45" t="n">
        <v>67</v>
      </c>
      <c r="D90" s="46">
        <f>-ROUND(SUMIF('Trial Balance'!N:N,F90,'Trial Balance'!H:H),0)</f>
        <v/>
      </c>
      <c r="E90" s="46">
        <f>-ROUND(SUMIF('Trial Balance'!N:N,F90,'Trial Balance'!K:K),0)+G90</f>
        <v/>
      </c>
      <c r="F90">
        <f>"BS"&amp;C90</f>
        <v/>
      </c>
      <c r="I90" s="9">
        <f>SUMIF('Trial Balance'!N:N,F90,'Trial Balance'!H:H)</f>
        <v/>
      </c>
      <c r="J90" s="9">
        <f>SUMIF('Trial Balance'!N:N,F90,'Trial Balance'!K:K)</f>
        <v/>
      </c>
      <c r="M90" s="265" t="n">
        <v>446540</v>
      </c>
      <c r="N90" s="265" t="n">
        <v>531439</v>
      </c>
      <c r="O90">
        <f>D90-M90</f>
        <v/>
      </c>
      <c r="P90">
        <f>E90-N90</f>
        <v/>
      </c>
      <c r="AX90" t="s">
        <v>673</v>
      </c>
      <c r="AY90" t="s">
        <v>674</v>
      </c>
    </row>
    <row r="91" spans="1:51" ht="14.5" customHeight="1">
      <c r="A91" s="47" t="s">
        <v>675</v>
      </c>
      <c r="B91" s="47" t="n">
        <v>69</v>
      </c>
      <c r="C91" s="47" t="n">
        <v>68</v>
      </c>
      <c r="D91" s="48">
        <f>SUM(D88:D90)</f>
        <v/>
      </c>
      <c r="E91" s="48">
        <f>SUM(E88:E90)</f>
        <v/>
      </c>
      <c r="F91">
        <f>"BS"&amp;C91</f>
        <v/>
      </c>
      <c r="L91" t="s">
        <v>676</v>
      </c>
      <c r="M91" s="265" t="n">
        <v>446540</v>
      </c>
      <c r="N91" s="265" t="n">
        <v>531439</v>
      </c>
      <c r="O91">
        <f>D91-M91</f>
        <v/>
      </c>
      <c r="P91">
        <f>E91-N91</f>
        <v/>
      </c>
      <c r="AX91" t="s">
        <v>677</v>
      </c>
      <c r="AY91" t="s">
        <v>678</v>
      </c>
    </row>
    <row r="92" spans="1:51" ht="14.5" customHeight="1">
      <c r="A92" s="44" t="s">
        <v>679</v>
      </c>
      <c r="B92" s="45" t="n"/>
      <c r="C92" s="45" t="n"/>
      <c r="D92" s="46" t="n"/>
      <c r="E92" s="46" t="n"/>
      <c r="M92" s="265" t="n"/>
      <c r="N92" s="265" t="n"/>
      <c r="O92">
        <f>D92-M92</f>
        <v/>
      </c>
      <c r="P92">
        <f>E92-N92</f>
        <v/>
      </c>
    </row>
    <row r="93" spans="1:51" ht="14.5" customHeight="1">
      <c r="A93" s="47" t="s">
        <v>680</v>
      </c>
      <c r="B93" s="47" t="n">
        <v>70</v>
      </c>
      <c r="C93" s="47" t="n">
        <v>69</v>
      </c>
      <c r="D93" s="48">
        <f>D94+D95</f>
        <v/>
      </c>
      <c r="E93" s="48">
        <f>E94+E95</f>
        <v/>
      </c>
      <c r="F93">
        <f>"BS"&amp;C93</f>
        <v/>
      </c>
      <c r="M93" s="265" t="n"/>
      <c r="N93" s="265" t="n"/>
      <c r="O93">
        <f>D93-M93</f>
        <v/>
      </c>
      <c r="P93">
        <f>E93-N93</f>
        <v/>
      </c>
      <c r="AX93" t="s">
        <v>681</v>
      </c>
      <c r="AY93" t="s">
        <v>682</v>
      </c>
    </row>
    <row r="94" spans="1:51" ht="14.5" customHeight="1">
      <c r="A94" s="45" t="s">
        <v>683</v>
      </c>
      <c r="B94" s="45" t="n">
        <v>71</v>
      </c>
      <c r="C94" s="45" t="n">
        <v>70</v>
      </c>
      <c r="D94" s="46">
        <f>-ROUND(SUMIF('Trial Balance'!N:N,F94,'Trial Balance'!H:H),0)</f>
        <v/>
      </c>
      <c r="E94" s="46">
        <f>-ROUND(SUMIF('Trial Balance'!N:N,F94,'Trial Balance'!K:K),0)+G94</f>
        <v/>
      </c>
      <c r="F94">
        <f>"BS"&amp;C94</f>
        <v/>
      </c>
      <c r="I94" s="9">
        <f>SUMIF('Trial Balance'!N:N,F94,'Trial Balance'!H:H)</f>
        <v/>
      </c>
      <c r="J94" s="9">
        <f>SUMIF('Trial Balance'!N:N,F94,'Trial Balance'!K:K)</f>
        <v/>
      </c>
      <c r="M94" s="265" t="n"/>
      <c r="N94" s="265" t="n"/>
      <c r="O94">
        <f>D94-M94</f>
        <v/>
      </c>
      <c r="P94">
        <f>E94-N94</f>
        <v/>
      </c>
      <c r="AX94" t="s">
        <v>684</v>
      </c>
      <c r="AY94" t="s">
        <v>685</v>
      </c>
    </row>
    <row r="95" spans="1:51" ht="14.5" customHeight="1">
      <c r="A95" s="45" t="s">
        <v>686</v>
      </c>
      <c r="B95" s="45" t="n">
        <v>72</v>
      </c>
      <c r="C95" s="45" t="n">
        <v>71</v>
      </c>
      <c r="D95" s="46">
        <f>-ROUND(SUMIF('Trial Balance'!N:N,F95,'Trial Balance'!H:H),0)</f>
        <v/>
      </c>
      <c r="E95" s="46">
        <f>-ROUND(SUMIF('Trial Balance'!N:N,F95,'Trial Balance'!K:K),0)+G95</f>
        <v/>
      </c>
      <c r="F95">
        <f>"BS"&amp;C95</f>
        <v/>
      </c>
      <c r="I95" s="9">
        <f>SUMIF('Trial Balance'!N:N,F95,'Trial Balance'!H:H)</f>
        <v/>
      </c>
      <c r="J95" s="9">
        <f>SUMIF('Trial Balance'!N:N,F95,'Trial Balance'!K:K)</f>
        <v/>
      </c>
      <c r="M95" s="265" t="n"/>
      <c r="N95" s="265" t="n"/>
      <c r="O95">
        <f>D95-M95</f>
        <v/>
      </c>
      <c r="P95">
        <f>E95-N95</f>
        <v/>
      </c>
      <c r="AX95" t="s">
        <v>687</v>
      </c>
      <c r="AY95" t="s">
        <v>688</v>
      </c>
    </row>
    <row r="96" spans="1:51" ht="14.5" customHeight="1">
      <c r="A96" s="47" t="s">
        <v>689</v>
      </c>
      <c r="B96" s="47" t="n">
        <v>73</v>
      </c>
      <c r="C96" s="47" t="n">
        <v>72</v>
      </c>
      <c r="D96" s="48">
        <f>D97+D98</f>
        <v/>
      </c>
      <c r="E96" s="48">
        <f>E97+E98</f>
        <v/>
      </c>
      <c r="F96">
        <f>"BS"&amp;C96</f>
        <v/>
      </c>
      <c r="M96" s="265" t="n"/>
      <c r="N96" s="265" t="n"/>
      <c r="O96">
        <f>D96-M96</f>
        <v/>
      </c>
      <c r="P96">
        <f>E96-N96</f>
        <v/>
      </c>
      <c r="AX96" t="s">
        <v>690</v>
      </c>
      <c r="AY96" t="s">
        <v>691</v>
      </c>
    </row>
    <row r="97" spans="1:51" ht="14.5" customHeight="1">
      <c r="A97" s="45" t="s">
        <v>692</v>
      </c>
      <c r="B97" s="45" t="n">
        <v>74</v>
      </c>
      <c r="C97" s="45" t="n">
        <v>73</v>
      </c>
      <c r="D97" s="46">
        <f>-ROUND(SUMIF('Trial Balance'!N:N,F97,'Trial Balance'!H:H),0)</f>
        <v/>
      </c>
      <c r="E97" s="46">
        <f>-ROUND(SUMIF('Trial Balance'!N:N,F97,'Trial Balance'!K:K),0)+G97</f>
        <v/>
      </c>
      <c r="F97">
        <f>"BS"&amp;C97</f>
        <v/>
      </c>
      <c r="I97" s="9">
        <f>SUMIF('Trial Balance'!N:N,F97,'Trial Balance'!H:H)</f>
        <v/>
      </c>
      <c r="J97" s="9">
        <f>SUMIF('Trial Balance'!N:N,F97,'Trial Balance'!K:K)</f>
        <v/>
      </c>
      <c r="M97" s="265" t="n"/>
      <c r="N97" s="265" t="n"/>
      <c r="O97">
        <f>D97-M97</f>
        <v/>
      </c>
      <c r="P97">
        <f>E97-N97</f>
        <v/>
      </c>
      <c r="AX97" t="s">
        <v>693</v>
      </c>
      <c r="AY97" t="s">
        <v>694</v>
      </c>
    </row>
    <row r="98" spans="1:51" ht="14.5" customHeight="1">
      <c r="A98" s="45" t="s">
        <v>695</v>
      </c>
      <c r="B98" s="45" t="n">
        <v>75</v>
      </c>
      <c r="C98" s="45" t="n">
        <v>74</v>
      </c>
      <c r="D98" s="46">
        <f>-ROUND(SUMIF('Trial Balance'!N:N,F98,'Trial Balance'!H:H),0)</f>
        <v/>
      </c>
      <c r="E98" s="46">
        <f>-ROUND(SUMIF('Trial Balance'!N:N,F98,'Trial Balance'!K:K),0)+G98</f>
        <v/>
      </c>
      <c r="F98">
        <f>"BS"&amp;C98</f>
        <v/>
      </c>
      <c r="I98" s="9">
        <f>SUMIF('Trial Balance'!N:N,F98,'Trial Balance'!H:H)</f>
        <v/>
      </c>
      <c r="J98" s="9">
        <f>SUMIF('Trial Balance'!N:N,F98,'Trial Balance'!K:K)</f>
        <v/>
      </c>
      <c r="M98" s="265" t="n"/>
      <c r="N98" s="265" t="n"/>
      <c r="O98">
        <f>D98-M98</f>
        <v/>
      </c>
      <c r="P98">
        <f>E98-N98</f>
        <v/>
      </c>
      <c r="AX98" t="s">
        <v>696</v>
      </c>
      <c r="AY98" t="s">
        <v>697</v>
      </c>
    </row>
    <row r="99" spans="1:51" ht="14.5" customHeight="1">
      <c r="A99" s="47" t="s">
        <v>698</v>
      </c>
      <c r="B99" s="47" t="n">
        <v>76</v>
      </c>
      <c r="C99" s="47" t="n">
        <v>75</v>
      </c>
      <c r="D99" s="48">
        <f>D100+D101</f>
        <v/>
      </c>
      <c r="E99" s="48">
        <f>E100+E101</f>
        <v/>
      </c>
      <c r="F99">
        <f>"BS"&amp;C99</f>
        <v/>
      </c>
      <c r="M99" s="265" t="n"/>
      <c r="N99" s="265" t="n"/>
      <c r="O99">
        <f>D99-M99</f>
        <v/>
      </c>
      <c r="P99">
        <f>E99-N99</f>
        <v/>
      </c>
      <c r="AX99" t="s">
        <v>699</v>
      </c>
      <c r="AY99" t="s">
        <v>700</v>
      </c>
    </row>
    <row r="100" spans="1:51" ht="14.5" customHeight="1">
      <c r="A100" s="45" t="s">
        <v>701</v>
      </c>
      <c r="B100" s="45" t="n">
        <v>77</v>
      </c>
      <c r="C100" s="45" t="n">
        <v>76</v>
      </c>
      <c r="D100" s="46">
        <f>-ROUND(SUMIF('Trial Balance'!N:N,F100,'Trial Balance'!H:H),0)</f>
        <v/>
      </c>
      <c r="E100" s="46">
        <f>-ROUND(SUMIF('Trial Balance'!N:N,F100,'Trial Balance'!K:K),0)+G100</f>
        <v/>
      </c>
      <c r="F100">
        <f>"BS"&amp;C100</f>
        <v/>
      </c>
      <c r="I100" s="9">
        <f>SUMIF('Trial Balance'!N:N,F100,'Trial Balance'!H:H)</f>
        <v/>
      </c>
      <c r="J100" s="9">
        <f>SUMIF('Trial Balance'!N:N,F100,'Trial Balance'!K:K)</f>
        <v/>
      </c>
      <c r="M100" s="265" t="n"/>
      <c r="N100" s="265" t="n"/>
      <c r="O100">
        <f>D100-M100</f>
        <v/>
      </c>
      <c r="P100">
        <f>E100-N100</f>
        <v/>
      </c>
      <c r="AX100" t="s">
        <v>702</v>
      </c>
      <c r="AY100" t="s">
        <v>703</v>
      </c>
    </row>
    <row r="101" spans="1:51" ht="14.5" customHeight="1">
      <c r="A101" s="45" t="s">
        <v>704</v>
      </c>
      <c r="B101" s="45" t="n">
        <v>78</v>
      </c>
      <c r="C101" s="45" t="n">
        <v>77</v>
      </c>
      <c r="D101" s="46">
        <f>-ROUND(SUMIF('Trial Balance'!N:N,F101,'Trial Balance'!H:H),0)</f>
        <v/>
      </c>
      <c r="E101" s="46">
        <f>-ROUND(SUMIF('Trial Balance'!N:N,F101,'Trial Balance'!K:K),0)+G101</f>
        <v/>
      </c>
      <c r="F101">
        <f>"BS"&amp;C101</f>
        <v/>
      </c>
      <c r="I101" s="9">
        <f>SUMIF('Trial Balance'!N:N,F101,'Trial Balance'!H:H)</f>
        <v/>
      </c>
      <c r="J101" s="9">
        <f>SUMIF('Trial Balance'!N:N,F101,'Trial Balance'!K:K)</f>
        <v/>
      </c>
      <c r="M101" s="265" t="n"/>
      <c r="N101" s="265" t="n"/>
      <c r="O101">
        <f>D101-M101</f>
        <v/>
      </c>
      <c r="P101">
        <f>E101-N101</f>
        <v/>
      </c>
      <c r="AX101" t="s">
        <v>705</v>
      </c>
      <c r="AY101" t="s">
        <v>706</v>
      </c>
    </row>
    <row r="102" spans="1:51" ht="14.5" customHeight="1">
      <c r="A102" s="45" t="s">
        <v>707</v>
      </c>
      <c r="B102" s="45" t="n">
        <v>79</v>
      </c>
      <c r="C102" s="45" t="n">
        <v>78</v>
      </c>
      <c r="D102" s="46">
        <f>-ROUND(SUMIF('Trial Balance'!N:N,F102,'Trial Balance'!H:H),0)</f>
        <v/>
      </c>
      <c r="E102" s="46">
        <f>-ROUND(SUMIF('Trial Balance'!N:N,F102,'Trial Balance'!K:K),0)+G102</f>
        <v/>
      </c>
      <c r="F102">
        <f>"BS"&amp;C102</f>
        <v/>
      </c>
      <c r="I102" s="9">
        <f>SUMIF('Trial Balance'!N:N,F102,'Trial Balance'!H:H)</f>
        <v/>
      </c>
      <c r="J102" s="9">
        <f>SUMIF('Trial Balance'!N:N,F102,'Trial Balance'!K:K)</f>
        <v/>
      </c>
      <c r="M102" s="265" t="n"/>
      <c r="N102" s="265" t="n"/>
      <c r="O102">
        <f>D102-M102</f>
        <v/>
      </c>
      <c r="P102">
        <f>E102-N102</f>
        <v/>
      </c>
      <c r="AX102" t="s">
        <v>708</v>
      </c>
      <c r="AY102" t="s">
        <v>709</v>
      </c>
    </row>
    <row r="103" spans="1:51" ht="14.5" customHeight="1">
      <c r="A103" s="47" t="s">
        <v>710</v>
      </c>
      <c r="B103" s="47" t="n">
        <v>80</v>
      </c>
      <c r="C103" s="47" t="n">
        <v>79</v>
      </c>
      <c r="D103" s="48">
        <f>D93+D96+D99+D102</f>
        <v/>
      </c>
      <c r="E103" s="48">
        <f>E93+E96+E99+E102</f>
        <v/>
      </c>
      <c r="F103">
        <f>"BS"&amp;C103</f>
        <v/>
      </c>
      <c r="L103" t="s">
        <v>711</v>
      </c>
      <c r="M103" s="265" t="n"/>
      <c r="N103" s="265" t="n"/>
      <c r="O103">
        <f>D103-M103</f>
        <v/>
      </c>
      <c r="P103">
        <f>E103-N103</f>
        <v/>
      </c>
      <c r="AX103" t="s">
        <v>712</v>
      </c>
      <c r="AY103" t="s">
        <v>713</v>
      </c>
    </row>
    <row r="104" spans="1:51" ht="14.5" customHeight="1">
      <c r="A104" s="44" t="s">
        <v>714</v>
      </c>
      <c r="B104" s="45" t="n"/>
      <c r="C104" s="45" t="n"/>
      <c r="D104" s="46" t="n"/>
      <c r="E104" s="46" t="n"/>
      <c r="M104" s="265" t="n"/>
      <c r="N104" s="265" t="n"/>
      <c r="O104">
        <f>D104-M104</f>
        <v/>
      </c>
      <c r="P104">
        <f>E104-N104</f>
        <v/>
      </c>
    </row>
    <row r="105" spans="1:51" ht="14.5" customHeight="1">
      <c r="A105" s="44" t="s">
        <v>715</v>
      </c>
      <c r="B105" s="45" t="n"/>
      <c r="C105" s="45" t="n"/>
      <c r="D105" s="46" t="n"/>
      <c r="E105" s="46" t="n"/>
      <c r="M105" s="265" t="n"/>
      <c r="N105" s="265" t="n"/>
      <c r="O105">
        <f>D105-M105</f>
        <v/>
      </c>
      <c r="P105">
        <f>E105-N105</f>
        <v/>
      </c>
    </row>
    <row r="106" spans="1:51" ht="14.5" customHeight="1">
      <c r="A106" s="45" t="s">
        <v>716</v>
      </c>
      <c r="B106" s="45" t="n">
        <v>81</v>
      </c>
      <c r="C106" s="45" t="n">
        <v>80</v>
      </c>
      <c r="D106" s="46">
        <f>-ROUND(SUMIF('Trial Balance'!N:N,F106,'Trial Balance'!H:H),0)</f>
        <v/>
      </c>
      <c r="E106" s="46">
        <f>-ROUND(SUMIF('Trial Balance'!N:N,F106,'Trial Balance'!K:K),0)+G106</f>
        <v/>
      </c>
      <c r="F106">
        <f>"BS"&amp;C106</f>
        <v/>
      </c>
      <c r="I106" s="9">
        <f>SUMIF('Trial Balance'!N:N,F106,'Trial Balance'!H:H)</f>
        <v/>
      </c>
      <c r="J106" s="9">
        <f>SUMIF('Trial Balance'!N:N,F106,'Trial Balance'!K:K)</f>
        <v/>
      </c>
      <c r="M106" s="265" t="n">
        <v>35710940</v>
      </c>
      <c r="N106" s="265" t="n">
        <v>35710940</v>
      </c>
      <c r="O106">
        <f>D106-M106</f>
        <v/>
      </c>
      <c r="P106">
        <f>E106-N106</f>
        <v/>
      </c>
      <c r="AX106" t="s">
        <v>717</v>
      </c>
      <c r="AY106" t="s">
        <v>718</v>
      </c>
    </row>
    <row r="107" spans="1:51" ht="14.5" customHeight="1">
      <c r="A107" s="45" t="s">
        <v>719</v>
      </c>
      <c r="B107" s="45" t="n">
        <v>82</v>
      </c>
      <c r="C107" s="45" t="n">
        <v>81</v>
      </c>
      <c r="D107" s="46">
        <f>-ROUND(SUMIF('Trial Balance'!N:N,F107,'Trial Balance'!H:H),0)</f>
        <v/>
      </c>
      <c r="E107" s="46">
        <f>-ROUND(SUMIF('Trial Balance'!N:N,F107,'Trial Balance'!K:K),0)+G107</f>
        <v/>
      </c>
      <c r="F107">
        <f>"BS"&amp;C107</f>
        <v/>
      </c>
      <c r="I107" s="9">
        <f>SUMIF('Trial Balance'!N:N,F107,'Trial Balance'!H:H)</f>
        <v/>
      </c>
      <c r="J107" s="9">
        <f>SUMIF('Trial Balance'!N:N,F107,'Trial Balance'!K:K)</f>
        <v/>
      </c>
      <c r="M107" s="265" t="n"/>
      <c r="N107" s="265" t="n"/>
      <c r="O107">
        <f>D107-M107</f>
        <v/>
      </c>
      <c r="P107">
        <f>E107-N107</f>
        <v/>
      </c>
      <c r="AX107" t="s">
        <v>720</v>
      </c>
      <c r="AY107" t="s">
        <v>721</v>
      </c>
    </row>
    <row r="108" spans="1:51" ht="14.5" customHeight="1">
      <c r="A108" s="45" t="s">
        <v>722</v>
      </c>
      <c r="B108" s="45" t="n">
        <v>83</v>
      </c>
      <c r="C108" s="45" t="n">
        <v>82</v>
      </c>
      <c r="D108" s="46">
        <f>-ROUND(SUMIF('Trial Balance'!N:N,F108,'Trial Balance'!H:H),0)</f>
        <v/>
      </c>
      <c r="E108" s="46">
        <f>-ROUND(SUMIF('Trial Balance'!N:N,F108,'Trial Balance'!K:K),0)+G108</f>
        <v/>
      </c>
      <c r="F108">
        <f>"BS"&amp;C108</f>
        <v/>
      </c>
      <c r="I108" s="9">
        <f>SUMIF('Trial Balance'!N:N,F108,'Trial Balance'!H:H)</f>
        <v/>
      </c>
      <c r="J108" s="9">
        <f>SUMIF('Trial Balance'!N:N,F108,'Trial Balance'!K:K)</f>
        <v/>
      </c>
      <c r="M108" s="265" t="n"/>
      <c r="N108" s="265" t="n"/>
      <c r="O108">
        <f>D108-M108</f>
        <v/>
      </c>
      <c r="P108">
        <f>E108-N108</f>
        <v/>
      </c>
      <c r="AX108" t="s">
        <v>723</v>
      </c>
      <c r="AY108" t="s">
        <v>724</v>
      </c>
    </row>
    <row r="109" spans="1:51" ht="14.5" customHeight="1">
      <c r="A109" s="45" t="s">
        <v>725</v>
      </c>
      <c r="B109" s="45" t="n">
        <v>84</v>
      </c>
      <c r="C109" s="45" t="n">
        <v>83</v>
      </c>
      <c r="D109" s="46">
        <f>-ROUND(SUMIF('Trial Balance'!N:N,F109,'Trial Balance'!H:H),0)</f>
        <v/>
      </c>
      <c r="E109" s="46">
        <f>-ROUND(SUMIF('Trial Balance'!N:N,F109,'Trial Balance'!K:K),0)+G109</f>
        <v/>
      </c>
      <c r="F109">
        <f>"BS"&amp;C109</f>
        <v/>
      </c>
      <c r="I109" s="9">
        <f>SUMIF('Trial Balance'!N:N,F109,'Trial Balance'!H:H)</f>
        <v/>
      </c>
      <c r="J109" s="9">
        <f>SUMIF('Trial Balance'!N:N,F109,'Trial Balance'!K:K)</f>
        <v/>
      </c>
      <c r="M109" s="265" t="n"/>
      <c r="N109" s="265" t="n"/>
      <c r="O109">
        <f>D109-M109</f>
        <v/>
      </c>
      <c r="P109">
        <f>E109-N109</f>
        <v/>
      </c>
      <c r="AX109" t="s">
        <v>726</v>
      </c>
      <c r="AY109" t="s">
        <v>727</v>
      </c>
    </row>
    <row r="110" spans="1:51" ht="14.5" customHeight="1">
      <c r="A110" s="45" t="s">
        <v>728</v>
      </c>
      <c r="B110" s="45" t="n">
        <v>85</v>
      </c>
      <c r="C110" s="45" t="n">
        <v>84</v>
      </c>
      <c r="D110" s="46">
        <f>-ROUND(SUMIF('Trial Balance'!N:N,F110,'Trial Balance'!H:H),0)</f>
        <v/>
      </c>
      <c r="E110" s="46">
        <f>-ROUND(SUMIF('Trial Balance'!N:N,F110,'Trial Balance'!K:K),0)+G110</f>
        <v/>
      </c>
      <c r="F110">
        <f>"BS"&amp;C110</f>
        <v/>
      </c>
      <c r="I110" s="9">
        <f>SUMIF('Trial Balance'!N:N,F110,'Trial Balance'!H:H)</f>
        <v/>
      </c>
      <c r="J110" s="9">
        <f>SUMIF('Trial Balance'!N:N,F110,'Trial Balance'!K:K)</f>
        <v/>
      </c>
      <c r="M110" s="265" t="n"/>
      <c r="N110" s="265" t="n"/>
      <c r="O110">
        <f>D110-M110</f>
        <v/>
      </c>
      <c r="P110">
        <f>E110-N110</f>
        <v/>
      </c>
      <c r="AX110" t="s">
        <v>729</v>
      </c>
      <c r="AY110" t="s">
        <v>730</v>
      </c>
    </row>
    <row r="111" spans="1:51" ht="14.5" customHeight="1">
      <c r="A111" s="47" t="s">
        <v>731</v>
      </c>
      <c r="B111" s="47" t="n">
        <v>86</v>
      </c>
      <c r="C111" s="47" t="n">
        <v>85</v>
      </c>
      <c r="D111" s="48">
        <f>SUM(D106:D110)</f>
        <v/>
      </c>
      <c r="E111" s="48">
        <f>SUM(E106:E110)</f>
        <v/>
      </c>
      <c r="F111">
        <f>"BS"&amp;C111</f>
        <v/>
      </c>
      <c r="L111" t="s">
        <v>715</v>
      </c>
      <c r="M111" s="265" t="n">
        <v>35710940</v>
      </c>
      <c r="N111" s="265" t="n">
        <v>35710940</v>
      </c>
      <c r="O111">
        <f>D111-M111</f>
        <v/>
      </c>
      <c r="P111">
        <f>E111-N111</f>
        <v/>
      </c>
      <c r="AX111" t="s">
        <v>732</v>
      </c>
      <c r="AY111" t="s">
        <v>733</v>
      </c>
    </row>
    <row r="112" spans="1:51" ht="14.5" customHeight="1">
      <c r="A112" s="44" t="s">
        <v>734</v>
      </c>
      <c r="B112" s="45" t="n">
        <v>87</v>
      </c>
      <c r="C112" s="45" t="n">
        <v>86</v>
      </c>
      <c r="D112" s="46">
        <f>-ROUND(SUMIF('Trial Balance'!N:N,F112,'Trial Balance'!H:H),0)</f>
        <v/>
      </c>
      <c r="E112" s="46">
        <f>-ROUND(SUMIF('Trial Balance'!N:N,F112,'Trial Balance'!K:K),0)+G112</f>
        <v/>
      </c>
      <c r="F112">
        <f>"BS"&amp;C112</f>
        <v/>
      </c>
      <c r="I112" s="9">
        <f>SUMIF('Trial Balance'!N:N,F112,'Trial Balance'!H:H)</f>
        <v/>
      </c>
      <c r="J112" s="9">
        <f>SUMIF('Trial Balance'!N:N,F112,'Trial Balance'!K:K)</f>
        <v/>
      </c>
      <c r="L112" t="s">
        <v>735</v>
      </c>
      <c r="M112" s="265" t="n"/>
      <c r="N112" s="265" t="n"/>
      <c r="O112">
        <f>D112-M112</f>
        <v/>
      </c>
      <c r="P112">
        <f>E112-N112</f>
        <v/>
      </c>
      <c r="AX112" t="s">
        <v>736</v>
      </c>
      <c r="AY112" t="s">
        <v>737</v>
      </c>
    </row>
    <row r="113" spans="1:51" ht="14.5" customHeight="1">
      <c r="A113" s="44" t="s">
        <v>738</v>
      </c>
      <c r="B113" s="45" t="n">
        <v>88</v>
      </c>
      <c r="C113" s="45" t="n">
        <v>87</v>
      </c>
      <c r="D113" s="46">
        <f>-ROUND(SUMIF('Trial Balance'!N:N,F113,'Trial Balance'!H:H),0)</f>
        <v/>
      </c>
      <c r="E113" s="46">
        <f>-ROUND(SUMIF('Trial Balance'!N:N,F113,'Trial Balance'!K:K),0)+G113</f>
        <v/>
      </c>
      <c r="F113">
        <f>"BS"&amp;C113</f>
        <v/>
      </c>
      <c r="I113" s="9">
        <f>SUMIF('Trial Balance'!N:N,F113,'Trial Balance'!H:H)</f>
        <v/>
      </c>
      <c r="J113" s="9">
        <f>SUMIF('Trial Balance'!N:N,F113,'Trial Balance'!K:K)</f>
        <v/>
      </c>
      <c r="L113" t="s">
        <v>739</v>
      </c>
      <c r="M113" s="265" t="n">
        <v>3538982</v>
      </c>
      <c r="N113" s="265" t="n">
        <v>3409511</v>
      </c>
      <c r="O113">
        <f>D113-M113</f>
        <v/>
      </c>
      <c r="P113">
        <f>E113-N113</f>
        <v/>
      </c>
      <c r="AX113" t="s">
        <v>740</v>
      </c>
      <c r="AY113" t="s">
        <v>741</v>
      </c>
    </row>
    <row r="114" spans="1:51" ht="14.5" customHeight="1">
      <c r="A114" s="44" t="s">
        <v>742</v>
      </c>
      <c r="B114" s="45" t="n"/>
      <c r="C114" s="45" t="n"/>
      <c r="D114" s="46">
        <f>-ROUND(SUMIF('Trial Balance'!N:N,F114,'Trial Balance'!H:H),0)</f>
        <v/>
      </c>
      <c r="E114" s="46" t="n"/>
      <c r="M114" s="265" t="n"/>
      <c r="N114" s="265" t="n"/>
      <c r="O114">
        <f>D114-M114</f>
        <v/>
      </c>
      <c r="P114">
        <f>E114-N114</f>
        <v/>
      </c>
    </row>
    <row r="115" spans="1:51" ht="14.5" customHeight="1">
      <c r="A115" s="45" t="s">
        <v>743</v>
      </c>
      <c r="B115" s="45" t="n">
        <v>89</v>
      </c>
      <c r="C115" s="45" t="n">
        <v>88</v>
      </c>
      <c r="D115" s="46">
        <f>-ROUND(SUMIF('Trial Balance'!N:N,F115,'Trial Balance'!H:H),0)</f>
        <v/>
      </c>
      <c r="E115" s="46">
        <f>-ROUND(SUMIF('Trial Balance'!N:N,F115,'Trial Balance'!K:K),0)+G115</f>
        <v/>
      </c>
      <c r="F115">
        <f>"BS"&amp;C115</f>
        <v/>
      </c>
      <c r="I115" s="9">
        <f>SUMIF('Trial Balance'!N:N,F115,'Trial Balance'!H:H)</f>
        <v/>
      </c>
      <c r="J115" s="9">
        <f>SUMIF('Trial Balance'!N:N,F115,'Trial Balance'!K:K)</f>
        <v/>
      </c>
      <c r="M115" s="265" t="n">
        <v>593350</v>
      </c>
      <c r="N115" s="265" t="n">
        <v>653232</v>
      </c>
      <c r="O115">
        <f>D115-M115</f>
        <v/>
      </c>
      <c r="P115">
        <f>E115-N115</f>
        <v/>
      </c>
      <c r="AX115" t="s">
        <v>744</v>
      </c>
      <c r="AY115" t="s">
        <v>745</v>
      </c>
    </row>
    <row r="116" spans="1:51" ht="14.5" customHeight="1">
      <c r="A116" s="45" t="s">
        <v>746</v>
      </c>
      <c r="B116" s="45" t="n">
        <v>90</v>
      </c>
      <c r="C116" s="45" t="n">
        <v>89</v>
      </c>
      <c r="D116" s="46">
        <f>-ROUND(SUMIF('Trial Balance'!N:N,F116,'Trial Balance'!H:H),0)</f>
        <v/>
      </c>
      <c r="E116" s="46">
        <f>-ROUND(SUMIF('Trial Balance'!N:N,F116,'Trial Balance'!K:K),0)+G116</f>
        <v/>
      </c>
      <c r="F116">
        <f>"BS"&amp;C116</f>
        <v/>
      </c>
      <c r="I116" s="9">
        <f>SUMIF('Trial Balance'!N:N,F116,'Trial Balance'!H:H)</f>
        <v/>
      </c>
      <c r="J116" s="9">
        <f>SUMIF('Trial Balance'!N:N,F116,'Trial Balance'!K:K)</f>
        <v/>
      </c>
      <c r="M116" s="265" t="n"/>
      <c r="N116" s="265" t="n"/>
      <c r="O116">
        <f>D116-M116</f>
        <v/>
      </c>
      <c r="P116">
        <f>E116-N116</f>
        <v/>
      </c>
      <c r="AX116" t="s">
        <v>747</v>
      </c>
      <c r="AY116" t="s">
        <v>748</v>
      </c>
    </row>
    <row r="117" spans="1:51" ht="14.5" customHeight="1">
      <c r="A117" s="45" t="s">
        <v>749</v>
      </c>
      <c r="B117" s="45" t="n">
        <v>91</v>
      </c>
      <c r="C117" s="45" t="n">
        <v>90</v>
      </c>
      <c r="D117" s="46">
        <f>-ROUND(SUMIF('Trial Balance'!N:N,F117,'Trial Balance'!H:H),0)</f>
        <v/>
      </c>
      <c r="E117" s="46">
        <f>-ROUND(SUMIF('Trial Balance'!N:N,F117,'Trial Balance'!K:K),0)+G117</f>
        <v/>
      </c>
      <c r="F117">
        <f>"BS"&amp;C117</f>
        <v/>
      </c>
      <c r="I117" s="9">
        <f>SUMIF('Trial Balance'!N:N,F117,'Trial Balance'!H:H)</f>
        <v/>
      </c>
      <c r="J117" s="9">
        <f>SUMIF('Trial Balance'!N:N,F117,'Trial Balance'!K:K)</f>
        <v/>
      </c>
      <c r="M117" s="265" t="n">
        <v>2935840</v>
      </c>
      <c r="N117" s="265" t="n">
        <v>2935840</v>
      </c>
      <c r="O117">
        <f>D117-M117</f>
        <v/>
      </c>
      <c r="P117">
        <f>E117-N117</f>
        <v/>
      </c>
      <c r="AX117" t="s">
        <v>750</v>
      </c>
      <c r="AY117" t="s">
        <v>751</v>
      </c>
    </row>
    <row r="118" spans="1:51" ht="14.5" customHeight="1">
      <c r="A118" s="47" t="s">
        <v>752</v>
      </c>
      <c r="B118" s="47" t="n">
        <v>92</v>
      </c>
      <c r="C118" s="47" t="n">
        <v>91</v>
      </c>
      <c r="D118" s="48">
        <f>SUM(D115:D117)</f>
        <v/>
      </c>
      <c r="E118" s="48">
        <f>SUM(E115:E117)</f>
        <v/>
      </c>
      <c r="F118">
        <f>"BS"&amp;C118</f>
        <v/>
      </c>
      <c r="L118" t="s">
        <v>742</v>
      </c>
      <c r="M118" s="265" t="n">
        <v>3529190</v>
      </c>
      <c r="N118" s="265" t="n">
        <v>3589072</v>
      </c>
      <c r="O118">
        <f>D118-M118</f>
        <v/>
      </c>
      <c r="P118">
        <f>E118-N118</f>
        <v/>
      </c>
      <c r="AX118" t="s">
        <v>753</v>
      </c>
      <c r="AY118" t="s">
        <v>754</v>
      </c>
    </row>
    <row r="119" spans="1:51" ht="14.5" customHeight="1">
      <c r="A119" s="45" t="s">
        <v>755</v>
      </c>
      <c r="B119" s="45" t="n">
        <v>93</v>
      </c>
      <c r="C119" s="45" t="n">
        <v>92</v>
      </c>
      <c r="D119" s="46">
        <f>-ROUND(SUMIF('Trial Balance'!N:N,F119,'Trial Balance'!H:H),0)</f>
        <v/>
      </c>
      <c r="E119" s="46">
        <f>-ROUND(SUMIF('Trial Balance'!N:N,F119,'Trial Balance'!K:K),0)+G119</f>
        <v/>
      </c>
      <c r="F119">
        <f>"BS"&amp;C119</f>
        <v/>
      </c>
      <c r="I119" s="9">
        <f>SUMIF('Trial Balance'!N:N,F119,'Trial Balance'!H:H)</f>
        <v/>
      </c>
      <c r="J119" s="9">
        <f>SUMIF('Trial Balance'!N:N,F119,'Trial Balance'!K:K)</f>
        <v/>
      </c>
      <c r="M119" s="265" t="n"/>
      <c r="N119" s="265" t="n"/>
      <c r="O119">
        <f>D119-M119</f>
        <v/>
      </c>
      <c r="P119">
        <f>E119-N119</f>
        <v/>
      </c>
      <c r="AX119" t="s">
        <v>756</v>
      </c>
      <c r="AY119" t="s">
        <v>757</v>
      </c>
    </row>
    <row r="120" spans="1:51" ht="14.5" customHeight="1">
      <c r="A120" s="45" t="s">
        <v>758</v>
      </c>
      <c r="B120" s="45" t="n">
        <v>94</v>
      </c>
      <c r="C120" s="45" t="n">
        <v>93</v>
      </c>
      <c r="D120" s="46">
        <f>-ROUND(SUMIF('Trial Balance'!N:N,F120,'Trial Balance'!H:H),0)</f>
        <v/>
      </c>
      <c r="E120" s="46">
        <f>-ROUND(SUMIF('Trial Balance'!N:N,F120,'Trial Balance'!K:K),0)+G120</f>
        <v/>
      </c>
      <c r="F120">
        <f>"BS"&amp;C120</f>
        <v/>
      </c>
      <c r="I120" s="9">
        <f>SUMIF('Trial Balance'!N:N,F120,'Trial Balance'!H:H)</f>
        <v/>
      </c>
      <c r="J120" s="9">
        <f>SUMIF('Trial Balance'!N:N,F120,'Trial Balance'!K:K)</f>
        <v/>
      </c>
      <c r="M120" s="265" t="n"/>
      <c r="N120" s="265" t="n"/>
      <c r="O120">
        <f>D120-M120</f>
        <v/>
      </c>
      <c r="P120">
        <f>E120-N120</f>
        <v/>
      </c>
      <c r="AX120" t="s">
        <v>759</v>
      </c>
      <c r="AY120" t="s">
        <v>760</v>
      </c>
    </row>
    <row r="121" spans="1:51" ht="14.5" customHeight="1">
      <c r="A121" s="45" t="s">
        <v>761</v>
      </c>
      <c r="B121" s="45" t="n">
        <v>95</v>
      </c>
      <c r="C121" s="45" t="n">
        <v>94</v>
      </c>
      <c r="D121" s="46">
        <f>-ROUND(SUMIF('Trial Balance'!N:N,F121,'Trial Balance'!H:H),0)</f>
        <v/>
      </c>
      <c r="E121" s="46">
        <f>-ROUND(SUMIF('Trial Balance'!N:N,F121,'Trial Balance'!K:K),0)+G121</f>
        <v/>
      </c>
      <c r="F121">
        <f>"BS"&amp;C121</f>
        <v/>
      </c>
      <c r="I121" s="9">
        <f>SUMIF('Trial Balance'!N:N,F121,'Trial Balance'!H:H)</f>
        <v/>
      </c>
      <c r="J121" s="9">
        <f>SUMIF('Trial Balance'!N:N,F121,'Trial Balance'!K:K)</f>
        <v/>
      </c>
      <c r="M121" s="265" t="n"/>
      <c r="N121" s="265" t="n"/>
      <c r="O121">
        <f>D121-M121</f>
        <v/>
      </c>
      <c r="P121">
        <f>E121-N121</f>
        <v/>
      </c>
      <c r="AX121" t="s">
        <v>762</v>
      </c>
      <c r="AY121" t="s">
        <v>763</v>
      </c>
    </row>
    <row r="122" spans="1:51" ht="14.5" customHeight="1">
      <c r="A122" s="44" t="s">
        <v>764</v>
      </c>
      <c r="B122" s="45" t="n"/>
      <c r="C122" s="45" t="n"/>
      <c r="D122" s="46" t="n"/>
      <c r="E122" s="46" t="n"/>
      <c r="M122" s="265" t="n"/>
      <c r="N122" s="265" t="n"/>
      <c r="O122">
        <f>D122-M122</f>
        <v/>
      </c>
      <c r="P122">
        <f>E122-N122</f>
        <v/>
      </c>
    </row>
    <row r="123" spans="1:51" ht="14.5" customHeight="1">
      <c r="A123" s="45" t="s">
        <v>765</v>
      </c>
      <c r="B123" s="45" t="n">
        <v>96</v>
      </c>
      <c r="C123" s="45" t="n">
        <v>95</v>
      </c>
      <c r="D123" s="46">
        <f>ABS(ROUND(SUMIF('Trial Balance'!$S$3:$S$4,F123,'Trial Balance'!$R$3:$R$4),0))</f>
        <v/>
      </c>
      <c r="E123" s="46">
        <f>ABS(ROUND(SUMIF('Trial Balance'!Q3:Q4,F123,'Trial Balance'!P3:P4),0))+G123</f>
        <v/>
      </c>
      <c r="F123">
        <f>"BS"&amp;C123</f>
        <v/>
      </c>
      <c r="I123" s="9">
        <f>IF(SUMIF('Trial Balance'!D:D,"117",'Trial Balance'!H:H)&lt;0,SUMIF('Trial Balance'!D:D,"117",'Trial Balance'!H:H),0)</f>
        <v/>
      </c>
      <c r="J123" s="9">
        <f>IF(SUMIF('Trial Balance'!D:D,"117",'Trial Balance'!K:K)&lt;0,SUMIF('Trial Balance'!D:D,"117",'Trial Balance'!K:K),0)</f>
        <v/>
      </c>
      <c r="L123" t="s">
        <v>766</v>
      </c>
      <c r="M123" s="265" t="n">
        <v>0</v>
      </c>
      <c r="N123" s="265" t="n">
        <v>0</v>
      </c>
      <c r="O123">
        <f>D123-M123</f>
        <v/>
      </c>
      <c r="P123">
        <f>E123-N123</f>
        <v/>
      </c>
      <c r="AX123" t="s">
        <v>767</v>
      </c>
      <c r="AY123" t="s">
        <v>768</v>
      </c>
    </row>
    <row r="124" spans="1:51" ht="14.5" customHeight="1">
      <c r="A124" s="45" t="s">
        <v>769</v>
      </c>
      <c r="B124" s="45" t="n">
        <v>97</v>
      </c>
      <c r="C124" s="45" t="n">
        <v>96</v>
      </c>
      <c r="D124" s="46">
        <f>ABS(ROUND(SUMIF('Trial Balance'!$S$3:$S$4,F124,'Trial Balance'!$R$3:$R$4),0))</f>
        <v/>
      </c>
      <c r="E124" s="46">
        <f>ABS(ROUND(SUMIF('Trial Balance'!Q4:Q5,F124,'Trial Balance'!P4:P5),0))+G124</f>
        <v/>
      </c>
      <c r="F124">
        <f>"BS"&amp;C124</f>
        <v/>
      </c>
      <c r="I124" s="9">
        <f>IF(SUMIF('Trial Balance'!D:D,"117",'Trial Balance'!H:H)&gt;=0,SUMIF('Trial Balance'!D:D,"117",'Trial Balance'!H:H),0)</f>
        <v/>
      </c>
      <c r="J124" s="9">
        <f>IF(SUMIF('Trial Balance'!D:D,"117",'Trial Balance'!K:K)&gt;=0,SUMIF('Trial Balance'!D:D,"117",'Trial Balance'!K:K),0)</f>
        <v/>
      </c>
      <c r="M124" s="265" t="n">
        <v>5102607</v>
      </c>
      <c r="N124" s="265" t="n">
        <v>4820022</v>
      </c>
      <c r="O124">
        <f>D124-M124</f>
        <v/>
      </c>
      <c r="P124">
        <f>E124-N124</f>
        <v/>
      </c>
      <c r="AX124" t="s">
        <v>770</v>
      </c>
      <c r="AY124" t="s">
        <v>771</v>
      </c>
    </row>
    <row r="125" spans="1:51" ht="14.5" customHeight="1">
      <c r="A125" s="44" t="s">
        <v>772</v>
      </c>
      <c r="B125" s="45" t="n"/>
      <c r="C125" s="45" t="n"/>
      <c r="D125" s="46" t="n"/>
      <c r="E125" s="46" t="n"/>
      <c r="M125" s="265" t="n"/>
      <c r="N125" s="265" t="n"/>
      <c r="O125">
        <f>D125-M125</f>
        <v/>
      </c>
      <c r="P125">
        <f>E125-N125</f>
        <v/>
      </c>
    </row>
    <row r="126" spans="1:51" ht="14.5" customHeight="1">
      <c r="A126" s="45" t="s">
        <v>773</v>
      </c>
      <c r="B126" s="45" t="n">
        <v>98</v>
      </c>
      <c r="C126" s="45" t="n">
        <v>97</v>
      </c>
      <c r="D126" s="46">
        <f>ABS(ROUND(SUMIF('Trial Balance'!$S$3:$S$4,F126,'Trial Balance'!$R$3:$R$4),0))</f>
        <v/>
      </c>
      <c r="E126" s="46">
        <f>ABS(ROUND(SUMIF('Trial Balance'!$Q$3:$Q$4,F126,'Trial Balance'!$P$3:$P$4),0))+G126</f>
        <v/>
      </c>
      <c r="F126">
        <f>"BS"&amp;C126</f>
        <v/>
      </c>
      <c r="I126" s="9">
        <f>IF(SUMIF('Trial Balance'!D:D,"121",'Trial Balance'!H:H)&lt;0,SUMIF('Trial Balance'!D:D,"121",'Trial Balance'!H:H),0)</f>
        <v/>
      </c>
      <c r="J126" s="9">
        <f>IF(SUMIF('Trial Balance'!D:D,"121",'Trial Balance'!K:K)&lt;0,SUMIF('Trial Balance'!D:D,"121",'Trial Balance'!K:K),0)</f>
        <v/>
      </c>
      <c r="L126" t="s">
        <v>774</v>
      </c>
      <c r="M126" s="265" t="n">
        <v>161172</v>
      </c>
      <c r="N126" s="265" t="n">
        <v>1197635</v>
      </c>
      <c r="O126">
        <f>D126-M126</f>
        <v/>
      </c>
      <c r="P126">
        <f>E126-N126</f>
        <v/>
      </c>
      <c r="AX126" t="s">
        <v>775</v>
      </c>
      <c r="AY126" t="s">
        <v>776</v>
      </c>
    </row>
    <row r="127" spans="1:51" ht="14.5" customHeight="1">
      <c r="A127" s="45" t="s">
        <v>777</v>
      </c>
      <c r="B127" s="45" t="n">
        <v>99</v>
      </c>
      <c r="C127" s="45" t="n">
        <v>98</v>
      </c>
      <c r="D127" s="46">
        <f>ABS(ROUND(SUMIF('Trial Balance'!$S$3:$S$4,F127,'Trial Balance'!$R$3:$R$4),0))</f>
        <v/>
      </c>
      <c r="E127" s="46">
        <f>ABS(ROUND(SUMIF('Trial Balance'!$Q$3:$Q$4,F127,'Trial Balance'!$P$3:$P$4),0))+G127</f>
        <v/>
      </c>
      <c r="F127">
        <f>"BS"&amp;C127</f>
        <v/>
      </c>
      <c r="I127" s="9">
        <f>IF(SUMIF('Trial Balance'!D:D,"121",'Trial Balance'!H:H)&gt;=0,SUMIF('Trial Balance'!D:D,"121",'Trial Balance'!H:H),0)</f>
        <v/>
      </c>
      <c r="J127" s="9">
        <f>IF(SUMIF('Trial Balance'!D:D,"121",'Trial Balance'!K:K)&gt;=0,SUMIF('Trial Balance'!D:D,"121",'Trial Balance'!K:K),0)</f>
        <v/>
      </c>
      <c r="M127" s="265" t="n">
        <v>0</v>
      </c>
      <c r="N127" s="265" t="n">
        <v>0</v>
      </c>
      <c r="O127">
        <f>D127-M127</f>
        <v/>
      </c>
      <c r="P127">
        <f>E127-N127</f>
        <v/>
      </c>
      <c r="AX127" t="s">
        <v>778</v>
      </c>
      <c r="AY127" t="s">
        <v>779</v>
      </c>
    </row>
    <row r="128" spans="1:51" ht="14.5" customHeight="1">
      <c r="A128" s="45" t="s">
        <v>780</v>
      </c>
      <c r="B128" s="45" t="n">
        <v>100</v>
      </c>
      <c r="C128" s="45" t="n">
        <v>99</v>
      </c>
      <c r="D128" s="46">
        <f>ABS(ROUND(SUMIF('Trial Balance'!N:N,F128,'Trial Balance'!H:H),0))</f>
        <v/>
      </c>
      <c r="E128" s="46">
        <f>ABS(ROUND(SUMIF('Trial Balance'!N:N,F128,'Trial Balance'!K:K),0))+G128</f>
        <v/>
      </c>
      <c r="F128">
        <f>"BS"&amp;C128</f>
        <v/>
      </c>
      <c r="I128" s="9">
        <f>SUMIF('Trial Balance'!N:N,F128,'Trial Balance'!H:H)</f>
        <v/>
      </c>
      <c r="J128" s="9">
        <f>SUMIF('Trial Balance'!N:N,F128,'Trial Balance'!K:K)</f>
        <v/>
      </c>
      <c r="L128" t="s">
        <v>50</v>
      </c>
      <c r="M128" s="265" t="n">
        <v>8059</v>
      </c>
      <c r="N128" s="265" t="n">
        <v>59882</v>
      </c>
      <c r="O128">
        <f>D128-M128</f>
        <v/>
      </c>
      <c r="P128">
        <f>E128-N128</f>
        <v/>
      </c>
      <c r="AX128" t="s">
        <v>781</v>
      </c>
      <c r="AY128" t="s">
        <v>782</v>
      </c>
    </row>
    <row r="129" spans="1:51" ht="14.5" customHeight="1">
      <c r="A129" s="47" t="s">
        <v>783</v>
      </c>
      <c r="B129" s="47" t="n">
        <v>101</v>
      </c>
      <c r="C129" s="47" t="n">
        <v>100</v>
      </c>
      <c r="D129" s="48">
        <f>D111+D112+D113+D118-D119+D120-D121+D123-D124+D126-D127-D128</f>
        <v/>
      </c>
      <c r="E129" s="48">
        <f>E111+E112+E113+E118-E119+E120-E121+E123-E124+E126-E127-E128</f>
        <v/>
      </c>
      <c r="F129">
        <f>"BS"&amp;C129</f>
        <v/>
      </c>
      <c r="M129" s="265" t="n">
        <v>37829618</v>
      </c>
      <c r="N129" s="265" t="n">
        <v>39027254</v>
      </c>
      <c r="O129">
        <f>D129-M129</f>
        <v/>
      </c>
      <c r="P129">
        <f>E129-N129</f>
        <v/>
      </c>
      <c r="AX129" t="s">
        <v>784</v>
      </c>
      <c r="AY129" t="s">
        <v>785</v>
      </c>
    </row>
    <row r="130" spans="1:51" ht="14.5" customHeight="1">
      <c r="A130" s="45" t="s">
        <v>786</v>
      </c>
      <c r="B130" s="45" t="n">
        <v>102</v>
      </c>
      <c r="C130" s="45" t="n">
        <v>101</v>
      </c>
      <c r="D130" s="46">
        <f>ROUND(SUMIF('Trial Balance'!N:N,F130,'Trial Balance'!H:H),0)</f>
        <v/>
      </c>
      <c r="E130" s="46">
        <f>ABS(ROUND(SUMIF('Trial Balance'!N:N,F130,'Trial Balance'!K:K),0))+G130</f>
        <v/>
      </c>
      <c r="F130">
        <f>"BS"&amp;C130</f>
        <v/>
      </c>
      <c r="I130" s="9">
        <f>SUMIF('Trial Balance'!N:N,F130,'Trial Balance'!H:H)</f>
        <v/>
      </c>
      <c r="J130" s="9">
        <f>SUMIF('Trial Balance'!N:N,F130,'Trial Balance'!K:K)</f>
        <v/>
      </c>
      <c r="M130" s="265" t="n"/>
      <c r="N130" s="265" t="n"/>
      <c r="O130">
        <f>D130-M130</f>
        <v/>
      </c>
      <c r="P130">
        <f>E130-N130</f>
        <v/>
      </c>
      <c r="AX130" t="s">
        <v>787</v>
      </c>
      <c r="AY130" t="s">
        <v>788</v>
      </c>
    </row>
    <row r="131" spans="1:51" ht="14.5" customHeight="1">
      <c r="A131" s="45" t="s">
        <v>789</v>
      </c>
      <c r="B131" s="45" t="n">
        <v>103</v>
      </c>
      <c r="C131" s="45" t="n">
        <v>102</v>
      </c>
      <c r="D131" s="46">
        <f>ROUND(SUMIF('Trial Balance'!N:N,F131,'Trial Balance'!H:H),0)</f>
        <v/>
      </c>
      <c r="E131" s="46">
        <f>ABS(ROUND(SUMIF('Trial Balance'!N:N,F131,'Trial Balance'!K:K),0))+G131</f>
        <v/>
      </c>
      <c r="F131">
        <f>"BS"&amp;C131</f>
        <v/>
      </c>
      <c r="I131" s="9">
        <f>SUMIF('Trial Balance'!N:N,F131,'Trial Balance'!H:H)</f>
        <v/>
      </c>
      <c r="J131" s="9">
        <f>SUMIF('Trial Balance'!N:N,F131,'Trial Balance'!K:K)</f>
        <v/>
      </c>
      <c r="M131" s="265" t="n"/>
      <c r="N131" s="265" t="n"/>
      <c r="O131">
        <f>D131-M131</f>
        <v/>
      </c>
      <c r="P131">
        <f>E131-N131</f>
        <v/>
      </c>
      <c r="AX131" t="s">
        <v>790</v>
      </c>
      <c r="AY131" t="s">
        <v>791</v>
      </c>
    </row>
    <row r="132" spans="1:51" ht="14.5" customHeight="1">
      <c r="A132" s="47" t="s">
        <v>792</v>
      </c>
      <c r="B132" s="47" t="n">
        <v>104</v>
      </c>
      <c r="C132" s="47" t="n">
        <v>103</v>
      </c>
      <c r="D132" s="48">
        <f>D129+D130</f>
        <v/>
      </c>
      <c r="E132" s="48">
        <f>E129+E130</f>
        <v/>
      </c>
      <c r="F132">
        <f>"BS"&amp;C132</f>
        <v/>
      </c>
      <c r="M132" s="265" t="n">
        <v>37829618</v>
      </c>
      <c r="N132" s="265" t="n">
        <v>39027254</v>
      </c>
      <c r="O132">
        <f>D132-M132</f>
        <v/>
      </c>
      <c r="P132">
        <f>E132-N132</f>
        <v/>
      </c>
      <c r="AX132" t="s">
        <v>793</v>
      </c>
      <c r="AY132" t="s">
        <v>794</v>
      </c>
    </row>
    <row r="133" spans="1:51" ht="12.65" customHeight="1" thickBot="1">
      <c r="D133" s="9" t="n"/>
      <c r="E133" s="9" t="n"/>
    </row>
    <row r="134" spans="1:51">
      <c r="A134" s="50" t="s">
        <v>415</v>
      </c>
      <c r="B134" s="51" t="n"/>
      <c r="C134" s="51" t="n"/>
      <c r="D134" s="52">
        <f>D40+D61+D62</f>
        <v/>
      </c>
      <c r="E134" s="53">
        <f>E40+E61+E62</f>
        <v/>
      </c>
    </row>
    <row r="135" spans="1:51" ht="12.65" customHeight="1" thickBot="1">
      <c r="A135" s="54" t="s">
        <v>795</v>
      </c>
      <c r="B135" s="16" t="n"/>
      <c r="C135" s="16" t="n"/>
      <c r="D135" s="55">
        <f>D74+D86+D91+D103+D132</f>
        <v/>
      </c>
      <c r="E135" s="56">
        <f>E74+E86+E91+E103+E132</f>
        <v/>
      </c>
    </row>
    <row r="136" spans="1:51" ht="13" customHeight="1" thickBot="1" thickTop="1">
      <c r="A136" s="57" t="s">
        <v>796</v>
      </c>
      <c r="B136" s="58" t="n"/>
      <c r="C136" s="58" t="n"/>
      <c r="D136" s="59">
        <f>D134-D135</f>
        <v/>
      </c>
      <c r="E136" s="60">
        <f>E134-E135</f>
        <v/>
      </c>
    </row>
    <row r="137" spans="1:51">
      <c r="E137" s="9" t="n"/>
    </row>
  </sheetData>
  <pageMargins left="0.7" right="0.7" top="0.75" bottom="0.75" header="0.3" footer="0.3"/>
</worksheet>
</file>

<file path=xl/worksheets/sheet5.xml><?xml version="1.0" encoding="utf-8"?>
<worksheet xmlns="http://schemas.openxmlformats.org/spreadsheetml/2006/main">
  <sheetPr>
    <tabColor rgb="FF00B050"/>
    <outlinePr summaryBelow="1" summaryRight="1"/>
    <pageSetUpPr/>
  </sheetPr>
  <dimension ref="A1:AW95"/>
  <sheetViews>
    <sheetView showGridLines="0" tabSelected="1" zoomScale="80" zoomScaleNormal="80" workbookViewId="0">
      <selection activeCell="A13" sqref="A13"/>
    </sheetView>
  </sheetViews>
  <sheetFormatPr baseColWidth="8" defaultColWidth="27.6640625" defaultRowHeight="12" outlineLevelCol="0"/>
  <cols>
    <col width="54.33203125" customWidth="1" min="1" max="1"/>
    <col width="26.33203125" bestFit="1" customWidth="1" min="2" max="2"/>
    <col width="9.109375" bestFit="1" customWidth="1" min="3" max="3"/>
    <col width="11.5546875" customWidth="1" min="11" max="11"/>
    <col width="14.21875" customWidth="1" min="12" max="12"/>
    <col width="13.109375" customWidth="1" min="13" max="13"/>
    <col width="15.44140625" customWidth="1" min="14" max="14"/>
    <col width="26.33203125" customWidth="1" style="18" min="48" max="49"/>
  </cols>
  <sheetData>
    <row r="1" spans="1:49">
      <c r="A1" s="1" t="s">
        <v>0</v>
      </c>
      <c r="B1" s="18">
        <f>'1. F10'!B1</f>
        <v/>
      </c>
      <c r="C1" s="3" t="n"/>
    </row>
    <row r="2" spans="1:49">
      <c r="A2" s="1" t="s">
        <v>1</v>
      </c>
      <c r="B2" s="18">
        <f>'1. F10'!B2</f>
        <v/>
      </c>
      <c r="C2" s="3" t="n"/>
    </row>
    <row r="3" spans="1:49">
      <c r="A3" s="1" t="s">
        <v>6</v>
      </c>
      <c r="B3" s="18">
        <f>'1. F10'!B3</f>
        <v/>
      </c>
      <c r="C3" s="3" t="n"/>
    </row>
    <row r="4" spans="1:49">
      <c r="A4" s="1" t="s">
        <v>7</v>
      </c>
      <c r="B4" s="18">
        <f>'1. F10'!B4</f>
        <v/>
      </c>
      <c r="C4" s="3" t="n"/>
    </row>
    <row r="5" spans="1:49">
      <c r="A5" s="1" t="s">
        <v>8</v>
      </c>
      <c r="B5" s="18">
        <f>'1. F10'!B5</f>
        <v/>
      </c>
      <c r="C5" s="3" t="n"/>
    </row>
    <row r="6" spans="1:49">
      <c r="A6" s="1" t="s">
        <v>9</v>
      </c>
      <c r="B6" s="18">
        <f>'1. F10'!B6</f>
        <v/>
      </c>
      <c r="C6" s="3" t="n"/>
    </row>
    <row r="7" spans="1:49">
      <c r="A7" s="1" t="s">
        <v>11</v>
      </c>
      <c r="B7" s="18">
        <f>'1. F10'!B7</f>
        <v/>
      </c>
      <c r="C7" s="18" t="n"/>
    </row>
    <row r="8" spans="1:49">
      <c r="H8" s="61" t="s">
        <v>797</v>
      </c>
      <c r="I8" s="61" t="s">
        <v>797</v>
      </c>
    </row>
    <row r="9" spans="1:49">
      <c r="H9" s="27">
        <f>SUM(H12:H91)-'Trial Balance'!J11</f>
        <v/>
      </c>
      <c r="I9" s="27">
        <f>SUM(I12:I91)-'Trial Balance'!K11</f>
        <v/>
      </c>
    </row>
    <row r="10" spans="1:49">
      <c r="A10" s="26" t="s">
        <v>798</v>
      </c>
      <c r="B10" s="26" t="n"/>
      <c r="C10" s="26" t="n"/>
      <c r="D10" s="26" t="s">
        <v>423</v>
      </c>
      <c r="E10" s="26" t="s">
        <v>424</v>
      </c>
      <c r="K10" s="3" t="s">
        <v>799</v>
      </c>
    </row>
    <row r="11" spans="1:49" ht="12.65" customHeight="1" thickBot="1">
      <c r="A11" s="62" t="s">
        <v>800</v>
      </c>
      <c r="B11" s="62" t="s">
        <v>426</v>
      </c>
      <c r="C11" s="62" t="s">
        <v>427</v>
      </c>
      <c r="D11" s="62">
        <f>'Trial Balance'!J6</f>
        <v/>
      </c>
      <c r="E11" s="62">
        <f>'Trial Balance'!K6</f>
        <v/>
      </c>
      <c r="F11" s="31" t="s">
        <v>4</v>
      </c>
      <c r="G11" s="41" t="s">
        <v>428</v>
      </c>
      <c r="H11" s="31" t="s">
        <v>801</v>
      </c>
      <c r="I11" s="31" t="s">
        <v>802</v>
      </c>
      <c r="K11" s="31" t="s">
        <v>430</v>
      </c>
      <c r="L11" s="31" t="s">
        <v>431</v>
      </c>
      <c r="M11" s="263" t="s">
        <v>420</v>
      </c>
      <c r="N11" s="263" t="s">
        <v>421</v>
      </c>
      <c r="AV11" s="18" t="s">
        <v>432</v>
      </c>
      <c r="AW11" s="18" t="s">
        <v>433</v>
      </c>
    </row>
    <row r="12" spans="1:49" ht="12.65" customHeight="1" thickTop="1">
      <c r="A12" s="63" t="s">
        <v>803</v>
      </c>
      <c r="B12" s="63" t="n">
        <v>1</v>
      </c>
      <c r="C12" s="63" t="n">
        <v>1</v>
      </c>
      <c r="D12" s="64">
        <f>D14+D15-D16+D17+D18</f>
        <v/>
      </c>
      <c r="E12" s="64">
        <f>E14+E15-E16+E17+E18</f>
        <v/>
      </c>
      <c r="K12" t="n">
        <v>116314653</v>
      </c>
      <c r="L12" t="n">
        <v>153067142</v>
      </c>
      <c r="M12" s="9">
        <f>D12-K12</f>
        <v/>
      </c>
      <c r="N12" s="9">
        <f>E12-L12</f>
        <v/>
      </c>
      <c r="AV12" s="18" t="s">
        <v>804</v>
      </c>
      <c r="AW12" s="18" t="s">
        <v>805</v>
      </c>
    </row>
    <row r="13" spans="1:49">
      <c r="A13" s="45" t="s">
        <v>806</v>
      </c>
      <c r="B13" s="45" t="n">
        <v>2</v>
      </c>
      <c r="C13" s="45" t="s">
        <v>807</v>
      </c>
      <c r="D13" s="46" t="n"/>
      <c r="E13" s="46" t="n"/>
      <c r="K13" t="n">
        <v>91298164</v>
      </c>
      <c r="L13" t="n">
        <v>125073640</v>
      </c>
      <c r="M13" s="9">
        <f>D13-K13</f>
        <v/>
      </c>
      <c r="N13" s="9">
        <f>E13-L13</f>
        <v/>
      </c>
      <c r="AV13" s="18" t="s">
        <v>808</v>
      </c>
      <c r="AW13" s="18" t="s">
        <v>809</v>
      </c>
    </row>
    <row r="14" spans="1:49">
      <c r="A14" s="45" t="s">
        <v>810</v>
      </c>
      <c r="B14" s="45" t="n">
        <v>3</v>
      </c>
      <c r="C14" s="45" t="n">
        <v>2</v>
      </c>
      <c r="D14" s="46">
        <f>ABS(ROUND(SUMIF('Trial Balance'!N:N,F14,'Trial Balance'!H:H),0))</f>
        <v/>
      </c>
      <c r="E14" s="46">
        <f>ABS(ROUND(SUMIF('Trial Balance'!N:N,F14,'Trial Balance'!K:K),0))+G14</f>
        <v/>
      </c>
      <c r="F14">
        <f>"PL"&amp;C14</f>
        <v/>
      </c>
      <c r="H14" s="9">
        <f>SUMIF('Trial Balance'!N:N,F14,'Trial Balance'!H:H)</f>
        <v/>
      </c>
      <c r="I14" s="9">
        <f>SUMIF('Trial Balance'!N:N,F14,'Trial Balance'!K:K)</f>
        <v/>
      </c>
      <c r="K14" t="n">
        <v>91298164</v>
      </c>
      <c r="L14" t="n">
        <v>125073640</v>
      </c>
      <c r="M14" s="9">
        <f>D14-K14</f>
        <v/>
      </c>
      <c r="N14" s="9">
        <f>E14-L14</f>
        <v/>
      </c>
      <c r="AV14" s="18" t="s">
        <v>811</v>
      </c>
      <c r="AW14" s="18" t="s">
        <v>812</v>
      </c>
    </row>
    <row r="15" spans="1:49">
      <c r="A15" s="45" t="s">
        <v>813</v>
      </c>
      <c r="B15" s="45" t="n">
        <v>4</v>
      </c>
      <c r="C15" s="45" t="n">
        <v>3</v>
      </c>
      <c r="D15" s="46">
        <f>ABS(ROUND(SUMIF('Trial Balance'!N:N,F15,'Trial Balance'!H:H),0))</f>
        <v/>
      </c>
      <c r="E15" s="46">
        <f>ABS(ROUND(SUMIF('Trial Balance'!N:N,F15,'Trial Balance'!K:K),0))+G15</f>
        <v/>
      </c>
      <c r="F15">
        <f>"PL"&amp;C15</f>
        <v/>
      </c>
      <c r="H15" s="9">
        <f>SUMIF('Trial Balance'!N:N,F15,'Trial Balance'!H:H)</f>
        <v/>
      </c>
      <c r="I15" s="9">
        <f>SUMIF('Trial Balance'!N:N,F15,'Trial Balance'!K:K)</f>
        <v/>
      </c>
      <c r="K15" t="n">
        <v>25079781</v>
      </c>
      <c r="L15" t="n">
        <v>28027453</v>
      </c>
      <c r="M15" s="9">
        <f>D15-K15</f>
        <v/>
      </c>
      <c r="N15" s="9">
        <f>E15-L15</f>
        <v/>
      </c>
      <c r="AV15" s="18" t="s">
        <v>814</v>
      </c>
      <c r="AW15" s="18" t="s">
        <v>815</v>
      </c>
    </row>
    <row r="16" spans="1:49">
      <c r="A16" s="45" t="s">
        <v>816</v>
      </c>
      <c r="B16" s="45" t="n">
        <v>5</v>
      </c>
      <c r="C16" s="45" t="n">
        <v>4</v>
      </c>
      <c r="D16" s="46">
        <f>ABS(ROUND(SUMIF('Trial Balance'!N:N,F16,'Trial Balance'!H:H),0))</f>
        <v/>
      </c>
      <c r="E16" s="46">
        <f>ABS(ROUND(SUMIF('Trial Balance'!N:N,F16,'Trial Balance'!K:K),0))+G16</f>
        <v/>
      </c>
      <c r="F16">
        <f>"PL"&amp;C16</f>
        <v/>
      </c>
      <c r="H16" s="9">
        <f>SUMIF('Trial Balance'!N:N,F16,'Trial Balance'!H:H)</f>
        <v/>
      </c>
      <c r="I16" s="9">
        <f>SUMIF('Trial Balance'!N:N,F16,'Trial Balance'!K:K)</f>
        <v/>
      </c>
      <c r="K16" t="n">
        <v>63292</v>
      </c>
      <c r="L16" t="n">
        <v>33951</v>
      </c>
      <c r="M16" s="9">
        <f>D16-K16</f>
        <v/>
      </c>
      <c r="N16" s="9">
        <f>E16-L16</f>
        <v/>
      </c>
      <c r="AV16" s="18" t="s">
        <v>817</v>
      </c>
      <c r="AW16" s="18" t="s">
        <v>818</v>
      </c>
    </row>
    <row r="17" spans="1:49">
      <c r="A17" s="45" t="n"/>
      <c r="B17" s="45" t="n"/>
      <c r="C17" s="45" t="n"/>
      <c r="D17" s="46" t="n"/>
      <c r="E17" s="46" t="n"/>
      <c r="M17" s="9">
        <f>D17-K17</f>
        <v/>
      </c>
      <c r="N17" s="9">
        <f>E17-L17</f>
        <v/>
      </c>
    </row>
    <row r="18" spans="1:49">
      <c r="A18" s="45" t="s">
        <v>819</v>
      </c>
      <c r="B18" s="45" t="n">
        <v>6</v>
      </c>
      <c r="C18" s="45" t="n">
        <v>6</v>
      </c>
      <c r="D18" s="46">
        <f>ABS(ROUND(SUMIF('Trial Balance'!N:N,F18,'Trial Balance'!H:H),0))</f>
        <v/>
      </c>
      <c r="E18" s="46">
        <f>ABS(ROUND(SUMIF('Trial Balance'!N:N,F18,'Trial Balance'!K:K),0))+G18</f>
        <v/>
      </c>
      <c r="F18">
        <f>"PL"&amp;C18</f>
        <v/>
      </c>
      <c r="H18" s="9">
        <f>SUMIF('Trial Balance'!N:N,F18,'Trial Balance'!H:H)</f>
        <v/>
      </c>
      <c r="I18" s="9">
        <f>SUMIF('Trial Balance'!N:N,F18,'Trial Balance'!K:K)</f>
        <v/>
      </c>
      <c r="M18" s="9">
        <f>D18-K18</f>
        <v/>
      </c>
      <c r="N18" s="9">
        <f>E18-L18</f>
        <v/>
      </c>
      <c r="AV18" s="18" t="s">
        <v>820</v>
      </c>
      <c r="AW18" s="18" t="s">
        <v>821</v>
      </c>
    </row>
    <row r="19" spans="1:49" ht="24" customHeight="1">
      <c r="A19" s="65" t="s">
        <v>822</v>
      </c>
      <c r="B19" s="45" t="n"/>
      <c r="C19" s="45" t="n"/>
      <c r="D19" s="46" t="n"/>
      <c r="E19" s="46" t="n"/>
      <c r="M19" s="9">
        <f>D19-K19</f>
        <v/>
      </c>
      <c r="N19" s="9">
        <f>E19-L19</f>
        <v/>
      </c>
    </row>
    <row r="20" spans="1:49">
      <c r="A20" s="45" t="s">
        <v>823</v>
      </c>
      <c r="B20" s="45" t="n">
        <v>7</v>
      </c>
      <c r="C20" s="45" t="n">
        <v>7</v>
      </c>
      <c r="D20" s="46">
        <f>ABS(ROUND(SUMIF('Trial Balance'!$S$3:$S$5,F20,'Trial Balance'!$R$3:$R$5),0))</f>
        <v/>
      </c>
      <c r="E20" s="46">
        <f>ABS(ROUND(SUMIF('Trial Balance'!$Q$3:$Q$5,F20,'Trial Balance'!$P$3:$P$5),0))+G20</f>
        <v/>
      </c>
      <c r="F20">
        <f>"PL"&amp;C20</f>
        <v/>
      </c>
      <c r="H20" s="9">
        <f>SUMIF('Trial Balance'!N:N,F20,'Trial Balance'!H:H)</f>
        <v/>
      </c>
      <c r="I20" s="9">
        <f>SUMIF('Trial Balance'!N:N,F20,'Trial Balance'!K:K)</f>
        <v/>
      </c>
      <c r="K20" t="n">
        <v>3036628</v>
      </c>
      <c r="L20" t="n">
        <v>5660501</v>
      </c>
      <c r="M20" s="9">
        <f>D20-K20</f>
        <v/>
      </c>
      <c r="N20" s="9">
        <f>E20-L20</f>
        <v/>
      </c>
      <c r="AV20" s="18" t="s">
        <v>824</v>
      </c>
      <c r="AW20" s="18" t="s">
        <v>825</v>
      </c>
    </row>
    <row r="21" spans="1:49">
      <c r="A21" s="45" t="s">
        <v>826</v>
      </c>
      <c r="B21" s="45" t="n">
        <v>8</v>
      </c>
      <c r="C21" s="45" t="n">
        <v>8</v>
      </c>
      <c r="D21" s="46">
        <f>ABS(ROUND(SUMIF('Trial Balance'!$S$3:$S$5,F21,'Trial Balance'!$R$3:$R$5),0))</f>
        <v/>
      </c>
      <c r="E21" s="46">
        <f>ABS(ROUND(SUMIF('Trial Balance'!$Q$3:$Q$5,F21,'Trial Balance'!$P$3:$P$5),0))+G21</f>
        <v/>
      </c>
      <c r="F21">
        <f>"PL"&amp;C21</f>
        <v/>
      </c>
      <c r="H21" s="9">
        <f>SUMIF('Trial Balance'!N:N,F21,'Trial Balance'!H:H)</f>
        <v/>
      </c>
      <c r="I21" s="9">
        <f>SUMIF('Trial Balance'!N:N,F21,'Trial Balance'!K:K)</f>
        <v/>
      </c>
      <c r="K21" t="n">
        <v>0</v>
      </c>
      <c r="L21" t="n">
        <v>0</v>
      </c>
      <c r="M21" s="9">
        <f>D21-K21</f>
        <v/>
      </c>
      <c r="N21" s="9">
        <f>E21-L21</f>
        <v/>
      </c>
      <c r="AV21" s="18" t="s">
        <v>827</v>
      </c>
      <c r="AW21" s="18" t="s">
        <v>828</v>
      </c>
    </row>
    <row r="22" spans="1:49">
      <c r="A22" s="45" t="s">
        <v>829</v>
      </c>
      <c r="B22" s="45" t="n">
        <v>9</v>
      </c>
      <c r="C22" s="45" t="n">
        <v>9</v>
      </c>
      <c r="D22" s="46">
        <f>ABS(ROUND(SUMIF('Trial Balance'!N:N,F22,'Trial Balance'!H:H),0))</f>
        <v/>
      </c>
      <c r="E22" s="46">
        <f>ABS(ROUND(SUMIF('Trial Balance'!N:N,F22,'Trial Balance'!K:K),0))+G22</f>
        <v/>
      </c>
      <c r="F22">
        <f>"PL"&amp;C22</f>
        <v/>
      </c>
      <c r="H22" s="9">
        <f>SUMIF('Trial Balance'!N:N,F22,'Trial Balance'!H:H)</f>
        <v/>
      </c>
      <c r="I22" s="9">
        <f>SUMIF('Trial Balance'!N:N,F22,'Trial Balance'!K:K)</f>
        <v/>
      </c>
      <c r="M22" s="9">
        <f>D22-K22</f>
        <v/>
      </c>
      <c r="N22" s="9">
        <f>E22-L22</f>
        <v/>
      </c>
      <c r="AV22" s="18" t="s">
        <v>830</v>
      </c>
      <c r="AW22" s="18" t="s">
        <v>831</v>
      </c>
    </row>
    <row r="23" spans="1:49">
      <c r="A23" s="45" t="s">
        <v>832</v>
      </c>
      <c r="B23" s="45" t="n">
        <v>10</v>
      </c>
      <c r="C23" s="45" t="n">
        <v>10</v>
      </c>
      <c r="D23" s="46">
        <f>ABS(ROUND(SUMIF('Trial Balance'!N:N,F23,'Trial Balance'!H:H),0))</f>
        <v/>
      </c>
      <c r="E23" s="46">
        <f>ABS(ROUND(SUMIF('Trial Balance'!N:N,F23,'Trial Balance'!K:K),0))+G23</f>
        <v/>
      </c>
      <c r="F23">
        <f>"PL"&amp;C23</f>
        <v/>
      </c>
      <c r="H23" s="9">
        <f>SUMIF('Trial Balance'!N:N,F23,'Trial Balance'!H:H)</f>
        <v/>
      </c>
      <c r="I23" s="9">
        <f>SUMIF('Trial Balance'!N:N,F23,'Trial Balance'!K:K)</f>
        <v/>
      </c>
      <c r="K23" t="n">
        <v>17194</v>
      </c>
      <c r="L23" t="n">
        <v>0</v>
      </c>
      <c r="M23" s="9">
        <f>D23-K23</f>
        <v/>
      </c>
      <c r="N23" s="9">
        <f>E23-L23</f>
        <v/>
      </c>
      <c r="AV23" s="18" t="s">
        <v>833</v>
      </c>
      <c r="AW23" s="18" t="s">
        <v>834</v>
      </c>
    </row>
    <row r="24" spans="1:49">
      <c r="A24" s="45" t="s">
        <v>835</v>
      </c>
      <c r="B24" s="45" t="n">
        <v>11</v>
      </c>
      <c r="C24" s="45" t="n">
        <v>11</v>
      </c>
      <c r="D24" s="46">
        <f>ABS(ROUND(SUMIF('Trial Balance'!N:N,F24,'Trial Balance'!H:H),0))</f>
        <v/>
      </c>
      <c r="E24" s="46">
        <f>ABS(ROUND(SUMIF('Trial Balance'!N:N,F24,'Trial Balance'!K:K),0))+G24</f>
        <v/>
      </c>
      <c r="F24">
        <f>"PL"&amp;C24</f>
        <v/>
      </c>
      <c r="H24" s="9">
        <f>SUMIF('Trial Balance'!N:N,F24,'Trial Balance'!H:H)</f>
        <v/>
      </c>
      <c r="I24" s="9">
        <f>SUMIF('Trial Balance'!N:N,F24,'Trial Balance'!K:K)</f>
        <v/>
      </c>
      <c r="M24" s="9">
        <f>D24-K24</f>
        <v/>
      </c>
      <c r="N24" s="9">
        <f>E24-L24</f>
        <v/>
      </c>
      <c r="AV24" s="18" t="s">
        <v>836</v>
      </c>
      <c r="AW24" s="18" t="s">
        <v>837</v>
      </c>
    </row>
    <row r="25" spans="1:49">
      <c r="A25" s="45" t="s">
        <v>838</v>
      </c>
      <c r="B25" s="45" t="n">
        <v>12</v>
      </c>
      <c r="C25" s="45" t="n">
        <v>12</v>
      </c>
      <c r="D25" s="46">
        <f>ABS(ROUND(SUMIF('Trial Balance'!N:N,F25,'Trial Balance'!H:H),0))</f>
        <v/>
      </c>
      <c r="E25" s="46">
        <f>ABS(ROUND(SUMIF('Trial Balance'!N:N,F25,'Trial Balance'!K:K),0))+G25</f>
        <v/>
      </c>
      <c r="F25">
        <f>"PL"&amp;C25</f>
        <v/>
      </c>
      <c r="H25" s="9">
        <f>SUMIF('Trial Balance'!N:N,F25,'Trial Balance'!H:H)</f>
        <v/>
      </c>
      <c r="I25" s="9">
        <f>SUMIF('Trial Balance'!N:N,F25,'Trial Balance'!K:K)</f>
        <v/>
      </c>
      <c r="K25" t="n">
        <v>248265</v>
      </c>
      <c r="L25" t="n">
        <v>0</v>
      </c>
      <c r="M25" s="9">
        <f>D25-K25</f>
        <v/>
      </c>
      <c r="N25" s="9">
        <f>E25-L25</f>
        <v/>
      </c>
      <c r="AV25" s="18" t="s">
        <v>839</v>
      </c>
      <c r="AW25" s="18" t="s">
        <v>840</v>
      </c>
    </row>
    <row r="26" spans="1:49">
      <c r="A26" s="45" t="s">
        <v>841</v>
      </c>
      <c r="B26" s="45" t="n">
        <v>13</v>
      </c>
      <c r="C26" s="45" t="n">
        <v>13</v>
      </c>
      <c r="D26" s="46">
        <f>ABS(ROUND(SUMIF('Trial Balance'!N:N,F26,'Trial Balance'!H:H),0))</f>
        <v/>
      </c>
      <c r="E26" s="46">
        <f>ABS(ROUND(SUMIF('Trial Balance'!N:N,F26,'Trial Balance'!K:K),0))+G26</f>
        <v/>
      </c>
      <c r="F26">
        <f>"PL"&amp;C26</f>
        <v/>
      </c>
      <c r="H26" s="9">
        <f>SUMIF('Trial Balance'!N:N,F26,'Trial Balance'!H:H)</f>
        <v/>
      </c>
      <c r="I26" s="9">
        <f>SUMIF('Trial Balance'!N:N,F26,'Trial Balance'!K:K)</f>
        <v/>
      </c>
      <c r="K26" t="n">
        <v>525219</v>
      </c>
      <c r="L26" t="n">
        <v>531510</v>
      </c>
      <c r="M26" s="9">
        <f>D26-K26</f>
        <v/>
      </c>
      <c r="N26" s="9">
        <f>E26-L26</f>
        <v/>
      </c>
      <c r="AV26" s="18" t="s">
        <v>842</v>
      </c>
      <c r="AW26" s="18" t="s">
        <v>843</v>
      </c>
    </row>
    <row r="27" spans="1:49">
      <c r="A27" s="45" t="s">
        <v>844</v>
      </c>
      <c r="B27" s="45" t="n">
        <v>14</v>
      </c>
      <c r="C27" s="45" t="n">
        <v>14</v>
      </c>
      <c r="D27" s="46">
        <f>ABS(ROUND(SUMIF('Trial Balance'!N:N,F27,'Trial Balance'!H:H),0))</f>
        <v/>
      </c>
      <c r="E27" s="46">
        <f>ABS(ROUND(SUMIF('Trial Balance'!N:N,F27,'Trial Balance'!K:K),0))+G27</f>
        <v/>
      </c>
      <c r="F27">
        <f>"PL"&amp;C27</f>
        <v/>
      </c>
      <c r="H27" s="9">
        <f>SUMIF('Trial Balance'!N:N,F27,'Trial Balance'!H:H)</f>
        <v/>
      </c>
      <c r="I27" s="9">
        <f>SUMIF('Trial Balance'!N:N,F27,'Trial Balance'!K:K)</f>
        <v/>
      </c>
      <c r="M27" s="9">
        <f>D27-K27</f>
        <v/>
      </c>
      <c r="N27" s="9">
        <f>E27-L27</f>
        <v/>
      </c>
      <c r="AV27" s="18" t="s">
        <v>845</v>
      </c>
      <c r="AW27" s="18" t="s">
        <v>846</v>
      </c>
    </row>
    <row r="28" spans="1:49">
      <c r="A28" s="45" t="s">
        <v>847</v>
      </c>
      <c r="B28" s="45" t="n">
        <v>15</v>
      </c>
      <c r="C28" s="45" t="n">
        <v>15</v>
      </c>
      <c r="D28" s="46">
        <f>ABS(ROUND(SUMIF('Trial Balance'!N:N,F28,'Trial Balance'!H:H),0))</f>
        <v/>
      </c>
      <c r="E28" s="46">
        <f>ABS(ROUND(SUMIF('Trial Balance'!N:N,F28,'Trial Balance'!K:K),0))+G28</f>
        <v/>
      </c>
      <c r="F28">
        <f>"PL"&amp;C28</f>
        <v/>
      </c>
      <c r="H28" s="9">
        <f>SUMIF('Trial Balance'!N:N,F28,'Trial Balance'!H:H)</f>
        <v/>
      </c>
      <c r="I28" s="9">
        <f>SUMIF('Trial Balance'!N:N,F28,'Trial Balance'!K:K)</f>
        <v/>
      </c>
      <c r="M28" s="9">
        <f>D28-K28</f>
        <v/>
      </c>
      <c r="N28" s="9">
        <f>E28-L28</f>
        <v/>
      </c>
      <c r="AV28" s="18" t="s">
        <v>848</v>
      </c>
      <c r="AW28" s="18" t="s">
        <v>849</v>
      </c>
    </row>
    <row r="29" spans="1:49">
      <c r="A29" s="47" t="s">
        <v>850</v>
      </c>
      <c r="B29" s="47" t="n">
        <v>16</v>
      </c>
      <c r="C29" s="47" t="n">
        <v>16</v>
      </c>
      <c r="D29" s="48">
        <f>D12+D20-D21+D22+D23+D24+D25+D26</f>
        <v/>
      </c>
      <c r="E29" s="48">
        <f>E12+E20-E21+E22+E23+E24+E25+E26</f>
        <v/>
      </c>
      <c r="K29" t="n">
        <v>120141959</v>
      </c>
      <c r="L29" t="n">
        <v>159259153</v>
      </c>
      <c r="M29" s="9">
        <f>D29-K29</f>
        <v/>
      </c>
      <c r="N29" s="9">
        <f>E29-L29</f>
        <v/>
      </c>
      <c r="AV29" s="18" t="s">
        <v>851</v>
      </c>
      <c r="AW29" s="18" t="s">
        <v>852</v>
      </c>
    </row>
    <row r="30" spans="1:49">
      <c r="A30" s="45" t="s">
        <v>853</v>
      </c>
      <c r="B30" s="45" t="n">
        <v>17</v>
      </c>
      <c r="C30" s="45" t="n">
        <v>17</v>
      </c>
      <c r="D30" s="46">
        <f>ABS(ROUND(SUMIF('Trial Balance'!N:N,F30,'Trial Balance'!H:H),0))</f>
        <v/>
      </c>
      <c r="E30" s="46">
        <f>ABS(ROUND(SUMIF('Trial Balance'!N:N,F30,'Trial Balance'!K:K),0))+G30</f>
        <v/>
      </c>
      <c r="F30">
        <f>"PL"&amp;C30</f>
        <v/>
      </c>
      <c r="H30" s="9">
        <f>SUMIF('Trial Balance'!N:N,F30,'Trial Balance'!H:H)</f>
        <v/>
      </c>
      <c r="I30" s="9">
        <f>SUMIF('Trial Balance'!N:N,F30,'Trial Balance'!K:K)</f>
        <v/>
      </c>
      <c r="K30" t="n">
        <v>48167708</v>
      </c>
      <c r="L30" t="n">
        <v>62456899</v>
      </c>
      <c r="M30" s="9">
        <f>D30-K30</f>
        <v/>
      </c>
      <c r="N30" s="9">
        <f>E30-L30</f>
        <v/>
      </c>
      <c r="AV30" s="18" t="s">
        <v>854</v>
      </c>
      <c r="AW30" s="18" t="s">
        <v>855</v>
      </c>
    </row>
    <row r="31" spans="1:49">
      <c r="A31" s="45" t="s">
        <v>856</v>
      </c>
      <c r="B31" s="45" t="n">
        <v>18</v>
      </c>
      <c r="C31" s="45" t="n">
        <v>18</v>
      </c>
      <c r="D31" s="46">
        <f>ABS(ROUND(SUMIF('Trial Balance'!N:N,F31,'Trial Balance'!H:H),0))</f>
        <v/>
      </c>
      <c r="E31" s="46">
        <f>ABS(ROUND(SUMIF('Trial Balance'!N:N,F31,'Trial Balance'!K:K),0))+G31</f>
        <v/>
      </c>
      <c r="F31">
        <f>"PL"&amp;C31</f>
        <v/>
      </c>
      <c r="H31" s="9">
        <f>SUMIF('Trial Balance'!N:N,F31,'Trial Balance'!H:H)</f>
        <v/>
      </c>
      <c r="I31" s="9">
        <f>SUMIF('Trial Balance'!N:N,F31,'Trial Balance'!K:K)</f>
        <v/>
      </c>
      <c r="K31" t="n">
        <v>1388685</v>
      </c>
      <c r="L31" t="n">
        <v>1259796</v>
      </c>
      <c r="M31" s="9">
        <f>D31-K31</f>
        <v/>
      </c>
      <c r="N31" s="9">
        <f>E31-L31</f>
        <v/>
      </c>
      <c r="AV31" s="18" t="s">
        <v>857</v>
      </c>
      <c r="AW31" s="18" t="s">
        <v>858</v>
      </c>
    </row>
    <row r="32" spans="1:49">
      <c r="A32" s="45" t="s">
        <v>859</v>
      </c>
      <c r="B32" s="45" t="n">
        <v>19</v>
      </c>
      <c r="C32" s="45" t="n">
        <v>19</v>
      </c>
      <c r="D32" s="46">
        <f>ABS(ROUND(SUMIF('Trial Balance'!N:N,F32,'Trial Balance'!H:H),0))</f>
        <v/>
      </c>
      <c r="E32" s="46">
        <f>ABS(ROUND(SUMIF('Trial Balance'!N:N,F32,'Trial Balance'!K:K),0))+G32</f>
        <v/>
      </c>
      <c r="F32">
        <f>"PL"&amp;C32</f>
        <v/>
      </c>
      <c r="H32" s="9">
        <f>SUMIF('Trial Balance'!N:N,F32,'Trial Balance'!H:H)</f>
        <v/>
      </c>
      <c r="I32" s="9">
        <f>SUMIF('Trial Balance'!N:N,F32,'Trial Balance'!K:K)</f>
        <v/>
      </c>
      <c r="K32" t="n">
        <v>5665626</v>
      </c>
      <c r="L32" t="n">
        <v>18314039</v>
      </c>
      <c r="M32" s="9">
        <f>D32-K32</f>
        <v/>
      </c>
      <c r="N32" s="9">
        <f>E32-L32</f>
        <v/>
      </c>
      <c r="AV32" s="18" t="s">
        <v>860</v>
      </c>
      <c r="AW32" s="18" t="s">
        <v>861</v>
      </c>
    </row>
    <row r="33" spans="1:49">
      <c r="A33" s="45" t="s">
        <v>862</v>
      </c>
      <c r="B33" s="45" t="n">
        <v>20</v>
      </c>
      <c r="C33" s="45" t="s">
        <v>863</v>
      </c>
      <c r="D33" s="46">
        <f>ABS(ROUND(SUMIF('Trial Balance'!E:E,"6051",'Trial Balance'!H:H),0))</f>
        <v/>
      </c>
      <c r="E33" s="46">
        <f>ABS(ROUND(SUMIF('Trial Balance'!E:E,"6051",'Trial Balance'!K:K),0))</f>
        <v/>
      </c>
      <c r="M33" s="9">
        <f>D33-K33</f>
        <v/>
      </c>
      <c r="N33" s="9">
        <f>E33-L33</f>
        <v/>
      </c>
      <c r="AV33" s="18" t="s">
        <v>864</v>
      </c>
      <c r="AW33" s="18" t="s">
        <v>865</v>
      </c>
    </row>
    <row r="34" spans="1:49">
      <c r="A34" s="45" t="s">
        <v>866</v>
      </c>
      <c r="B34" s="45" t="n">
        <v>21</v>
      </c>
      <c r="C34" s="45" t="s">
        <v>867</v>
      </c>
      <c r="D34" s="46">
        <f>ABS(ROUND(SUMIF('Trial Balance'!E:E,"6053",'Trial Balance'!H:H),0))</f>
        <v/>
      </c>
      <c r="E34" s="46">
        <f>ABS(ROUND(SUMIF('Trial Balance'!E:E,"6053",'Trial Balance'!K:K),0))</f>
        <v/>
      </c>
      <c r="M34" s="9">
        <f>D34-K34</f>
        <v/>
      </c>
      <c r="N34" s="9">
        <f>E34-L34</f>
        <v/>
      </c>
      <c r="AV34" s="18" t="s">
        <v>868</v>
      </c>
      <c r="AW34" s="18" t="s">
        <v>869</v>
      </c>
    </row>
    <row r="35" spans="1:49">
      <c r="A35" s="45" t="s">
        <v>870</v>
      </c>
      <c r="B35" s="45" t="n">
        <v>22</v>
      </c>
      <c r="C35" s="45" t="n">
        <v>20</v>
      </c>
      <c r="D35" s="46">
        <f>ABS(ROUND(SUMIF('Trial Balance'!N:N,F35,'Trial Balance'!H:H),0))</f>
        <v/>
      </c>
      <c r="E35" s="46">
        <f>ABS(ROUND(SUMIF('Trial Balance'!N:N,F35,'Trial Balance'!K:K),0))+G35</f>
        <v/>
      </c>
      <c r="F35">
        <f>"PL"&amp;C35</f>
        <v/>
      </c>
      <c r="H35" s="9">
        <f>SUMIF('Trial Balance'!N:N,F35,'Trial Balance'!H:H)</f>
        <v/>
      </c>
      <c r="I35" s="9">
        <f>SUMIF('Trial Balance'!N:N,F35,'Trial Balance'!K:K)</f>
        <v/>
      </c>
      <c r="K35" t="n">
        <v>17809267</v>
      </c>
      <c r="L35" t="n">
        <v>20926907</v>
      </c>
      <c r="M35" s="9">
        <f>D35-K35</f>
        <v/>
      </c>
      <c r="N35" s="9">
        <f>E35-L35</f>
        <v/>
      </c>
      <c r="AV35" s="18" t="s">
        <v>871</v>
      </c>
      <c r="AW35" s="18" t="s">
        <v>872</v>
      </c>
    </row>
    <row r="36" spans="1:49">
      <c r="A36" s="45" t="s">
        <v>873</v>
      </c>
      <c r="B36" s="45" t="n">
        <v>23</v>
      </c>
      <c r="C36" s="45" t="n">
        <v>21</v>
      </c>
      <c r="D36" s="46">
        <f>ABS(ROUND(SUMIF('Trial Balance'!N:N,F36,'Trial Balance'!H:H),0))</f>
        <v/>
      </c>
      <c r="E36" s="46">
        <f>ABS(ROUND(SUMIF('Trial Balance'!N:N,F36,'Trial Balance'!K:K),0))+G36</f>
        <v/>
      </c>
      <c r="F36">
        <f>"PL"&amp;C36</f>
        <v/>
      </c>
      <c r="H36" s="9">
        <f>SUMIF('Trial Balance'!N:N,F36,'Trial Balance'!H:H)</f>
        <v/>
      </c>
      <c r="I36" s="9">
        <f>SUMIF('Trial Balance'!N:N,F36,'Trial Balance'!K:K)</f>
        <v/>
      </c>
      <c r="K36" t="n">
        <v>2714</v>
      </c>
      <c r="L36" t="n">
        <v>4934</v>
      </c>
      <c r="M36" s="9">
        <f>D36-K36</f>
        <v/>
      </c>
      <c r="N36" s="9">
        <f>E36-L36</f>
        <v/>
      </c>
      <c r="AV36" s="18" t="s">
        <v>874</v>
      </c>
      <c r="AW36" s="18" t="s">
        <v>875</v>
      </c>
    </row>
    <row r="37" spans="1:49">
      <c r="A37" s="47" t="s">
        <v>876</v>
      </c>
      <c r="B37" s="47" t="n">
        <v>24</v>
      </c>
      <c r="C37" s="47" t="n">
        <v>22</v>
      </c>
      <c r="D37" s="48">
        <f>D38+D39</f>
        <v/>
      </c>
      <c r="E37" s="48">
        <f>E38+E39</f>
        <v/>
      </c>
      <c r="K37" t="n">
        <v>22714507</v>
      </c>
      <c r="L37" t="n">
        <v>27192938</v>
      </c>
      <c r="M37" s="9">
        <f>D37-K37</f>
        <v/>
      </c>
      <c r="N37" s="9">
        <f>E37-L37</f>
        <v/>
      </c>
      <c r="AV37" s="18" t="s">
        <v>877</v>
      </c>
      <c r="AW37" s="18" t="s">
        <v>878</v>
      </c>
    </row>
    <row r="38" spans="1:49">
      <c r="A38" s="45" t="s">
        <v>879</v>
      </c>
      <c r="B38" s="45" t="n">
        <v>25</v>
      </c>
      <c r="C38" s="45" t="n">
        <v>23</v>
      </c>
      <c r="D38" s="46">
        <f>ABS(ROUND(SUMIF('Trial Balance'!N:N,F38,'Trial Balance'!H:H),0))</f>
        <v/>
      </c>
      <c r="E38" s="46">
        <f>ABS(ROUND(SUMIF('Trial Balance'!N:N,F38,'Trial Balance'!K:K),0))+G38</f>
        <v/>
      </c>
      <c r="F38">
        <f>"PL"&amp;C38</f>
        <v/>
      </c>
      <c r="H38" s="9">
        <f>SUMIF('Trial Balance'!N:N,F38,'Trial Balance'!H:H)</f>
        <v/>
      </c>
      <c r="I38" s="9">
        <f>SUMIF('Trial Balance'!N:N,F38,'Trial Balance'!K:K)</f>
        <v/>
      </c>
      <c r="K38" t="n">
        <v>22030957</v>
      </c>
      <c r="L38" t="n">
        <v>26358311</v>
      </c>
      <c r="M38" s="9">
        <f>D38-K38</f>
        <v/>
      </c>
      <c r="N38" s="9">
        <f>E38-L38</f>
        <v/>
      </c>
      <c r="AV38" s="18" t="s">
        <v>880</v>
      </c>
      <c r="AW38" s="18" t="s">
        <v>881</v>
      </c>
    </row>
    <row r="39" spans="1:49">
      <c r="A39" s="45" t="s">
        <v>882</v>
      </c>
      <c r="B39" s="45" t="n">
        <v>26</v>
      </c>
      <c r="C39" s="45" t="n">
        <v>24</v>
      </c>
      <c r="D39" s="46">
        <f>ABS(ROUND(SUMIF('Trial Balance'!N:N,F39,'Trial Balance'!H:H),0))</f>
        <v/>
      </c>
      <c r="E39" s="46">
        <f>ABS(ROUND(SUMIF('Trial Balance'!N:N,F39,'Trial Balance'!K:K),0))+G39</f>
        <v/>
      </c>
      <c r="F39">
        <f>"PL"&amp;C39</f>
        <v/>
      </c>
      <c r="H39" s="9">
        <f>SUMIF('Trial Balance'!N:N,F39,'Trial Balance'!H:H)</f>
        <v/>
      </c>
      <c r="I39" s="9">
        <f>SUMIF('Trial Balance'!N:N,F39,'Trial Balance'!K:K)</f>
        <v/>
      </c>
      <c r="K39" t="n">
        <v>683550</v>
      </c>
      <c r="L39" t="n">
        <v>834627</v>
      </c>
      <c r="M39" s="9">
        <f>D39-K39</f>
        <v/>
      </c>
      <c r="N39" s="9">
        <f>E39-L39</f>
        <v/>
      </c>
      <c r="AV39" s="18" t="s">
        <v>883</v>
      </c>
      <c r="AW39" s="18" t="s">
        <v>884</v>
      </c>
    </row>
    <row r="40" spans="1:49">
      <c r="A40" s="47" t="s">
        <v>885</v>
      </c>
      <c r="B40" s="47" t="n">
        <v>27</v>
      </c>
      <c r="C40" s="47" t="n">
        <v>25</v>
      </c>
      <c r="D40" s="48">
        <f>D41-D42</f>
        <v/>
      </c>
      <c r="E40" s="48">
        <f>E41-E42</f>
        <v/>
      </c>
      <c r="K40" t="n">
        <v>8799113</v>
      </c>
      <c r="L40" t="n">
        <v>9585761</v>
      </c>
      <c r="M40" s="9">
        <f>D40-K40</f>
        <v/>
      </c>
      <c r="N40" s="9">
        <f>E40-L40</f>
        <v/>
      </c>
      <c r="AV40" s="18" t="s">
        <v>886</v>
      </c>
      <c r="AW40" s="18" t="s">
        <v>887</v>
      </c>
    </row>
    <row r="41" spans="1:49">
      <c r="A41" s="45" t="s">
        <v>888</v>
      </c>
      <c r="B41" s="45" t="n">
        <v>28</v>
      </c>
      <c r="C41" s="45" t="n">
        <v>26</v>
      </c>
      <c r="D41" s="46">
        <f>ABS(ROUND(SUMIF('Trial Balance'!N:N,F41,'Trial Balance'!H:H),0))</f>
        <v/>
      </c>
      <c r="E41" s="46">
        <f>ABS(ROUND(SUMIF('Trial Balance'!N:N,F41,'Trial Balance'!K:K),0))+G41</f>
        <v/>
      </c>
      <c r="F41">
        <f>"PL"&amp;C41</f>
        <v/>
      </c>
      <c r="H41" s="9">
        <f>SUMIF('Trial Balance'!N:N,F41,'Trial Balance'!H:H)</f>
        <v/>
      </c>
      <c r="I41" s="9">
        <f>SUMIF('Trial Balance'!N:N,F41,'Trial Balance'!K:K)</f>
        <v/>
      </c>
      <c r="K41" t="n">
        <v>8799113</v>
      </c>
      <c r="L41" t="n">
        <v>9585761</v>
      </c>
      <c r="M41" s="9">
        <f>D41-K41</f>
        <v/>
      </c>
      <c r="N41" s="9">
        <f>E41-L41</f>
        <v/>
      </c>
      <c r="AV41" s="18" t="s">
        <v>889</v>
      </c>
      <c r="AW41" s="18" t="s">
        <v>890</v>
      </c>
    </row>
    <row r="42" spans="1:49">
      <c r="A42" s="45" t="s">
        <v>891</v>
      </c>
      <c r="B42" s="45" t="n">
        <v>29</v>
      </c>
      <c r="C42" s="45" t="n">
        <v>27</v>
      </c>
      <c r="D42" s="46">
        <f>ABS(ROUND(SUMIF('Trial Balance'!N:N,F42,'Trial Balance'!H:H),0))</f>
        <v/>
      </c>
      <c r="E42" s="46">
        <f>ABS(ROUND(SUMIF('Trial Balance'!N:N,F42,'Trial Balance'!K:K),0))+G42</f>
        <v/>
      </c>
      <c r="F42">
        <f>"PL"&amp;C42</f>
        <v/>
      </c>
      <c r="H42" s="9">
        <f>SUMIF('Trial Balance'!N:N,F42,'Trial Balance'!H:H)</f>
        <v/>
      </c>
      <c r="I42" s="9">
        <f>SUMIF('Trial Balance'!N:N,F42,'Trial Balance'!K:K)</f>
        <v/>
      </c>
      <c r="M42" s="9">
        <f>D42-K42</f>
        <v/>
      </c>
      <c r="N42" s="9">
        <f>E42-L42</f>
        <v/>
      </c>
      <c r="AV42" s="18" t="s">
        <v>892</v>
      </c>
      <c r="AW42" s="18" t="s">
        <v>893</v>
      </c>
    </row>
    <row r="43" spans="1:49">
      <c r="A43" s="47" t="s">
        <v>894</v>
      </c>
      <c r="B43" s="47" t="n">
        <v>30</v>
      </c>
      <c r="C43" s="47" t="n">
        <v>28</v>
      </c>
      <c r="D43" s="48">
        <f>D44-D45</f>
        <v/>
      </c>
      <c r="E43" s="48">
        <f>E44-E45</f>
        <v/>
      </c>
      <c r="K43" t="n">
        <v>91275</v>
      </c>
      <c r="L43" t="n">
        <v>257229</v>
      </c>
      <c r="M43" s="9">
        <f>D43-K43</f>
        <v/>
      </c>
      <c r="N43" s="9">
        <f>E43-L43</f>
        <v/>
      </c>
      <c r="AV43" s="18" t="s">
        <v>895</v>
      </c>
      <c r="AW43" s="18" t="s">
        <v>896</v>
      </c>
    </row>
    <row r="44" spans="1:49">
      <c r="A44" s="45" t="s">
        <v>897</v>
      </c>
      <c r="B44" s="45" t="n">
        <v>31</v>
      </c>
      <c r="C44" s="45" t="n">
        <v>29</v>
      </c>
      <c r="D44" s="46">
        <f>ABS(ROUND(SUMIF('Trial Balance'!N:N,F44,'Trial Balance'!H:H),0))</f>
        <v/>
      </c>
      <c r="E44" s="46">
        <f>ABS(ROUND(SUMIF('Trial Balance'!N:N,F44,'Trial Balance'!K:K),0))+G44</f>
        <v/>
      </c>
      <c r="F44">
        <f>"PL"&amp;C44</f>
        <v/>
      </c>
      <c r="H44" s="9">
        <f>SUMIF('Trial Balance'!N:N,F44,'Trial Balance'!H:H)</f>
        <v/>
      </c>
      <c r="I44" s="9">
        <f>SUMIF('Trial Balance'!N:N,F44,'Trial Balance'!K:K)</f>
        <v/>
      </c>
      <c r="K44" t="n">
        <v>347595</v>
      </c>
      <c r="L44" t="n">
        <v>714049</v>
      </c>
      <c r="M44" s="9">
        <f>D44-K44</f>
        <v/>
      </c>
      <c r="N44" s="9">
        <f>E44-L44</f>
        <v/>
      </c>
      <c r="AV44" s="18" t="s">
        <v>898</v>
      </c>
      <c r="AW44" s="18" t="s">
        <v>899</v>
      </c>
    </row>
    <row r="45" spans="1:49">
      <c r="A45" s="45" t="s">
        <v>900</v>
      </c>
      <c r="B45" s="45" t="n">
        <v>32</v>
      </c>
      <c r="C45" s="45" t="n">
        <v>30</v>
      </c>
      <c r="D45" s="46">
        <f>ABS(ROUND(SUMIF('Trial Balance'!N:N,F45,'Trial Balance'!H:H),0))</f>
        <v/>
      </c>
      <c r="E45" s="46">
        <f>ABS(ROUND(SUMIF('Trial Balance'!N:N,F45,'Trial Balance'!K:K),0))+G45</f>
        <v/>
      </c>
      <c r="F45">
        <f>"PL"&amp;C45</f>
        <v/>
      </c>
      <c r="H45" s="9">
        <f>SUMIF('Trial Balance'!N:N,F45,'Trial Balance'!H:H)</f>
        <v/>
      </c>
      <c r="I45" s="9">
        <f>SUMIF('Trial Balance'!N:N,F45,'Trial Balance'!K:K)</f>
        <v/>
      </c>
      <c r="K45" t="n">
        <v>256320</v>
      </c>
      <c r="L45" t="n">
        <v>456820</v>
      </c>
      <c r="M45" s="9">
        <f>D45-K45</f>
        <v/>
      </c>
      <c r="N45" s="9">
        <f>E45-L45</f>
        <v/>
      </c>
      <c r="AV45" s="18" t="s">
        <v>901</v>
      </c>
      <c r="AW45" s="18" t="s">
        <v>902</v>
      </c>
    </row>
    <row r="46" spans="1:49">
      <c r="A46" s="47" t="s">
        <v>903</v>
      </c>
      <c r="B46" s="47" t="n">
        <v>33</v>
      </c>
      <c r="C46" s="47" t="n">
        <v>31</v>
      </c>
      <c r="D46" s="48">
        <f>SUM(D47:D52)</f>
        <v/>
      </c>
      <c r="E46" s="48">
        <f>SUM(E47:E52)</f>
        <v/>
      </c>
      <c r="K46" t="n">
        <v>11073658</v>
      </c>
      <c r="L46" t="n">
        <v>15538352</v>
      </c>
      <c r="M46" s="9">
        <f>D46-K46</f>
        <v/>
      </c>
      <c r="N46" s="9">
        <f>E46-L46</f>
        <v/>
      </c>
      <c r="AV46" s="18" t="s">
        <v>904</v>
      </c>
      <c r="AW46" s="18" t="s">
        <v>905</v>
      </c>
    </row>
    <row r="47" spans="1:49">
      <c r="A47" s="45" t="s">
        <v>906</v>
      </c>
      <c r="B47" s="45" t="n">
        <v>34</v>
      </c>
      <c r="C47" s="45" t="n">
        <v>32</v>
      </c>
      <c r="D47" s="46">
        <f>ABS(ROUND(SUMIF('Trial Balance'!N:N,F47,'Trial Balance'!H:H),0))</f>
        <v/>
      </c>
      <c r="E47" s="46">
        <f>ABS(ROUND(SUMIF('Trial Balance'!N:N,F47,'Trial Balance'!K:K),0))+G47</f>
        <v/>
      </c>
      <c r="F47">
        <f>"PL"&amp;C47</f>
        <v/>
      </c>
      <c r="H47" s="9">
        <f>SUMIF('Trial Balance'!N:N,F47,'Trial Balance'!H:H)</f>
        <v/>
      </c>
      <c r="I47" s="9">
        <f>SUMIF('Trial Balance'!N:N,F47,'Trial Balance'!K:K)</f>
        <v/>
      </c>
      <c r="K47" t="n">
        <v>10087750</v>
      </c>
      <c r="L47" t="n">
        <v>14671521</v>
      </c>
      <c r="M47" s="9">
        <f>D47-K47</f>
        <v/>
      </c>
      <c r="N47" s="9">
        <f>E47-L47</f>
        <v/>
      </c>
      <c r="AV47" s="18" t="s">
        <v>907</v>
      </c>
      <c r="AW47" s="18" t="s">
        <v>908</v>
      </c>
    </row>
    <row r="48" spans="1:49">
      <c r="A48" s="45" t="s">
        <v>909</v>
      </c>
      <c r="B48" s="45">
        <f>B47+1</f>
        <v/>
      </c>
      <c r="C48" s="45" t="n">
        <v>33</v>
      </c>
      <c r="D48" s="46">
        <f>ABS(ROUND(SUMIF('Trial Balance'!N:N,F48,'Trial Balance'!H:H),0))</f>
        <v/>
      </c>
      <c r="E48" s="46">
        <f>ABS(ROUND(SUMIF('Trial Balance'!N:N,F48,'Trial Balance'!K:K),0))+G48</f>
        <v/>
      </c>
      <c r="F48">
        <f>"PL"&amp;C48</f>
        <v/>
      </c>
      <c r="H48" s="9">
        <f>SUMIF('Trial Balance'!N:N,F48,'Trial Balance'!H:H)</f>
        <v/>
      </c>
      <c r="I48" s="9">
        <f>SUMIF('Trial Balance'!N:N,F48,'Trial Balance'!K:K)</f>
        <v/>
      </c>
      <c r="K48" t="n">
        <v>620548</v>
      </c>
      <c r="L48" t="n">
        <v>689727</v>
      </c>
      <c r="M48" s="9">
        <f>D48-K48</f>
        <v/>
      </c>
      <c r="N48" s="9">
        <f>E48-L48</f>
        <v/>
      </c>
      <c r="AV48" s="18" t="s">
        <v>910</v>
      </c>
      <c r="AW48" s="18" t="s">
        <v>911</v>
      </c>
    </row>
    <row r="49" spans="1:49">
      <c r="A49" s="45" t="s">
        <v>912</v>
      </c>
      <c r="B49" s="45">
        <f>B48+1</f>
        <v/>
      </c>
      <c r="C49" s="45" t="n">
        <v>34</v>
      </c>
      <c r="D49" s="46">
        <f>ABS(ROUND(SUMIF('Trial Balance'!N:N,F49,'Trial Balance'!H:H),0))</f>
        <v/>
      </c>
      <c r="E49" s="46">
        <f>ABS(ROUND(SUMIF('Trial Balance'!N:N,F49,'Trial Balance'!K:K),0))+G49</f>
        <v/>
      </c>
      <c r="F49">
        <f>"PL"&amp;C49</f>
        <v/>
      </c>
      <c r="H49" s="9">
        <f>SUMIF('Trial Balance'!N:N,F49,'Trial Balance'!H:H)</f>
        <v/>
      </c>
      <c r="I49" s="9">
        <f>SUMIF('Trial Balance'!N:N,F49,'Trial Balance'!K:K)</f>
        <v/>
      </c>
      <c r="K49" t="n">
        <v>1519</v>
      </c>
      <c r="L49" t="n">
        <v>2026</v>
      </c>
      <c r="M49" s="9">
        <f>D49-K49</f>
        <v/>
      </c>
      <c r="N49" s="9">
        <f>E49-L49</f>
        <v/>
      </c>
      <c r="AV49" s="18" t="s">
        <v>913</v>
      </c>
      <c r="AW49" s="18" t="s">
        <v>914</v>
      </c>
    </row>
    <row r="50" spans="1:49">
      <c r="A50" s="45" t="s">
        <v>915</v>
      </c>
      <c r="B50" s="45">
        <f>B49+1</f>
        <v/>
      </c>
      <c r="C50" s="45" t="n">
        <v>35</v>
      </c>
      <c r="D50" s="46">
        <f>ABS(ROUND(SUMIF('Trial Balance'!N:N,F50,'Trial Balance'!H:H),0))</f>
        <v/>
      </c>
      <c r="E50" s="46">
        <f>ABS(ROUND(SUMIF('Trial Balance'!N:N,F50,'Trial Balance'!K:K),0))+G50</f>
        <v/>
      </c>
      <c r="F50">
        <f>"PL"&amp;C50</f>
        <v/>
      </c>
      <c r="H50" s="9">
        <f>SUMIF('Trial Balance'!N:N,F50,'Trial Balance'!H:H)</f>
        <v/>
      </c>
      <c r="I50" s="9">
        <f>SUMIF('Trial Balance'!N:N,F50,'Trial Balance'!K:K)</f>
        <v/>
      </c>
      <c r="K50" t="n">
        <v>108576</v>
      </c>
      <c r="M50" s="9">
        <f>D50-K50</f>
        <v/>
      </c>
      <c r="N50" s="9">
        <f>E50-L50</f>
        <v/>
      </c>
      <c r="AV50" s="18" t="s">
        <v>916</v>
      </c>
      <c r="AW50" s="18" t="s">
        <v>917</v>
      </c>
    </row>
    <row r="51" spans="1:49">
      <c r="A51" s="45" t="s">
        <v>918</v>
      </c>
      <c r="B51" s="45">
        <f>B50+1</f>
        <v/>
      </c>
      <c r="C51" s="45" t="n">
        <v>36</v>
      </c>
      <c r="D51" s="46">
        <f>ABS(ROUND(SUMIF('Trial Balance'!N:N,F51,'Trial Balance'!H:H),0))</f>
        <v/>
      </c>
      <c r="E51" s="46">
        <f>ABS(ROUND(SUMIF('Trial Balance'!N:N,F51,'Trial Balance'!K:K),0))+G51</f>
        <v/>
      </c>
      <c r="F51">
        <f>"PL"&amp;C51</f>
        <v/>
      </c>
      <c r="H51" s="9">
        <f>SUMIF('Trial Balance'!N:N,F51,'Trial Balance'!H:H)</f>
        <v/>
      </c>
      <c r="I51" s="9">
        <f>SUMIF('Trial Balance'!N:N,F51,'Trial Balance'!K:K)</f>
        <v/>
      </c>
      <c r="M51" s="9">
        <f>D51-K51</f>
        <v/>
      </c>
      <c r="N51" s="9">
        <f>E51-L51</f>
        <v/>
      </c>
      <c r="AV51" s="18" t="s">
        <v>919</v>
      </c>
      <c r="AW51" s="18" t="s">
        <v>920</v>
      </c>
    </row>
    <row r="52" spans="1:49">
      <c r="A52" s="45" t="s">
        <v>921</v>
      </c>
      <c r="B52" s="45">
        <f>B51+1</f>
        <v/>
      </c>
      <c r="C52" s="45" t="n">
        <v>37</v>
      </c>
      <c r="D52" s="46">
        <f>ABS(ROUND(SUMIF('Trial Balance'!N:N,F52,'Trial Balance'!H:H),0))</f>
        <v/>
      </c>
      <c r="E52" s="46">
        <f>ABS(ROUND(SUMIF('Trial Balance'!N:N,F52,'Trial Balance'!K:K),0))+G52</f>
        <v/>
      </c>
      <c r="F52">
        <f>"PL"&amp;C52</f>
        <v/>
      </c>
      <c r="H52" s="9">
        <f>SUMIF('Trial Balance'!N:N,F52,'Trial Balance'!H:H)</f>
        <v/>
      </c>
      <c r="I52" s="9">
        <f>SUMIF('Trial Balance'!N:N,F52,'Trial Balance'!K:K)</f>
        <v/>
      </c>
      <c r="K52" t="n">
        <v>255265</v>
      </c>
      <c r="L52" t="n">
        <v>175078</v>
      </c>
      <c r="M52" s="9">
        <f>D52-K52</f>
        <v/>
      </c>
      <c r="N52" s="9">
        <f>E52-L52</f>
        <v/>
      </c>
      <c r="AV52" s="18" t="s">
        <v>922</v>
      </c>
      <c r="AW52" s="18" t="s">
        <v>923</v>
      </c>
    </row>
    <row r="53" spans="1:49">
      <c r="A53" s="45" t="s">
        <v>924</v>
      </c>
      <c r="B53" s="45" t="n"/>
      <c r="C53" s="45" t="n">
        <v>38</v>
      </c>
      <c r="D53" s="46" t="n"/>
      <c r="E53" s="46" t="n"/>
      <c r="M53" s="9">
        <f>D53-K53</f>
        <v/>
      </c>
      <c r="N53" s="9">
        <f>E53-L53</f>
        <v/>
      </c>
      <c r="AV53" s="18" t="s">
        <v>925</v>
      </c>
      <c r="AW53" s="18" t="s">
        <v>926</v>
      </c>
    </row>
    <row r="54" spans="1:49">
      <c r="A54" s="47" t="s">
        <v>927</v>
      </c>
      <c r="B54" s="47" t="n">
        <v>40</v>
      </c>
      <c r="C54" s="47" t="n">
        <v>39</v>
      </c>
      <c r="D54" s="48">
        <f>D55-D56</f>
        <v/>
      </c>
      <c r="E54" s="48">
        <f>E55-E56</f>
        <v/>
      </c>
      <c r="K54" t="n">
        <v>117506</v>
      </c>
      <c r="L54" t="n">
        <v>84899</v>
      </c>
      <c r="M54" s="9">
        <f>D54-K54</f>
        <v/>
      </c>
      <c r="N54" s="9">
        <f>E54-L54</f>
        <v/>
      </c>
      <c r="AV54" s="18" t="s">
        <v>928</v>
      </c>
      <c r="AW54" s="18" t="s">
        <v>929</v>
      </c>
    </row>
    <row r="55" spans="1:49">
      <c r="A55" s="45" t="s">
        <v>930</v>
      </c>
      <c r="B55" s="45" t="n">
        <v>41</v>
      </c>
      <c r="C55" s="45" t="n">
        <v>40</v>
      </c>
      <c r="D55" s="46">
        <f>ABS(ROUND(SUMIF('Trial Balance'!N:N,F55,'Trial Balance'!H:H),0))</f>
        <v/>
      </c>
      <c r="E55" s="46">
        <f>ABS(ROUND(SUMIF('Trial Balance'!N:N,F55,'Trial Balance'!K:K),0))+G55</f>
        <v/>
      </c>
      <c r="F55">
        <f>"PL"&amp;C55</f>
        <v/>
      </c>
      <c r="H55" s="9">
        <f>SUMIF('Trial Balance'!N:N,F55,'Trial Balance'!H:H)</f>
        <v/>
      </c>
      <c r="I55" s="9">
        <f>SUMIF('Trial Balance'!N:N,F55,'Trial Balance'!K:K)</f>
        <v/>
      </c>
      <c r="K55" t="n">
        <v>478051</v>
      </c>
      <c r="L55" t="n">
        <v>569144</v>
      </c>
      <c r="M55" s="9">
        <f>D55-K55</f>
        <v/>
      </c>
      <c r="N55" s="9">
        <f>E55-L55</f>
        <v/>
      </c>
      <c r="AV55" s="18" t="s">
        <v>931</v>
      </c>
      <c r="AW55" s="18" t="s">
        <v>932</v>
      </c>
    </row>
    <row r="56" spans="1:49">
      <c r="A56" s="45" t="s">
        <v>933</v>
      </c>
      <c r="B56" s="45" t="n">
        <v>42</v>
      </c>
      <c r="C56" s="45" t="n">
        <v>41</v>
      </c>
      <c r="D56" s="46">
        <f>ABS(ROUND(SUMIF('Trial Balance'!N:N,F56,'Trial Balance'!H:H),0))</f>
        <v/>
      </c>
      <c r="E56" s="46">
        <f>ABS(ROUND(SUMIF('Trial Balance'!N:N,F56,'Trial Balance'!K:K),0))+G56</f>
        <v/>
      </c>
      <c r="F56">
        <f>"PL"&amp;C56</f>
        <v/>
      </c>
      <c r="H56" s="9">
        <f>SUMIF('Trial Balance'!N:N,F56,'Trial Balance'!H:H)</f>
        <v/>
      </c>
      <c r="I56" s="9">
        <f>SUMIF('Trial Balance'!N:N,F56,'Trial Balance'!K:K)</f>
        <v/>
      </c>
      <c r="K56" t="n">
        <v>360545</v>
      </c>
      <c r="L56" t="n">
        <v>484245</v>
      </c>
      <c r="M56" s="9">
        <f>D56-K56</f>
        <v/>
      </c>
      <c r="N56" s="9">
        <f>E56-L56</f>
        <v/>
      </c>
      <c r="AV56" s="18" t="s">
        <v>934</v>
      </c>
      <c r="AW56" s="18" t="s">
        <v>935</v>
      </c>
    </row>
    <row r="57" spans="1:49">
      <c r="A57" s="47" t="s">
        <v>936</v>
      </c>
      <c r="B57" s="47" t="n">
        <v>43</v>
      </c>
      <c r="C57" s="47" t="n">
        <v>42</v>
      </c>
      <c r="D57" s="48">
        <f>SUM(D30:D32)+D35-D36+D37+D40+D43+D46+D54</f>
        <v/>
      </c>
      <c r="E57" s="48">
        <f>SUM(E30:E32)+E35-E36+E37+E40+E43+E46+E54</f>
        <v/>
      </c>
      <c r="K57" t="n">
        <v>115824631</v>
      </c>
      <c r="L57" t="n">
        <v>155611886</v>
      </c>
      <c r="M57" s="9">
        <f>D57-K57</f>
        <v/>
      </c>
      <c r="N57" s="9">
        <f>E57-L57</f>
        <v/>
      </c>
      <c r="AV57" s="18" t="s">
        <v>937</v>
      </c>
      <c r="AW57" s="18" t="s">
        <v>938</v>
      </c>
    </row>
    <row r="58" spans="1:49">
      <c r="A58" s="45" t="s">
        <v>939</v>
      </c>
      <c r="B58" s="45" t="n"/>
      <c r="C58" s="45" t="n"/>
      <c r="D58" s="46" t="n"/>
      <c r="E58" s="46" t="n"/>
      <c r="M58" s="9">
        <f>D58-K58</f>
        <v/>
      </c>
      <c r="N58" s="9">
        <f>E58-L58</f>
        <v/>
      </c>
    </row>
    <row r="59" spans="1:49">
      <c r="A59" s="47" t="s">
        <v>940</v>
      </c>
      <c r="B59" s="47" t="n">
        <v>44</v>
      </c>
      <c r="C59" s="47" t="n">
        <v>43</v>
      </c>
      <c r="D59" s="48">
        <f>IF((D57-D29)&lt;0,-(D57-D29),0)</f>
        <v/>
      </c>
      <c r="E59" s="48">
        <f>IF((E57-E29)&lt;0,-(E57-E29),0)</f>
        <v/>
      </c>
      <c r="K59" t="n">
        <v>4317328</v>
      </c>
      <c r="L59" t="n">
        <v>3647267</v>
      </c>
      <c r="M59" s="9">
        <f>D59-K59</f>
        <v/>
      </c>
      <c r="N59" s="9">
        <f>E59-L59</f>
        <v/>
      </c>
      <c r="AV59" s="18" t="s">
        <v>941</v>
      </c>
      <c r="AW59" s="18" t="s">
        <v>942</v>
      </c>
    </row>
    <row r="60" spans="1:49">
      <c r="A60" s="47" t="s">
        <v>943</v>
      </c>
      <c r="B60" s="47" t="n">
        <v>45</v>
      </c>
      <c r="C60" s="47" t="n">
        <v>44</v>
      </c>
      <c r="D60" s="48">
        <f>IF(D59=0,D57-D29,0)</f>
        <v/>
      </c>
      <c r="E60" s="48">
        <f>IF(E59=0,E57-E29,0)</f>
        <v/>
      </c>
      <c r="K60" t="n">
        <v>0</v>
      </c>
      <c r="L60" t="n">
        <v>0</v>
      </c>
      <c r="M60" s="9">
        <f>D60-K60</f>
        <v/>
      </c>
      <c r="N60" s="9">
        <f>E60-L60</f>
        <v/>
      </c>
      <c r="AV60" s="18" t="s">
        <v>944</v>
      </c>
      <c r="AW60" s="18" t="s">
        <v>945</v>
      </c>
    </row>
    <row r="61" spans="1:49">
      <c r="A61" s="45" t="s">
        <v>946</v>
      </c>
      <c r="B61" s="45">
        <f>B60+1</f>
        <v/>
      </c>
      <c r="C61" s="45" t="n">
        <v>45</v>
      </c>
      <c r="D61" s="46">
        <f>ABS(ROUND(SUMIF('Trial Balance'!N:N,F61,'Trial Balance'!H:H),0))</f>
        <v/>
      </c>
      <c r="E61" s="46">
        <f>ABS(ROUND(SUMIF('Trial Balance'!N:N,F61,'Trial Balance'!K:K),0))+G61</f>
        <v/>
      </c>
      <c r="F61">
        <f>"PL"&amp;C61</f>
        <v/>
      </c>
      <c r="H61" s="9">
        <f>SUMIF('Trial Balance'!N:N,F61,'Trial Balance'!H:H)</f>
        <v/>
      </c>
      <c r="I61" s="9">
        <f>SUMIF('Trial Balance'!N:N,F61,'Trial Balance'!K:K)</f>
        <v/>
      </c>
      <c r="M61" s="9">
        <f>D61-K61</f>
        <v/>
      </c>
      <c r="N61" s="9">
        <f>E61-L61</f>
        <v/>
      </c>
      <c r="AV61" s="18" t="s">
        <v>947</v>
      </c>
      <c r="AW61" s="18" t="s">
        <v>948</v>
      </c>
    </row>
    <row r="62" spans="1:49">
      <c r="A62" s="45" t="s">
        <v>949</v>
      </c>
      <c r="B62" s="45">
        <f>B61+1</f>
        <v/>
      </c>
      <c r="C62" s="45" t="n">
        <v>46</v>
      </c>
      <c r="D62" s="46">
        <f>ABS(ROUND(SUMIF('Trial Balance'!N:N,F62,'Trial Balance'!H:H),0))</f>
        <v/>
      </c>
      <c r="E62" s="46">
        <f>ABS(ROUND(SUMIF('Trial Balance'!N:N,F62,'Trial Balance'!K:K),0))+G62</f>
        <v/>
      </c>
      <c r="F62">
        <f>"PL"&amp;C62</f>
        <v/>
      </c>
      <c r="H62" s="9">
        <f>SUMIF('Trial Balance'!N:N,F62,'Trial Balance'!H:H)</f>
        <v/>
      </c>
      <c r="I62" s="9">
        <f>SUMIF('Trial Balance'!N:N,F62,'Trial Balance'!K:K)</f>
        <v/>
      </c>
      <c r="M62" s="9">
        <f>D62-K62</f>
        <v/>
      </c>
      <c r="N62" s="9">
        <f>E62-L62</f>
        <v/>
      </c>
      <c r="AV62" s="18" t="s">
        <v>950</v>
      </c>
      <c r="AW62" s="18" t="s">
        <v>951</v>
      </c>
    </row>
    <row r="63" spans="1:49">
      <c r="A63" s="45" t="s">
        <v>952</v>
      </c>
      <c r="B63" s="45">
        <f>B62+1</f>
        <v/>
      </c>
      <c r="C63" s="45" t="n">
        <v>47</v>
      </c>
      <c r="D63" s="46">
        <f>ABS(ROUND(SUMIF('Trial Balance'!N:N,F63,'Trial Balance'!H:H),0))</f>
        <v/>
      </c>
      <c r="E63" s="46">
        <f>ABS(ROUND(SUMIF('Trial Balance'!N:N,F63,'Trial Balance'!K:K),0))+G63</f>
        <v/>
      </c>
      <c r="F63">
        <f>"PL"&amp;C63</f>
        <v/>
      </c>
      <c r="H63" s="9">
        <f>SUMIF('Trial Balance'!N:N,F63,'Trial Balance'!H:H)</f>
        <v/>
      </c>
      <c r="I63" s="9">
        <f>SUMIF('Trial Balance'!N:N,F63,'Trial Balance'!K:K)</f>
        <v/>
      </c>
      <c r="K63" t="n">
        <v>341</v>
      </c>
      <c r="L63" t="n">
        <v>3888</v>
      </c>
      <c r="M63" s="9">
        <f>D63-K63</f>
        <v/>
      </c>
      <c r="N63" s="9">
        <f>E63-L63</f>
        <v/>
      </c>
      <c r="AV63" s="18" t="s">
        <v>953</v>
      </c>
      <c r="AW63" s="18" t="s">
        <v>954</v>
      </c>
    </row>
    <row r="64" spans="1:49">
      <c r="A64" s="45" t="s">
        <v>949</v>
      </c>
      <c r="B64" s="45">
        <f>B63+1</f>
        <v/>
      </c>
      <c r="C64" s="45" t="n">
        <v>48</v>
      </c>
      <c r="D64" s="46">
        <f>ABS(ROUND(SUMIF('Trial Balance'!N:N,F64,'Trial Balance'!H:H),0))</f>
        <v/>
      </c>
      <c r="E64" s="46">
        <f>ABS(ROUND(SUMIF('Trial Balance'!N:N,F64,'Trial Balance'!K:K),0))+G64</f>
        <v/>
      </c>
      <c r="F64">
        <f>"PL"&amp;C64</f>
        <v/>
      </c>
      <c r="H64" s="9">
        <f>SUMIF('Trial Balance'!N:N,F64,'Trial Balance'!H:H)</f>
        <v/>
      </c>
      <c r="I64" s="9">
        <f>SUMIF('Trial Balance'!N:N,F64,'Trial Balance'!K:K)</f>
        <v/>
      </c>
      <c r="M64" s="9">
        <f>D64-K64</f>
        <v/>
      </c>
      <c r="N64" s="9">
        <f>E64-L64</f>
        <v/>
      </c>
      <c r="AV64" s="18" t="s">
        <v>955</v>
      </c>
      <c r="AW64" s="18" t="s">
        <v>956</v>
      </c>
    </row>
    <row r="65" spans="1:49">
      <c r="A65" s="45" t="s">
        <v>957</v>
      </c>
      <c r="B65" s="45">
        <f>B64+1</f>
        <v/>
      </c>
      <c r="C65" s="45" t="n">
        <v>49</v>
      </c>
      <c r="D65" s="46">
        <f>ABS(ROUND(SUMIF('Trial Balance'!N:N,F65,'Trial Balance'!H:H),0))</f>
        <v/>
      </c>
      <c r="E65" s="46">
        <f>ABS(ROUND(SUMIF('Trial Balance'!N:N,F65,'Trial Balance'!K:K),0))+G65</f>
        <v/>
      </c>
      <c r="F65">
        <f>"PL"&amp;C65</f>
        <v/>
      </c>
      <c r="H65" s="9">
        <f>SUMIF('Trial Balance'!N:N,F65,'Trial Balance'!H:H)</f>
        <v/>
      </c>
      <c r="I65" s="9">
        <f>SUMIF('Trial Balance'!N:N,F65,'Trial Balance'!K:K)</f>
        <v/>
      </c>
      <c r="M65" s="9">
        <f>D65-K65</f>
        <v/>
      </c>
      <c r="N65" s="9">
        <f>E65-L65</f>
        <v/>
      </c>
      <c r="AV65" s="18" t="s">
        <v>958</v>
      </c>
      <c r="AW65" s="18" t="s">
        <v>959</v>
      </c>
    </row>
    <row r="66" spans="1:49">
      <c r="A66" s="45" t="s">
        <v>960</v>
      </c>
      <c r="B66" s="45">
        <f>B65+1</f>
        <v/>
      </c>
      <c r="C66" s="45" t="n">
        <v>50</v>
      </c>
      <c r="D66" s="46">
        <f>ABS(ROUND(SUMIF('Trial Balance'!N:N,F66,'Trial Balance'!H:H),0))</f>
        <v/>
      </c>
      <c r="E66" s="46">
        <f>ABS(ROUND(SUMIF('Trial Balance'!N:N,F66,'Trial Balance'!K:K),0))+G66</f>
        <v/>
      </c>
      <c r="F66">
        <f>"PL"&amp;C66</f>
        <v/>
      </c>
      <c r="H66" s="9">
        <f>SUMIF('Trial Balance'!N:N,F66,'Trial Balance'!H:H)</f>
        <v/>
      </c>
      <c r="I66" s="9">
        <f>SUMIF('Trial Balance'!N:N,F66,'Trial Balance'!K:K)</f>
        <v/>
      </c>
      <c r="K66" t="n">
        <v>1579261</v>
      </c>
      <c r="L66" t="n">
        <v>4684094</v>
      </c>
      <c r="M66" s="9">
        <f>D66-K66</f>
        <v/>
      </c>
      <c r="N66" s="9">
        <f>E66-L66</f>
        <v/>
      </c>
      <c r="AV66" s="18" t="s">
        <v>961</v>
      </c>
      <c r="AW66" s="18" t="s">
        <v>962</v>
      </c>
    </row>
    <row r="67" spans="1:49">
      <c r="A67" s="45" t="s">
        <v>963</v>
      </c>
      <c r="B67" s="45">
        <f>B66+1</f>
        <v/>
      </c>
      <c r="C67" s="45" t="n">
        <v>51</v>
      </c>
      <c r="D67" s="46">
        <f>ABS(ROUND(SUMIF('Trial Balance'!N:N,F67,'Trial Balance'!H:H),0))</f>
        <v/>
      </c>
      <c r="E67" s="46">
        <f>ABS(ROUND(SUMIF('Trial Balance'!N:N,F67,'Trial Balance'!K:K),0))+G67</f>
        <v/>
      </c>
      <c r="F67">
        <f>"PL"&amp;C67</f>
        <v/>
      </c>
      <c r="H67" s="9">
        <f>SUMIF('Trial Balance'!N:N,F67,'Trial Balance'!H:H)</f>
        <v/>
      </c>
      <c r="I67" s="9">
        <f>SUMIF('Trial Balance'!N:N,F67,'Trial Balance'!K:K)</f>
        <v/>
      </c>
      <c r="M67" s="9">
        <f>D67-K67</f>
        <v/>
      </c>
      <c r="N67" s="9">
        <f>E67-L67</f>
        <v/>
      </c>
      <c r="AV67" s="18" t="s">
        <v>964</v>
      </c>
      <c r="AW67" s="18" t="s">
        <v>965</v>
      </c>
    </row>
    <row r="68" spans="1:49">
      <c r="A68" s="47" t="s">
        <v>966</v>
      </c>
      <c r="B68" s="47" t="n">
        <v>53</v>
      </c>
      <c r="C68" s="47" t="n">
        <v>52</v>
      </c>
      <c r="D68" s="48">
        <f>D61+D63+D65+D66</f>
        <v/>
      </c>
      <c r="E68" s="48">
        <f>E61+E63+E65+E66</f>
        <v/>
      </c>
      <c r="K68" t="n">
        <v>1579602</v>
      </c>
      <c r="L68" t="n">
        <v>4687982</v>
      </c>
      <c r="M68" s="9">
        <f>D68-K68</f>
        <v/>
      </c>
      <c r="N68" s="9">
        <f>E68-L68</f>
        <v/>
      </c>
      <c r="AV68" s="18" t="s">
        <v>967</v>
      </c>
      <c r="AW68" s="18" t="s">
        <v>968</v>
      </c>
    </row>
    <row r="69" spans="1:49" ht="36" customHeight="1">
      <c r="A69" s="66" t="s">
        <v>969</v>
      </c>
      <c r="B69" s="47" t="n">
        <v>54</v>
      </c>
      <c r="C69" s="47" t="n">
        <v>53</v>
      </c>
      <c r="D69" s="48">
        <f>D70-D71</f>
        <v/>
      </c>
      <c r="E69" s="48">
        <f>E70-E71</f>
        <v/>
      </c>
      <c r="M69" s="9">
        <f>D69-K69</f>
        <v/>
      </c>
      <c r="N69" s="9">
        <f>E69-L69</f>
        <v/>
      </c>
      <c r="AV69" s="18" t="s">
        <v>970</v>
      </c>
      <c r="AW69" s="18" t="s">
        <v>971</v>
      </c>
    </row>
    <row r="70" spans="1:49">
      <c r="A70" s="45" t="s">
        <v>972</v>
      </c>
      <c r="B70" s="45">
        <f>B69+1</f>
        <v/>
      </c>
      <c r="C70" s="45" t="n">
        <v>54</v>
      </c>
      <c r="D70" s="46">
        <f>ABS(ROUND(SUMIF('Trial Balance'!N:N,F70,'Trial Balance'!H:H),0))</f>
        <v/>
      </c>
      <c r="E70" s="46">
        <f>ABS(ROUND(SUMIF('Trial Balance'!N:N,F70,'Trial Balance'!K:K),0))+G70</f>
        <v/>
      </c>
      <c r="F70">
        <f>"PL"&amp;C70</f>
        <v/>
      </c>
      <c r="H70" s="9">
        <f>SUMIF('Trial Balance'!N:N,F70,'Trial Balance'!H:H)</f>
        <v/>
      </c>
      <c r="I70" s="9">
        <f>SUMIF('Trial Balance'!N:N,F70,'Trial Balance'!K:K)</f>
        <v/>
      </c>
      <c r="M70" s="9">
        <f>D70-K70</f>
        <v/>
      </c>
      <c r="N70" s="9">
        <f>E70-L70</f>
        <v/>
      </c>
      <c r="AV70" s="18" t="s">
        <v>973</v>
      </c>
      <c r="AW70" s="18" t="s">
        <v>974</v>
      </c>
    </row>
    <row r="71" spans="1:49">
      <c r="A71" s="45" t="s">
        <v>975</v>
      </c>
      <c r="B71" s="45">
        <f>B70+1</f>
        <v/>
      </c>
      <c r="C71" s="45" t="n">
        <v>55</v>
      </c>
      <c r="D71" s="46">
        <f>ABS(ROUND(SUMIF('Trial Balance'!N:N,F71,'Trial Balance'!H:H),0))</f>
        <v/>
      </c>
      <c r="E71" s="46">
        <f>ABS(ROUND(SUMIF('Trial Balance'!N:N,F71,'Trial Balance'!K:K),0))+G71</f>
        <v/>
      </c>
      <c r="F71">
        <f>"PL"&amp;C71</f>
        <v/>
      </c>
      <c r="H71" s="9">
        <f>SUMIF('Trial Balance'!N:N,F71,'Trial Balance'!H:H)</f>
        <v/>
      </c>
      <c r="I71" s="9">
        <f>SUMIF('Trial Balance'!N:N,F71,'Trial Balance'!K:K)</f>
        <v/>
      </c>
      <c r="M71" s="9">
        <f>D71-K71</f>
        <v/>
      </c>
      <c r="N71" s="9">
        <f>E71-L71</f>
        <v/>
      </c>
      <c r="AV71" s="18" t="s">
        <v>976</v>
      </c>
      <c r="AW71" s="18" t="s">
        <v>977</v>
      </c>
    </row>
    <row r="72" spans="1:49">
      <c r="A72" s="45" t="s">
        <v>978</v>
      </c>
      <c r="B72" s="45">
        <f>B71+1</f>
        <v/>
      </c>
      <c r="C72" s="45" t="n">
        <v>56</v>
      </c>
      <c r="D72" s="46">
        <f>ABS(ROUND(SUMIF('Trial Balance'!N:N,F72,'Trial Balance'!H:H),0))</f>
        <v/>
      </c>
      <c r="E72" s="46">
        <f>ABS(ROUND(SUMIF('Trial Balance'!N:N,F72,'Trial Balance'!K:K),0))+G72</f>
        <v/>
      </c>
      <c r="F72">
        <f>"PL"&amp;C72</f>
        <v/>
      </c>
      <c r="H72" s="9">
        <f>SUMIF('Trial Balance'!N:N,F72,'Trial Balance'!H:H)</f>
        <v/>
      </c>
      <c r="I72" s="9">
        <f>SUMIF('Trial Balance'!N:N,F72,'Trial Balance'!K:K)</f>
        <v/>
      </c>
      <c r="K72" t="n">
        <v>2942693</v>
      </c>
      <c r="L72" t="n">
        <v>2666132</v>
      </c>
      <c r="M72" s="9">
        <f>D72-K72</f>
        <v/>
      </c>
      <c r="N72" s="9">
        <f>E72-L72</f>
        <v/>
      </c>
      <c r="AV72" s="18" t="s">
        <v>979</v>
      </c>
      <c r="AW72" s="18" t="s">
        <v>980</v>
      </c>
    </row>
    <row r="73" spans="1:49">
      <c r="A73" s="45" t="s">
        <v>981</v>
      </c>
      <c r="B73" s="45">
        <f>B72+1</f>
        <v/>
      </c>
      <c r="C73" s="45" t="n">
        <v>57</v>
      </c>
      <c r="D73" s="46">
        <f>ABS(ROUND(SUMIF('Trial Balance'!N:N,F73,'Trial Balance'!H:H),0))</f>
        <v/>
      </c>
      <c r="E73" s="46">
        <f>ABS(ROUND(SUMIF('Trial Balance'!N:N,F73,'Trial Balance'!K:K),0))+G73</f>
        <v/>
      </c>
      <c r="F73">
        <f>"PL"&amp;C73</f>
        <v/>
      </c>
      <c r="H73" s="9">
        <f>SUMIF('Trial Balance'!N:N,F73,'Trial Balance'!H:H)</f>
        <v/>
      </c>
      <c r="I73" s="9">
        <f>SUMIF('Trial Balance'!N:N,F73,'Trial Balance'!K:K)</f>
        <v/>
      </c>
      <c r="K73" t="n">
        <v>2942693</v>
      </c>
      <c r="L73" t="n">
        <v>2666132</v>
      </c>
      <c r="M73" s="9">
        <f>D73-K73</f>
        <v/>
      </c>
      <c r="N73" s="9">
        <f>E73-L73</f>
        <v/>
      </c>
      <c r="AV73" s="18" t="s">
        <v>982</v>
      </c>
      <c r="AW73" s="18" t="s">
        <v>983</v>
      </c>
    </row>
    <row r="74" spans="1:49">
      <c r="A74" s="45" t="s">
        <v>984</v>
      </c>
      <c r="B74" s="45">
        <f>B73+1</f>
        <v/>
      </c>
      <c r="C74" s="45" t="n">
        <v>58</v>
      </c>
      <c r="D74" s="46">
        <f>ABS(ROUND(SUMIF('Trial Balance'!N:N,F74,'Trial Balance'!H:H),0))</f>
        <v/>
      </c>
      <c r="E74" s="46">
        <f>ABS(ROUND(SUMIF('Trial Balance'!N:N,F74,'Trial Balance'!K:K),0))+G74</f>
        <v/>
      </c>
      <c r="F74">
        <f>"PL"&amp;C74</f>
        <v/>
      </c>
      <c r="H74" s="9">
        <f>SUMIF('Trial Balance'!N:N,F74,'Trial Balance'!H:H)</f>
        <v/>
      </c>
      <c r="I74" s="9">
        <f>SUMIF('Trial Balance'!N:N,F74,'Trial Balance'!K:K)</f>
        <v/>
      </c>
      <c r="K74" t="n">
        <v>2793065</v>
      </c>
      <c r="L74" t="n">
        <v>4471482</v>
      </c>
      <c r="M74" s="9">
        <f>D74-K74</f>
        <v/>
      </c>
      <c r="N74" s="9">
        <f>E74-L74</f>
        <v/>
      </c>
      <c r="AV74" s="18" t="s">
        <v>985</v>
      </c>
      <c r="AW74" s="18" t="s">
        <v>986</v>
      </c>
    </row>
    <row r="75" spans="1:49">
      <c r="A75" s="47" t="s">
        <v>987</v>
      </c>
      <c r="B75" s="47" t="n">
        <v>60</v>
      </c>
      <c r="C75" s="47" t="n">
        <v>59</v>
      </c>
      <c r="D75" s="48">
        <f>D69+D72+D74</f>
        <v/>
      </c>
      <c r="E75" s="48">
        <f>E69+E72+E74</f>
        <v/>
      </c>
      <c r="K75" t="n">
        <v>5735758</v>
      </c>
      <c r="L75" t="n">
        <v>7137614</v>
      </c>
      <c r="M75" s="9">
        <f>D75-K75</f>
        <v/>
      </c>
      <c r="N75" s="9">
        <f>E75-L75</f>
        <v/>
      </c>
      <c r="AV75" s="18" t="s">
        <v>988</v>
      </c>
      <c r="AW75" s="18" t="s">
        <v>989</v>
      </c>
    </row>
    <row r="76" spans="1:49">
      <c r="A76" s="45" t="s">
        <v>990</v>
      </c>
      <c r="B76" s="45" t="n"/>
      <c r="C76" s="45" t="n"/>
      <c r="D76" s="46" t="n"/>
      <c r="E76" s="46" t="n"/>
      <c r="M76" s="9">
        <f>D76-K76</f>
        <v/>
      </c>
      <c r="N76" s="9">
        <f>E76-L76</f>
        <v/>
      </c>
    </row>
    <row r="77" spans="1:49">
      <c r="A77" s="47" t="s">
        <v>991</v>
      </c>
      <c r="B77" s="47" t="n">
        <v>61</v>
      </c>
      <c r="C77" s="47" t="n">
        <v>60</v>
      </c>
      <c r="D77" s="48">
        <f>IF((D75-D68)&lt;0,-(D75-D68),0)</f>
        <v/>
      </c>
      <c r="E77" s="48">
        <f>IF((E75-E68)&lt;0,-(E75-E68),0)</f>
        <v/>
      </c>
      <c r="K77" t="n">
        <v>0</v>
      </c>
      <c r="L77" t="n">
        <v>0</v>
      </c>
      <c r="M77" s="9">
        <f>D77-K77</f>
        <v/>
      </c>
      <c r="N77" s="9">
        <f>E77-L77</f>
        <v/>
      </c>
      <c r="AV77" s="18" t="s">
        <v>992</v>
      </c>
      <c r="AW77" s="18" t="s">
        <v>993</v>
      </c>
    </row>
    <row r="78" spans="1:49">
      <c r="A78" s="47" t="s">
        <v>994</v>
      </c>
      <c r="B78" s="47">
        <f>B77+1</f>
        <v/>
      </c>
      <c r="C78" s="47" t="n">
        <v>61</v>
      </c>
      <c r="D78" s="48">
        <f>IF(D77=0,D75-D68,0)</f>
        <v/>
      </c>
      <c r="E78" s="48">
        <f>IF(E77=0,E75-E68,0)</f>
        <v/>
      </c>
      <c r="K78" t="n">
        <v>4156156</v>
      </c>
      <c r="L78" t="n">
        <v>2449632</v>
      </c>
      <c r="M78" s="9">
        <f>D78-K78</f>
        <v/>
      </c>
      <c r="N78" s="9">
        <f>E78-L78</f>
        <v/>
      </c>
      <c r="AV78" s="18" t="s">
        <v>995</v>
      </c>
      <c r="AW78" s="18" t="s">
        <v>996</v>
      </c>
    </row>
    <row r="79" spans="1:49">
      <c r="A79" s="47" t="s">
        <v>997</v>
      </c>
      <c r="B79" s="47">
        <f>B78+1</f>
        <v/>
      </c>
      <c r="C79" s="47" t="n">
        <v>62</v>
      </c>
      <c r="D79" s="48">
        <f>D29+D68</f>
        <v/>
      </c>
      <c r="E79" s="48">
        <f>E29+E68</f>
        <v/>
      </c>
      <c r="K79" t="n">
        <v>121721561</v>
      </c>
      <c r="L79" t="n">
        <v>163947135</v>
      </c>
      <c r="M79" s="9">
        <f>D79-K79</f>
        <v/>
      </c>
      <c r="N79" s="9">
        <f>E79-L79</f>
        <v/>
      </c>
      <c r="AV79" s="18" t="s">
        <v>998</v>
      </c>
      <c r="AW79" s="18" t="s">
        <v>999</v>
      </c>
    </row>
    <row r="80" spans="1:49">
      <c r="A80" s="47" t="s">
        <v>1000</v>
      </c>
      <c r="B80" s="47">
        <f>B79+1</f>
        <v/>
      </c>
      <c r="C80" s="47" t="n">
        <v>63</v>
      </c>
      <c r="D80" s="48">
        <f>D57+D75</f>
        <v/>
      </c>
      <c r="E80" s="48">
        <f>E57+E75</f>
        <v/>
      </c>
      <c r="K80" t="n">
        <v>121560389</v>
      </c>
      <c r="L80" t="n">
        <v>162749500</v>
      </c>
      <c r="M80" s="9">
        <f>D80-K80</f>
        <v/>
      </c>
      <c r="N80" s="9">
        <f>E80-L80</f>
        <v/>
      </c>
      <c r="AV80" s="18" t="s">
        <v>1001</v>
      </c>
      <c r="AW80" s="18" t="s">
        <v>1002</v>
      </c>
    </row>
    <row r="81" spans="1:49">
      <c r="A81" s="45" t="s">
        <v>1003</v>
      </c>
      <c r="B81" s="45" t="n"/>
      <c r="C81" s="45" t="n"/>
      <c r="D81" s="46" t="n"/>
      <c r="E81" s="46" t="n"/>
      <c r="M81" s="9">
        <f>D81-K81</f>
        <v/>
      </c>
      <c r="N81" s="9">
        <f>E81-L81</f>
        <v/>
      </c>
    </row>
    <row r="82" spans="1:49">
      <c r="A82" s="47" t="s">
        <v>1004</v>
      </c>
      <c r="B82" s="47" t="n">
        <v>65</v>
      </c>
      <c r="C82" s="47" t="n">
        <v>64</v>
      </c>
      <c r="D82" s="48">
        <f>IF((D80-D79)&lt;0,-(D80-D79),0)</f>
        <v/>
      </c>
      <c r="E82" s="48">
        <f>IF((E80-E79)&lt;0,-(E80-E79),0)</f>
        <v/>
      </c>
      <c r="K82" t="n">
        <v>161172</v>
      </c>
      <c r="L82" t="n">
        <v>1197635</v>
      </c>
      <c r="M82" s="9">
        <f>D82-K82</f>
        <v/>
      </c>
      <c r="N82" s="9">
        <f>E82-L82</f>
        <v/>
      </c>
      <c r="AV82" s="18" t="s">
        <v>1005</v>
      </c>
      <c r="AW82" s="18" t="s">
        <v>1006</v>
      </c>
    </row>
    <row r="83" spans="1:49">
      <c r="A83" s="47" t="s">
        <v>1007</v>
      </c>
      <c r="B83" s="47" t="n">
        <v>66</v>
      </c>
      <c r="C83" s="47" t="n">
        <v>65</v>
      </c>
      <c r="D83" s="48">
        <f>IF(D82=0,D80-D79,0)</f>
        <v/>
      </c>
      <c r="E83" s="48">
        <f>IF(E82=0,E80-E79,0)</f>
        <v/>
      </c>
      <c r="K83" t="n">
        <v>0</v>
      </c>
      <c r="L83" t="n">
        <v>0</v>
      </c>
      <c r="M83" s="9">
        <f>D83-K83</f>
        <v/>
      </c>
      <c r="N83" s="9">
        <f>E83-L83</f>
        <v/>
      </c>
      <c r="AV83" s="18" t="s">
        <v>1008</v>
      </c>
      <c r="AW83" s="18" t="s">
        <v>1009</v>
      </c>
    </row>
    <row r="84" spans="1:49">
      <c r="A84" s="45" t="s">
        <v>1010</v>
      </c>
      <c r="B84" s="45" t="n">
        <v>67</v>
      </c>
      <c r="C84" s="45" t="n">
        <v>66</v>
      </c>
      <c r="D84" s="46">
        <f>ABS(ROUND(SUMIF('Trial Balance'!N:N,F84,'Trial Balance'!H:H),0))</f>
        <v/>
      </c>
      <c r="E84" s="46">
        <f>ABS(ROUND(SUMIF('Trial Balance'!N:N,F84,'Trial Balance'!K:K),0))+G84</f>
        <v/>
      </c>
      <c r="F84">
        <f>"PL"&amp;C84</f>
        <v/>
      </c>
      <c r="H84" s="9">
        <f>SUMIF('Trial Balance'!N:N,F84,'Trial Balance'!H:H)</f>
        <v/>
      </c>
      <c r="I84" s="9">
        <f>SUMIF('Trial Balance'!N:N,F84,'Trial Balance'!K:K)</f>
        <v/>
      </c>
      <c r="M84" s="9">
        <f>D84-K84</f>
        <v/>
      </c>
      <c r="N84" s="9">
        <f>E84-L84</f>
        <v/>
      </c>
      <c r="AV84" s="18" t="s">
        <v>1011</v>
      </c>
      <c r="AW84" s="18" t="s">
        <v>1012</v>
      </c>
    </row>
    <row r="85" spans="1:49">
      <c r="A85" s="49" t="s">
        <v>1013</v>
      </c>
      <c r="B85" s="45" t="n">
        <v>68</v>
      </c>
      <c r="C85" s="45" t="s">
        <v>1014</v>
      </c>
      <c r="D85" s="46" t="n"/>
      <c r="E85" s="46" t="n"/>
      <c r="F85">
        <f>"PL"&amp;C85</f>
        <v/>
      </c>
      <c r="M85" s="9">
        <f>D85-K85</f>
        <v/>
      </c>
      <c r="N85" s="9">
        <f>E85-L85</f>
        <v/>
      </c>
      <c r="AV85" s="18" t="s">
        <v>1015</v>
      </c>
      <c r="AW85" s="18" t="s">
        <v>1016</v>
      </c>
    </row>
    <row r="86" spans="1:49">
      <c r="A86" s="49" t="s">
        <v>1017</v>
      </c>
      <c r="B86" s="45" t="n">
        <v>69</v>
      </c>
      <c r="C86" s="45" t="s">
        <v>1018</v>
      </c>
      <c r="D86" s="46" t="n"/>
      <c r="E86" s="46" t="n"/>
      <c r="F86">
        <f>"PL"&amp;C86</f>
        <v/>
      </c>
      <c r="M86" s="9">
        <f>D86-K86</f>
        <v/>
      </c>
      <c r="N86" s="9">
        <f>E86-L86</f>
        <v/>
      </c>
      <c r="AV86" s="18" t="s">
        <v>1019</v>
      </c>
      <c r="AW86" s="18" t="s">
        <v>1020</v>
      </c>
    </row>
    <row r="87" spans="1:49">
      <c r="A87" s="45" t="s">
        <v>1021</v>
      </c>
      <c r="B87" s="45" t="n">
        <v>70</v>
      </c>
      <c r="C87" s="45" t="n">
        <v>67</v>
      </c>
      <c r="D87" s="46">
        <f>ABS(ROUND(SUMIF('Trial Balance'!N:N,F87,'Trial Balance'!H:H),0))</f>
        <v/>
      </c>
      <c r="E87" s="46">
        <f>ABS(ROUND(SUMIF('Trial Balance'!N:N,F87,'Trial Balance'!K:K),0))+G87</f>
        <v/>
      </c>
      <c r="F87">
        <f>"PL"&amp;C87</f>
        <v/>
      </c>
      <c r="H87" s="9">
        <f>SUMIF('Trial Balance'!N:N,F87,'Trial Balance'!H:H)</f>
        <v/>
      </c>
      <c r="I87" s="9">
        <f>SUMIF('Trial Balance'!N:N,F87,'Trial Balance'!K:K)</f>
        <v/>
      </c>
      <c r="M87" s="9">
        <f>D87-K87</f>
        <v/>
      </c>
      <c r="N87" s="9">
        <f>E87-L87</f>
        <v/>
      </c>
      <c r="AV87" s="18" t="s">
        <v>1022</v>
      </c>
      <c r="AW87" s="18" t="s">
        <v>1023</v>
      </c>
    </row>
    <row r="88" spans="1:49">
      <c r="A88" s="45" t="s">
        <v>1024</v>
      </c>
      <c r="B88" s="45" t="n">
        <v>71</v>
      </c>
      <c r="C88" s="45" t="n">
        <v>68</v>
      </c>
      <c r="D88" s="46">
        <f>ABS(ROUND(SUMIF('Trial Balance'!N:N,F88,'Trial Balance'!H:H),0))</f>
        <v/>
      </c>
      <c r="E88" s="46">
        <f>ABS(ROUND(SUMIF('Trial Balance'!N:N,F88,'Trial Balance'!K:K),0))+G88</f>
        <v/>
      </c>
      <c r="F88">
        <f>"PL"&amp;C88</f>
        <v/>
      </c>
      <c r="H88" s="9">
        <f>SUMIF('Trial Balance'!N:N,F88,'Trial Balance'!H:H)</f>
        <v/>
      </c>
      <c r="I88" s="9">
        <f>SUMIF('Trial Balance'!N:N,F88,'Trial Balance'!K:K)</f>
        <v/>
      </c>
      <c r="M88" s="9">
        <f>D88-K88</f>
        <v/>
      </c>
      <c r="N88" s="9">
        <f>E88-L88</f>
        <v/>
      </c>
      <c r="AV88" s="18" t="s">
        <v>1025</v>
      </c>
      <c r="AW88" s="18" t="s">
        <v>1026</v>
      </c>
    </row>
    <row r="89" spans="1:49">
      <c r="A89" s="45" t="s">
        <v>1027</v>
      </c>
      <c r="B89" s="45" t="n"/>
      <c r="C89" s="45" t="n"/>
      <c r="D89" s="46" t="n"/>
      <c r="E89" s="46" t="n"/>
      <c r="M89" s="9">
        <f>D89-K89</f>
        <v/>
      </c>
      <c r="N89" s="9">
        <f>E89-L89</f>
        <v/>
      </c>
    </row>
    <row r="90" spans="1:49">
      <c r="A90" s="47" t="s">
        <v>1028</v>
      </c>
      <c r="B90" s="47" t="n">
        <v>72</v>
      </c>
      <c r="C90" s="47" t="n">
        <v>69</v>
      </c>
      <c r="D90" s="48">
        <f>IF((D82-D83-D84-D85-D86-D87-D88)&gt;0,(D82-D83-D84-D85-D86-D87-D88),0)</f>
        <v/>
      </c>
      <c r="E90" s="48">
        <f>IF((E82-E83-E84-E85-E86-E87-E88)&gt;0,(E82-E83-E84-E85-E86-E87-E88),0)</f>
        <v/>
      </c>
      <c r="K90" t="n">
        <v>161172</v>
      </c>
      <c r="L90" t="n">
        <v>1197635</v>
      </c>
      <c r="M90" s="9">
        <f>D90-K90</f>
        <v/>
      </c>
      <c r="N90" s="9">
        <f>E90-L90</f>
        <v/>
      </c>
      <c r="AV90" s="18" t="s">
        <v>1029</v>
      </c>
      <c r="AW90" s="18" t="s">
        <v>1030</v>
      </c>
    </row>
    <row r="91" spans="1:49">
      <c r="A91" s="47" t="s">
        <v>1031</v>
      </c>
      <c r="B91" s="47" t="n">
        <v>73</v>
      </c>
      <c r="C91" s="47" t="n">
        <v>70</v>
      </c>
      <c r="D91" s="48">
        <f>IF(D90=0,-(D82-D83-D84-D87-D88),0)</f>
        <v/>
      </c>
      <c r="E91" s="48">
        <f>IF(E90=0,-(E82-E83-E84-E87-E88),0)</f>
        <v/>
      </c>
      <c r="K91" t="n">
        <v>0</v>
      </c>
      <c r="L91" t="n">
        <v>0</v>
      </c>
      <c r="M91" s="9">
        <f>D91-K91</f>
        <v/>
      </c>
      <c r="N91" s="9">
        <f>E91-L91</f>
        <v/>
      </c>
      <c r="AV91" s="18" t="s">
        <v>1032</v>
      </c>
      <c r="AW91" s="18" t="s">
        <v>1033</v>
      </c>
    </row>
    <row r="92" spans="1:49">
      <c r="D92" s="9" t="n"/>
      <c r="E92" s="9" t="n"/>
    </row>
    <row r="93" spans="1:49" ht="12.65" customHeight="1" thickBot="1">
      <c r="D93" s="9" t="n"/>
      <c r="E93" s="9" t="n"/>
    </row>
    <row r="94" spans="1:49">
      <c r="C94" s="50" t="s">
        <v>1034</v>
      </c>
      <c r="D94" s="52">
        <f>SUM('1. F10'!D126:D127)</f>
        <v/>
      </c>
      <c r="E94" s="53">
        <f>SUM('1. F10'!E126:E127)</f>
        <v/>
      </c>
    </row>
    <row r="95" spans="1:49" ht="12.65" customHeight="1" thickBot="1">
      <c r="C95" s="57" t="s">
        <v>796</v>
      </c>
      <c r="D95" s="59">
        <f>(D90-D91)-D94</f>
        <v/>
      </c>
      <c r="E95" s="60">
        <f>(E90-E91)-E94</f>
        <v/>
      </c>
    </row>
  </sheetData>
  <pageMargins left="0.7" right="0.7" top="0.75" bottom="0.75" header="0.3" footer="0.3"/>
</worksheet>
</file>

<file path=xl/worksheets/sheet6.xml><?xml version="1.0" encoding="utf-8"?>
<worksheet xmlns="http://schemas.openxmlformats.org/spreadsheetml/2006/main">
  <sheetPr>
    <tabColor rgb="FF00B050"/>
    <outlinePr summaryBelow="1" summaryRight="1"/>
    <pageSetUpPr/>
  </sheetPr>
  <dimension ref="A1:AW292"/>
  <sheetViews>
    <sheetView showGridLines="0" workbookViewId="0">
      <selection activeCell="A16" sqref="A16"/>
    </sheetView>
  </sheetViews>
  <sheetFormatPr baseColWidth="8" defaultColWidth="40.109375" defaultRowHeight="13" outlineLevelCol="0"/>
  <cols>
    <col width="60.44140625" bestFit="1" customWidth="1" style="68" min="1" max="1"/>
    <col width="6.44140625" bestFit="1" customWidth="1" style="68" min="2" max="2"/>
    <col width="17.109375" bestFit="1" customWidth="1" style="68" min="3" max="3"/>
    <col width="22.6640625" bestFit="1" customWidth="1" style="68" min="4" max="4"/>
    <col width="26.44140625" bestFit="1" customWidth="1" style="68" min="5" max="5"/>
    <col width="26.77734375" customWidth="1" style="68" min="6" max="6"/>
    <col width="1.44140625" customWidth="1" style="69" min="7" max="7"/>
    <col width="23.6640625" customWidth="1" min="8" max="8"/>
    <col width="77.109375" customWidth="1" min="9" max="9"/>
    <col width="40.109375" customWidth="1" style="68" min="10" max="10"/>
    <col width="40.109375" customWidth="1" style="68" min="11" max="45"/>
    <col width="6.44140625" customWidth="1" style="68" min="46" max="48"/>
    <col width="11.5546875" bestFit="1" customWidth="1" style="68" min="49" max="49"/>
    <col width="40.109375" customWidth="1" style="68" min="50" max="16384"/>
  </cols>
  <sheetData>
    <row r="1" spans="1:49">
      <c r="A1" s="1">
        <f>'1. F10'!A1</f>
        <v/>
      </c>
      <c r="B1" s="67">
        <f>'Trial Balance'!B1</f>
        <v/>
      </c>
    </row>
    <row r="2" spans="1:49">
      <c r="A2" s="1">
        <f>'1. F10'!A2</f>
        <v/>
      </c>
      <c r="B2" s="67">
        <f>'Trial Balance'!B2</f>
        <v/>
      </c>
    </row>
    <row r="3" spans="1:49">
      <c r="A3" s="1">
        <f>'1. F10'!A3</f>
        <v/>
      </c>
      <c r="B3" s="67">
        <f>'Trial Balance'!B3</f>
        <v/>
      </c>
    </row>
    <row r="4" spans="1:49">
      <c r="A4" s="1">
        <f>'1. F10'!A4</f>
        <v/>
      </c>
      <c r="B4" s="67">
        <f>'Trial Balance'!B4</f>
        <v/>
      </c>
    </row>
    <row r="5" spans="1:49">
      <c r="A5" s="1">
        <f>'1. F10'!A5</f>
        <v/>
      </c>
      <c r="B5" s="67">
        <f>'Trial Balance'!B5</f>
        <v/>
      </c>
    </row>
    <row r="6" spans="1:49">
      <c r="A6" s="1">
        <f>'1. F10'!A6</f>
        <v/>
      </c>
      <c r="B6" s="67">
        <f>'Trial Balance'!B6</f>
        <v/>
      </c>
    </row>
    <row r="7" spans="1:49">
      <c r="A7" s="1">
        <f>'1. F10'!A7</f>
        <v/>
      </c>
      <c r="B7" s="67">
        <f>'Trial Balance'!B7</f>
        <v/>
      </c>
    </row>
    <row r="15" spans="1:49">
      <c r="H15" s="70" t="s">
        <v>1035</v>
      </c>
      <c r="I15" s="70" t="s">
        <v>35</v>
      </c>
    </row>
    <row r="16" spans="1:49">
      <c r="J16" s="262" t="n"/>
      <c r="AT16" s="68" t="s">
        <v>1036</v>
      </c>
      <c r="AU16" s="68" t="s">
        <v>1037</v>
      </c>
      <c r="AV16" s="68" t="s">
        <v>1038</v>
      </c>
      <c r="AW16" s="68" t="s">
        <v>1039</v>
      </c>
    </row>
    <row r="17" spans="1:49">
      <c r="A17" s="71" t="s">
        <v>1040</v>
      </c>
      <c r="B17" s="71" t="s">
        <v>427</v>
      </c>
      <c r="C17" s="71" t="s">
        <v>1041</v>
      </c>
      <c r="D17" s="71" t="s">
        <v>1042</v>
      </c>
    </row>
    <row r="18" spans="1:49">
      <c r="A18" s="71" t="s">
        <v>1043</v>
      </c>
      <c r="B18" s="71" t="s">
        <v>1044</v>
      </c>
      <c r="C18" s="71" t="s">
        <v>1045</v>
      </c>
      <c r="D18" s="71" t="s">
        <v>1046</v>
      </c>
    </row>
    <row r="19" spans="1:49">
      <c r="A19" s="45" t="s">
        <v>1047</v>
      </c>
      <c r="B19" s="45" t="n">
        <v>1</v>
      </c>
      <c r="C19" s="46" t="n"/>
      <c r="D19" s="46">
        <f>ABS(ROUND(SUMIF('Trial Balance'!$Q$3:$Q$5,"BS98",'Trial Balance'!$P$3:$P$5),0))</f>
        <v/>
      </c>
      <c r="E19" s="72" t="n"/>
      <c r="F19" s="72" t="n"/>
      <c r="H19" t="s">
        <v>1048</v>
      </c>
      <c r="AT19" s="68" t="s">
        <v>1049</v>
      </c>
      <c r="AU19" s="68" t="s">
        <v>1050</v>
      </c>
    </row>
    <row r="20" spans="1:49">
      <c r="A20" s="45" t="s">
        <v>1051</v>
      </c>
      <c r="B20" s="45" t="n">
        <v>2</v>
      </c>
      <c r="C20" s="46" t="n"/>
      <c r="D20" s="46">
        <f>ABS(ROUND(SUMIF('Trial Balance'!$Q$3:$Q$5,"BS99",'Trial Balance'!$P$3:$P$5),0))</f>
        <v/>
      </c>
      <c r="E20" s="72" t="n"/>
      <c r="F20" s="72" t="n"/>
      <c r="H20" t="s">
        <v>1048</v>
      </c>
      <c r="AT20" s="68" t="s">
        <v>1052</v>
      </c>
      <c r="AU20" s="68" t="s">
        <v>1053</v>
      </c>
    </row>
    <row r="21" spans="1:49" ht="24" customHeight="1">
      <c r="A21" s="45" t="s">
        <v>1054</v>
      </c>
      <c r="B21" s="45" t="n">
        <v>3</v>
      </c>
      <c r="C21" s="46" t="n"/>
      <c r="D21" s="46" t="n"/>
      <c r="E21" s="72" t="n"/>
      <c r="F21" s="72" t="n"/>
      <c r="H21" t="s">
        <v>1055</v>
      </c>
      <c r="AT21" s="68" t="s">
        <v>1056</v>
      </c>
      <c r="AU21" s="68" t="s">
        <v>1057</v>
      </c>
    </row>
    <row r="22" spans="1:49">
      <c r="A22" s="73" t="n"/>
      <c r="B22" s="74" t="n"/>
      <c r="C22" s="75" t="n"/>
      <c r="D22" s="75" t="n"/>
      <c r="E22" s="75" t="n"/>
      <c r="F22" s="75" t="n"/>
    </row>
    <row r="23" spans="1:49">
      <c r="A23" s="73" t="n"/>
      <c r="B23" s="74" t="n"/>
      <c r="C23" s="75" t="n"/>
      <c r="D23" s="75" t="n"/>
      <c r="E23" s="75" t="n"/>
      <c r="F23" s="75" t="n"/>
    </row>
    <row r="24" spans="1:49">
      <c r="A24" s="45" t="s">
        <v>1058</v>
      </c>
      <c r="B24" s="45" t="s">
        <v>427</v>
      </c>
      <c r="C24" s="45" t="s">
        <v>1059</v>
      </c>
      <c r="D24" s="45" t="s">
        <v>1060</v>
      </c>
      <c r="E24" s="45" t="n"/>
    </row>
    <row r="25" spans="1:49" ht="13.4" customHeight="1">
      <c r="A25" s="45" t="n"/>
      <c r="B25" s="45" t="n"/>
      <c r="C25" s="45" t="n"/>
      <c r="D25" s="45" t="s">
        <v>1061</v>
      </c>
      <c r="E25" s="45" t="s">
        <v>1062</v>
      </c>
    </row>
    <row r="26" spans="1:49">
      <c r="A26" s="45" t="s">
        <v>1043</v>
      </c>
      <c r="B26" s="45" t="s">
        <v>1044</v>
      </c>
      <c r="C26" s="45" t="s">
        <v>1045</v>
      </c>
      <c r="D26" s="45" t="s">
        <v>1046</v>
      </c>
      <c r="E26" s="45" t="s">
        <v>1063</v>
      </c>
    </row>
    <row r="27" spans="1:49" ht="24" customHeight="1">
      <c r="A27" s="44" t="s">
        <v>1064</v>
      </c>
      <c r="B27" s="44" t="n">
        <v>4</v>
      </c>
      <c r="C27" s="76">
        <f>C28+SUM(C38:C40)+C42</f>
        <v/>
      </c>
      <c r="D27" s="76">
        <f>D28+SUM(D38:D40)+D42</f>
        <v/>
      </c>
      <c r="E27" s="76">
        <f>E28+SUM(E38:E40)+E42</f>
        <v/>
      </c>
      <c r="F27" s="72" t="n"/>
      <c r="H27" t="s">
        <v>1065</v>
      </c>
      <c r="AT27" s="68" t="s">
        <v>1066</v>
      </c>
      <c r="AU27" s="68" t="s">
        <v>1067</v>
      </c>
      <c r="AV27" s="68" t="s">
        <v>1068</v>
      </c>
    </row>
    <row r="28" spans="1:49">
      <c r="A28" s="45" t="s">
        <v>1069</v>
      </c>
      <c r="B28" s="45" t="n">
        <v>5</v>
      </c>
      <c r="C28" s="46">
        <f>'N9 - TP'!C20</f>
        <v/>
      </c>
      <c r="D28" s="46">
        <f>C28</f>
        <v/>
      </c>
      <c r="E28" s="46" t="n"/>
      <c r="F28" s="72" t="n"/>
      <c r="H28" t="s">
        <v>1048</v>
      </c>
      <c r="I28" t="s">
        <v>1070</v>
      </c>
      <c r="AT28" s="68" t="s">
        <v>1071</v>
      </c>
      <c r="AU28" s="68" t="s">
        <v>1072</v>
      </c>
      <c r="AV28" s="68" t="s">
        <v>1073</v>
      </c>
    </row>
    <row r="29" spans="1:49">
      <c r="A29" s="45" t="s">
        <v>1074</v>
      </c>
      <c r="B29" s="45" t="n">
        <v>6</v>
      </c>
      <c r="C29" s="46">
        <f>D29</f>
        <v/>
      </c>
      <c r="D29" s="46" t="n"/>
      <c r="E29" s="46" t="n"/>
      <c r="F29" s="72" t="n"/>
      <c r="H29" t="s">
        <v>1055</v>
      </c>
      <c r="I29" t="s">
        <v>1070</v>
      </c>
      <c r="AT29" s="68" t="s">
        <v>1075</v>
      </c>
      <c r="AU29" s="68" t="s">
        <v>1076</v>
      </c>
      <c r="AV29" s="68" t="s">
        <v>1077</v>
      </c>
    </row>
    <row r="30" spans="1:49">
      <c r="A30" s="45" t="s">
        <v>1078</v>
      </c>
      <c r="B30" s="45" t="n">
        <v>7</v>
      </c>
      <c r="C30" s="46">
        <f>D30</f>
        <v/>
      </c>
      <c r="D30" s="46" t="n"/>
      <c r="E30" s="46" t="n"/>
      <c r="F30" s="72" t="n"/>
      <c r="H30" t="s">
        <v>1055</v>
      </c>
      <c r="I30" t="s">
        <v>1070</v>
      </c>
      <c r="AT30" s="68" t="s">
        <v>1079</v>
      </c>
      <c r="AU30" s="68" t="s">
        <v>1080</v>
      </c>
      <c r="AV30" s="68" t="s">
        <v>1081</v>
      </c>
    </row>
    <row r="31" spans="1:49">
      <c r="A31" s="45" t="s">
        <v>1082</v>
      </c>
      <c r="B31" s="45" t="n">
        <v>8</v>
      </c>
      <c r="C31" s="46">
        <f>SUM('N9 - TP'!F20:G20)</f>
        <v/>
      </c>
      <c r="D31" s="46">
        <f>C31</f>
        <v/>
      </c>
      <c r="E31" s="46" t="n"/>
      <c r="F31" s="72" t="n"/>
      <c r="H31" t="s">
        <v>1048</v>
      </c>
      <c r="I31" t="s">
        <v>1070</v>
      </c>
      <c r="AT31" s="68" t="s">
        <v>1083</v>
      </c>
      <c r="AU31" s="68" t="s">
        <v>1084</v>
      </c>
      <c r="AV31" s="68" t="s">
        <v>1085</v>
      </c>
    </row>
    <row r="32" spans="1:49">
      <c r="A32" s="44" t="s">
        <v>1086</v>
      </c>
      <c r="B32" s="44" t="n">
        <v>9</v>
      </c>
      <c r="C32" s="76">
        <f>SUM(C33:C37)</f>
        <v/>
      </c>
      <c r="D32" s="76">
        <f>SUM(D33:D37)</f>
        <v/>
      </c>
      <c r="E32" s="76">
        <f>SUM(E33:E37)</f>
        <v/>
      </c>
      <c r="F32" s="72" t="n"/>
      <c r="H32" t="s">
        <v>1065</v>
      </c>
      <c r="AT32" s="68" t="s">
        <v>1087</v>
      </c>
      <c r="AU32" s="68" t="s">
        <v>1088</v>
      </c>
      <c r="AV32" s="68" t="s">
        <v>1089</v>
      </c>
    </row>
    <row r="33" spans="1:49" ht="36" customHeight="1">
      <c r="A33" s="45" t="s">
        <v>1090</v>
      </c>
      <c r="B33" s="45" t="n">
        <v>10</v>
      </c>
      <c r="C33" s="46">
        <f>ABS(ROUND(SUMIF('Trial Balance'!W:W,B33,'Trial Balance'!K:K),0))</f>
        <v/>
      </c>
      <c r="D33" s="46">
        <f>C33</f>
        <v/>
      </c>
      <c r="E33" s="46" t="n"/>
      <c r="F33" s="72" t="n"/>
      <c r="H33" t="s">
        <v>1048</v>
      </c>
      <c r="I33" t="s">
        <v>1070</v>
      </c>
      <c r="AT33" s="68" t="s">
        <v>1091</v>
      </c>
      <c r="AU33" s="68" t="s">
        <v>1092</v>
      </c>
      <c r="AV33" s="68" t="s">
        <v>1093</v>
      </c>
    </row>
    <row r="34" spans="1:49" ht="24" customHeight="1">
      <c r="A34" s="45" t="s">
        <v>1094</v>
      </c>
      <c r="B34" s="45" t="n">
        <v>11</v>
      </c>
      <c r="C34" s="46">
        <f>ABS(ROUND(SUMIF('Trial Balance'!W:W,B34,'Trial Balance'!K:K),0))</f>
        <v/>
      </c>
      <c r="D34" s="46">
        <f>C34</f>
        <v/>
      </c>
      <c r="E34" s="46" t="n"/>
      <c r="F34" s="72" t="n"/>
      <c r="H34" t="s">
        <v>1048</v>
      </c>
      <c r="I34" t="s">
        <v>1070</v>
      </c>
      <c r="AT34" s="68" t="s">
        <v>1095</v>
      </c>
      <c r="AU34" s="68" t="s">
        <v>1096</v>
      </c>
      <c r="AV34" s="68" t="s">
        <v>1097</v>
      </c>
    </row>
    <row r="35" spans="1:49">
      <c r="A35" s="45" t="s">
        <v>1098</v>
      </c>
      <c r="B35" s="45" t="n">
        <v>12</v>
      </c>
      <c r="C35" s="46">
        <f>ABS(ROUND(SUMIF('Trial Balance'!W:W,B35,'Trial Balance'!K:K),0))</f>
        <v/>
      </c>
      <c r="D35" s="46">
        <f>C35</f>
        <v/>
      </c>
      <c r="E35" s="46" t="n"/>
      <c r="F35" s="72" t="n"/>
      <c r="H35" t="s">
        <v>1048</v>
      </c>
      <c r="I35" t="s">
        <v>1070</v>
      </c>
      <c r="AT35" s="68" t="s">
        <v>1099</v>
      </c>
      <c r="AU35" s="68" t="s">
        <v>1100</v>
      </c>
      <c r="AV35" s="68" t="s">
        <v>1101</v>
      </c>
    </row>
    <row r="36" spans="1:49" ht="24" customHeight="1">
      <c r="A36" s="45" t="s">
        <v>1102</v>
      </c>
      <c r="B36" s="45" t="n">
        <v>13</v>
      </c>
      <c r="C36" s="46">
        <f>ABS(ROUND(SUMIF('Trial Balance'!W:W,B36,'Trial Balance'!K:K),0))</f>
        <v/>
      </c>
      <c r="D36" s="46">
        <f>C36</f>
        <v/>
      </c>
      <c r="E36" s="46" t="n"/>
      <c r="F36" s="72" t="n"/>
      <c r="H36" t="s">
        <v>1048</v>
      </c>
      <c r="I36" t="s">
        <v>1070</v>
      </c>
      <c r="AT36" s="68" t="s">
        <v>1103</v>
      </c>
      <c r="AU36" s="68" t="s">
        <v>1104</v>
      </c>
      <c r="AV36" s="68" t="s">
        <v>1105</v>
      </c>
    </row>
    <row r="37" spans="1:49">
      <c r="A37" s="45" t="s">
        <v>1106</v>
      </c>
      <c r="B37" s="45" t="n">
        <v>14</v>
      </c>
      <c r="C37" s="46">
        <f>ABS(ROUND(SUMIF('Trial Balance'!W:W,B37,'Trial Balance'!K:K),0))</f>
        <v/>
      </c>
      <c r="D37" s="46">
        <f>C37</f>
        <v/>
      </c>
      <c r="E37" s="46" t="n"/>
      <c r="F37" s="72" t="n"/>
      <c r="H37" t="s">
        <v>1048</v>
      </c>
      <c r="I37" t="s">
        <v>1070</v>
      </c>
      <c r="AT37" s="68" t="s">
        <v>1107</v>
      </c>
      <c r="AU37" s="68" t="s">
        <v>1108</v>
      </c>
      <c r="AV37" s="68" t="s">
        <v>1109</v>
      </c>
    </row>
    <row r="38" spans="1:49" ht="24" customHeight="1">
      <c r="A38" s="45" t="s">
        <v>1110</v>
      </c>
      <c r="B38" s="45" t="n">
        <v>15</v>
      </c>
      <c r="C38" s="46" t="n"/>
      <c r="D38" s="46" t="n"/>
      <c r="E38" s="46" t="n"/>
      <c r="F38" s="72" t="n"/>
      <c r="H38" t="s">
        <v>1055</v>
      </c>
      <c r="AT38" s="68" t="s">
        <v>1111</v>
      </c>
      <c r="AU38" s="68" t="s">
        <v>1112</v>
      </c>
      <c r="AV38" s="68" t="s">
        <v>1113</v>
      </c>
    </row>
    <row r="39" spans="1:49">
      <c r="A39" s="45" t="s">
        <v>1114</v>
      </c>
      <c r="B39" s="45" t="n">
        <v>16</v>
      </c>
      <c r="C39" s="46" t="n"/>
      <c r="D39" s="46" t="n"/>
      <c r="E39" s="46" t="n"/>
      <c r="F39" s="72" t="n"/>
      <c r="H39" t="s">
        <v>1055</v>
      </c>
      <c r="AT39" s="68" t="s">
        <v>1115</v>
      </c>
      <c r="AU39" s="68" t="s">
        <v>1116</v>
      </c>
      <c r="AV39" s="68" t="s">
        <v>1117</v>
      </c>
    </row>
    <row r="40" spans="1:49">
      <c r="A40" s="45" t="s">
        <v>1118</v>
      </c>
      <c r="B40" s="45" t="n">
        <v>17</v>
      </c>
      <c r="C40" s="46" t="n"/>
      <c r="D40" s="46" t="n"/>
      <c r="E40" s="46" t="n"/>
      <c r="F40" s="72" t="n"/>
      <c r="H40" t="s">
        <v>1055</v>
      </c>
      <c r="AT40" s="68" t="s">
        <v>1119</v>
      </c>
      <c r="AU40" s="68" t="s">
        <v>1120</v>
      </c>
      <c r="AV40" s="68" t="s">
        <v>1121</v>
      </c>
    </row>
    <row r="41" spans="1:49">
      <c r="A41" s="45" t="s">
        <v>1122</v>
      </c>
      <c r="B41" s="45" t="n">
        <v>18</v>
      </c>
      <c r="C41" s="46" t="n"/>
      <c r="D41" s="46" t="n"/>
      <c r="E41" s="46" t="n"/>
      <c r="F41" s="72" t="n"/>
      <c r="H41" t="s">
        <v>1055</v>
      </c>
      <c r="AT41" s="68" t="s">
        <v>1123</v>
      </c>
      <c r="AU41" s="68" t="s">
        <v>1124</v>
      </c>
      <c r="AV41" s="68" t="s">
        <v>1125</v>
      </c>
    </row>
    <row r="42" spans="1:49" ht="24" customHeight="1">
      <c r="A42" s="45" t="s">
        <v>1126</v>
      </c>
      <c r="B42" s="45" t="n">
        <v>19</v>
      </c>
      <c r="C42" s="46" t="n"/>
      <c r="D42" s="46" t="n"/>
      <c r="E42" s="46" t="n"/>
      <c r="F42" s="72" t="n"/>
      <c r="H42" t="s">
        <v>1055</v>
      </c>
      <c r="AT42" s="68" t="s">
        <v>1127</v>
      </c>
      <c r="AU42" s="68" t="s">
        <v>1128</v>
      </c>
      <c r="AV42" s="68" t="s">
        <v>1129</v>
      </c>
    </row>
    <row r="43" spans="1:49">
      <c r="A43" s="77" t="n"/>
      <c r="B43" s="74" t="n"/>
      <c r="C43" s="78" t="n"/>
      <c r="D43" s="79" t="n"/>
      <c r="E43" s="79" t="n"/>
      <c r="F43" s="78" t="n"/>
    </row>
    <row r="44" spans="1:49">
      <c r="A44" s="77" t="n"/>
      <c r="B44" s="74" t="n"/>
      <c r="C44" s="78" t="n"/>
      <c r="D44" s="79" t="n"/>
      <c r="E44" s="79" t="n"/>
      <c r="F44" s="78" t="n"/>
    </row>
    <row r="45" spans="1:49">
      <c r="A45" s="205" t="s">
        <v>1130</v>
      </c>
      <c r="B45" s="205" t="s">
        <v>427</v>
      </c>
      <c r="C45" s="205" t="s">
        <v>1131</v>
      </c>
      <c r="D45" s="205" t="s">
        <v>1132</v>
      </c>
    </row>
    <row r="46" spans="1:49">
      <c r="A46" s="205" t="s">
        <v>1043</v>
      </c>
      <c r="B46" s="205" t="s">
        <v>1044</v>
      </c>
      <c r="C46" s="205" t="s">
        <v>1045</v>
      </c>
      <c r="D46" s="205" t="s">
        <v>1046</v>
      </c>
    </row>
    <row r="47" spans="1:49">
      <c r="A47" s="205" t="s">
        <v>1133</v>
      </c>
      <c r="B47" s="205" t="n">
        <v>20</v>
      </c>
      <c r="C47" s="206" t="n"/>
      <c r="D47" s="206" t="n"/>
      <c r="E47" s="72" t="n"/>
      <c r="F47" s="72" t="n"/>
      <c r="H47" t="s">
        <v>1055</v>
      </c>
      <c r="AT47" s="68" t="s">
        <v>1134</v>
      </c>
      <c r="AU47" s="68" t="s">
        <v>1135</v>
      </c>
    </row>
    <row r="48" spans="1:49">
      <c r="A48" s="205" t="s">
        <v>1136</v>
      </c>
      <c r="B48" s="205" t="n">
        <v>21</v>
      </c>
      <c r="C48" s="206" t="n"/>
      <c r="D48" s="206" t="n"/>
      <c r="E48" s="72" t="n"/>
      <c r="F48" s="72" t="n"/>
      <c r="H48" t="s">
        <v>1055</v>
      </c>
      <c r="AT48" s="68" t="s">
        <v>1137</v>
      </c>
      <c r="AU48" s="68" t="s">
        <v>1138</v>
      </c>
    </row>
    <row r="49" spans="1:49">
      <c r="A49" s="80" t="n"/>
      <c r="B49" s="81" t="n"/>
      <c r="C49" s="78" t="n"/>
      <c r="D49" s="79" t="n"/>
    </row>
    <row r="50" spans="1:49" ht="36" customHeight="1">
      <c r="A50" s="45" t="s">
        <v>1139</v>
      </c>
      <c r="B50" s="45" t="s">
        <v>427</v>
      </c>
      <c r="C50" s="45" t="s">
        <v>1042</v>
      </c>
    </row>
    <row r="51" spans="1:49">
      <c r="A51" s="45" t="s">
        <v>1043</v>
      </c>
      <c r="B51" s="45" t="s">
        <v>1044</v>
      </c>
      <c r="C51" s="45" t="s">
        <v>1045</v>
      </c>
    </row>
    <row r="52" spans="1:49" ht="36" customHeight="1">
      <c r="A52" s="45" t="s">
        <v>1140</v>
      </c>
      <c r="B52" s="45" t="n">
        <v>22</v>
      </c>
      <c r="C52" s="46" t="n"/>
      <c r="D52" s="9" t="n"/>
      <c r="E52" s="72" t="n"/>
      <c r="F52" s="72" t="n"/>
      <c r="H52" t="s">
        <v>1055</v>
      </c>
      <c r="AT52" s="68" t="s">
        <v>1141</v>
      </c>
      <c r="AU52" s="68" t="s">
        <v>1142</v>
      </c>
    </row>
    <row r="53" spans="1:49">
      <c r="A53" s="45" t="s">
        <v>1143</v>
      </c>
      <c r="B53" s="45" t="n">
        <v>23</v>
      </c>
      <c r="C53" s="46" t="n"/>
      <c r="D53" s="9" t="n"/>
      <c r="E53" s="72" t="n"/>
      <c r="F53" s="72" t="n"/>
      <c r="H53" t="s">
        <v>1055</v>
      </c>
      <c r="AT53" s="68" t="s">
        <v>1144</v>
      </c>
      <c r="AU53" s="68" t="s">
        <v>1145</v>
      </c>
    </row>
    <row r="54" spans="1:49">
      <c r="A54" s="45" t="s">
        <v>1146</v>
      </c>
      <c r="B54" s="45" t="n">
        <v>24</v>
      </c>
      <c r="C54" s="46" t="n"/>
      <c r="D54" s="9" t="n"/>
      <c r="E54" s="72" t="n"/>
      <c r="F54" s="72" t="n"/>
      <c r="H54" t="s">
        <v>1055</v>
      </c>
      <c r="AT54" s="68" t="s">
        <v>1147</v>
      </c>
      <c r="AU54" s="68" t="s">
        <v>1148</v>
      </c>
    </row>
    <row r="55" spans="1:49">
      <c r="A55" s="45" t="s">
        <v>1149</v>
      </c>
      <c r="B55" s="45" t="n">
        <v>25</v>
      </c>
      <c r="C55" s="46" t="n"/>
      <c r="D55" s="9" t="n"/>
      <c r="E55" s="72" t="n"/>
      <c r="F55" s="72" t="n"/>
      <c r="H55" t="s">
        <v>1055</v>
      </c>
      <c r="AT55" s="68" t="s">
        <v>1150</v>
      </c>
      <c r="AU55" s="68" t="s">
        <v>1151</v>
      </c>
    </row>
    <row r="56" spans="1:49" ht="25.75" customHeight="1">
      <c r="A56" s="45" t="s">
        <v>1152</v>
      </c>
      <c r="B56" s="45" t="n">
        <v>26</v>
      </c>
      <c r="C56" s="46" t="n"/>
      <c r="D56" s="9" t="n"/>
      <c r="E56" s="72" t="n"/>
      <c r="F56" s="72" t="n"/>
      <c r="H56" t="s">
        <v>1055</v>
      </c>
      <c r="AT56" s="68" t="s">
        <v>1153</v>
      </c>
      <c r="AU56" s="68" t="s">
        <v>1154</v>
      </c>
    </row>
    <row r="57" spans="1:49" ht="24" customHeight="1">
      <c r="A57" s="45" t="s">
        <v>1155</v>
      </c>
      <c r="B57" s="45" t="n">
        <v>27</v>
      </c>
      <c r="C57" s="46" t="n"/>
      <c r="D57" s="9" t="n"/>
      <c r="E57" s="72" t="n"/>
      <c r="F57" s="72" t="n"/>
      <c r="H57" t="s">
        <v>1055</v>
      </c>
      <c r="AT57" s="68" t="s">
        <v>1156</v>
      </c>
      <c r="AU57" s="68" t="s">
        <v>1157</v>
      </c>
    </row>
    <row r="58" spans="1:49">
      <c r="A58" s="45" t="s">
        <v>1158</v>
      </c>
      <c r="B58" s="45" t="n">
        <v>28</v>
      </c>
      <c r="C58" s="46" t="n"/>
      <c r="D58" s="9" t="n"/>
      <c r="E58" s="72" t="n"/>
      <c r="F58" s="72" t="n"/>
      <c r="H58" t="s">
        <v>1055</v>
      </c>
      <c r="AT58" s="68" t="s">
        <v>1159</v>
      </c>
      <c r="AU58" s="68" t="s">
        <v>1160</v>
      </c>
    </row>
    <row r="59" spans="1:49" ht="36" customHeight="1">
      <c r="A59" s="45" t="s">
        <v>1161</v>
      </c>
      <c r="B59" s="45" t="n">
        <v>29</v>
      </c>
      <c r="C59" s="46" t="n"/>
      <c r="D59" s="9" t="n"/>
      <c r="E59" s="72" t="n"/>
      <c r="F59" s="72" t="n"/>
      <c r="H59" t="s">
        <v>1055</v>
      </c>
      <c r="AT59" s="68" t="s">
        <v>1162</v>
      </c>
      <c r="AU59" s="68" t="s">
        <v>1163</v>
      </c>
    </row>
    <row r="60" spans="1:49">
      <c r="A60" s="45" t="s">
        <v>1158</v>
      </c>
      <c r="B60" s="45" t="n">
        <v>30</v>
      </c>
      <c r="C60" s="46" t="n"/>
      <c r="D60" s="9" t="n"/>
      <c r="E60" s="72" t="n"/>
      <c r="F60" s="72" t="n"/>
      <c r="H60" t="s">
        <v>1055</v>
      </c>
      <c r="AT60" s="68" t="s">
        <v>1164</v>
      </c>
      <c r="AU60" s="68" t="s">
        <v>1165</v>
      </c>
    </row>
    <row r="61" spans="1:49" ht="24" customHeight="1">
      <c r="A61" s="45" t="s">
        <v>1166</v>
      </c>
      <c r="B61" s="45" t="n">
        <v>31</v>
      </c>
      <c r="C61" s="46" t="n"/>
      <c r="D61" s="9" t="n"/>
      <c r="E61" s="72" t="n"/>
      <c r="F61" s="72" t="n"/>
      <c r="H61" t="s">
        <v>1055</v>
      </c>
      <c r="AT61" s="68" t="s">
        <v>1167</v>
      </c>
      <c r="AU61" s="68" t="s">
        <v>1168</v>
      </c>
    </row>
    <row r="62" spans="1:49">
      <c r="A62" s="45" t="s">
        <v>1169</v>
      </c>
      <c r="B62" s="45" t="n">
        <v>32</v>
      </c>
      <c r="C62" s="46" t="n"/>
      <c r="D62" s="9" t="n"/>
      <c r="E62" s="72" t="n"/>
      <c r="F62" s="72" t="n"/>
      <c r="H62" t="s">
        <v>1055</v>
      </c>
      <c r="AT62" s="68" t="s">
        <v>1170</v>
      </c>
      <c r="AU62" s="68" t="s">
        <v>1171</v>
      </c>
    </row>
    <row r="63" spans="1:49">
      <c r="A63" s="45" t="s">
        <v>1172</v>
      </c>
      <c r="B63" s="45" t="n">
        <v>33</v>
      </c>
      <c r="C63" s="46" t="n"/>
      <c r="D63" s="9" t="n"/>
      <c r="E63" s="72" t="n"/>
      <c r="F63" s="72" t="n"/>
      <c r="H63" t="s">
        <v>1055</v>
      </c>
      <c r="AT63" s="68" t="s">
        <v>1173</v>
      </c>
      <c r="AU63" s="68" t="s">
        <v>1174</v>
      </c>
    </row>
    <row r="64" spans="1:49" ht="25.75" customHeight="1">
      <c r="A64" s="45" t="s">
        <v>1175</v>
      </c>
      <c r="B64" s="45" t="n">
        <v>34</v>
      </c>
      <c r="C64" s="46" t="n"/>
      <c r="D64" s="9" t="n"/>
      <c r="E64" s="72" t="n"/>
      <c r="F64" s="72" t="n"/>
      <c r="H64" t="s">
        <v>1055</v>
      </c>
      <c r="AT64" s="68" t="s">
        <v>1176</v>
      </c>
      <c r="AU64" s="68" t="s">
        <v>1177</v>
      </c>
    </row>
    <row r="65" spans="1:49" ht="24" customHeight="1">
      <c r="A65" s="45" t="s">
        <v>1178</v>
      </c>
      <c r="B65" s="45" t="n">
        <v>35</v>
      </c>
      <c r="C65" s="46" t="n"/>
      <c r="D65" s="9" t="n"/>
      <c r="E65" s="72" t="n"/>
      <c r="F65" s="72" t="n"/>
      <c r="H65" t="s">
        <v>1055</v>
      </c>
      <c r="AT65" s="68" t="s">
        <v>1179</v>
      </c>
      <c r="AU65" s="68" t="s">
        <v>1180</v>
      </c>
    </row>
    <row r="66" spans="1:49">
      <c r="A66" s="45" t="s">
        <v>1181</v>
      </c>
      <c r="B66" s="45" t="n">
        <v>36</v>
      </c>
      <c r="C66" s="46" t="n"/>
      <c r="D66" s="9" t="n"/>
      <c r="E66" s="72" t="n"/>
      <c r="F66" s="72" t="n"/>
      <c r="H66" t="s">
        <v>1055</v>
      </c>
      <c r="AT66" s="68" t="s">
        <v>1182</v>
      </c>
      <c r="AU66" s="68" t="s">
        <v>1183</v>
      </c>
    </row>
    <row r="67" spans="1:49" ht="36" customHeight="1">
      <c r="A67" s="45" t="s">
        <v>1184</v>
      </c>
      <c r="B67" s="45" t="n">
        <v>37</v>
      </c>
      <c r="C67" s="46" t="n"/>
      <c r="D67" s="9" t="n"/>
      <c r="E67" s="72" t="n"/>
      <c r="F67" s="72" t="n"/>
      <c r="H67" t="s">
        <v>1055</v>
      </c>
      <c r="AT67" s="68" t="s">
        <v>1185</v>
      </c>
      <c r="AU67" s="68" t="s">
        <v>1186</v>
      </c>
    </row>
    <row r="68" spans="1:49">
      <c r="A68" s="45" t="s">
        <v>1187</v>
      </c>
      <c r="B68" s="45" t="n">
        <v>38</v>
      </c>
      <c r="C68" s="46" t="n"/>
      <c r="D68" s="9" t="n"/>
      <c r="E68" s="72" t="n"/>
      <c r="F68" s="72" t="n"/>
      <c r="H68" t="s">
        <v>1055</v>
      </c>
      <c r="AT68" s="68" t="s">
        <v>1188</v>
      </c>
      <c r="AU68" s="68" t="s">
        <v>1189</v>
      </c>
    </row>
    <row r="69" spans="1:49" ht="24" customHeight="1">
      <c r="A69" s="45" t="s">
        <v>1190</v>
      </c>
      <c r="B69" s="45" t="n">
        <v>39</v>
      </c>
      <c r="C69" s="46" t="n"/>
      <c r="D69" s="9" t="n"/>
      <c r="E69" s="72" t="n"/>
      <c r="F69" s="72" t="n"/>
      <c r="H69" t="s">
        <v>1055</v>
      </c>
      <c r="AT69" s="68" t="s">
        <v>1191</v>
      </c>
      <c r="AU69" s="68" t="s">
        <v>1192</v>
      </c>
    </row>
    <row r="70" spans="1:49">
      <c r="A70" s="82" t="n"/>
      <c r="B70" s="74" t="n"/>
      <c r="C70" s="83" t="n"/>
      <c r="D70" s="83" t="n"/>
    </row>
    <row r="71" spans="1:49">
      <c r="A71" s="82" t="n"/>
      <c r="B71" s="74" t="n"/>
      <c r="C71" s="83" t="n"/>
      <c r="D71" s="83" t="n"/>
    </row>
    <row r="72" spans="1:49">
      <c r="A72" s="44" t="s">
        <v>1193</v>
      </c>
      <c r="B72" s="44" t="s">
        <v>427</v>
      </c>
      <c r="C72" s="44" t="s">
        <v>1042</v>
      </c>
      <c r="D72" s="83" t="n"/>
    </row>
    <row r="73" spans="1:49">
      <c r="A73" s="45" t="s">
        <v>1043</v>
      </c>
      <c r="B73" s="45" t="s">
        <v>1044</v>
      </c>
      <c r="C73" s="45" t="s">
        <v>1045</v>
      </c>
      <c r="D73" s="83" t="n"/>
    </row>
    <row r="74" spans="1:49">
      <c r="A74" s="45" t="s">
        <v>1194</v>
      </c>
      <c r="B74" s="45" t="n">
        <v>40</v>
      </c>
      <c r="C74" s="46">
        <f>'N15 - Personnel'!$C$23</f>
        <v/>
      </c>
      <c r="D74" s="84" t="n"/>
      <c r="E74" s="72" t="n"/>
      <c r="F74" s="72" t="n"/>
      <c r="H74" t="s">
        <v>1195</v>
      </c>
      <c r="AT74" s="68" t="s">
        <v>1196</v>
      </c>
      <c r="AU74" s="68" t="s">
        <v>1197</v>
      </c>
    </row>
    <row r="75" spans="1:49">
      <c r="A75" s="45" t="s">
        <v>1198</v>
      </c>
      <c r="B75" s="45" t="n">
        <v>41</v>
      </c>
      <c r="C75" s="46" t="n"/>
      <c r="D75" s="84" t="n"/>
      <c r="E75" s="72" t="n"/>
      <c r="F75" s="72" t="n"/>
      <c r="H75" t="s">
        <v>1055</v>
      </c>
      <c r="AT75" s="68" t="s">
        <v>1199</v>
      </c>
      <c r="AU75" s="68" t="s">
        <v>1200</v>
      </c>
    </row>
    <row r="76" spans="1:49">
      <c r="A76" s="80" t="n"/>
      <c r="B76" s="74" t="n"/>
      <c r="C76" s="83" t="n"/>
      <c r="D76" s="83" t="n"/>
    </row>
    <row r="77" spans="1:49">
      <c r="A77" s="80" t="n"/>
      <c r="B77" s="74" t="n"/>
      <c r="C77" s="83" t="n"/>
      <c r="D77" s="83" t="n"/>
    </row>
    <row r="78" spans="1:49">
      <c r="A78" s="80" t="n"/>
      <c r="B78" s="74" t="n"/>
      <c r="C78" s="83" t="n"/>
      <c r="D78" s="83" t="n"/>
    </row>
    <row r="79" spans="1:49">
      <c r="A79" s="45" t="s">
        <v>1201</v>
      </c>
      <c r="B79" s="45" t="s">
        <v>427</v>
      </c>
      <c r="C79" s="45" t="s">
        <v>1042</v>
      </c>
      <c r="D79" s="45" t="n"/>
    </row>
    <row r="80" spans="1:49">
      <c r="A80" s="45" t="n"/>
      <c r="B80" s="45" t="n"/>
      <c r="C80" s="45" t="s">
        <v>1131</v>
      </c>
      <c r="D80" s="45" t="s">
        <v>1132</v>
      </c>
    </row>
    <row r="81" spans="1:49">
      <c r="A81" s="45" t="s">
        <v>1043</v>
      </c>
      <c r="B81" s="45" t="s">
        <v>1044</v>
      </c>
      <c r="C81" s="45" t="s">
        <v>1045</v>
      </c>
      <c r="D81" s="45" t="s">
        <v>1046</v>
      </c>
    </row>
    <row r="82" spans="1:49">
      <c r="A82" s="45" t="s">
        <v>1202</v>
      </c>
      <c r="B82" s="45" t="n">
        <v>42</v>
      </c>
      <c r="C82" s="46">
        <f>ABS(ROUND(SUMIF('Trial Balance'!O:O,B82,'Trial Balance'!H:H),0))</f>
        <v/>
      </c>
      <c r="D82" s="46">
        <f>ABS(ROUND(SUMIF('Trial Balance'!O:O,B82,'Trial Balance'!K:K),0))</f>
        <v/>
      </c>
      <c r="E82" s="72" t="n"/>
      <c r="F82" s="72" t="n"/>
      <c r="H82" t="s">
        <v>1055</v>
      </c>
      <c r="AT82" s="68" t="s">
        <v>1203</v>
      </c>
      <c r="AU82" s="68" t="s">
        <v>1204</v>
      </c>
    </row>
    <row r="83" spans="1:49" ht="48" customHeight="1">
      <c r="A83" s="45" t="s">
        <v>1205</v>
      </c>
      <c r="B83" s="45" t="n">
        <v>43</v>
      </c>
      <c r="C83" s="46" t="n"/>
      <c r="D83" s="46" t="n"/>
      <c r="E83" s="72" t="n"/>
      <c r="F83" s="72" t="n"/>
      <c r="H83" t="s">
        <v>1055</v>
      </c>
      <c r="AT83" s="68" t="s">
        <v>1206</v>
      </c>
      <c r="AU83" s="68" t="s">
        <v>1207</v>
      </c>
    </row>
    <row r="84" spans="1:49" ht="24" customHeight="1">
      <c r="A84" s="44" t="s">
        <v>1208</v>
      </c>
      <c r="B84" s="44" t="n">
        <v>44</v>
      </c>
      <c r="C84" s="76">
        <f>SUM(C85:C86)</f>
        <v/>
      </c>
      <c r="D84" s="76">
        <f>SUM(D85:D86)</f>
        <v/>
      </c>
      <c r="E84" s="72" t="n"/>
      <c r="F84" s="72" t="n"/>
      <c r="H84" t="s">
        <v>1065</v>
      </c>
      <c r="AT84" s="68" t="s">
        <v>1209</v>
      </c>
      <c r="AU84" s="68" t="s">
        <v>1210</v>
      </c>
    </row>
    <row r="85" spans="1:49">
      <c r="A85" s="45" t="s">
        <v>1211</v>
      </c>
      <c r="B85" s="45" t="n">
        <v>45</v>
      </c>
      <c r="C85" s="46" t="n"/>
      <c r="D85" s="46" t="n"/>
      <c r="E85" s="72" t="n"/>
      <c r="F85" s="72" t="n"/>
      <c r="H85" t="s">
        <v>1055</v>
      </c>
      <c r="AT85" s="68" t="s">
        <v>1212</v>
      </c>
      <c r="AU85" s="68" t="s">
        <v>1213</v>
      </c>
    </row>
    <row r="86" spans="1:49">
      <c r="A86" s="45" t="s">
        <v>1214</v>
      </c>
      <c r="B86" s="45" t="n">
        <v>46</v>
      </c>
      <c r="C86" s="46" t="n"/>
      <c r="D86" s="46" t="n"/>
      <c r="E86" s="72" t="n"/>
      <c r="F86" s="72" t="n"/>
      <c r="H86" t="s">
        <v>1055</v>
      </c>
      <c r="AT86" s="68" t="s">
        <v>1215</v>
      </c>
      <c r="AU86" s="68" t="s">
        <v>1216</v>
      </c>
    </row>
    <row r="87" spans="1:49" ht="24" customHeight="1">
      <c r="A87" s="44" t="s">
        <v>1217</v>
      </c>
      <c r="B87" s="44" t="n">
        <v>47</v>
      </c>
      <c r="C87" s="76">
        <f>SUM(C88:C89)</f>
        <v/>
      </c>
      <c r="D87" s="76">
        <f>SUM(D88:D89)</f>
        <v/>
      </c>
      <c r="E87" s="72" t="n"/>
      <c r="F87" s="72" t="n"/>
      <c r="H87" t="s">
        <v>1065</v>
      </c>
      <c r="AT87" s="68" t="s">
        <v>1218</v>
      </c>
      <c r="AU87" s="68" t="s">
        <v>1219</v>
      </c>
    </row>
    <row r="88" spans="1:49">
      <c r="A88" s="45" t="s">
        <v>1220</v>
      </c>
      <c r="B88" s="45" t="n">
        <v>48</v>
      </c>
      <c r="C88" s="46" t="n"/>
      <c r="D88" s="46" t="n"/>
      <c r="E88" s="72" t="n"/>
      <c r="F88" s="72" t="n"/>
      <c r="H88" t="s">
        <v>1055</v>
      </c>
      <c r="AT88" s="68" t="s">
        <v>1221</v>
      </c>
      <c r="AU88" s="68" t="s">
        <v>1222</v>
      </c>
    </row>
    <row r="89" spans="1:49">
      <c r="A89" s="45" t="s">
        <v>1223</v>
      </c>
      <c r="B89" s="45" t="n">
        <v>49</v>
      </c>
      <c r="C89" s="46" t="n"/>
      <c r="D89" s="46" t="n"/>
      <c r="E89" s="72" t="n"/>
      <c r="F89" s="72" t="n"/>
      <c r="H89" t="s">
        <v>1055</v>
      </c>
      <c r="AT89" s="68" t="s">
        <v>1224</v>
      </c>
      <c r="AU89" s="68" t="s">
        <v>1225</v>
      </c>
    </row>
    <row r="90" spans="1:49">
      <c r="A90" s="85" t="n"/>
      <c r="B90" s="85" t="n"/>
      <c r="C90" s="78" t="n"/>
      <c r="D90" s="79" t="n"/>
    </row>
    <row r="91" spans="1:49">
      <c r="A91" s="85" t="n"/>
      <c r="B91" s="85" t="n"/>
      <c r="C91" s="78" t="n"/>
      <c r="D91" s="79" t="n"/>
    </row>
    <row r="92" spans="1:49">
      <c r="A92" s="45" t="s">
        <v>1226</v>
      </c>
      <c r="B92" s="45" t="s">
        <v>427</v>
      </c>
      <c r="C92" s="45" t="s">
        <v>1042</v>
      </c>
      <c r="D92" s="45" t="n"/>
    </row>
    <row r="93" spans="1:49">
      <c r="A93" s="45" t="n"/>
      <c r="B93" s="45" t="n"/>
      <c r="C93" s="45" t="s">
        <v>1131</v>
      </c>
      <c r="D93" s="45" t="s">
        <v>1132</v>
      </c>
    </row>
    <row r="94" spans="1:49">
      <c r="A94" s="45" t="s">
        <v>1043</v>
      </c>
      <c r="B94" s="45" t="s">
        <v>1044</v>
      </c>
      <c r="C94" s="45" t="s">
        <v>1045</v>
      </c>
      <c r="D94" s="45" t="s">
        <v>1046</v>
      </c>
    </row>
    <row r="95" spans="1:49">
      <c r="A95" s="45" t="s">
        <v>1227</v>
      </c>
      <c r="B95" s="45" t="n">
        <v>50</v>
      </c>
      <c r="C95" s="46" t="n"/>
      <c r="D95" s="46" t="n"/>
      <c r="E95" s="72" t="n"/>
      <c r="F95" s="72" t="n"/>
      <c r="H95" t="s">
        <v>1055</v>
      </c>
      <c r="AT95" s="68" t="s">
        <v>1228</v>
      </c>
      <c r="AU95" s="68" t="s">
        <v>1229</v>
      </c>
    </row>
    <row r="96" spans="1:49" ht="48" customHeight="1">
      <c r="A96" s="45" t="s">
        <v>1205</v>
      </c>
      <c r="B96" s="45" t="n">
        <v>51</v>
      </c>
      <c r="C96" s="46" t="n"/>
      <c r="D96" s="46" t="n"/>
      <c r="E96" s="72" t="n"/>
      <c r="F96" s="72" t="n"/>
      <c r="H96" t="s">
        <v>1055</v>
      </c>
      <c r="AT96" s="68" t="s">
        <v>1230</v>
      </c>
      <c r="AU96" s="68" t="s">
        <v>1231</v>
      </c>
    </row>
    <row r="97" spans="1:49">
      <c r="A97" s="77" t="n"/>
      <c r="B97" s="74" t="n"/>
      <c r="C97" s="78" t="n"/>
      <c r="D97" s="79" t="n"/>
    </row>
    <row r="98" spans="1:49">
      <c r="A98" s="77" t="n"/>
      <c r="B98" s="74" t="n"/>
      <c r="C98" s="78" t="n"/>
      <c r="D98" s="79" t="n"/>
    </row>
    <row r="99" spans="1:49">
      <c r="A99" s="45" t="s">
        <v>1232</v>
      </c>
      <c r="B99" s="45" t="s">
        <v>427</v>
      </c>
      <c r="C99" s="45" t="s">
        <v>1042</v>
      </c>
      <c r="D99" s="45" t="n"/>
    </row>
    <row r="100" spans="1:49">
      <c r="A100" s="45" t="n"/>
      <c r="B100" s="45" t="n"/>
      <c r="C100" s="45" t="s">
        <v>1131</v>
      </c>
      <c r="D100" s="45" t="s">
        <v>1132</v>
      </c>
    </row>
    <row r="101" spans="1:49">
      <c r="A101" s="45" t="s">
        <v>1043</v>
      </c>
      <c r="B101" s="45" t="s">
        <v>1044</v>
      </c>
      <c r="C101" s="45" t="s">
        <v>1045</v>
      </c>
      <c r="D101" s="45" t="s">
        <v>1046</v>
      </c>
    </row>
    <row r="102" spans="1:49" ht="24" customHeight="1">
      <c r="A102" s="45" t="s">
        <v>1233</v>
      </c>
      <c r="B102" s="45" t="n">
        <v>52</v>
      </c>
      <c r="C102" s="46">
        <f>ABS(ROUND(SUMIF('Trial Balance'!O:O,B102,'Trial Balance'!H:H),0))</f>
        <v/>
      </c>
      <c r="D102" s="46">
        <f>ABS(ROUND(SUMIF('Trial Balance'!O:O,B102,'Trial Balance'!K:K),0))</f>
        <v/>
      </c>
      <c r="E102" s="72" t="n"/>
      <c r="F102" s="72" t="n"/>
      <c r="H102" t="s">
        <v>1195</v>
      </c>
      <c r="AT102" s="68" t="s">
        <v>1234</v>
      </c>
      <c r="AU102" s="68" t="s">
        <v>1235</v>
      </c>
    </row>
    <row r="103" spans="1:49" ht="36" customHeight="1">
      <c r="A103" s="45" t="s">
        <v>1236</v>
      </c>
      <c r="B103" s="45" t="n">
        <v>53</v>
      </c>
      <c r="C103" s="46" t="n"/>
      <c r="D103" s="46" t="n"/>
      <c r="E103" s="72" t="n"/>
      <c r="F103" s="72" t="n"/>
      <c r="H103" t="s">
        <v>1055</v>
      </c>
      <c r="AT103" s="68" t="s">
        <v>1237</v>
      </c>
      <c r="AU103" s="68" t="s">
        <v>1238</v>
      </c>
    </row>
    <row r="104" spans="1:49" ht="36" customHeight="1">
      <c r="A104" s="45" t="s">
        <v>1239</v>
      </c>
      <c r="B104" s="45" t="n">
        <v>54</v>
      </c>
      <c r="C104" s="46" t="n"/>
      <c r="D104" s="46" t="n"/>
      <c r="E104" s="72" t="n"/>
      <c r="F104" s="72" t="n"/>
      <c r="H104" t="s">
        <v>1055</v>
      </c>
      <c r="AT104" s="68" t="s">
        <v>1240</v>
      </c>
      <c r="AU104" s="68" t="s">
        <v>1241</v>
      </c>
    </row>
    <row r="105" spans="1:49" ht="24" customHeight="1">
      <c r="A105" s="45" t="s">
        <v>1242</v>
      </c>
      <c r="B105" s="45" t="n">
        <v>55</v>
      </c>
      <c r="C105" s="46">
        <f>ABS(ROUND(SUMIF('Trial Balance'!E:E,"4093",'Trial Balance'!H:H),0))</f>
        <v/>
      </c>
      <c r="D105" s="46">
        <f>ABS(ROUND(SUMIF('Trial Balance'!E:E,"4093",'Trial Balance'!K:K),0))</f>
        <v/>
      </c>
      <c r="E105" s="72" t="n"/>
      <c r="F105" s="72" t="n"/>
      <c r="H105" t="s">
        <v>1195</v>
      </c>
      <c r="AT105" s="68" t="s">
        <v>1243</v>
      </c>
      <c r="AU105" s="68" t="s">
        <v>1244</v>
      </c>
    </row>
    <row r="106" spans="1:49" ht="36" customHeight="1">
      <c r="A106" s="45" t="s">
        <v>1245</v>
      </c>
      <c r="B106" s="45" t="n">
        <v>56</v>
      </c>
      <c r="C106" s="46" t="n"/>
      <c r="D106" s="46" t="n"/>
      <c r="E106" s="72" t="n"/>
      <c r="F106" s="72" t="n"/>
      <c r="H106" t="s">
        <v>1055</v>
      </c>
      <c r="AT106" s="68" t="s">
        <v>1246</v>
      </c>
      <c r="AU106" s="68" t="s">
        <v>1247</v>
      </c>
    </row>
    <row r="107" spans="1:49" ht="36" customHeight="1">
      <c r="A107" s="45" t="s">
        <v>1248</v>
      </c>
      <c r="B107" s="45" t="n">
        <v>57</v>
      </c>
      <c r="C107" s="46" t="n"/>
      <c r="D107" s="46" t="n"/>
      <c r="E107" s="72" t="n"/>
      <c r="F107" s="72" t="n"/>
      <c r="H107" t="s">
        <v>1055</v>
      </c>
      <c r="AT107" s="68" t="s">
        <v>1249</v>
      </c>
      <c r="AU107" s="68" t="s">
        <v>1250</v>
      </c>
    </row>
    <row r="108" spans="1:49" ht="24" customHeight="1">
      <c r="A108" s="44" t="s">
        <v>1251</v>
      </c>
      <c r="B108" s="44" t="n">
        <v>58</v>
      </c>
      <c r="C108" s="76">
        <f>C109+C115</f>
        <v/>
      </c>
      <c r="D108" s="76">
        <f>D109+D115</f>
        <v/>
      </c>
      <c r="E108" s="72" t="n"/>
      <c r="F108" s="72" t="n"/>
      <c r="H108" t="s">
        <v>1065</v>
      </c>
      <c r="AT108" s="68" t="s">
        <v>1252</v>
      </c>
      <c r="AU108" s="68" t="s">
        <v>1253</v>
      </c>
    </row>
    <row r="109" spans="1:49" ht="48" customHeight="1">
      <c r="A109" s="45" t="s">
        <v>1254</v>
      </c>
      <c r="B109" s="45" t="n">
        <v>59</v>
      </c>
      <c r="C109" s="46">
        <f>'1. F10'!D39-'3. F30'!C115</f>
        <v/>
      </c>
      <c r="D109" s="46">
        <f>'1. F10'!E39-'3. F30'!D115</f>
        <v/>
      </c>
      <c r="E109" s="72" t="n"/>
      <c r="F109" s="72" t="n"/>
      <c r="H109" t="s">
        <v>1195</v>
      </c>
      <c r="AT109" s="68" t="s">
        <v>1255</v>
      </c>
      <c r="AU109" s="68" t="s">
        <v>1256</v>
      </c>
    </row>
    <row r="110" spans="1:49">
      <c r="A110" s="45" t="s">
        <v>1257</v>
      </c>
      <c r="B110" s="45" t="n">
        <v>60</v>
      </c>
      <c r="C110" s="46" t="n"/>
      <c r="D110" s="46" t="n"/>
      <c r="E110" s="72" t="n"/>
      <c r="F110" s="72" t="n"/>
      <c r="H110" t="s">
        <v>1055</v>
      </c>
      <c r="AT110" s="68" t="s">
        <v>1258</v>
      </c>
      <c r="AU110" s="68" t="s">
        <v>1259</v>
      </c>
    </row>
    <row r="111" spans="1:49">
      <c r="A111" s="45" t="s">
        <v>1260</v>
      </c>
      <c r="B111" s="45" t="n">
        <v>61</v>
      </c>
      <c r="C111" s="46" t="n"/>
      <c r="D111" s="46" t="n"/>
      <c r="E111" s="72" t="n"/>
      <c r="F111" s="72" t="n"/>
      <c r="H111" t="s">
        <v>1055</v>
      </c>
      <c r="AT111" s="68" t="s">
        <v>1261</v>
      </c>
      <c r="AU111" s="68" t="s">
        <v>1262</v>
      </c>
    </row>
    <row r="112" spans="1:49" ht="24" customHeight="1">
      <c r="A112" s="45" t="s">
        <v>1263</v>
      </c>
      <c r="B112" s="45" t="n">
        <v>62</v>
      </c>
      <c r="C112" s="46" t="n"/>
      <c r="D112" s="46" t="n"/>
      <c r="E112" s="72" t="n"/>
      <c r="F112" s="72" t="n"/>
      <c r="H112" t="s">
        <v>1055</v>
      </c>
      <c r="AT112" s="68" t="s">
        <v>1264</v>
      </c>
      <c r="AU112" s="68" t="s">
        <v>1265</v>
      </c>
    </row>
    <row r="113" spans="1:49">
      <c r="A113" s="45" t="s">
        <v>1266</v>
      </c>
      <c r="B113" s="45" t="n">
        <v>63</v>
      </c>
      <c r="C113" s="46" t="n"/>
      <c r="D113" s="46" t="n"/>
      <c r="E113" s="72" t="n"/>
      <c r="F113" s="72" t="n"/>
      <c r="H113" t="s">
        <v>1055</v>
      </c>
      <c r="AT113" s="68" t="s">
        <v>1267</v>
      </c>
      <c r="AU113" s="68" t="s">
        <v>1268</v>
      </c>
    </row>
    <row r="114" spans="1:49">
      <c r="A114" s="45" t="s">
        <v>1269</v>
      </c>
      <c r="B114" s="45" t="n">
        <v>64</v>
      </c>
      <c r="C114" s="46" t="n"/>
      <c r="D114" s="46" t="n"/>
      <c r="E114" s="72" t="n"/>
      <c r="F114" s="72" t="n"/>
      <c r="H114" t="s">
        <v>1055</v>
      </c>
      <c r="AT114" s="68" t="s">
        <v>1270</v>
      </c>
      <c r="AU114" s="68" t="s">
        <v>1271</v>
      </c>
    </row>
    <row r="115" spans="1:49" ht="24" customHeight="1">
      <c r="A115" s="44" t="s">
        <v>1272</v>
      </c>
      <c r="B115" s="44" t="n">
        <v>65</v>
      </c>
      <c r="C115" s="76">
        <f>SUM(C116:C117)</f>
        <v/>
      </c>
      <c r="D115" s="76">
        <f>SUM(D116:D117)</f>
        <v/>
      </c>
      <c r="E115" s="72" t="n"/>
      <c r="F115" s="72" t="n"/>
      <c r="H115" t="s">
        <v>1065</v>
      </c>
      <c r="AT115" s="68" t="s">
        <v>1273</v>
      </c>
      <c r="AU115" s="68" t="s">
        <v>1274</v>
      </c>
    </row>
    <row r="116" spans="1:49" ht="36" customHeight="1">
      <c r="A116" s="45" t="s">
        <v>1275</v>
      </c>
      <c r="B116" s="45" t="n">
        <v>66</v>
      </c>
      <c r="C116" s="46">
        <f>'1. F10'!D38</f>
        <v/>
      </c>
      <c r="D116" s="46">
        <f>'1. F10'!E38</f>
        <v/>
      </c>
      <c r="E116" s="72" t="n"/>
      <c r="F116" s="72" t="n"/>
      <c r="H116" t="s">
        <v>1195</v>
      </c>
      <c r="I116" t="s">
        <v>1276</v>
      </c>
      <c r="AT116" s="68" t="s">
        <v>1277</v>
      </c>
      <c r="AU116" s="68" t="s">
        <v>1278</v>
      </c>
    </row>
    <row r="117" spans="1:49">
      <c r="A117" s="45" t="s">
        <v>1279</v>
      </c>
      <c r="B117" s="45" t="n">
        <v>67</v>
      </c>
      <c r="C117" s="46" t="n"/>
      <c r="D117" s="46" t="n"/>
      <c r="E117" s="72" t="n"/>
      <c r="F117" s="72" t="n"/>
      <c r="H117" t="s">
        <v>1055</v>
      </c>
      <c r="AT117" s="68" t="s">
        <v>1280</v>
      </c>
      <c r="AU117" s="68" t="s">
        <v>1281</v>
      </c>
    </row>
    <row r="118" spans="1:49" ht="60" customHeight="1">
      <c r="A118" s="45" t="s">
        <v>1282</v>
      </c>
      <c r="B118" s="45" t="n">
        <v>68</v>
      </c>
      <c r="C118" s="46">
        <f>ABS(ROUND(SUMIF('Trial Balance'!O:O,B118,'Trial Balance'!H:H),0))</f>
        <v/>
      </c>
      <c r="D118" s="46">
        <f>ABS(ROUND(SUMIF('Trial Balance'!O:O,B118,'Trial Balance'!K:K),0))</f>
        <v/>
      </c>
      <c r="E118" s="72" t="n"/>
      <c r="F118" s="72" t="n"/>
      <c r="H118" t="s">
        <v>1195</v>
      </c>
      <c r="AT118" s="68" t="s">
        <v>1283</v>
      </c>
      <c r="AU118" s="68" t="s">
        <v>1284</v>
      </c>
    </row>
    <row r="119" spans="1:49" ht="96" customHeight="1">
      <c r="A119" s="45" t="s">
        <v>1285</v>
      </c>
      <c r="B119" s="45" t="n">
        <v>69</v>
      </c>
      <c r="C119" s="46" t="n"/>
      <c r="D119" s="46" t="n"/>
      <c r="E119" s="72" t="n"/>
      <c r="F119" s="72" t="n"/>
      <c r="H119" t="s">
        <v>1055</v>
      </c>
      <c r="AT119" s="68" t="s">
        <v>1286</v>
      </c>
      <c r="AU119" s="68" t="s">
        <v>1287</v>
      </c>
    </row>
    <row r="120" spans="1:49" ht="96" customHeight="1">
      <c r="A120" s="45" t="s">
        <v>1288</v>
      </c>
      <c r="B120" s="45" t="n">
        <v>70</v>
      </c>
      <c r="C120" s="46" t="n"/>
      <c r="D120" s="46" t="n"/>
      <c r="E120" s="72" t="n"/>
      <c r="F120" s="72" t="n"/>
      <c r="H120" t="s">
        <v>1055</v>
      </c>
      <c r="AT120" s="68" t="s">
        <v>1289</v>
      </c>
      <c r="AU120" s="68" t="s">
        <v>1290</v>
      </c>
    </row>
    <row r="121" spans="1:49">
      <c r="A121" s="45" t="s">
        <v>1291</v>
      </c>
      <c r="B121" s="45" t="n">
        <v>71</v>
      </c>
      <c r="C121" s="46" t="n"/>
      <c r="D121" s="46" t="n"/>
      <c r="E121" s="72" t="n"/>
      <c r="F121" s="72" t="n"/>
      <c r="H121" t="s">
        <v>1055</v>
      </c>
      <c r="AT121" s="68" t="s">
        <v>1292</v>
      </c>
      <c r="AU121" s="68" t="s">
        <v>1293</v>
      </c>
    </row>
    <row r="122" spans="1:49" ht="24" customHeight="1">
      <c r="A122" s="45" t="s">
        <v>1294</v>
      </c>
      <c r="B122" s="45" t="n">
        <v>72</v>
      </c>
      <c r="C122" s="46">
        <f>ABS(ROUND(SUMIF('Trial Balance'!O:O,B122,'Trial Balance'!H:H),0))</f>
        <v/>
      </c>
      <c r="D122" s="46">
        <f>ABS(ROUND(SUMIF('Trial Balance'!O:O,B122,'Trial Balance'!K:K),0))</f>
        <v/>
      </c>
      <c r="E122" s="72" t="n"/>
      <c r="F122" s="72" t="n"/>
      <c r="H122" t="s">
        <v>1195</v>
      </c>
      <c r="AT122" s="68" t="s">
        <v>1295</v>
      </c>
      <c r="AU122" s="68" t="s">
        <v>1296</v>
      </c>
    </row>
    <row r="123" spans="1:49" ht="48" customHeight="1">
      <c r="A123" s="44" t="s">
        <v>1297</v>
      </c>
      <c r="B123" s="44" t="n">
        <v>73</v>
      </c>
      <c r="C123" s="76">
        <f>SUM(C124:C128)</f>
        <v/>
      </c>
      <c r="D123" s="76">
        <f>SUM(D124:D128)</f>
        <v/>
      </c>
      <c r="E123" s="72" t="n"/>
      <c r="F123" s="72" t="n"/>
      <c r="H123" t="s">
        <v>1065</v>
      </c>
      <c r="AT123" s="68" t="s">
        <v>1298</v>
      </c>
      <c r="AU123" s="68" t="s">
        <v>1299</v>
      </c>
    </row>
    <row r="124" spans="1:49">
      <c r="A124" s="45" t="s">
        <v>1300</v>
      </c>
      <c r="B124" s="45" t="n">
        <v>74</v>
      </c>
      <c r="C124" s="46">
        <f>ABS(ROUND(SUMIF('Trial Balance'!O:O,B124,'Trial Balance'!H:H),0))</f>
        <v/>
      </c>
      <c r="D124" s="46">
        <f>ABS(ROUND(SUMIF('Trial Balance'!O:O,B124,'Trial Balance'!K:K),0))</f>
        <v/>
      </c>
      <c r="E124" s="72" t="n"/>
      <c r="F124" s="72" t="n"/>
      <c r="H124" t="s">
        <v>1195</v>
      </c>
      <c r="I124" t="s">
        <v>1301</v>
      </c>
      <c r="AT124" s="68" t="s">
        <v>1302</v>
      </c>
      <c r="AU124" s="68" t="s">
        <v>1303</v>
      </c>
    </row>
    <row r="125" spans="1:49">
      <c r="A125" s="45" t="s">
        <v>1304</v>
      </c>
      <c r="B125" s="45" t="n">
        <v>75</v>
      </c>
      <c r="C125" s="46">
        <f>ABS(ROUND(SUMIF('Trial Balance'!O:O,B125,'Trial Balance'!H:H),0))</f>
        <v/>
      </c>
      <c r="D125" s="46">
        <f>ABS(ROUND(SUMIF('Trial Balance'!O:O,B125,'Trial Balance'!K:K),0))</f>
        <v/>
      </c>
      <c r="E125" s="72" t="n"/>
      <c r="F125" s="72" t="n"/>
      <c r="H125" t="s">
        <v>1195</v>
      </c>
      <c r="I125" t="s">
        <v>1305</v>
      </c>
      <c r="AT125" s="68" t="s">
        <v>1306</v>
      </c>
      <c r="AU125" s="68" t="s">
        <v>1307</v>
      </c>
    </row>
    <row r="126" spans="1:49">
      <c r="A126" s="45" t="s">
        <v>1308</v>
      </c>
      <c r="B126" s="45" t="n">
        <v>76</v>
      </c>
      <c r="C126" s="46">
        <f>ABS(ROUND(SUMIF('Trial Balance'!O:O,B126,'Trial Balance'!H:H),0))</f>
        <v/>
      </c>
      <c r="D126" s="46">
        <f>ABS(ROUND(SUMIF('Trial Balance'!O:O,B126,'Trial Balance'!K:K),0))</f>
        <v/>
      </c>
      <c r="E126" s="72" t="n"/>
      <c r="F126" s="72" t="n"/>
      <c r="H126" t="s">
        <v>1195</v>
      </c>
      <c r="AT126" s="68" t="s">
        <v>1309</v>
      </c>
      <c r="AU126" s="68" t="s">
        <v>1310</v>
      </c>
    </row>
    <row r="127" spans="1:49" ht="24" customHeight="1">
      <c r="A127" s="45" t="s">
        <v>1311</v>
      </c>
      <c r="B127" s="45" t="n">
        <v>77</v>
      </c>
      <c r="C127" s="46">
        <f>ABS(ROUND(SUMIF('Trial Balance'!O:O,B127,'Trial Balance'!H:H),0))</f>
        <v/>
      </c>
      <c r="D127" s="46">
        <f>ABS(ROUND(SUMIF('Trial Balance'!O:O,B127,'Trial Balance'!K:K),0))</f>
        <v/>
      </c>
      <c r="E127" s="72" t="n"/>
      <c r="F127" s="72" t="n"/>
      <c r="H127" t="s">
        <v>1055</v>
      </c>
      <c r="I127" t="s">
        <v>1312</v>
      </c>
      <c r="AT127" s="68" t="s">
        <v>1313</v>
      </c>
      <c r="AU127" s="68" t="s">
        <v>1314</v>
      </c>
    </row>
    <row r="128" spans="1:49" ht="24" customHeight="1">
      <c r="A128" s="45" t="s">
        <v>1315</v>
      </c>
      <c r="B128" s="45" t="n">
        <v>78</v>
      </c>
      <c r="C128" s="46">
        <f>ABS(ROUND(SUMIF('Trial Balance'!O:O,B128,'Trial Balance'!H:H),0))</f>
        <v/>
      </c>
      <c r="D128" s="46">
        <f>ABS(ROUND(SUMIF('Trial Balance'!O:O,B128,'Trial Balance'!K:K),0))</f>
        <v/>
      </c>
      <c r="E128" s="72" t="n"/>
      <c r="F128" s="72" t="n"/>
      <c r="H128" t="s">
        <v>1195</v>
      </c>
      <c r="AT128" s="68" t="s">
        <v>1316</v>
      </c>
      <c r="AU128" s="68" t="s">
        <v>1317</v>
      </c>
    </row>
    <row r="129" spans="1:49" ht="24" customHeight="1">
      <c r="A129" s="45" t="s">
        <v>1318</v>
      </c>
      <c r="B129" s="45" t="n">
        <v>79</v>
      </c>
      <c r="C129" s="46">
        <f>ABS(ROUND(SUMIF('Trial Balance'!D:D,"451",'Trial Balance'!H:H),2))</f>
        <v/>
      </c>
      <c r="D129" s="46">
        <f>ABS(ROUND(SUMIF('Trial Balance'!D:D,"451",'Trial Balance'!K:K),2))</f>
        <v/>
      </c>
      <c r="E129" s="72" t="n"/>
      <c r="F129" s="72" t="n"/>
      <c r="H129" t="s">
        <v>1195</v>
      </c>
      <c r="I129" t="s">
        <v>1319</v>
      </c>
      <c r="AT129" s="68" t="s">
        <v>1320</v>
      </c>
      <c r="AU129" s="68" t="s">
        <v>1321</v>
      </c>
    </row>
    <row r="130" spans="1:49" ht="24" customHeight="1">
      <c r="A130" s="45" t="s">
        <v>1322</v>
      </c>
      <c r="B130" s="45" t="n">
        <v>80</v>
      </c>
      <c r="C130" s="46" t="n"/>
      <c r="D130" s="46" t="n"/>
      <c r="E130" s="72" t="n"/>
      <c r="F130" s="72" t="n"/>
      <c r="H130" t="s">
        <v>1055</v>
      </c>
      <c r="AT130" s="68" t="s">
        <v>1323</v>
      </c>
      <c r="AU130" s="68" t="s">
        <v>1324</v>
      </c>
    </row>
    <row r="131" spans="1:49" ht="24" customHeight="1">
      <c r="A131" s="45" t="s">
        <v>1325</v>
      </c>
      <c r="B131" s="45" t="n">
        <v>81</v>
      </c>
      <c r="C131" s="46" t="n"/>
      <c r="D131" s="46" t="n"/>
      <c r="E131" s="72" t="n"/>
      <c r="F131" s="72" t="n"/>
      <c r="H131" t="s">
        <v>1055</v>
      </c>
      <c r="AT131" s="68" t="s">
        <v>1326</v>
      </c>
      <c r="AU131" s="68" t="s">
        <v>1327</v>
      </c>
    </row>
    <row r="132" spans="1:49" ht="72" customHeight="1">
      <c r="A132" s="45" t="s">
        <v>1328</v>
      </c>
      <c r="B132" s="45" t="n">
        <v>82</v>
      </c>
      <c r="C132" s="46" t="n"/>
      <c r="D132" s="46" t="n"/>
      <c r="E132" s="72" t="n"/>
      <c r="F132" s="72" t="n"/>
      <c r="H132" t="s">
        <v>1055</v>
      </c>
      <c r="AT132" s="68" t="s">
        <v>1329</v>
      </c>
      <c r="AU132" s="68" t="s">
        <v>1330</v>
      </c>
    </row>
    <row r="133" spans="1:49" ht="24" customHeight="1">
      <c r="A133" s="49" t="s">
        <v>1331</v>
      </c>
      <c r="B133" s="49" t="n">
        <v>83</v>
      </c>
      <c r="C133" s="133">
        <f>ABS(ROUND(SUMIF('Trial Balance'!E:E,"4652",'Trial Balance'!H:H),2))</f>
        <v/>
      </c>
      <c r="D133" s="133">
        <f>ABS(ROUND(SUMIF('Trial Balance'!E:E,"4652",'Trial Balance'!K:K),2))</f>
        <v/>
      </c>
      <c r="E133" s="72" t="n"/>
      <c r="F133" s="72" t="n"/>
      <c r="H133" t="s">
        <v>1195</v>
      </c>
    </row>
    <row r="134" spans="1:49">
      <c r="A134" s="45" t="s">
        <v>1332</v>
      </c>
      <c r="B134" s="45" t="n">
        <v>84</v>
      </c>
      <c r="C134" s="46">
        <f>'1. F10'!D52</f>
        <v/>
      </c>
      <c r="D134" s="46">
        <f>'1. F10'!E52</f>
        <v/>
      </c>
      <c r="E134" s="72" t="n"/>
      <c r="F134" s="72" t="n"/>
      <c r="H134" t="s">
        <v>1195</v>
      </c>
      <c r="AT134" s="68" t="s">
        <v>1333</v>
      </c>
      <c r="AU134" s="68" t="s">
        <v>1334</v>
      </c>
    </row>
    <row r="135" spans="1:49" ht="48" customHeight="1">
      <c r="A135" s="45" t="s">
        <v>1335</v>
      </c>
      <c r="B135" s="45" t="n">
        <v>85</v>
      </c>
      <c r="C135" s="46" t="n"/>
      <c r="D135" s="46" t="n"/>
      <c r="E135" s="72" t="n"/>
      <c r="F135" s="72" t="n"/>
      <c r="H135" t="s">
        <v>1055</v>
      </c>
      <c r="AT135" s="68" t="s">
        <v>1336</v>
      </c>
      <c r="AU135" s="68" t="s">
        <v>1337</v>
      </c>
    </row>
    <row r="136" spans="1:49" ht="60" customHeight="1">
      <c r="A136" s="45" t="s">
        <v>1338</v>
      </c>
      <c r="B136" s="45" t="n">
        <v>86</v>
      </c>
      <c r="C136" s="46" t="n"/>
      <c r="D136" s="46" t="n"/>
      <c r="E136" s="72" t="n"/>
      <c r="F136" s="72" t="n"/>
      <c r="H136" t="s">
        <v>1055</v>
      </c>
      <c r="AT136" s="68" t="s">
        <v>1339</v>
      </c>
      <c r="AU136" s="68" t="s">
        <v>1340</v>
      </c>
    </row>
    <row r="137" spans="1:49" ht="60" customHeight="1">
      <c r="A137" s="45" t="s">
        <v>1341</v>
      </c>
      <c r="B137" s="45" t="n">
        <v>87</v>
      </c>
      <c r="C137" s="46" t="n"/>
      <c r="D137" s="46" t="n"/>
      <c r="E137" s="72" t="n"/>
      <c r="F137" s="72" t="n"/>
      <c r="H137" t="s">
        <v>1055</v>
      </c>
      <c r="AT137" s="68" t="s">
        <v>1342</v>
      </c>
      <c r="AU137" s="68" t="s">
        <v>1343</v>
      </c>
    </row>
    <row r="138" spans="1:49">
      <c r="A138" s="45" t="s">
        <v>1344</v>
      </c>
      <c r="B138" s="45" t="n">
        <v>88</v>
      </c>
      <c r="C138" s="46">
        <f>ABS(ROUND(SUMIF('Trial Balance'!O:O,B138,'Trial Balance'!H:H),0))</f>
        <v/>
      </c>
      <c r="D138" s="46">
        <f>ABS(ROUND(SUMIF('Trial Balance'!O:O,B138,'Trial Balance'!K:K),0))</f>
        <v/>
      </c>
      <c r="E138" s="72" t="n"/>
      <c r="F138" s="72" t="n"/>
      <c r="H138" t="s">
        <v>1195</v>
      </c>
      <c r="AT138" s="68" t="s">
        <v>1345</v>
      </c>
      <c r="AU138" s="68" t="s">
        <v>1346</v>
      </c>
    </row>
    <row r="139" spans="1:49">
      <c r="A139" s="45" t="s">
        <v>1347</v>
      </c>
      <c r="B139" s="45" t="n">
        <v>89</v>
      </c>
      <c r="C139" s="46" t="n"/>
      <c r="D139" s="46" t="n"/>
      <c r="E139" s="72" t="n"/>
      <c r="F139" s="72" t="n"/>
      <c r="H139" t="s">
        <v>1055</v>
      </c>
      <c r="AT139" s="68" t="s">
        <v>1348</v>
      </c>
      <c r="AU139" s="68" t="s">
        <v>1349</v>
      </c>
    </row>
    <row r="140" spans="1:49" ht="24" customHeight="1">
      <c r="A140" s="45" t="s">
        <v>1350</v>
      </c>
      <c r="B140" s="45" t="n">
        <v>90</v>
      </c>
      <c r="C140" s="46" t="n"/>
      <c r="D140" s="46" t="n"/>
      <c r="E140" s="72" t="n"/>
      <c r="F140" s="72" t="n"/>
      <c r="H140" t="s">
        <v>1055</v>
      </c>
      <c r="AT140" s="68" t="s">
        <v>1351</v>
      </c>
      <c r="AU140" s="68" t="s">
        <v>1352</v>
      </c>
    </row>
    <row r="141" spans="1:49" ht="24" customHeight="1">
      <c r="A141" s="45" t="s">
        <v>1353</v>
      </c>
      <c r="B141" s="45" t="n">
        <v>91</v>
      </c>
      <c r="C141" s="46" t="n"/>
      <c r="D141" s="46" t="n"/>
      <c r="E141" s="72" t="n"/>
      <c r="F141" s="72" t="n"/>
      <c r="H141" t="s">
        <v>1055</v>
      </c>
      <c r="AT141" s="68" t="s">
        <v>1354</v>
      </c>
      <c r="AU141" s="68" t="s">
        <v>1355</v>
      </c>
    </row>
    <row r="142" spans="1:49">
      <c r="A142" s="45" t="s">
        <v>1356</v>
      </c>
      <c r="B142" s="45" t="n">
        <v>92</v>
      </c>
      <c r="C142" s="46">
        <f>'1. F10'!D58-C148</f>
        <v/>
      </c>
      <c r="D142" s="46">
        <f>'1. F10'!E58-D148</f>
        <v/>
      </c>
      <c r="E142" s="72" t="n"/>
      <c r="F142" s="72" t="n"/>
      <c r="H142" t="s">
        <v>1195</v>
      </c>
      <c r="AT142" s="68" t="s">
        <v>1357</v>
      </c>
      <c r="AU142" s="68" t="s">
        <v>1358</v>
      </c>
    </row>
    <row r="143" spans="1:49">
      <c r="A143" s="45" t="s">
        <v>1257</v>
      </c>
      <c r="B143" s="45" t="n">
        <v>93</v>
      </c>
      <c r="C143" s="46" t="n"/>
      <c r="D143" s="46" t="n"/>
      <c r="E143" s="72" t="n"/>
      <c r="F143" s="72" t="n"/>
      <c r="H143" t="s">
        <v>1055</v>
      </c>
      <c r="AT143" s="68" t="s">
        <v>1359</v>
      </c>
      <c r="AU143" s="68" t="s">
        <v>1360</v>
      </c>
    </row>
    <row r="144" spans="1:49">
      <c r="A144" s="45" t="s">
        <v>1260</v>
      </c>
      <c r="B144" s="45" t="n">
        <v>94</v>
      </c>
      <c r="C144" s="46" t="n"/>
      <c r="D144" s="46" t="n"/>
      <c r="E144" s="72" t="n"/>
      <c r="F144" s="72" t="n"/>
      <c r="H144" t="s">
        <v>1055</v>
      </c>
      <c r="AT144" s="68" t="s">
        <v>1361</v>
      </c>
      <c r="AU144" s="68" t="s">
        <v>1362</v>
      </c>
    </row>
    <row r="145" spans="1:49">
      <c r="A145" s="45" t="s">
        <v>1363</v>
      </c>
      <c r="B145" s="45" t="n">
        <v>95</v>
      </c>
      <c r="C145" s="46" t="n"/>
      <c r="D145" s="46" t="n"/>
      <c r="E145" s="72" t="n"/>
      <c r="F145" s="72" t="n"/>
      <c r="H145" t="s">
        <v>1055</v>
      </c>
      <c r="AT145" s="68" t="s">
        <v>1364</v>
      </c>
      <c r="AU145" s="68" t="s">
        <v>1365</v>
      </c>
    </row>
    <row r="146" spans="1:49">
      <c r="A146" s="45" t="s">
        <v>1269</v>
      </c>
      <c r="B146" s="45" t="n">
        <v>96</v>
      </c>
      <c r="C146" s="46" t="n"/>
      <c r="D146" s="46" t="n"/>
      <c r="E146" s="72" t="n"/>
      <c r="F146" s="72" t="n"/>
      <c r="H146" t="s">
        <v>1055</v>
      </c>
      <c r="AT146" s="68" t="s">
        <v>1366</v>
      </c>
      <c r="AU146" s="68" t="s">
        <v>1367</v>
      </c>
    </row>
    <row r="147" spans="1:49">
      <c r="A147" s="45" t="s">
        <v>1368</v>
      </c>
      <c r="B147" s="45" t="n">
        <v>97</v>
      </c>
      <c r="C147" s="46" t="n"/>
      <c r="D147" s="46" t="n"/>
      <c r="E147" s="72" t="n"/>
      <c r="F147" s="72" t="n"/>
      <c r="H147" t="s">
        <v>1055</v>
      </c>
      <c r="AT147" s="68" t="s">
        <v>1369</v>
      </c>
      <c r="AU147" s="68" t="s">
        <v>1370</v>
      </c>
    </row>
    <row r="148" spans="1:49">
      <c r="A148" s="45" t="s">
        <v>1371</v>
      </c>
      <c r="B148" s="45" t="n">
        <v>98</v>
      </c>
      <c r="C148" s="46">
        <f>ABS(ROUND(SUMIF('Trial Balance'!O:O,B148,'Trial Balance'!H:H),0))</f>
        <v/>
      </c>
      <c r="D148" s="46">
        <f>ABS(ROUND(SUMIF('Trial Balance'!O:O,B148,'Trial Balance'!K:K),0))</f>
        <v/>
      </c>
      <c r="E148" s="72" t="n"/>
      <c r="F148" s="72" t="n"/>
      <c r="H148" t="s">
        <v>1195</v>
      </c>
      <c r="AT148" s="68" t="s">
        <v>1372</v>
      </c>
      <c r="AU148" s="68" t="s">
        <v>1373</v>
      </c>
    </row>
    <row r="149" spans="1:49">
      <c r="A149" s="44" t="s">
        <v>1374</v>
      </c>
      <c r="B149" s="44" t="n">
        <v>99</v>
      </c>
      <c r="C149" s="76">
        <f>SUM(C150:C151)</f>
        <v/>
      </c>
      <c r="D149" s="76">
        <f>SUM(D150:D151)</f>
        <v/>
      </c>
      <c r="E149" s="72" t="n"/>
      <c r="F149" s="72" t="n"/>
      <c r="H149" t="s">
        <v>1065</v>
      </c>
      <c r="AT149" s="68" t="s">
        <v>1375</v>
      </c>
      <c r="AU149" s="68" t="s">
        <v>1376</v>
      </c>
    </row>
    <row r="150" spans="1:49">
      <c r="A150" s="45" t="s">
        <v>1377</v>
      </c>
      <c r="B150" s="45" t="n">
        <v>100</v>
      </c>
      <c r="C150" s="46">
        <f>ABS(ROUND(SUMIF('Trial Balance'!O:O,B150,'Trial Balance'!H:H),0))</f>
        <v/>
      </c>
      <c r="D150" s="46">
        <f>ABS(ROUND(SUMIF('Trial Balance'!O:O,B150,'Trial Balance'!K:K),0))</f>
        <v/>
      </c>
      <c r="E150" s="72" t="n"/>
      <c r="F150" s="72" t="n"/>
      <c r="H150" t="s">
        <v>1195</v>
      </c>
      <c r="AT150" s="68" t="s">
        <v>1378</v>
      </c>
      <c r="AU150" s="68" t="s">
        <v>1379</v>
      </c>
    </row>
    <row r="151" spans="1:49">
      <c r="A151" s="45" t="s">
        <v>1380</v>
      </c>
      <c r="B151" s="45" t="n">
        <v>101</v>
      </c>
      <c r="C151" s="46">
        <f>ABS(ROUND(SUMIF('Trial Balance'!O:O,B151,'Trial Balance'!H:H),0))</f>
        <v/>
      </c>
      <c r="D151" s="46">
        <f>ABS(ROUND(SUMIF('Trial Balance'!O:O,B151,'Trial Balance'!K:K),0))</f>
        <v/>
      </c>
      <c r="E151" s="72" t="n"/>
      <c r="F151" s="72" t="n"/>
      <c r="H151" t="s">
        <v>1195</v>
      </c>
      <c r="AT151" s="68" t="s">
        <v>1381</v>
      </c>
      <c r="AU151" s="68" t="s">
        <v>1382</v>
      </c>
    </row>
    <row r="152" spans="1:49" ht="24" customHeight="1">
      <c r="A152" s="44" t="s">
        <v>1383</v>
      </c>
      <c r="B152" s="44" t="n">
        <v>102</v>
      </c>
      <c r="C152" s="76">
        <f>C153+C155</f>
        <v/>
      </c>
      <c r="D152" s="76">
        <f>D153+D155</f>
        <v/>
      </c>
      <c r="E152" s="72" t="n"/>
      <c r="F152" s="72" t="n"/>
      <c r="H152" t="s">
        <v>1065</v>
      </c>
      <c r="AT152" s="68" t="s">
        <v>1384</v>
      </c>
      <c r="AU152" s="68" t="s">
        <v>1385</v>
      </c>
    </row>
    <row r="153" spans="1:49">
      <c r="A153" s="45" t="s">
        <v>1386</v>
      </c>
      <c r="B153" s="45" t="n">
        <v>103</v>
      </c>
      <c r="C153" s="46">
        <f>ABS(ROUND(SUMIF('Trial Balance'!O:O,B153,'Trial Balance'!H:H),0))</f>
        <v/>
      </c>
      <c r="D153" s="46">
        <f>ABS(ROUND(SUMIF('Trial Balance'!O:O,B153,'Trial Balance'!K:K),0))</f>
        <v/>
      </c>
      <c r="E153" s="72" t="n"/>
      <c r="F153" s="72" t="n"/>
      <c r="H153" t="s">
        <v>1195</v>
      </c>
      <c r="AT153" s="68" t="s">
        <v>1387</v>
      </c>
      <c r="AU153" s="68" t="s">
        <v>1388</v>
      </c>
    </row>
    <row r="154" spans="1:49" ht="24" customHeight="1">
      <c r="A154" s="45" t="s">
        <v>1389</v>
      </c>
      <c r="B154" s="45" t="n">
        <v>104</v>
      </c>
      <c r="C154" s="46" t="n"/>
      <c r="D154" s="46" t="n"/>
      <c r="E154" s="72" t="n"/>
      <c r="F154" s="72" t="n"/>
      <c r="H154" t="s">
        <v>1055</v>
      </c>
      <c r="AT154" s="68" t="s">
        <v>1390</v>
      </c>
      <c r="AU154" s="68" t="s">
        <v>1391</v>
      </c>
    </row>
    <row r="155" spans="1:49">
      <c r="A155" s="45" t="s">
        <v>1392</v>
      </c>
      <c r="B155" s="45" t="n">
        <v>105</v>
      </c>
      <c r="C155" s="46">
        <f>ABS(ROUND(SUMIF('Trial Balance'!O:O,B155,'Trial Balance'!H:H),0))</f>
        <v/>
      </c>
      <c r="D155" s="46">
        <f>ABS(ROUND(SUMIF('Trial Balance'!O:O,B155,'Trial Balance'!K:K),0))</f>
        <v/>
      </c>
      <c r="E155" s="72" t="n"/>
      <c r="F155" s="72" t="n"/>
      <c r="H155" t="s">
        <v>1195</v>
      </c>
      <c r="AT155" s="68" t="s">
        <v>1393</v>
      </c>
      <c r="AU155" s="68" t="s">
        <v>1394</v>
      </c>
    </row>
    <row r="156" spans="1:49" ht="24" customHeight="1">
      <c r="A156" s="45" t="s">
        <v>1395</v>
      </c>
      <c r="B156" s="45" t="n">
        <v>106</v>
      </c>
      <c r="C156" s="46" t="n"/>
      <c r="D156" s="46" t="n"/>
      <c r="E156" s="72" t="n"/>
      <c r="F156" s="72" t="n"/>
      <c r="H156" t="s">
        <v>1055</v>
      </c>
      <c r="AT156" s="68" t="s">
        <v>1396</v>
      </c>
      <c r="AU156" s="68" t="s">
        <v>1397</v>
      </c>
    </row>
    <row r="157" spans="1:49" ht="24" customHeight="1">
      <c r="A157" s="44" t="s">
        <v>1398</v>
      </c>
      <c r="B157" s="44" t="n">
        <v>107</v>
      </c>
      <c r="C157" s="76">
        <f>SUM(C158:C159)</f>
        <v/>
      </c>
      <c r="D157" s="76">
        <f>SUM(D158:D159)</f>
        <v/>
      </c>
      <c r="E157" s="72" t="n"/>
      <c r="F157" s="72" t="n"/>
      <c r="H157" t="s">
        <v>1065</v>
      </c>
      <c r="AT157" s="68" t="s">
        <v>1399</v>
      </c>
      <c r="AU157" s="68" t="s">
        <v>1400</v>
      </c>
    </row>
    <row r="158" spans="1:49" ht="36" customHeight="1">
      <c r="A158" s="45" t="s">
        <v>1401</v>
      </c>
      <c r="B158" s="45" t="n">
        <v>108</v>
      </c>
      <c r="C158" s="46">
        <f>ABS(ROUND(SUMIF('Trial Balance'!O:O,B158,'Trial Balance'!H:H),0))</f>
        <v/>
      </c>
      <c r="D158" s="46">
        <f>ABS(ROUND(SUMIF('Trial Balance'!O:O,B158,'Trial Balance'!K:K),0))</f>
        <v/>
      </c>
      <c r="E158" s="72" t="n"/>
      <c r="F158" s="72" t="n"/>
      <c r="H158" t="s">
        <v>1195</v>
      </c>
      <c r="I158" t="s">
        <v>1402</v>
      </c>
      <c r="AT158" s="68" t="s">
        <v>1403</v>
      </c>
      <c r="AU158" s="68" t="s">
        <v>1404</v>
      </c>
    </row>
    <row r="159" spans="1:49">
      <c r="A159" s="45" t="s">
        <v>1405</v>
      </c>
      <c r="B159" s="45" t="n">
        <v>109</v>
      </c>
      <c r="C159" s="46">
        <f>ABS(ROUND(SUMIF('Trial Balance'!O:O,B159,'Trial Balance'!H:H),0))</f>
        <v/>
      </c>
      <c r="D159" s="46">
        <f>ABS(ROUND(SUMIF('Trial Balance'!O:O,B159,'Trial Balance'!K:K),0))</f>
        <v/>
      </c>
      <c r="E159" s="72" t="n"/>
      <c r="F159" s="72" t="n"/>
      <c r="H159" t="s">
        <v>1195</v>
      </c>
      <c r="I159" t="s">
        <v>1406</v>
      </c>
      <c r="AT159" s="68" t="s">
        <v>1407</v>
      </c>
      <c r="AU159" s="68" t="s">
        <v>1408</v>
      </c>
    </row>
    <row r="160" spans="1:49" ht="36" customHeight="1">
      <c r="A160" s="44" t="s">
        <v>1409</v>
      </c>
      <c r="B160" s="44" t="n">
        <v>110</v>
      </c>
      <c r="C160" s="76">
        <f>C161+C164+C167+C168+C171+C174+C177+C178+C183+C187+C190+C191+C197</f>
        <v/>
      </c>
      <c r="D160" s="76">
        <f>D161+D164+D167+D168+D171+D174+D177+D178+D183+D187+D190+D191+D197</f>
        <v/>
      </c>
      <c r="E160" s="72" t="n"/>
      <c r="F160" s="72" t="n"/>
      <c r="H160" t="s">
        <v>1065</v>
      </c>
      <c r="AT160" s="68" t="s">
        <v>1410</v>
      </c>
      <c r="AU160" s="68" t="s">
        <v>1411</v>
      </c>
    </row>
    <row r="161" spans="1:49" ht="60" customHeight="1">
      <c r="A161" s="44" t="s">
        <v>1412</v>
      </c>
      <c r="B161" s="44" t="n">
        <v>111</v>
      </c>
      <c r="C161" s="76">
        <f>SUM(C162:C163)</f>
        <v/>
      </c>
      <c r="D161" s="76">
        <f>SUM(D162:D163)</f>
        <v/>
      </c>
      <c r="E161" s="72" t="n"/>
      <c r="F161" s="72" t="n"/>
      <c r="H161" t="s">
        <v>1065</v>
      </c>
      <c r="AT161" s="68" t="s">
        <v>1413</v>
      </c>
      <c r="AU161" s="68" t="s">
        <v>1414</v>
      </c>
    </row>
    <row r="162" spans="1:49">
      <c r="A162" s="45" t="s">
        <v>1415</v>
      </c>
      <c r="B162" s="45" t="n">
        <v>112</v>
      </c>
      <c r="C162" s="46" t="n"/>
      <c r="D162" s="46" t="n"/>
      <c r="E162" s="72" t="n"/>
      <c r="F162" s="72" t="n"/>
      <c r="H162" t="s">
        <v>1055</v>
      </c>
      <c r="AT162" s="68" t="s">
        <v>1416</v>
      </c>
      <c r="AU162" s="68" t="s">
        <v>1417</v>
      </c>
    </row>
    <row r="163" spans="1:49">
      <c r="A163" s="45" t="s">
        <v>1418</v>
      </c>
      <c r="B163" s="45" t="n">
        <v>113</v>
      </c>
      <c r="C163" s="46" t="n"/>
      <c r="D163" s="46" t="n"/>
      <c r="E163" s="72" t="n"/>
      <c r="F163" s="72" t="n"/>
      <c r="H163" t="s">
        <v>1055</v>
      </c>
      <c r="AT163" s="68" t="s">
        <v>1419</v>
      </c>
      <c r="AU163" s="68" t="s">
        <v>1420</v>
      </c>
    </row>
    <row r="164" spans="1:49" ht="60" customHeight="1">
      <c r="A164" s="44" t="s">
        <v>1421</v>
      </c>
      <c r="B164" s="44" t="n">
        <v>114</v>
      </c>
      <c r="C164" s="76">
        <f>SUM(C165:C166)</f>
        <v/>
      </c>
      <c r="D164" s="76">
        <f>SUM(D165:D166)</f>
        <v/>
      </c>
      <c r="E164" s="72" t="n"/>
      <c r="F164" s="72" t="n"/>
      <c r="H164" t="s">
        <v>1065</v>
      </c>
      <c r="AT164" s="68" t="s">
        <v>1422</v>
      </c>
      <c r="AU164" s="68" t="s">
        <v>1423</v>
      </c>
    </row>
    <row r="165" spans="1:49">
      <c r="A165" s="45" t="s">
        <v>1424</v>
      </c>
      <c r="B165" s="45" t="n">
        <v>115</v>
      </c>
      <c r="C165" s="46" t="n"/>
      <c r="D165" s="46" t="n"/>
      <c r="E165" s="72" t="n"/>
      <c r="F165" s="72" t="n"/>
      <c r="H165" t="s">
        <v>1055</v>
      </c>
      <c r="AT165" s="68" t="s">
        <v>1425</v>
      </c>
      <c r="AU165" s="68" t="s">
        <v>1426</v>
      </c>
    </row>
    <row r="166" spans="1:49">
      <c r="A166" s="45" t="s">
        <v>1418</v>
      </c>
      <c r="B166" s="45" t="n">
        <v>116</v>
      </c>
      <c r="C166" s="46" t="n"/>
      <c r="D166" s="46" t="n"/>
      <c r="E166" s="72" t="n"/>
      <c r="F166" s="72" t="n"/>
      <c r="H166" t="s">
        <v>1055</v>
      </c>
      <c r="AT166" s="68" t="s">
        <v>1427</v>
      </c>
      <c r="AU166" s="68" t="s">
        <v>1428</v>
      </c>
    </row>
    <row r="167" spans="1:49">
      <c r="A167" s="45" t="s">
        <v>1429</v>
      </c>
      <c r="B167" s="45" t="n">
        <v>117</v>
      </c>
      <c r="C167" s="46">
        <f>ABS(ROUND(SUMIF('Trial Balance'!O:O,B167,'Trial Balance'!H:H),0))</f>
        <v/>
      </c>
      <c r="D167" s="46">
        <f>ABS(ROUND(SUMIF('Trial Balance'!O:O,B167,'Trial Balance'!K:K),0))</f>
        <v/>
      </c>
      <c r="E167" s="72" t="n"/>
      <c r="F167" s="72" t="n"/>
      <c r="H167" t="s">
        <v>1195</v>
      </c>
      <c r="AT167" s="68" t="s">
        <v>1430</v>
      </c>
      <c r="AU167" s="68" t="s">
        <v>1431</v>
      </c>
    </row>
    <row r="168" spans="1:49">
      <c r="A168" s="44" t="s">
        <v>1432</v>
      </c>
      <c r="B168" s="44" t="n">
        <v>118</v>
      </c>
      <c r="C168" s="76">
        <f>SUM(C169:C170)</f>
        <v/>
      </c>
      <c r="D168" s="76">
        <f>SUM(D169:D170)</f>
        <v/>
      </c>
      <c r="E168" s="72" t="n"/>
      <c r="F168" s="72" t="n"/>
      <c r="H168" t="s">
        <v>1065</v>
      </c>
      <c r="AT168" s="68" t="s">
        <v>1433</v>
      </c>
      <c r="AU168" s="68" t="s">
        <v>1434</v>
      </c>
    </row>
    <row r="169" spans="1:49">
      <c r="A169" s="45" t="s">
        <v>1435</v>
      </c>
      <c r="B169" s="45" t="n">
        <v>119</v>
      </c>
      <c r="C169" s="46" t="n"/>
      <c r="D169" s="46" t="n"/>
      <c r="E169" s="72" t="n"/>
      <c r="F169" s="72" t="n"/>
      <c r="H169" t="s">
        <v>1055</v>
      </c>
      <c r="AT169" s="68" t="s">
        <v>1436</v>
      </c>
      <c r="AU169" s="68" t="s">
        <v>1437</v>
      </c>
    </row>
    <row r="170" spans="1:49">
      <c r="A170" s="45" t="s">
        <v>1418</v>
      </c>
      <c r="B170" s="45" t="n">
        <v>120</v>
      </c>
      <c r="C170" s="46" t="n"/>
      <c r="D170" s="46" t="n"/>
      <c r="E170" s="72" t="n"/>
      <c r="F170" s="72" t="n"/>
      <c r="H170" t="s">
        <v>1055</v>
      </c>
      <c r="AT170" s="68" t="s">
        <v>1438</v>
      </c>
      <c r="AU170" s="68" t="s">
        <v>1439</v>
      </c>
    </row>
    <row r="171" spans="1:49" ht="24" customHeight="1">
      <c r="A171" s="45" t="s">
        <v>1440</v>
      </c>
      <c r="B171" s="45" t="n">
        <v>121</v>
      </c>
      <c r="C171" s="46">
        <f>ABS(ROUND(SUMIF('Trial Balance'!O:O,B171,'Trial Balance'!H:H),0))</f>
        <v/>
      </c>
      <c r="D171" s="46">
        <f>ABS(ROUND(SUMIF('Trial Balance'!O:O,B171,'Trial Balance'!K:K),0))</f>
        <v/>
      </c>
      <c r="E171" s="72" t="n"/>
      <c r="F171" s="72" t="n"/>
      <c r="H171" t="s">
        <v>1195</v>
      </c>
      <c r="AT171" s="68" t="s">
        <v>1441</v>
      </c>
      <c r="AU171" s="68" t="s">
        <v>1442</v>
      </c>
    </row>
    <row r="172" spans="1:49">
      <c r="A172" s="45" t="s">
        <v>1443</v>
      </c>
      <c r="B172" s="45" t="n">
        <v>122</v>
      </c>
      <c r="C172" s="46" t="n"/>
      <c r="D172" s="46" t="n"/>
      <c r="E172" s="72" t="n"/>
      <c r="F172" s="72" t="n"/>
      <c r="H172" t="s">
        <v>1055</v>
      </c>
      <c r="AT172" s="68" t="s">
        <v>1444</v>
      </c>
      <c r="AU172" s="68" t="s">
        <v>1445</v>
      </c>
    </row>
    <row r="173" spans="1:49" ht="24" customHeight="1">
      <c r="A173" s="45" t="s">
        <v>1446</v>
      </c>
      <c r="B173" s="45" t="n">
        <v>123</v>
      </c>
      <c r="C173" s="46" t="n"/>
      <c r="D173" s="46" t="n"/>
      <c r="E173" s="72" t="n"/>
      <c r="F173" s="72" t="n"/>
      <c r="H173" t="s">
        <v>1055</v>
      </c>
      <c r="AT173" s="68" t="s">
        <v>1447</v>
      </c>
      <c r="AU173" s="68" t="s">
        <v>1448</v>
      </c>
    </row>
    <row r="174" spans="1:49" ht="48" customHeight="1">
      <c r="A174" s="45" t="s">
        <v>1449</v>
      </c>
      <c r="B174" s="45" t="n">
        <v>124</v>
      </c>
      <c r="C174" s="46">
        <f>ABS(ROUND(SUMIF('Trial Balance'!O:O,B174,'Trial Balance'!H:H),0))</f>
        <v/>
      </c>
      <c r="D174" s="46">
        <f>ABS(ROUND(SUMIF('Trial Balance'!O:O,B174,'Trial Balance'!K:K),0))</f>
        <v/>
      </c>
      <c r="E174" s="72" t="n"/>
      <c r="F174" s="72" t="n"/>
      <c r="H174" t="s">
        <v>1195</v>
      </c>
      <c r="AT174" s="68" t="s">
        <v>1450</v>
      </c>
      <c r="AU174" s="68" t="s">
        <v>1451</v>
      </c>
    </row>
    <row r="175" spans="1:49" ht="84" customHeight="1">
      <c r="A175" s="45" t="s">
        <v>1452</v>
      </c>
      <c r="B175" s="45" t="n">
        <v>125</v>
      </c>
      <c r="C175" s="46" t="n"/>
      <c r="D175" s="46" t="n"/>
      <c r="E175" s="72" t="n"/>
      <c r="F175" s="72" t="n"/>
      <c r="H175" t="s">
        <v>1055</v>
      </c>
      <c r="AT175" s="68" t="s">
        <v>1453</v>
      </c>
      <c r="AU175" s="68" t="s">
        <v>1454</v>
      </c>
    </row>
    <row r="176" spans="1:49" ht="84" customHeight="1">
      <c r="A176" s="45" t="s">
        <v>1455</v>
      </c>
      <c r="B176" s="45" t="n">
        <v>126</v>
      </c>
      <c r="C176" s="46" t="n"/>
      <c r="D176" s="46" t="n"/>
      <c r="E176" s="72" t="n"/>
      <c r="F176" s="72" t="n"/>
      <c r="H176" t="s">
        <v>1055</v>
      </c>
      <c r="AT176" s="68" t="s">
        <v>1456</v>
      </c>
      <c r="AU176" s="68" t="s">
        <v>1457</v>
      </c>
    </row>
    <row r="177" spans="1:49" ht="36" customHeight="1">
      <c r="A177" s="45" t="s">
        <v>1458</v>
      </c>
      <c r="B177" s="45" t="n">
        <v>127</v>
      </c>
      <c r="C177" s="46">
        <f>ABS(ROUND(SUMIF('Trial Balance'!O:O,B177,'Trial Balance'!H:H),0))</f>
        <v/>
      </c>
      <c r="D177" s="46">
        <f>ABS(ROUND(SUMIF('Trial Balance'!O:O,B177,'Trial Balance'!K:K),0))</f>
        <v/>
      </c>
      <c r="E177" s="72" t="n"/>
      <c r="F177" s="72" t="n"/>
      <c r="H177" t="s">
        <v>1195</v>
      </c>
      <c r="AT177" s="68" t="s">
        <v>1459</v>
      </c>
      <c r="AU177" s="68" t="s">
        <v>1460</v>
      </c>
    </row>
    <row r="178" spans="1:49" ht="48" customHeight="1">
      <c r="A178" s="44" t="s">
        <v>1461</v>
      </c>
      <c r="B178" s="44" t="n">
        <v>128</v>
      </c>
      <c r="C178" s="76">
        <f>SUM(C179:C182)</f>
        <v/>
      </c>
      <c r="D178" s="76">
        <f>SUM(D179:D182)</f>
        <v/>
      </c>
      <c r="E178" s="72" t="n"/>
      <c r="F178" s="72" t="n"/>
      <c r="H178" t="s">
        <v>1065</v>
      </c>
      <c r="AT178" s="68" t="s">
        <v>1462</v>
      </c>
      <c r="AU178" s="68" t="s">
        <v>1463</v>
      </c>
    </row>
    <row r="179" spans="1:49">
      <c r="A179" s="45" t="s">
        <v>1464</v>
      </c>
      <c r="B179" s="45" t="n">
        <v>129</v>
      </c>
      <c r="C179" s="46">
        <f>ABS(ROUND(SUMIF('Trial Balance'!O:O,B179,'Trial Balance'!H:H),0))</f>
        <v/>
      </c>
      <c r="D179" s="46">
        <f>ABS(ROUND(SUMIF('Trial Balance'!O:O,B179,'Trial Balance'!K:K),0))</f>
        <v/>
      </c>
      <c r="E179" s="72" t="n"/>
      <c r="F179" s="72" t="n"/>
      <c r="H179" t="s">
        <v>1055</v>
      </c>
      <c r="I179" t="s">
        <v>1465</v>
      </c>
      <c r="AT179" s="68" t="s">
        <v>1466</v>
      </c>
      <c r="AU179" s="68" t="s">
        <v>1467</v>
      </c>
    </row>
    <row r="180" spans="1:49">
      <c r="A180" s="45" t="s">
        <v>1468</v>
      </c>
      <c r="B180" s="45" t="n">
        <v>130</v>
      </c>
      <c r="C180" s="46">
        <f>ABS(ROUND(SUMIF('Trial Balance'!O:O,B180,'Trial Balance'!H:H),0))</f>
        <v/>
      </c>
      <c r="D180" s="46">
        <f>ABS(ROUND(SUMIF('Trial Balance'!O:O,B180,'Trial Balance'!K:K),0))</f>
        <v/>
      </c>
      <c r="E180" s="72" t="n"/>
      <c r="F180" s="72" t="n"/>
      <c r="H180" t="s">
        <v>1195</v>
      </c>
      <c r="I180" t="s">
        <v>1469</v>
      </c>
      <c r="AT180" s="68" t="s">
        <v>1470</v>
      </c>
      <c r="AU180" s="68" t="s">
        <v>1471</v>
      </c>
    </row>
    <row r="181" spans="1:49" ht="24" customHeight="1">
      <c r="A181" s="45" t="s">
        <v>1311</v>
      </c>
      <c r="B181" s="45" t="n">
        <v>131</v>
      </c>
      <c r="C181" s="46">
        <f>ABS(ROUND(SUMIF('Trial Balance'!O:O,B181,'Trial Balance'!H:H),0))</f>
        <v/>
      </c>
      <c r="D181" s="46">
        <f>ABS(ROUND(SUMIF('Trial Balance'!O:O,B181,'Trial Balance'!K:K),0))</f>
        <v/>
      </c>
      <c r="E181" s="72" t="n"/>
      <c r="F181" s="72" t="n"/>
      <c r="H181" t="s">
        <v>1195</v>
      </c>
      <c r="I181" t="s">
        <v>1472</v>
      </c>
      <c r="AT181" s="68" t="s">
        <v>1473</v>
      </c>
      <c r="AU181" s="68" t="s">
        <v>1474</v>
      </c>
    </row>
    <row r="182" spans="1:49" ht="24" customHeight="1">
      <c r="A182" s="45" t="s">
        <v>1475</v>
      </c>
      <c r="B182" s="45" t="n">
        <v>132</v>
      </c>
      <c r="C182" s="46">
        <f>ABS(ROUND(SUMIF('Trial Balance'!O:O,B182,'Trial Balance'!H:H),0))</f>
        <v/>
      </c>
      <c r="D182" s="46">
        <f>ABS(ROUND(SUMIF('Trial Balance'!O:O,B182,'Trial Balance'!K:K),0))</f>
        <v/>
      </c>
      <c r="E182" s="72" t="n"/>
      <c r="F182" s="72" t="n"/>
      <c r="H182" t="s">
        <v>1195</v>
      </c>
      <c r="AT182" s="68" t="s">
        <v>1476</v>
      </c>
      <c r="AU182" s="68" t="s">
        <v>1477</v>
      </c>
    </row>
    <row r="183" spans="1:49" ht="24" customHeight="1">
      <c r="A183" s="45" t="s">
        <v>1478</v>
      </c>
      <c r="B183" s="45" t="n">
        <v>133</v>
      </c>
      <c r="C183" s="46" t="n"/>
      <c r="D183" s="46" t="n"/>
      <c r="E183" s="72" t="n"/>
      <c r="F183" s="72" t="n"/>
      <c r="H183" t="s">
        <v>1055</v>
      </c>
      <c r="AT183" s="68" t="s">
        <v>1479</v>
      </c>
      <c r="AU183" s="68" t="s">
        <v>1480</v>
      </c>
    </row>
    <row r="184" spans="1:49" ht="25.75" customHeight="1">
      <c r="A184" s="45" t="s">
        <v>1481</v>
      </c>
      <c r="B184" s="45" t="n">
        <v>134</v>
      </c>
      <c r="C184" s="46" t="n"/>
      <c r="D184" s="46" t="n"/>
      <c r="E184" s="72" t="n"/>
      <c r="F184" s="72" t="n"/>
      <c r="H184" t="s">
        <v>1055</v>
      </c>
      <c r="AT184" s="68" t="s">
        <v>1482</v>
      </c>
      <c r="AU184" s="68" t="s">
        <v>1483</v>
      </c>
    </row>
    <row r="185" spans="1:49">
      <c r="A185" s="45" t="s">
        <v>1484</v>
      </c>
      <c r="B185" s="45" t="n">
        <v>135</v>
      </c>
      <c r="C185" s="46" t="n"/>
      <c r="D185" s="46" t="n"/>
      <c r="E185" s="72" t="n"/>
      <c r="F185" s="72" t="n"/>
      <c r="H185" t="s">
        <v>1055</v>
      </c>
      <c r="AT185" s="68" t="s">
        <v>1485</v>
      </c>
      <c r="AU185" s="68" t="s">
        <v>1486</v>
      </c>
    </row>
    <row r="186" spans="1:49" ht="36" customHeight="1">
      <c r="A186" s="45" t="s">
        <v>1487</v>
      </c>
      <c r="B186" s="45" t="n">
        <v>136</v>
      </c>
      <c r="C186" s="46" t="n"/>
      <c r="D186" s="46" t="n"/>
      <c r="E186" s="72" t="n"/>
      <c r="F186" s="72" t="n"/>
      <c r="H186" t="s">
        <v>1055</v>
      </c>
      <c r="AT186" s="68" t="s">
        <v>1488</v>
      </c>
      <c r="AU186" s="68" t="s">
        <v>1489</v>
      </c>
    </row>
    <row r="187" spans="1:49" ht="24" customHeight="1">
      <c r="A187" s="45" t="s">
        <v>1490</v>
      </c>
      <c r="B187" s="45" t="n">
        <v>137</v>
      </c>
      <c r="C187" s="46">
        <f>ABS(ROUND(SUMIF('Trial Balance'!O:O,B187,'Trial Balance'!H:H),0))</f>
        <v/>
      </c>
      <c r="D187" s="46">
        <f>ABS(ROUND(SUMIF('Trial Balance'!O:O,B187,'Trial Balance'!K:K),0))</f>
        <v/>
      </c>
      <c r="E187" s="72" t="n"/>
      <c r="F187" s="72" t="n"/>
      <c r="H187" t="s">
        <v>1195</v>
      </c>
      <c r="AT187" s="68" t="s">
        <v>1491</v>
      </c>
      <c r="AU187" s="68" t="s">
        <v>1492</v>
      </c>
    </row>
    <row r="188" spans="1:49" ht="24" customHeight="1">
      <c r="A188" s="45" t="s">
        <v>1493</v>
      </c>
      <c r="B188" s="45" t="n">
        <v>138</v>
      </c>
      <c r="C188" s="46" t="n"/>
      <c r="D188" s="46" t="n"/>
      <c r="E188" s="72" t="n"/>
      <c r="F188" s="72" t="n"/>
      <c r="H188" t="s">
        <v>1055</v>
      </c>
      <c r="AT188" s="68" t="s">
        <v>1494</v>
      </c>
      <c r="AU188" s="68" t="s">
        <v>1495</v>
      </c>
    </row>
    <row r="189" spans="1:49" ht="24" customHeight="1">
      <c r="A189" s="45" t="s">
        <v>1496</v>
      </c>
      <c r="B189" s="45" t="n">
        <v>139</v>
      </c>
      <c r="C189" s="46" t="n"/>
      <c r="D189" s="46" t="n"/>
      <c r="E189" s="72" t="n"/>
      <c r="F189" s="72" t="n"/>
      <c r="H189" t="s">
        <v>1055</v>
      </c>
      <c r="AT189" s="68" t="s">
        <v>1497</v>
      </c>
      <c r="AU189" s="68" t="s">
        <v>1498</v>
      </c>
    </row>
    <row r="190" spans="1:49" ht="24" customHeight="1">
      <c r="A190" s="49" t="s">
        <v>1499</v>
      </c>
      <c r="B190" s="49" t="n">
        <v>140</v>
      </c>
      <c r="C190" s="133" t="n"/>
      <c r="D190" s="133" t="n"/>
      <c r="E190" s="72" t="n"/>
      <c r="F190" s="72" t="n"/>
      <c r="H190" t="s">
        <v>1055</v>
      </c>
    </row>
    <row r="191" spans="1:49" ht="36" customHeight="1">
      <c r="A191" s="45" t="s">
        <v>1500</v>
      </c>
      <c r="B191" s="45" t="n">
        <v>141</v>
      </c>
      <c r="C191" s="46">
        <f>ABS(ROUND(SUMIF('Trial Balance'!O:O,B191,'Trial Balance'!H:H),0))</f>
        <v/>
      </c>
      <c r="D191" s="46">
        <f>ABS(ROUND(SUMIF('Trial Balance'!O:O,B191,'Trial Balance'!K:K),0))</f>
        <v/>
      </c>
      <c r="E191" s="72" t="n"/>
      <c r="F191" s="72" t="n"/>
      <c r="H191" t="s">
        <v>1195</v>
      </c>
      <c r="AT191" s="68" t="s">
        <v>1501</v>
      </c>
      <c r="AU191" s="68" t="s">
        <v>1502</v>
      </c>
    </row>
    <row r="192" spans="1:49" ht="60" customHeight="1">
      <c r="A192" s="45" t="s">
        <v>1503</v>
      </c>
      <c r="B192" s="45" t="n">
        <v>142</v>
      </c>
      <c r="C192" s="46" t="n"/>
      <c r="D192" s="46" t="n"/>
      <c r="E192" s="72" t="n"/>
      <c r="F192" s="72" t="n"/>
      <c r="H192" t="s">
        <v>1055</v>
      </c>
      <c r="AT192" s="68" t="s">
        <v>1504</v>
      </c>
      <c r="AU192" s="68" t="s">
        <v>1505</v>
      </c>
    </row>
    <row r="193" spans="1:49" ht="61.75" customHeight="1">
      <c r="A193" s="45" t="s">
        <v>1506</v>
      </c>
      <c r="B193" s="45" t="n">
        <v>143</v>
      </c>
      <c r="C193" s="46" t="n"/>
      <c r="D193" s="46" t="n"/>
      <c r="E193" s="72" t="n"/>
      <c r="F193" s="72" t="n"/>
      <c r="H193" t="s">
        <v>1055</v>
      </c>
      <c r="AT193" s="68" t="s">
        <v>1507</v>
      </c>
      <c r="AU193" s="68" t="s">
        <v>1508</v>
      </c>
    </row>
    <row r="194" spans="1:49">
      <c r="A194" s="45" t="s">
        <v>1509</v>
      </c>
      <c r="B194" s="45" t="n">
        <v>144</v>
      </c>
      <c r="C194" s="46" t="n"/>
      <c r="D194" s="46" t="n"/>
      <c r="E194" s="72" t="n"/>
      <c r="F194" s="72" t="n"/>
      <c r="H194" t="s">
        <v>1055</v>
      </c>
      <c r="AT194" s="68" t="s">
        <v>1510</v>
      </c>
      <c r="AU194" s="68" t="s">
        <v>1511</v>
      </c>
    </row>
    <row r="195" spans="1:49" ht="36" customHeight="1">
      <c r="A195" s="45" t="s">
        <v>1512</v>
      </c>
      <c r="B195" s="45" t="n">
        <v>145</v>
      </c>
      <c r="C195" s="46" t="n"/>
      <c r="D195" s="46" t="n"/>
      <c r="E195" s="72" t="n"/>
      <c r="F195" s="72" t="n"/>
      <c r="H195" t="s">
        <v>1055</v>
      </c>
      <c r="AT195" s="68" t="s">
        <v>1513</v>
      </c>
      <c r="AU195" s="68" t="s">
        <v>1514</v>
      </c>
    </row>
    <row r="196" spans="1:49">
      <c r="A196" s="45" t="s">
        <v>1515</v>
      </c>
      <c r="B196" s="45" t="n">
        <v>146</v>
      </c>
      <c r="C196" s="46" t="n"/>
      <c r="D196" s="46" t="n"/>
      <c r="E196" s="72" t="n"/>
      <c r="F196" s="72" t="n"/>
      <c r="H196" t="s">
        <v>1055</v>
      </c>
      <c r="AT196" s="68" t="s">
        <v>1516</v>
      </c>
      <c r="AU196" s="68" t="s">
        <v>1517</v>
      </c>
    </row>
    <row r="197" spans="1:49">
      <c r="A197" s="45" t="s">
        <v>1518</v>
      </c>
      <c r="B197" s="45" t="n">
        <v>147</v>
      </c>
      <c r="C197" s="46">
        <f>ABS(ROUND(SUMIF('Trial Balance'!O:O,B197,'Trial Balance'!H:H),0))</f>
        <v/>
      </c>
      <c r="D197" s="46">
        <f>ABS(ROUND(SUMIF('Trial Balance'!O:O,B197,'Trial Balance'!K:K),0))</f>
        <v/>
      </c>
      <c r="E197" s="72" t="n"/>
      <c r="F197" s="72" t="n"/>
      <c r="H197" t="s">
        <v>1195</v>
      </c>
      <c r="AT197" s="68" t="s">
        <v>1519</v>
      </c>
      <c r="AU197" s="68" t="s">
        <v>1520</v>
      </c>
    </row>
    <row r="198" spans="1:49">
      <c r="A198" s="45" t="s">
        <v>1521</v>
      </c>
      <c r="B198" s="45" t="n">
        <v>148</v>
      </c>
      <c r="C198" s="46" t="n"/>
      <c r="D198" s="46" t="n"/>
      <c r="E198" s="72" t="n"/>
      <c r="F198" s="72" t="n"/>
      <c r="H198" t="s">
        <v>1055</v>
      </c>
      <c r="AT198" s="68" t="s">
        <v>1522</v>
      </c>
      <c r="AU198" s="68" t="s">
        <v>1523</v>
      </c>
    </row>
    <row r="199" spans="1:49" ht="24" customHeight="1">
      <c r="A199" s="45" t="s">
        <v>1524</v>
      </c>
      <c r="B199" s="45" t="n">
        <v>149</v>
      </c>
      <c r="C199" s="46" t="n"/>
      <c r="D199" s="46" t="n"/>
      <c r="E199" s="72" t="n"/>
      <c r="F199" s="72" t="n"/>
      <c r="H199" t="s">
        <v>1055</v>
      </c>
      <c r="AT199" s="68" t="s">
        <v>1525</v>
      </c>
      <c r="AU199" s="68" t="s">
        <v>1526</v>
      </c>
    </row>
    <row r="200" spans="1:49" ht="24" customHeight="1">
      <c r="A200" s="45" t="s">
        <v>1527</v>
      </c>
      <c r="B200" s="45" t="n">
        <v>150</v>
      </c>
      <c r="C200" s="46" t="n"/>
      <c r="D200" s="46" t="n"/>
      <c r="E200" s="72" t="n"/>
      <c r="F200" s="72" t="n"/>
      <c r="H200" t="s">
        <v>1055</v>
      </c>
      <c r="AT200" s="68" t="s">
        <v>1528</v>
      </c>
      <c r="AU200" s="68" t="s">
        <v>1529</v>
      </c>
    </row>
    <row r="201" spans="1:49">
      <c r="A201" s="45" t="s">
        <v>1530</v>
      </c>
      <c r="B201" s="45" t="n">
        <v>151</v>
      </c>
      <c r="C201" s="46">
        <f>ABS(ROUND(SUMIF('Trial Balance'!O:O,B201,'Trial Balance'!H:H),0))</f>
        <v/>
      </c>
      <c r="D201" s="46">
        <f>ABS(ROUND(SUMIF('Trial Balance'!O:O,B201,'Trial Balance'!K:K),0))</f>
        <v/>
      </c>
      <c r="E201" s="72" t="n"/>
      <c r="F201" s="72" t="n"/>
      <c r="H201" t="s">
        <v>1195</v>
      </c>
      <c r="AT201" s="68" t="s">
        <v>1531</v>
      </c>
      <c r="AU201" s="68" t="s">
        <v>1532</v>
      </c>
    </row>
    <row r="202" spans="1:49">
      <c r="A202" s="45" t="s">
        <v>1533</v>
      </c>
      <c r="B202" s="45" t="n">
        <v>152</v>
      </c>
      <c r="C202" s="46" t="n"/>
      <c r="D202" s="46" t="n"/>
      <c r="E202" s="72" t="n"/>
      <c r="F202" s="72" t="n"/>
      <c r="H202" t="s">
        <v>1055</v>
      </c>
      <c r="AT202" s="68" t="s">
        <v>1534</v>
      </c>
      <c r="AU202" s="68" t="s">
        <v>1535</v>
      </c>
    </row>
    <row r="203" spans="1:49">
      <c r="A203" s="45" t="s">
        <v>1536</v>
      </c>
      <c r="B203" s="45" t="n">
        <v>153</v>
      </c>
      <c r="C203" s="46" t="n"/>
      <c r="D203" s="46" t="n"/>
      <c r="E203" s="72" t="n"/>
      <c r="F203" s="72" t="n"/>
      <c r="H203" t="s">
        <v>1055</v>
      </c>
      <c r="AT203" s="68" t="s">
        <v>1537</v>
      </c>
      <c r="AU203" s="68" t="s">
        <v>1538</v>
      </c>
    </row>
    <row r="204" spans="1:49">
      <c r="A204" s="45" t="s">
        <v>1539</v>
      </c>
      <c r="B204" s="45" t="n">
        <v>154</v>
      </c>
      <c r="C204" s="46" t="n"/>
      <c r="D204" s="46" t="n"/>
      <c r="E204" s="72" t="n"/>
      <c r="F204" s="72" t="n"/>
      <c r="H204" t="s">
        <v>1055</v>
      </c>
      <c r="AT204" s="68" t="s">
        <v>1540</v>
      </c>
      <c r="AU204" s="68" t="s">
        <v>1541</v>
      </c>
    </row>
    <row r="205" spans="1:49" ht="24" customHeight="1">
      <c r="A205" s="45" t="s">
        <v>1542</v>
      </c>
      <c r="B205" s="45" t="n">
        <v>155</v>
      </c>
      <c r="C205" s="46" t="n"/>
      <c r="D205" s="46" t="n"/>
      <c r="E205" s="72" t="n"/>
      <c r="F205" s="72" t="n"/>
      <c r="H205" t="s">
        <v>1055</v>
      </c>
      <c r="AT205" s="68" t="s">
        <v>1543</v>
      </c>
      <c r="AU205" s="68" t="s">
        <v>1544</v>
      </c>
    </row>
    <row r="206" spans="1:49">
      <c r="A206" s="45" t="s">
        <v>1545</v>
      </c>
      <c r="B206" s="45" t="n">
        <v>156</v>
      </c>
      <c r="C206" s="46">
        <f>ABS(ROUND(SUMIF('Trial Balance'!O:O,B206,'Trial Balance'!H:H),0))</f>
        <v/>
      </c>
      <c r="D206" s="46">
        <f>ABS(ROUND(SUMIF('Trial Balance'!O:O,B206,'Trial Balance'!K:K),0))</f>
        <v/>
      </c>
      <c r="E206" s="72" t="n"/>
      <c r="F206" s="72" t="n"/>
      <c r="H206" t="s">
        <v>1195</v>
      </c>
      <c r="AT206" s="68" t="s">
        <v>1546</v>
      </c>
      <c r="AU206" s="68" t="s">
        <v>1547</v>
      </c>
    </row>
    <row r="207" spans="1:49">
      <c r="A207" s="86" t="n"/>
      <c r="B207" s="85" t="n"/>
      <c r="C207" s="78" t="n"/>
      <c r="D207" s="79" t="n"/>
    </row>
    <row r="208" spans="1:49">
      <c r="A208" s="86" t="n"/>
      <c r="B208" s="85" t="n"/>
      <c r="C208" s="78" t="n"/>
      <c r="D208" s="79" t="n"/>
    </row>
    <row r="209" spans="1:49">
      <c r="A209" s="45" t="s">
        <v>1548</v>
      </c>
      <c r="B209" s="45" t="s">
        <v>427</v>
      </c>
      <c r="C209" s="45" t="s">
        <v>1042</v>
      </c>
      <c r="D209" s="45" t="n"/>
    </row>
    <row r="210" spans="1:49">
      <c r="A210" s="45" t="n"/>
      <c r="B210" s="45" t="n"/>
      <c r="C210" s="45" t="s">
        <v>1131</v>
      </c>
      <c r="D210" s="45" t="s">
        <v>1132</v>
      </c>
    </row>
    <row r="211" spans="1:49">
      <c r="A211" s="45" t="s">
        <v>1043</v>
      </c>
      <c r="B211" s="45" t="s">
        <v>1044</v>
      </c>
      <c r="C211" s="45" t="s">
        <v>1045</v>
      </c>
      <c r="D211" s="45" t="s">
        <v>1046</v>
      </c>
    </row>
    <row r="212" spans="1:49">
      <c r="A212" s="45" t="s">
        <v>1549</v>
      </c>
      <c r="B212" s="45" t="n">
        <v>157</v>
      </c>
      <c r="C212" s="46">
        <f>ABS(ROUND(SUMIF('Trial Balance'!O:O,B212,'Trial Balance'!H:H),0))</f>
        <v/>
      </c>
      <c r="D212" s="46">
        <f>ABS(ROUND(SUMIF('Trial Balance'!O:O,B212,'Trial Balance'!K:K),0))</f>
        <v/>
      </c>
      <c r="E212" s="72" t="n"/>
      <c r="F212" s="72" t="n"/>
      <c r="H212" t="s">
        <v>1195</v>
      </c>
      <c r="AT212" s="68" t="s">
        <v>1550</v>
      </c>
      <c r="AU212" s="68" t="s">
        <v>1551</v>
      </c>
    </row>
    <row r="213" spans="1:49">
      <c r="A213" s="78" t="n"/>
      <c r="B213" s="74" t="n"/>
      <c r="C213" s="78" t="n"/>
      <c r="D213" s="79" t="n"/>
    </row>
    <row r="214" spans="1:49">
      <c r="A214" s="78" t="n"/>
      <c r="B214" s="74" t="n"/>
      <c r="C214" s="78" t="n"/>
      <c r="D214" s="79" t="n"/>
    </row>
    <row r="215" spans="1:49">
      <c r="A215" s="78" t="n"/>
      <c r="B215" s="74" t="n"/>
      <c r="C215" s="78" t="n"/>
      <c r="D215" s="79" t="n"/>
    </row>
    <row r="216" spans="1:49">
      <c r="A216" s="45" t="s">
        <v>1552</v>
      </c>
      <c r="B216" s="45" t="s">
        <v>427</v>
      </c>
      <c r="C216" s="45" t="s">
        <v>1042</v>
      </c>
      <c r="D216" s="45" t="n"/>
    </row>
    <row r="217" spans="1:49">
      <c r="A217" s="45" t="n"/>
      <c r="B217" s="45" t="n"/>
      <c r="C217" s="45" t="s">
        <v>1131</v>
      </c>
      <c r="D217" s="45" t="s">
        <v>1132</v>
      </c>
    </row>
    <row r="218" spans="1:49">
      <c r="A218" s="45" t="s">
        <v>1043</v>
      </c>
      <c r="B218" s="45" t="s">
        <v>1044</v>
      </c>
      <c r="C218" s="45" t="s">
        <v>1045</v>
      </c>
      <c r="D218" s="45" t="s">
        <v>1046</v>
      </c>
    </row>
    <row r="219" spans="1:49" ht="24" customHeight="1">
      <c r="A219" s="45" t="s">
        <v>1553</v>
      </c>
      <c r="B219" s="45" t="n">
        <v>158</v>
      </c>
      <c r="C219" s="46" t="n"/>
      <c r="D219" s="46" t="n"/>
      <c r="E219" s="72" t="n"/>
      <c r="F219" s="72" t="n"/>
      <c r="H219" t="s">
        <v>1055</v>
      </c>
      <c r="AT219" s="68" t="s">
        <v>1554</v>
      </c>
      <c r="AU219" s="68" t="s">
        <v>1555</v>
      </c>
    </row>
    <row r="220" spans="1:49" ht="24" customHeight="1">
      <c r="A220" s="45" t="s">
        <v>1556</v>
      </c>
      <c r="B220" s="45" t="n">
        <v>159</v>
      </c>
      <c r="C220" s="46" t="n"/>
      <c r="D220" s="46" t="n"/>
      <c r="E220" s="72" t="n"/>
      <c r="F220" s="72" t="n"/>
      <c r="H220" t="s">
        <v>1055</v>
      </c>
      <c r="AT220" s="68" t="s">
        <v>1557</v>
      </c>
      <c r="AU220" s="68" t="s">
        <v>1558</v>
      </c>
    </row>
    <row r="221" spans="1:49" ht="24" customHeight="1">
      <c r="A221" s="45" t="s">
        <v>1559</v>
      </c>
      <c r="B221" s="45" t="n">
        <v>160</v>
      </c>
      <c r="C221" s="46" t="n"/>
      <c r="D221" s="46" t="n"/>
      <c r="E221" s="72" t="n"/>
      <c r="F221" s="72" t="n"/>
      <c r="H221" t="s">
        <v>1055</v>
      </c>
      <c r="AT221" s="68" t="s">
        <v>1560</v>
      </c>
      <c r="AU221" s="68" t="s">
        <v>1561</v>
      </c>
    </row>
    <row r="222" spans="1:49">
      <c r="A222" s="45" t="s">
        <v>1562</v>
      </c>
      <c r="B222" s="45" t="n">
        <v>161</v>
      </c>
      <c r="C222" s="46" t="n"/>
      <c r="D222" s="46" t="n"/>
      <c r="E222" s="87" t="n"/>
      <c r="F222" s="88" t="n"/>
      <c r="H222" t="s">
        <v>1055</v>
      </c>
      <c r="AT222" s="68" t="s">
        <v>1563</v>
      </c>
      <c r="AU222" s="68" t="s">
        <v>1564</v>
      </c>
    </row>
    <row r="223" spans="1:49">
      <c r="A223" s="89" t="n"/>
      <c r="B223" s="81" t="n"/>
      <c r="C223" s="78" t="n"/>
      <c r="D223" s="79" t="n"/>
      <c r="E223" s="79" t="n"/>
      <c r="F223" s="79" t="n"/>
    </row>
    <row r="224" spans="1:49">
      <c r="A224" s="90" t="n"/>
      <c r="B224" s="81" t="n"/>
      <c r="C224" s="78" t="n"/>
      <c r="D224" s="79" t="n"/>
      <c r="E224" s="79" t="n"/>
      <c r="F224" s="79" t="n"/>
    </row>
    <row r="225" spans="1:49">
      <c r="A225" s="45" t="s">
        <v>1565</v>
      </c>
      <c r="B225" s="45" t="s">
        <v>427</v>
      </c>
      <c r="C225" s="45" t="s">
        <v>1131</v>
      </c>
      <c r="D225" s="45" t="n"/>
      <c r="E225" s="45" t="n"/>
      <c r="F225" s="45" t="n"/>
    </row>
    <row r="226" spans="1:49">
      <c r="A226" s="45" t="n"/>
      <c r="B226" s="45" t="n"/>
      <c r="C226" s="45" t="s">
        <v>1566</v>
      </c>
      <c r="D226" s="45" t="s">
        <v>1567</v>
      </c>
      <c r="E226" s="45" t="s">
        <v>1568</v>
      </c>
      <c r="F226" s="45" t="s">
        <v>1569</v>
      </c>
    </row>
    <row r="227" spans="1:49">
      <c r="A227" s="45" t="s">
        <v>1570</v>
      </c>
      <c r="B227" s="45" t="n">
        <v>162</v>
      </c>
      <c r="C227" s="46">
        <f>C201</f>
        <v/>
      </c>
      <c r="D227" s="46" t="s">
        <v>1571</v>
      </c>
      <c r="E227" s="46">
        <f>D201</f>
        <v/>
      </c>
      <c r="F227" s="46" t="s">
        <v>1571</v>
      </c>
      <c r="H227" t="s">
        <v>1195</v>
      </c>
      <c r="AT227" s="68" t="s">
        <v>1572</v>
      </c>
      <c r="AU227" s="68" t="s">
        <v>1573</v>
      </c>
      <c r="AV227" s="68" t="s">
        <v>1574</v>
      </c>
      <c r="AW227" s="68" t="s">
        <v>1575</v>
      </c>
    </row>
    <row r="228" spans="1:49" ht="24" customHeight="1">
      <c r="A228" s="45" t="s">
        <v>1576</v>
      </c>
      <c r="B228" s="45" t="n">
        <v>163</v>
      </c>
      <c r="C228" s="46" t="n"/>
      <c r="D228" s="46" t="n"/>
      <c r="E228" s="46" t="n"/>
      <c r="F228" s="46" t="n"/>
      <c r="H228" t="s">
        <v>1055</v>
      </c>
      <c r="AT228" s="68" t="s">
        <v>1577</v>
      </c>
      <c r="AU228" s="68" t="s">
        <v>1578</v>
      </c>
      <c r="AV228" s="68" t="s">
        <v>1579</v>
      </c>
      <c r="AW228" s="68" t="s">
        <v>1580</v>
      </c>
    </row>
    <row r="229" spans="1:49" ht="24" customHeight="1">
      <c r="A229" s="45" t="s">
        <v>1581</v>
      </c>
      <c r="B229" s="45" t="n">
        <v>164</v>
      </c>
      <c r="C229" s="46" t="n"/>
      <c r="D229" s="46" t="n"/>
      <c r="E229" s="46" t="n"/>
      <c r="F229" s="46" t="n"/>
      <c r="H229" t="s">
        <v>1055</v>
      </c>
      <c r="AT229" s="68" t="s">
        <v>1582</v>
      </c>
      <c r="AU229" s="68" t="s">
        <v>1583</v>
      </c>
      <c r="AV229" s="68" t="s">
        <v>1584</v>
      </c>
      <c r="AW229" s="68" t="s">
        <v>1585</v>
      </c>
    </row>
    <row r="230" spans="1:49" ht="24" customHeight="1">
      <c r="A230" s="45" t="s">
        <v>1586</v>
      </c>
      <c r="B230" s="45" t="n">
        <v>165</v>
      </c>
      <c r="C230" s="46" t="n"/>
      <c r="D230" s="46" t="n"/>
      <c r="E230" s="46" t="n"/>
      <c r="F230" s="46" t="n"/>
      <c r="H230" t="s">
        <v>1055</v>
      </c>
      <c r="AT230" s="68" t="s">
        <v>1587</v>
      </c>
      <c r="AU230" s="68" t="s">
        <v>1588</v>
      </c>
      <c r="AV230" s="68" t="s">
        <v>1589</v>
      </c>
      <c r="AW230" s="68" t="s">
        <v>1590</v>
      </c>
    </row>
    <row r="231" spans="1:49" ht="24" customHeight="1">
      <c r="A231" s="45" t="s">
        <v>1591</v>
      </c>
      <c r="B231" s="45" t="n">
        <v>166</v>
      </c>
      <c r="C231" s="46" t="n"/>
      <c r="D231" s="46" t="n"/>
      <c r="E231" s="46" t="n"/>
      <c r="F231" s="46" t="n"/>
      <c r="H231" t="s">
        <v>1055</v>
      </c>
      <c r="AT231" s="68" t="s">
        <v>1592</v>
      </c>
      <c r="AU231" s="68" t="s">
        <v>1593</v>
      </c>
      <c r="AV231" s="68" t="s">
        <v>1594</v>
      </c>
      <c r="AW231" s="68" t="s">
        <v>1595</v>
      </c>
    </row>
    <row r="232" spans="1:49">
      <c r="A232" s="45" t="s">
        <v>1596</v>
      </c>
      <c r="B232" s="45" t="n">
        <v>167</v>
      </c>
      <c r="C232" s="46" t="n"/>
      <c r="D232" s="46" t="n"/>
      <c r="E232" s="46" t="n"/>
      <c r="F232" s="46" t="n"/>
      <c r="H232" t="s">
        <v>1055</v>
      </c>
      <c r="AT232" s="68" t="s">
        <v>1597</v>
      </c>
      <c r="AU232" s="68" t="s">
        <v>1598</v>
      </c>
      <c r="AV232" s="68" t="s">
        <v>1599</v>
      </c>
      <c r="AW232" s="68" t="s">
        <v>1600</v>
      </c>
    </row>
    <row r="233" spans="1:49">
      <c r="A233" s="45" t="s">
        <v>1601</v>
      </c>
      <c r="B233" s="45" t="n">
        <v>168</v>
      </c>
      <c r="C233" s="46" t="n"/>
      <c r="D233" s="46" t="n"/>
      <c r="E233" s="46" t="n"/>
      <c r="F233" s="46" t="n"/>
      <c r="H233" t="s">
        <v>1055</v>
      </c>
      <c r="AT233" s="68" t="s">
        <v>1602</v>
      </c>
      <c r="AU233" s="68" t="s">
        <v>1603</v>
      </c>
      <c r="AV233" s="68" t="s">
        <v>1604</v>
      </c>
      <c r="AW233" s="68" t="s">
        <v>1605</v>
      </c>
    </row>
    <row r="234" spans="1:49">
      <c r="A234" s="45" t="s">
        <v>1606</v>
      </c>
      <c r="B234" s="45" t="n">
        <v>169</v>
      </c>
      <c r="C234" s="46" t="n"/>
      <c r="D234" s="46" t="n"/>
      <c r="E234" s="46" t="n"/>
      <c r="F234" s="46" t="n"/>
      <c r="H234" t="s">
        <v>1055</v>
      </c>
      <c r="AT234" s="68" t="s">
        <v>1607</v>
      </c>
      <c r="AU234" s="68" t="s">
        <v>1608</v>
      </c>
      <c r="AV234" s="68" t="s">
        <v>1609</v>
      </c>
      <c r="AW234" s="68" t="s">
        <v>1610</v>
      </c>
    </row>
    <row r="235" spans="1:49">
      <c r="A235" s="45" t="s">
        <v>1611</v>
      </c>
      <c r="B235" s="45" t="n">
        <v>170</v>
      </c>
      <c r="C235" s="46" t="n"/>
      <c r="D235" s="46" t="n"/>
      <c r="E235" s="46" t="n"/>
      <c r="F235" s="46" t="n"/>
      <c r="H235" t="s">
        <v>1055</v>
      </c>
      <c r="AT235" s="68" t="s">
        <v>1612</v>
      </c>
      <c r="AU235" s="68" t="s">
        <v>1613</v>
      </c>
      <c r="AV235" s="68" t="s">
        <v>1614</v>
      </c>
      <c r="AW235" s="68" t="s">
        <v>1615</v>
      </c>
    </row>
    <row r="236" spans="1:49">
      <c r="A236" s="45" t="s">
        <v>1616</v>
      </c>
      <c r="B236" s="45" t="n">
        <v>171</v>
      </c>
      <c r="C236" s="46" t="n"/>
      <c r="D236" s="46" t="n"/>
      <c r="E236" s="46" t="n"/>
      <c r="F236" s="46" t="n"/>
      <c r="H236" t="s">
        <v>1055</v>
      </c>
      <c r="AT236" s="68" t="s">
        <v>1617</v>
      </c>
      <c r="AU236" s="68" t="s">
        <v>1618</v>
      </c>
      <c r="AV236" s="68" t="s">
        <v>1619</v>
      </c>
      <c r="AW236" s="68" t="s">
        <v>1620</v>
      </c>
    </row>
    <row r="237" spans="1:49">
      <c r="A237" s="45" t="s">
        <v>1621</v>
      </c>
      <c r="B237" s="45" t="n">
        <v>172</v>
      </c>
      <c r="C237" s="46" t="n"/>
      <c r="D237" s="46" t="n"/>
      <c r="E237" s="46" t="n"/>
      <c r="F237" s="46" t="n"/>
      <c r="H237" t="s">
        <v>1055</v>
      </c>
      <c r="AT237" s="68" t="s">
        <v>1622</v>
      </c>
      <c r="AU237" s="68" t="s">
        <v>1623</v>
      </c>
      <c r="AV237" s="68" t="s">
        <v>1624</v>
      </c>
      <c r="AW237" s="68" t="s">
        <v>1625</v>
      </c>
    </row>
    <row r="238" spans="1:49">
      <c r="A238" s="45" t="s">
        <v>1626</v>
      </c>
      <c r="B238" s="45" t="n">
        <v>173</v>
      </c>
      <c r="C238" s="46" t="n"/>
      <c r="D238" s="46" t="n"/>
      <c r="E238" s="46" t="n"/>
      <c r="F238" s="46" t="n"/>
      <c r="H238" t="s">
        <v>1055</v>
      </c>
      <c r="AT238" s="68" t="s">
        <v>1627</v>
      </c>
      <c r="AU238" s="68" t="s">
        <v>1628</v>
      </c>
      <c r="AV238" s="68" t="s">
        <v>1629</v>
      </c>
      <c r="AW238" s="68" t="s">
        <v>1630</v>
      </c>
    </row>
    <row r="240" spans="1:49">
      <c r="A240" s="78" t="n"/>
      <c r="B240" s="85" t="n"/>
      <c r="C240" s="85" t="n"/>
      <c r="D240" s="85" t="n"/>
      <c r="E240" s="85" t="n"/>
      <c r="F240" s="85" t="n"/>
    </row>
    <row r="241" spans="1:49">
      <c r="A241" s="45" t="n"/>
      <c r="B241" s="45" t="s">
        <v>427</v>
      </c>
      <c r="C241" s="45" t="s">
        <v>1042</v>
      </c>
      <c r="D241" s="45" t="n"/>
    </row>
    <row r="242" spans="1:49">
      <c r="A242" s="45" t="s">
        <v>1043</v>
      </c>
      <c r="B242" s="45" t="s">
        <v>1044</v>
      </c>
      <c r="C242" s="45" t="s">
        <v>1631</v>
      </c>
      <c r="D242" s="45" t="s">
        <v>1632</v>
      </c>
    </row>
    <row r="243" spans="1:49" ht="60" customHeight="1">
      <c r="A243" s="45" t="s">
        <v>1633</v>
      </c>
      <c r="B243" s="45" t="n">
        <v>174</v>
      </c>
      <c r="C243" s="46" t="n"/>
      <c r="D243" s="46" t="n"/>
      <c r="E243" s="72" t="n"/>
      <c r="F243" s="72" t="n"/>
      <c r="AT243" s="68" t="s">
        <v>1634</v>
      </c>
      <c r="AU243" s="68" t="s">
        <v>1635</v>
      </c>
    </row>
    <row r="244" spans="1:49">
      <c r="A244" s="45" t="s">
        <v>1636</v>
      </c>
      <c r="B244" s="45" t="n">
        <v>175</v>
      </c>
      <c r="C244" s="46" t="n"/>
      <c r="D244" s="46" t="n"/>
      <c r="E244" s="72" t="n"/>
      <c r="F244" s="72" t="n"/>
      <c r="H244" t="s">
        <v>1055</v>
      </c>
      <c r="AT244" s="68" t="s">
        <v>1637</v>
      </c>
      <c r="AU244" s="68" t="s">
        <v>1638</v>
      </c>
    </row>
    <row r="245" spans="1:49">
      <c r="A245" s="45" t="s">
        <v>1639</v>
      </c>
      <c r="B245" s="45" t="n">
        <v>176</v>
      </c>
      <c r="C245" s="46" t="n"/>
      <c r="D245" s="46" t="n"/>
      <c r="E245" s="72" t="n"/>
      <c r="F245" s="72" t="n"/>
      <c r="H245" t="s">
        <v>1055</v>
      </c>
      <c r="AT245" s="68" t="s">
        <v>1640</v>
      </c>
      <c r="AU245" s="68" t="s">
        <v>1641</v>
      </c>
    </row>
    <row r="246" spans="1:49" ht="48" customHeight="1">
      <c r="A246" s="45" t="s">
        <v>1642</v>
      </c>
      <c r="B246" s="45" t="n">
        <v>177</v>
      </c>
      <c r="C246" s="46" t="n"/>
      <c r="D246" s="46" t="n"/>
      <c r="E246" s="72" t="n"/>
      <c r="F246" s="72" t="n"/>
      <c r="H246" t="s">
        <v>1055</v>
      </c>
      <c r="AT246" s="68" t="s">
        <v>1643</v>
      </c>
      <c r="AU246" s="68" t="s">
        <v>1644</v>
      </c>
    </row>
    <row r="247" spans="1:49">
      <c r="A247" s="73" t="n"/>
      <c r="B247" s="74" t="n"/>
      <c r="C247" s="91" t="n"/>
      <c r="D247" s="91" t="n"/>
      <c r="E247" s="91" t="n"/>
      <c r="F247" s="91" t="n"/>
    </row>
    <row r="248" spans="1:49">
      <c r="A248" s="45" t="n"/>
      <c r="B248" s="45" t="s">
        <v>427</v>
      </c>
      <c r="C248" s="45" t="s">
        <v>1042</v>
      </c>
      <c r="D248" s="45" t="n"/>
    </row>
    <row r="249" spans="1:49">
      <c r="A249" s="45" t="s">
        <v>1043</v>
      </c>
      <c r="B249" s="45" t="s">
        <v>1044</v>
      </c>
      <c r="C249" s="45" t="s">
        <v>1631</v>
      </c>
      <c r="D249" s="45" t="s">
        <v>1632</v>
      </c>
    </row>
    <row r="250" spans="1:49" ht="60" customHeight="1">
      <c r="A250" s="45" t="s">
        <v>1645</v>
      </c>
      <c r="B250" s="45" t="n">
        <v>178</v>
      </c>
      <c r="C250" s="46" t="n"/>
      <c r="D250" s="46" t="n"/>
      <c r="E250" s="72" t="n"/>
      <c r="F250" s="72" t="n"/>
      <c r="AT250" s="68" t="s">
        <v>1646</v>
      </c>
      <c r="AU250" s="68" t="s">
        <v>1647</v>
      </c>
    </row>
    <row r="251" spans="1:49">
      <c r="A251" s="45" t="s">
        <v>1648</v>
      </c>
      <c r="B251" s="45" t="n">
        <v>179</v>
      </c>
      <c r="C251" s="46" t="n"/>
      <c r="D251" s="46" t="n"/>
      <c r="E251" s="72" t="n"/>
      <c r="F251" s="72" t="n"/>
      <c r="H251" t="s">
        <v>1055</v>
      </c>
      <c r="AT251" s="68" t="s">
        <v>1649</v>
      </c>
      <c r="AU251" s="68" t="s">
        <v>1650</v>
      </c>
    </row>
    <row r="252" spans="1:49">
      <c r="A252" s="45" t="s">
        <v>1651</v>
      </c>
      <c r="B252" s="45" t="n">
        <v>180</v>
      </c>
      <c r="C252" s="46" t="n"/>
      <c r="D252" s="46" t="n"/>
      <c r="E252" s="72" t="n"/>
      <c r="F252" s="72" t="n"/>
      <c r="H252" t="s">
        <v>1055</v>
      </c>
      <c r="AT252" s="68" t="s">
        <v>1652</v>
      </c>
      <c r="AU252" s="68" t="s">
        <v>1653</v>
      </c>
    </row>
    <row r="253" spans="1:49">
      <c r="A253" s="45" t="s">
        <v>1654</v>
      </c>
      <c r="B253" s="45" t="n">
        <v>181</v>
      </c>
      <c r="C253" s="46" t="n"/>
      <c r="D253" s="46" t="n"/>
      <c r="E253" s="72" t="n"/>
      <c r="F253" s="72" t="n"/>
      <c r="H253" t="s">
        <v>1055</v>
      </c>
      <c r="AT253" s="68" t="s">
        <v>1655</v>
      </c>
      <c r="AU253" s="68" t="s">
        <v>1656</v>
      </c>
    </row>
    <row r="254" spans="1:49" ht="60" customHeight="1">
      <c r="A254" s="45" t="s">
        <v>1657</v>
      </c>
      <c r="B254" s="45" t="n">
        <v>182</v>
      </c>
      <c r="C254" s="46" t="n"/>
      <c r="D254" s="46" t="n"/>
      <c r="E254" s="72" t="n"/>
      <c r="F254" s="72" t="n"/>
      <c r="H254" t="s">
        <v>1055</v>
      </c>
      <c r="AT254" s="68" t="s">
        <v>1658</v>
      </c>
      <c r="AU254" s="68" t="s">
        <v>1659</v>
      </c>
    </row>
    <row r="255" spans="1:49" ht="36" customHeight="1">
      <c r="A255" s="45" t="s">
        <v>1660</v>
      </c>
      <c r="B255" s="45" t="n">
        <v>183</v>
      </c>
      <c r="C255" s="46" t="n"/>
      <c r="D255" s="46" t="n"/>
      <c r="E255" s="72" t="n"/>
      <c r="F255" s="72" t="n"/>
      <c r="H255" t="s">
        <v>1055</v>
      </c>
      <c r="AT255" s="68" t="s">
        <v>1661</v>
      </c>
      <c r="AU255" s="68" t="s">
        <v>1662</v>
      </c>
    </row>
    <row r="256" spans="1:49">
      <c r="A256" s="45" t="s">
        <v>1651</v>
      </c>
      <c r="B256" s="45" t="n">
        <v>184</v>
      </c>
      <c r="C256" s="46" t="n"/>
      <c r="D256" s="46" t="n"/>
      <c r="E256" s="72" t="n"/>
      <c r="F256" s="72" t="n"/>
      <c r="H256" t="s">
        <v>1055</v>
      </c>
      <c r="AT256" s="68" t="s">
        <v>1663</v>
      </c>
      <c r="AU256" s="68" t="s">
        <v>1664</v>
      </c>
    </row>
    <row r="257" spans="1:49">
      <c r="A257" s="45" t="s">
        <v>1665</v>
      </c>
      <c r="B257" s="45" t="n">
        <v>185</v>
      </c>
      <c r="C257" s="46" t="n"/>
      <c r="D257" s="46" t="n"/>
      <c r="E257" s="72" t="n"/>
      <c r="F257" s="72" t="n"/>
      <c r="H257" t="s">
        <v>1055</v>
      </c>
      <c r="AT257" s="68" t="s">
        <v>1666</v>
      </c>
      <c r="AU257" s="68" t="s">
        <v>1667</v>
      </c>
    </row>
    <row r="258" spans="1:49" ht="48" customHeight="1">
      <c r="A258" s="45" t="s">
        <v>1668</v>
      </c>
      <c r="B258" s="45" t="n">
        <v>186</v>
      </c>
      <c r="C258" s="46" t="n"/>
      <c r="D258" s="46" t="n"/>
      <c r="E258" s="72" t="n"/>
      <c r="F258" s="72" t="n"/>
      <c r="H258" t="s">
        <v>1055</v>
      </c>
      <c r="AT258" s="68" t="s">
        <v>1669</v>
      </c>
      <c r="AU258" s="68" t="s">
        <v>1670</v>
      </c>
    </row>
    <row r="259" spans="1:49">
      <c r="A259" s="77" t="n"/>
      <c r="B259" s="74" t="n"/>
      <c r="C259" s="91" t="n"/>
      <c r="D259" s="91" t="n"/>
      <c r="E259" s="91" t="n"/>
      <c r="F259" s="91" t="n"/>
    </row>
    <row r="260" spans="1:49">
      <c r="A260" s="77" t="n"/>
      <c r="B260" s="74" t="n"/>
      <c r="C260" s="91" t="n"/>
      <c r="D260" s="91" t="n"/>
      <c r="E260" s="91" t="n"/>
      <c r="F260" s="91" t="n"/>
    </row>
    <row r="261" spans="1:49">
      <c r="A261" s="45" t="n"/>
      <c r="B261" s="45" t="s">
        <v>427</v>
      </c>
      <c r="C261" s="45" t="s">
        <v>1042</v>
      </c>
      <c r="D261" s="45" t="n"/>
    </row>
    <row r="262" spans="1:49">
      <c r="A262" s="45" t="s">
        <v>1043</v>
      </c>
      <c r="B262" s="45" t="s">
        <v>1044</v>
      </c>
      <c r="C262" s="45" t="s">
        <v>1631</v>
      </c>
      <c r="D262" s="45" t="s">
        <v>1632</v>
      </c>
    </row>
    <row r="263" spans="1:49" ht="24" customHeight="1">
      <c r="A263" s="45" t="s">
        <v>1671</v>
      </c>
      <c r="B263" s="45" t="s">
        <v>427</v>
      </c>
      <c r="C263" s="45" t="n"/>
      <c r="D263" s="45" t="n"/>
    </row>
    <row r="264" spans="1:49">
      <c r="A264" s="45" t="s">
        <v>1672</v>
      </c>
      <c r="B264" s="45" t="n">
        <v>187</v>
      </c>
      <c r="C264" s="46" t="n"/>
      <c r="D264" s="46" t="n"/>
      <c r="E264" s="72" t="n"/>
      <c r="F264" s="72" t="n"/>
      <c r="H264" t="s">
        <v>1055</v>
      </c>
      <c r="AT264" s="68" t="s">
        <v>1673</v>
      </c>
      <c r="AU264" s="68" t="s">
        <v>1674</v>
      </c>
    </row>
    <row r="266" spans="1:49">
      <c r="A266" s="45" t="n"/>
      <c r="B266" s="45" t="s">
        <v>427</v>
      </c>
      <c r="C266" s="45" t="s">
        <v>1042</v>
      </c>
      <c r="D266" s="45" t="n"/>
    </row>
    <row r="267" spans="1:49">
      <c r="A267" s="45" t="s">
        <v>1043</v>
      </c>
      <c r="B267" s="45" t="s">
        <v>1044</v>
      </c>
      <c r="C267" s="45" t="s">
        <v>1045</v>
      </c>
      <c r="D267" s="45" t="s">
        <v>1046</v>
      </c>
    </row>
    <row r="268" spans="1:49" ht="24" customHeight="1">
      <c r="A268" s="45" t="s">
        <v>1675</v>
      </c>
      <c r="B268" s="45" t="s">
        <v>427</v>
      </c>
      <c r="C268" s="45" t="s">
        <v>1631</v>
      </c>
      <c r="D268" s="45" t="s">
        <v>1632</v>
      </c>
    </row>
    <row r="269" spans="1:49">
      <c r="A269" s="45" t="s">
        <v>1676</v>
      </c>
      <c r="B269" s="45" t="n">
        <v>188</v>
      </c>
      <c r="C269" s="46" t="n"/>
      <c r="D269" s="46" t="n"/>
      <c r="E269" s="72" t="n"/>
      <c r="F269" s="72" t="n"/>
      <c r="H269" t="s">
        <v>1055</v>
      </c>
      <c r="AT269" s="68" t="s">
        <v>1677</v>
      </c>
      <c r="AU269" s="68" t="s">
        <v>1678</v>
      </c>
    </row>
    <row r="270" spans="1:49">
      <c r="A270" s="92" t="n"/>
      <c r="B270" s="85" t="n"/>
      <c r="C270" s="91" t="n"/>
      <c r="D270" s="91" t="n"/>
      <c r="E270" s="79" t="n"/>
    </row>
    <row r="271" spans="1:49">
      <c r="A271" s="92" t="n"/>
      <c r="B271" s="85" t="n"/>
      <c r="C271" s="91" t="n"/>
      <c r="D271" s="91" t="n"/>
      <c r="E271" s="79" t="n"/>
    </row>
    <row r="272" spans="1:49">
      <c r="A272" s="45" t="s">
        <v>1679</v>
      </c>
      <c r="B272" s="45" t="s">
        <v>1680</v>
      </c>
      <c r="C272" s="45" t="s">
        <v>1042</v>
      </c>
      <c r="D272" s="45" t="n"/>
    </row>
    <row r="273" spans="1:49">
      <c r="A273" s="45" t="s">
        <v>1681</v>
      </c>
      <c r="B273" s="45" t="s">
        <v>1682</v>
      </c>
      <c r="C273" s="45" t="s">
        <v>1131</v>
      </c>
      <c r="D273" s="45" t="s">
        <v>1132</v>
      </c>
    </row>
    <row r="274" spans="1:49">
      <c r="A274" s="45" t="s">
        <v>1043</v>
      </c>
      <c r="B274" s="45" t="s">
        <v>1044</v>
      </c>
      <c r="C274" s="45" t="s">
        <v>1045</v>
      </c>
      <c r="D274" s="45" t="s">
        <v>1046</v>
      </c>
    </row>
    <row r="275" spans="1:49">
      <c r="A275" s="45" t="s">
        <v>1683</v>
      </c>
      <c r="B275" s="45" t="n">
        <v>189</v>
      </c>
      <c r="C275" s="46" t="n"/>
      <c r="D275" s="46" t="n"/>
      <c r="E275" s="72" t="n"/>
      <c r="F275" s="72" t="n"/>
      <c r="H275" t="s">
        <v>1055</v>
      </c>
      <c r="AT275" s="68" t="s">
        <v>1684</v>
      </c>
      <c r="AU275" s="68" t="s">
        <v>1685</v>
      </c>
    </row>
    <row r="276" spans="1:49" ht="24" customHeight="1">
      <c r="A276" s="45" t="s">
        <v>1686</v>
      </c>
      <c r="B276" s="45" t="n">
        <v>190</v>
      </c>
      <c r="C276" s="46" t="n"/>
      <c r="D276" s="46" t="n"/>
      <c r="E276" s="72" t="n"/>
      <c r="F276" s="72" t="n"/>
      <c r="H276" t="s">
        <v>1055</v>
      </c>
      <c r="AT276" s="68" t="s">
        <v>1687</v>
      </c>
      <c r="AU276" s="68" t="s">
        <v>1688</v>
      </c>
    </row>
    <row r="277" spans="1:49">
      <c r="A277" s="45" t="s">
        <v>1689</v>
      </c>
      <c r="B277" s="45" t="n">
        <v>191</v>
      </c>
      <c r="C277" s="46" t="n"/>
      <c r="D277" s="46" t="n"/>
      <c r="E277" s="72" t="n"/>
      <c r="F277" s="72" t="n"/>
      <c r="H277" t="s">
        <v>1055</v>
      </c>
      <c r="AT277" s="68" t="s">
        <v>1690</v>
      </c>
      <c r="AU277" s="68" t="s">
        <v>1691</v>
      </c>
    </row>
    <row r="278" spans="1:49" ht="24" customHeight="1">
      <c r="A278" s="45" t="s">
        <v>1692</v>
      </c>
      <c r="B278" s="45" t="n">
        <v>192</v>
      </c>
      <c r="C278" s="46" t="n"/>
      <c r="D278" s="46" t="n"/>
      <c r="E278" s="72" t="n"/>
      <c r="F278" s="72" t="n"/>
      <c r="H278" t="s">
        <v>1055</v>
      </c>
      <c r="AT278" s="68" t="s">
        <v>1693</v>
      </c>
      <c r="AU278" s="68" t="s">
        <v>1694</v>
      </c>
    </row>
    <row r="279" spans="1:49">
      <c r="A279" s="82" t="n"/>
      <c r="B279" s="81" t="n"/>
      <c r="C279" s="79" t="n"/>
      <c r="D279" s="79" t="n"/>
      <c r="E279" s="79" t="n"/>
    </row>
    <row r="280" spans="1:49">
      <c r="A280" s="82" t="n"/>
      <c r="B280" s="81" t="n"/>
      <c r="C280" s="79" t="n"/>
      <c r="D280" s="79" t="n"/>
      <c r="E280" s="79" t="n"/>
    </row>
    <row r="281" spans="1:49">
      <c r="A281" s="45" t="s">
        <v>1695</v>
      </c>
      <c r="B281" s="45" t="s">
        <v>1680</v>
      </c>
      <c r="C281" s="45" t="s">
        <v>1042</v>
      </c>
      <c r="D281" s="45" t="n"/>
    </row>
    <row r="282" spans="1:49">
      <c r="A282" s="45" t="n"/>
      <c r="B282" s="45" t="s">
        <v>1682</v>
      </c>
      <c r="C282" s="45" t="s">
        <v>1131</v>
      </c>
      <c r="D282" s="45" t="s">
        <v>1132</v>
      </c>
    </row>
    <row r="283" spans="1:49">
      <c r="A283" s="45" t="s">
        <v>1043</v>
      </c>
      <c r="B283" s="45" t="s">
        <v>1044</v>
      </c>
      <c r="C283" s="45" t="s">
        <v>1045</v>
      </c>
      <c r="D283" s="45" t="s">
        <v>1046</v>
      </c>
    </row>
    <row r="284" spans="1:49">
      <c r="A284" s="45" t="s">
        <v>1696</v>
      </c>
      <c r="B284" s="45" t="n">
        <v>193</v>
      </c>
      <c r="C284" s="46" t="n"/>
      <c r="D284" s="46" t="n"/>
      <c r="E284" s="72" t="n"/>
      <c r="F284" s="72" t="n"/>
      <c r="H284" t="s">
        <v>1055</v>
      </c>
      <c r="AT284" s="68" t="s">
        <v>1697</v>
      </c>
      <c r="AU284" s="68" t="s">
        <v>1698</v>
      </c>
    </row>
    <row r="285" spans="1:49">
      <c r="A285" s="86" t="n"/>
      <c r="B285" s="85" t="n"/>
      <c r="C285" s="79" t="n"/>
      <c r="D285" s="79" t="n"/>
      <c r="E285" s="79" t="n"/>
    </row>
    <row r="286" spans="1:49">
      <c r="A286" s="86" t="n"/>
      <c r="B286" s="85" t="n"/>
      <c r="C286" s="79" t="n"/>
      <c r="D286" s="79" t="n"/>
      <c r="E286" s="79" t="n"/>
    </row>
    <row r="287" spans="1:49">
      <c r="A287" s="45" t="n"/>
      <c r="B287" s="45" t="s">
        <v>427</v>
      </c>
      <c r="C287" s="45" t="s">
        <v>1042</v>
      </c>
      <c r="D287" s="45" t="n"/>
    </row>
    <row r="288" spans="1:49">
      <c r="A288" s="45" t="s">
        <v>1043</v>
      </c>
      <c r="B288" s="45" t="s">
        <v>1044</v>
      </c>
      <c r="C288" s="45" t="s">
        <v>1045</v>
      </c>
      <c r="D288" s="45" t="s">
        <v>1046</v>
      </c>
    </row>
    <row r="289" spans="1:49">
      <c r="A289" s="45" t="s">
        <v>1699</v>
      </c>
      <c r="B289" s="45" t="n">
        <v>194</v>
      </c>
      <c r="C289" s="46" t="n"/>
      <c r="D289" s="46" t="n"/>
      <c r="E289" s="72" t="n"/>
      <c r="F289" s="72" t="n"/>
      <c r="AT289" s="68" t="s">
        <v>1700</v>
      </c>
      <c r="AU289" s="68" t="s">
        <v>1701</v>
      </c>
    </row>
    <row r="290" spans="1:49">
      <c r="A290" s="45" t="s">
        <v>1702</v>
      </c>
      <c r="B290" s="45" t="n">
        <v>195</v>
      </c>
      <c r="C290" s="46" t="n"/>
      <c r="D290" s="46" t="n"/>
      <c r="E290" s="72" t="n"/>
      <c r="F290" s="72" t="n"/>
      <c r="H290" t="s">
        <v>1055</v>
      </c>
      <c r="AT290" s="68" t="s">
        <v>1703</v>
      </c>
      <c r="AU290" s="68" t="s">
        <v>1704</v>
      </c>
    </row>
    <row r="291" spans="1:49">
      <c r="A291" s="45" t="s">
        <v>1705</v>
      </c>
      <c r="B291" s="45" t="n">
        <v>196</v>
      </c>
      <c r="C291" s="46" t="n"/>
      <c r="D291" s="46" t="n"/>
      <c r="E291" s="72" t="n"/>
      <c r="F291" s="72" t="n"/>
      <c r="H291" t="s">
        <v>1055</v>
      </c>
      <c r="AT291" s="68" t="s">
        <v>1706</v>
      </c>
      <c r="AU291" s="68" t="s">
        <v>1707</v>
      </c>
    </row>
    <row r="292" spans="1:49">
      <c r="A292" s="45" t="s">
        <v>1708</v>
      </c>
      <c r="B292" s="45" t="n">
        <v>197</v>
      </c>
      <c r="C292" s="46" t="n"/>
      <c r="D292" s="46" t="n"/>
      <c r="E292" s="72" t="n"/>
      <c r="F292" s="72" t="n"/>
      <c r="H292" t="s">
        <v>1055</v>
      </c>
      <c r="AT292" s="68" t="s">
        <v>1709</v>
      </c>
      <c r="AU292" s="68" t="s">
        <v>1710</v>
      </c>
    </row>
  </sheetData>
  <pageMargins left="0.7" right="0.7" top="0.75" bottom="0.75" header="0.3" footer="0.3"/>
</worksheet>
</file>

<file path=xl/worksheets/sheet7.xml><?xml version="1.0" encoding="utf-8"?>
<worksheet xmlns="http://schemas.openxmlformats.org/spreadsheetml/2006/main">
  <sheetPr>
    <tabColor rgb="FF00B050"/>
    <outlinePr summaryBelow="1" summaryRight="1"/>
    <pageSetUpPr/>
  </sheetPr>
  <dimension ref="A1:U81"/>
  <sheetViews>
    <sheetView showGridLines="0" topLeftCell="B1" workbookViewId="0">
      <selection activeCell="D16" sqref="D16"/>
    </sheetView>
  </sheetViews>
  <sheetFormatPr baseColWidth="8" defaultRowHeight="12" outlineLevelCol="1"/>
  <cols>
    <col hidden="1" width="41.6640625" customWidth="1" min="1" max="1"/>
    <col width="45.109375" customWidth="1" min="2" max="2"/>
    <col width="7" bestFit="1" customWidth="1" min="3" max="3"/>
    <col width="7" customWidth="1" min="4" max="8"/>
    <col width="16" bestFit="1" customWidth="1" min="9" max="9"/>
    <col width="26.77734375" bestFit="1" customWidth="1" min="10" max="10"/>
    <col width="56.6640625" bestFit="1" customWidth="1" min="11" max="11"/>
    <col width="39.109375" customWidth="1" min="12" max="12"/>
    <col width="26.109375" bestFit="1" customWidth="1" min="13" max="13"/>
    <col outlineLevel="1" width="9.109375" customWidth="1" min="17" max="21"/>
  </cols>
  <sheetData>
    <row r="1" spans="1:21">
      <c r="B1" s="1" t="s">
        <v>1711</v>
      </c>
      <c r="C1" s="18">
        <f>'3. F30'!C1</f>
        <v/>
      </c>
      <c r="D1" s="18" t="n"/>
      <c r="E1" s="18" t="n"/>
      <c r="F1" s="18" t="n"/>
      <c r="G1" s="18" t="n"/>
      <c r="H1" s="18" t="n"/>
    </row>
    <row r="2" spans="1:21">
      <c r="B2" s="1" t="s">
        <v>1712</v>
      </c>
      <c r="C2" s="18">
        <f>'3. F30'!C2</f>
        <v/>
      </c>
      <c r="D2" s="18" t="n"/>
      <c r="E2" s="18" t="n"/>
      <c r="F2" s="18" t="n"/>
      <c r="G2" s="18" t="n"/>
      <c r="H2" s="18" t="n"/>
    </row>
    <row r="3" spans="1:21">
      <c r="B3" s="1" t="s">
        <v>1713</v>
      </c>
      <c r="C3" s="18">
        <f>'3. F30'!C3</f>
        <v/>
      </c>
      <c r="D3" s="18" t="n"/>
      <c r="E3" s="18" t="n"/>
      <c r="F3" s="18" t="n"/>
      <c r="G3" s="18" t="n"/>
      <c r="H3" s="18" t="n"/>
    </row>
    <row r="4" spans="1:21">
      <c r="B4" s="1" t="s">
        <v>1714</v>
      </c>
      <c r="C4" s="18">
        <f>'3. F30'!C4</f>
        <v/>
      </c>
      <c r="D4" s="18" t="n"/>
      <c r="E4" s="18" t="n"/>
      <c r="F4" s="18" t="n"/>
      <c r="G4" s="18" t="n"/>
      <c r="H4" s="18" t="n"/>
    </row>
    <row r="5" spans="1:21">
      <c r="B5" s="1" t="s">
        <v>1715</v>
      </c>
      <c r="C5" s="18">
        <f>'3. F30'!C5</f>
        <v/>
      </c>
      <c r="D5" s="18" t="n"/>
      <c r="E5" s="18" t="n"/>
      <c r="F5" s="18" t="n"/>
      <c r="G5" s="18" t="n"/>
      <c r="H5" s="18" t="n"/>
    </row>
    <row r="6" spans="1:21">
      <c r="B6" s="1" t="s">
        <v>1716</v>
      </c>
      <c r="C6" s="18">
        <f>'3. F30'!C6</f>
        <v/>
      </c>
      <c r="D6" s="18" t="n"/>
      <c r="E6" s="18" t="n"/>
      <c r="F6" s="18" t="n"/>
      <c r="G6" s="18" t="n"/>
      <c r="H6" s="18" t="n"/>
    </row>
    <row r="7" spans="1:21">
      <c r="B7" s="1" t="s">
        <v>1717</v>
      </c>
      <c r="C7" s="18">
        <f>'3. F30'!C7</f>
        <v/>
      </c>
      <c r="D7" s="18" t="n"/>
      <c r="E7" s="18" t="n"/>
      <c r="F7" s="18" t="n"/>
      <c r="G7" s="18" t="n"/>
      <c r="H7" s="18" t="n"/>
    </row>
    <row r="9" spans="1:21">
      <c r="A9" s="3" t="s">
        <v>1718</v>
      </c>
      <c r="B9" s="3" t="s">
        <v>1719</v>
      </c>
      <c r="Q9" t="s">
        <v>432</v>
      </c>
      <c r="R9" t="s">
        <v>1720</v>
      </c>
      <c r="S9" t="s">
        <v>1721</v>
      </c>
      <c r="T9" t="s">
        <v>1722</v>
      </c>
      <c r="U9" t="s">
        <v>433</v>
      </c>
    </row>
    <row r="12" spans="1:21">
      <c r="A12" s="71" t="s">
        <v>1723</v>
      </c>
      <c r="B12" s="71" t="s">
        <v>1724</v>
      </c>
      <c r="C12" s="71" t="s">
        <v>1725</v>
      </c>
      <c r="D12" s="71" t="n"/>
      <c r="E12" s="71" t="n"/>
      <c r="F12" s="71" t="n"/>
      <c r="G12" s="71" t="n"/>
      <c r="H12" s="71" t="n"/>
      <c r="I12" s="71" t="s">
        <v>1726</v>
      </c>
      <c r="J12" s="71" t="s">
        <v>1727</v>
      </c>
      <c r="K12" s="71" t="s">
        <v>1728</v>
      </c>
      <c r="L12" s="71" t="n"/>
      <c r="M12" s="71" t="s">
        <v>1729</v>
      </c>
    </row>
    <row r="13" spans="1:21">
      <c r="A13" s="44" t="n"/>
      <c r="B13" s="44" t="n"/>
      <c r="C13" s="44" t="s">
        <v>1730</v>
      </c>
      <c r="D13" s="44" t="n"/>
      <c r="E13" s="44" t="n"/>
      <c r="F13" s="44" t="n"/>
      <c r="G13" s="44" t="n"/>
      <c r="H13" s="44" t="n"/>
      <c r="I13" s="44" t="s">
        <v>1730</v>
      </c>
      <c r="J13" s="44" t="s">
        <v>1730</v>
      </c>
      <c r="K13" s="44" t="s">
        <v>1065</v>
      </c>
      <c r="L13" s="44" t="s">
        <v>1731</v>
      </c>
      <c r="M13" s="44" t="n"/>
    </row>
    <row r="14" spans="1:21">
      <c r="A14" s="45" t="s">
        <v>1732</v>
      </c>
      <c r="B14" s="45" t="s">
        <v>1733</v>
      </c>
      <c r="C14" s="45" t="s">
        <v>1734</v>
      </c>
      <c r="D14" s="45" t="n"/>
      <c r="E14" s="45" t="n"/>
      <c r="F14" s="45" t="n"/>
      <c r="G14" s="45" t="n"/>
      <c r="H14" s="45" t="n"/>
      <c r="I14" s="45" t="n">
        <v>1</v>
      </c>
      <c r="J14" s="45" t="n">
        <v>2</v>
      </c>
      <c r="K14" s="45" t="n">
        <v>3</v>
      </c>
      <c r="L14" s="45" t="n">
        <v>4</v>
      </c>
      <c r="M14" s="44" t="n">
        <v>5</v>
      </c>
    </row>
    <row r="15" spans="1:21" customFormat="1" s="3">
      <c r="A15" s="44" t="s">
        <v>1735</v>
      </c>
      <c r="B15" s="44" t="s">
        <v>1736</v>
      </c>
      <c r="C15" s="44" t="s">
        <v>1730</v>
      </c>
      <c r="D15" s="44" t="n"/>
      <c r="E15" s="44" t="n"/>
      <c r="F15" s="44" t="n"/>
      <c r="G15" s="44" t="n"/>
      <c r="H15" s="44" t="n"/>
      <c r="I15" s="44" t="s">
        <v>1730</v>
      </c>
      <c r="J15" s="44" t="s">
        <v>1730</v>
      </c>
      <c r="K15" s="44" t="s">
        <v>1730</v>
      </c>
      <c r="L15" s="44" t="s">
        <v>1730</v>
      </c>
      <c r="M15" s="44" t="s">
        <v>1730</v>
      </c>
    </row>
    <row r="16" spans="1:21">
      <c r="A16" s="45" t="s">
        <v>1737</v>
      </c>
      <c r="B16" s="45" t="s">
        <v>1738</v>
      </c>
      <c r="C16" s="45" t="s">
        <v>1739</v>
      </c>
      <c r="D16" s="257" t="s">
        <v>1740</v>
      </c>
      <c r="E16" s="257" t="s">
        <v>1741</v>
      </c>
      <c r="F16" s="257" t="s">
        <v>1742</v>
      </c>
      <c r="G16" s="257" t="s">
        <v>1743</v>
      </c>
      <c r="H16" s="257" t="s">
        <v>1744</v>
      </c>
      <c r="I16" s="46">
        <f>ROUND(SUMIF('Trial Balance'!P:P,Q16,'Trial Balance'!H:H),0)</f>
        <v/>
      </c>
      <c r="J16" s="46">
        <f>ROUND(SUMIF('Trial Balance'!Q:Q,R16,'Trial Balance'!I:I),0)</f>
        <v/>
      </c>
      <c r="K16" s="46">
        <f>ROUND(SUMIF('Trial Balance'!R:R,S16,'Trial Balance'!J:J),0)</f>
        <v/>
      </c>
      <c r="L16" s="133" t="n">
        <v>0</v>
      </c>
      <c r="M16" s="76">
        <f>I16+J16-K16</f>
        <v/>
      </c>
      <c r="Q16" t="s">
        <v>1740</v>
      </c>
      <c r="R16" t="s">
        <v>1741</v>
      </c>
      <c r="S16" t="s">
        <v>1742</v>
      </c>
      <c r="T16" t="s">
        <v>1743</v>
      </c>
      <c r="U16" t="s">
        <v>1744</v>
      </c>
    </row>
    <row r="17" spans="1:21">
      <c r="A17" s="45" t="s">
        <v>1745</v>
      </c>
      <c r="B17" s="45" t="s">
        <v>1746</v>
      </c>
      <c r="C17" s="45" t="s">
        <v>1747</v>
      </c>
      <c r="D17" s="257" t="s">
        <v>1748</v>
      </c>
      <c r="E17" s="257" t="s">
        <v>1749</v>
      </c>
      <c r="F17" s="257" t="s">
        <v>1750</v>
      </c>
      <c r="G17" s="257" t="s">
        <v>1751</v>
      </c>
      <c r="H17" s="257" t="s">
        <v>1752</v>
      </c>
      <c r="I17" s="46">
        <f>ROUND(SUMIF('Trial Balance'!P:P,Q17,'Trial Balance'!H:H),0)</f>
        <v/>
      </c>
      <c r="J17" s="46">
        <f>ROUND(SUMIF('Trial Balance'!Q:Q,R17,'Trial Balance'!I:I),0)</f>
        <v/>
      </c>
      <c r="K17" s="46">
        <f>ROUND(SUMIF('Trial Balance'!R:R,S17,'Trial Balance'!J:J),0)</f>
        <v/>
      </c>
      <c r="L17" s="133" t="n">
        <v>0</v>
      </c>
      <c r="M17" s="76">
        <f>I17+J17-K17</f>
        <v/>
      </c>
      <c r="Q17" t="s">
        <v>1748</v>
      </c>
      <c r="R17" t="s">
        <v>1749</v>
      </c>
      <c r="S17" t="s">
        <v>1750</v>
      </c>
      <c r="T17" t="s">
        <v>1751</v>
      </c>
      <c r="U17" t="s">
        <v>1752</v>
      </c>
    </row>
    <row r="18" spans="1:21">
      <c r="A18" s="45" t="s">
        <v>1753</v>
      </c>
      <c r="B18" s="45" t="s">
        <v>1754</v>
      </c>
      <c r="C18" s="45" t="s">
        <v>1755</v>
      </c>
      <c r="D18" s="258" t="s">
        <v>1756</v>
      </c>
      <c r="E18" s="260" t="s">
        <v>1757</v>
      </c>
      <c r="F18" s="260" t="s">
        <v>1758</v>
      </c>
      <c r="G18" s="260" t="s">
        <v>1759</v>
      </c>
      <c r="H18" s="260" t="s">
        <v>1760</v>
      </c>
      <c r="I18" s="46">
        <f>ROUND(SUMIF('Trial Balance'!P:P,Q18,'Trial Balance'!H:H),0)</f>
        <v/>
      </c>
      <c r="J18" s="46">
        <f>ROUND(SUMIF('Trial Balance'!Q:Q,R18,'Trial Balance'!I:I),0)</f>
        <v/>
      </c>
      <c r="K18" s="46">
        <f>ROUND(SUMIF('Trial Balance'!R:R,S18,'Trial Balance'!J:J),0)</f>
        <v/>
      </c>
      <c r="L18" s="133" t="n">
        <v>0</v>
      </c>
      <c r="M18" s="76">
        <f>I18+J18-K18</f>
        <v/>
      </c>
      <c r="Q18" t="s">
        <v>1756</v>
      </c>
      <c r="R18" t="s">
        <v>1757</v>
      </c>
      <c r="S18" t="s">
        <v>1758</v>
      </c>
      <c r="T18" t="s">
        <v>1759</v>
      </c>
      <c r="U18" t="s">
        <v>1760</v>
      </c>
    </row>
    <row r="19" spans="1:21">
      <c r="A19" s="45" t="s">
        <v>1761</v>
      </c>
      <c r="B19" s="45" t="s">
        <v>1762</v>
      </c>
      <c r="C19" s="45" t="s">
        <v>1763</v>
      </c>
      <c r="D19" s="257" t="s">
        <v>1764</v>
      </c>
      <c r="E19" s="257" t="s">
        <v>1765</v>
      </c>
      <c r="F19" s="257" t="s">
        <v>1766</v>
      </c>
      <c r="G19" s="257" t="s">
        <v>1767</v>
      </c>
      <c r="H19" s="257" t="s">
        <v>1768</v>
      </c>
      <c r="I19" s="46">
        <f>ROUND(SUMIF('Trial Balance'!P:P,Q19,'Trial Balance'!H:H),0)</f>
        <v/>
      </c>
      <c r="J19" s="46">
        <f>ROUND(SUMIF('Trial Balance'!Q:Q,R19,'Trial Balance'!I:I),0)</f>
        <v/>
      </c>
      <c r="K19" s="46">
        <f>ROUND(SUMIF('Trial Balance'!R:R,S19,'Trial Balance'!J:J),0)</f>
        <v/>
      </c>
      <c r="L19" s="133" t="n">
        <v>0</v>
      </c>
      <c r="M19" s="76">
        <f>I19+J19-K19</f>
        <v/>
      </c>
      <c r="Q19" t="s">
        <v>1764</v>
      </c>
      <c r="R19" t="s">
        <v>1765</v>
      </c>
      <c r="S19" t="s">
        <v>1766</v>
      </c>
      <c r="T19" t="s">
        <v>1767</v>
      </c>
      <c r="U19" t="s">
        <v>1768</v>
      </c>
    </row>
    <row r="20" spans="1:21">
      <c r="A20" s="45" t="s">
        <v>1769</v>
      </c>
      <c r="B20" s="45" t="s">
        <v>1770</v>
      </c>
      <c r="C20" s="45" t="s">
        <v>1771</v>
      </c>
      <c r="D20" s="258" t="s">
        <v>1772</v>
      </c>
      <c r="E20" s="260" t="s">
        <v>1773</v>
      </c>
      <c r="F20" s="260" t="s">
        <v>1774</v>
      </c>
      <c r="G20" s="260" t="s">
        <v>1775</v>
      </c>
      <c r="H20" s="260" t="s">
        <v>1776</v>
      </c>
      <c r="I20" s="46">
        <f>ROUND(SUMIF('Trial Balance'!P:P,Q20,'Trial Balance'!H:H),0)</f>
        <v/>
      </c>
      <c r="J20" s="46">
        <f>ROUND(SUMIF('Trial Balance'!Q:Q,R20,'Trial Balance'!I:I),0)</f>
        <v/>
      </c>
      <c r="K20" s="46">
        <f>ROUND(SUMIF('Trial Balance'!R:R,S20,'Trial Balance'!J:J),0)</f>
        <v/>
      </c>
      <c r="L20" s="133" t="n">
        <v>0</v>
      </c>
      <c r="M20" s="76">
        <f>I20+J20-K20</f>
        <v/>
      </c>
      <c r="Q20" t="s">
        <v>1772</v>
      </c>
      <c r="R20" t="s">
        <v>1773</v>
      </c>
      <c r="S20" t="s">
        <v>1774</v>
      </c>
      <c r="T20" t="s">
        <v>1775</v>
      </c>
      <c r="U20" t="s">
        <v>1776</v>
      </c>
    </row>
    <row r="21" spans="1:21">
      <c r="A21" s="45" t="s">
        <v>1777</v>
      </c>
      <c r="B21" s="45" t="s">
        <v>1778</v>
      </c>
      <c r="C21" s="45" t="s">
        <v>1779</v>
      </c>
      <c r="D21" s="258" t="s">
        <v>1780</v>
      </c>
      <c r="E21" s="260" t="s">
        <v>1781</v>
      </c>
      <c r="F21" s="260" t="s">
        <v>1782</v>
      </c>
      <c r="G21" s="260" t="s">
        <v>1783</v>
      </c>
      <c r="H21" s="260" t="s">
        <v>1784</v>
      </c>
      <c r="I21" s="46">
        <f>ROUND(SUMIF('Trial Balance'!P:P,Q21,'Trial Balance'!H:H),0)</f>
        <v/>
      </c>
      <c r="J21" s="46">
        <f>ROUND(SUMIF('Trial Balance'!Q:Q,R21,'Trial Balance'!I:I),0)</f>
        <v/>
      </c>
      <c r="K21" s="46">
        <f>ROUND(SUMIF('Trial Balance'!R:R,S21,'Trial Balance'!J:J),0)</f>
        <v/>
      </c>
      <c r="L21" s="133" t="n">
        <v>0</v>
      </c>
      <c r="M21" s="76">
        <f>I21+J21-K21</f>
        <v/>
      </c>
      <c r="Q21" t="s">
        <v>1780</v>
      </c>
      <c r="R21" t="s">
        <v>1781</v>
      </c>
      <c r="S21" t="s">
        <v>1782</v>
      </c>
      <c r="T21" t="s">
        <v>1783</v>
      </c>
      <c r="U21" t="s">
        <v>1784</v>
      </c>
    </row>
    <row r="22" spans="1:21" customFormat="1" s="3">
      <c r="A22" s="44" t="s">
        <v>1785</v>
      </c>
      <c r="B22" s="44" t="s">
        <v>1786</v>
      </c>
      <c r="C22" s="44" t="s">
        <v>1787</v>
      </c>
      <c r="D22" s="259" t="s">
        <v>1788</v>
      </c>
      <c r="E22" s="261" t="s">
        <v>1789</v>
      </c>
      <c r="F22" s="261" t="s">
        <v>1790</v>
      </c>
      <c r="G22" s="261" t="s">
        <v>1791</v>
      </c>
      <c r="H22" s="261" t="s">
        <v>1792</v>
      </c>
      <c r="I22" s="76">
        <f>SUM(I16:I21)</f>
        <v/>
      </c>
      <c r="J22" s="76">
        <f>SUM(J16:J21)</f>
        <v/>
      </c>
      <c r="K22" s="76">
        <f>SUM(K16:K21)</f>
        <v/>
      </c>
      <c r="L22" s="134">
        <f>SUM(L16:L21)</f>
        <v/>
      </c>
      <c r="M22" s="76">
        <f>I22+J22-K22</f>
        <v/>
      </c>
      <c r="Q22" s="3" t="s">
        <v>1788</v>
      </c>
      <c r="R22" s="3" t="s">
        <v>1789</v>
      </c>
      <c r="S22" s="3" t="s">
        <v>1790</v>
      </c>
      <c r="T22" s="3" t="s">
        <v>1791</v>
      </c>
      <c r="U22" s="3" t="s">
        <v>1792</v>
      </c>
    </row>
    <row r="23" spans="1:21" customFormat="1" s="3">
      <c r="A23" s="44" t="s">
        <v>1793</v>
      </c>
      <c r="B23" s="44" t="s">
        <v>1794</v>
      </c>
      <c r="C23" s="44" t="n"/>
      <c r="D23" s="44" t="n"/>
      <c r="E23" s="44" t="n"/>
      <c r="F23" s="44" t="n"/>
      <c r="G23" s="44" t="n"/>
      <c r="H23" s="44" t="n"/>
      <c r="I23" s="76" t="n"/>
      <c r="J23" s="76" t="n"/>
      <c r="K23" s="76" t="n"/>
      <c r="L23" s="76" t="n"/>
      <c r="M23" s="76" t="n"/>
    </row>
    <row r="24" spans="1:21">
      <c r="A24" s="45" t="s">
        <v>1795</v>
      </c>
      <c r="B24" s="45" t="s">
        <v>1796</v>
      </c>
      <c r="C24" s="45" t="s">
        <v>1797</v>
      </c>
      <c r="D24" s="258" t="s">
        <v>1798</v>
      </c>
      <c r="E24" s="260" t="s">
        <v>1799</v>
      </c>
      <c r="F24" s="260" t="s">
        <v>1800</v>
      </c>
      <c r="G24" s="260" t="s">
        <v>1801</v>
      </c>
      <c r="H24" s="260" t="s">
        <v>1802</v>
      </c>
      <c r="I24" s="46">
        <f>ROUND(SUMIF('Trial Balance'!P:P,Q24,'Trial Balance'!H:H),0)</f>
        <v/>
      </c>
      <c r="J24" s="46">
        <f>ROUND(SUMIF('Trial Balance'!Q:Q,R24,'Trial Balance'!I:I),0)</f>
        <v/>
      </c>
      <c r="K24" s="46">
        <f>ROUND(SUMIF('Trial Balance'!R:R,S24,'Trial Balance'!J:J),0)</f>
        <v/>
      </c>
      <c r="L24" s="133" t="n">
        <v>0</v>
      </c>
      <c r="M24" s="76">
        <f>I24+J24-K24</f>
        <v/>
      </c>
      <c r="Q24" t="s">
        <v>1798</v>
      </c>
      <c r="R24" t="s">
        <v>1799</v>
      </c>
      <c r="S24" t="s">
        <v>1800</v>
      </c>
      <c r="T24" t="s">
        <v>1801</v>
      </c>
      <c r="U24" t="s">
        <v>1802</v>
      </c>
    </row>
    <row r="25" spans="1:21">
      <c r="A25" s="45" t="s">
        <v>1803</v>
      </c>
      <c r="B25" s="45" t="s">
        <v>1804</v>
      </c>
      <c r="C25" s="45" t="s">
        <v>1805</v>
      </c>
      <c r="D25" s="258" t="s">
        <v>1806</v>
      </c>
      <c r="E25" s="260" t="s">
        <v>1807</v>
      </c>
      <c r="F25" s="260" t="s">
        <v>1808</v>
      </c>
      <c r="G25" s="260" t="s">
        <v>1809</v>
      </c>
      <c r="H25" s="260" t="s">
        <v>1810</v>
      </c>
      <c r="I25" s="46">
        <f>ROUND(SUMIF('Trial Balance'!P:P,Q25,'Trial Balance'!H:H),0)</f>
        <v/>
      </c>
      <c r="J25" s="46">
        <f>ROUND(SUMIF('Trial Balance'!Q:Q,R25,'Trial Balance'!I:I),0)</f>
        <v/>
      </c>
      <c r="K25" s="46">
        <f>ROUND(SUMIF('Trial Balance'!R:R,S25,'Trial Balance'!J:J),0)</f>
        <v/>
      </c>
      <c r="L25" s="133" t="n">
        <v>0</v>
      </c>
      <c r="M25" s="76">
        <f>I25+J25-K25</f>
        <v/>
      </c>
      <c r="Q25" t="s">
        <v>1806</v>
      </c>
      <c r="R25" t="s">
        <v>1807</v>
      </c>
      <c r="S25" t="s">
        <v>1808</v>
      </c>
      <c r="T25" t="s">
        <v>1809</v>
      </c>
      <c r="U25" t="s">
        <v>1810</v>
      </c>
    </row>
    <row r="26" spans="1:21">
      <c r="A26" s="45" t="s">
        <v>1811</v>
      </c>
      <c r="B26" s="45" t="s">
        <v>1812</v>
      </c>
      <c r="C26" s="45" t="n">
        <v>10</v>
      </c>
      <c r="D26" s="258" t="s">
        <v>1813</v>
      </c>
      <c r="E26" s="260" t="s">
        <v>1814</v>
      </c>
      <c r="F26" s="260" t="s">
        <v>1815</v>
      </c>
      <c r="G26" s="260" t="s">
        <v>1816</v>
      </c>
      <c r="H26" s="260" t="s">
        <v>1817</v>
      </c>
      <c r="I26" s="46">
        <f>ROUND(SUMIF('Trial Balance'!P:P,Q26,'Trial Balance'!H:H),0)</f>
        <v/>
      </c>
      <c r="J26" s="46">
        <f>ROUND(SUMIF('Trial Balance'!Q:Q,R26,'Trial Balance'!I:I),0)</f>
        <v/>
      </c>
      <c r="K26" s="46">
        <f>ROUND(SUMIF('Trial Balance'!R:R,S26,'Trial Balance'!J:J),0)</f>
        <v/>
      </c>
      <c r="L26" s="133" t="n">
        <v>0</v>
      </c>
      <c r="M26" s="76">
        <f>I26+J26-K26</f>
        <v/>
      </c>
      <c r="Q26" t="s">
        <v>1813</v>
      </c>
      <c r="R26" t="s">
        <v>1814</v>
      </c>
      <c r="S26" t="s">
        <v>1815</v>
      </c>
      <c r="T26" t="s">
        <v>1816</v>
      </c>
      <c r="U26" t="s">
        <v>1817</v>
      </c>
    </row>
    <row r="27" spans="1:21">
      <c r="A27" s="45" t="s">
        <v>1818</v>
      </c>
      <c r="B27" s="45" t="s">
        <v>1819</v>
      </c>
      <c r="C27" s="45" t="n">
        <v>11</v>
      </c>
      <c r="D27" s="258" t="s">
        <v>1820</v>
      </c>
      <c r="E27" s="260" t="s">
        <v>1821</v>
      </c>
      <c r="F27" s="260" t="s">
        <v>1822</v>
      </c>
      <c r="G27" s="260" t="s">
        <v>1823</v>
      </c>
      <c r="H27" s="260" t="s">
        <v>1824</v>
      </c>
      <c r="I27" s="46">
        <f>ROUND(SUMIF('Trial Balance'!P:P,Q27,'Trial Balance'!H:H),0)</f>
        <v/>
      </c>
      <c r="J27" s="46">
        <f>ROUND(SUMIF('Trial Balance'!Q:Q,R27,'Trial Balance'!I:I),0)</f>
        <v/>
      </c>
      <c r="K27" s="46">
        <f>ROUND(SUMIF('Trial Balance'!R:R,S27,'Trial Balance'!J:J),0)</f>
        <v/>
      </c>
      <c r="L27" s="133" t="n">
        <v>0</v>
      </c>
      <c r="M27" s="76">
        <f>I27+J27-K27</f>
        <v/>
      </c>
      <c r="Q27" t="s">
        <v>1820</v>
      </c>
      <c r="R27" t="s">
        <v>1821</v>
      </c>
      <c r="S27" t="s">
        <v>1822</v>
      </c>
      <c r="T27" t="s">
        <v>1823</v>
      </c>
      <c r="U27" t="s">
        <v>1824</v>
      </c>
    </row>
    <row r="28" spans="1:21">
      <c r="A28" s="45" t="s">
        <v>1825</v>
      </c>
      <c r="B28" s="45" t="s">
        <v>1826</v>
      </c>
      <c r="C28" s="45" t="n">
        <v>12</v>
      </c>
      <c r="D28" s="258" t="s">
        <v>1827</v>
      </c>
      <c r="E28" s="260" t="s">
        <v>1828</v>
      </c>
      <c r="F28" s="260" t="s">
        <v>1829</v>
      </c>
      <c r="G28" s="260" t="s">
        <v>1830</v>
      </c>
      <c r="H28" s="260" t="s">
        <v>1831</v>
      </c>
      <c r="I28" s="46">
        <f>ROUND(SUMIF('Trial Balance'!P:P,Q28,'Trial Balance'!H:H),0)</f>
        <v/>
      </c>
      <c r="J28" s="46">
        <f>ROUND(SUMIF('Trial Balance'!Q:Q,R28,'Trial Balance'!I:I),0)</f>
        <v/>
      </c>
      <c r="K28" s="46">
        <f>ROUND(SUMIF('Trial Balance'!R:R,S28,'Trial Balance'!J:J),0)</f>
        <v/>
      </c>
      <c r="L28" s="133" t="n">
        <v>0</v>
      </c>
      <c r="M28" s="76">
        <f>I28+J28-K28</f>
        <v/>
      </c>
      <c r="Q28" t="s">
        <v>1827</v>
      </c>
      <c r="R28" t="s">
        <v>1828</v>
      </c>
      <c r="S28" t="s">
        <v>1829</v>
      </c>
      <c r="T28" t="s">
        <v>1830</v>
      </c>
      <c r="U28" t="s">
        <v>1831</v>
      </c>
    </row>
    <row r="29" spans="1:21">
      <c r="A29" s="45" t="s">
        <v>1832</v>
      </c>
      <c r="B29" s="45" t="s">
        <v>1833</v>
      </c>
      <c r="C29" s="45" t="n">
        <v>13</v>
      </c>
      <c r="D29" s="258" t="s">
        <v>1834</v>
      </c>
      <c r="E29" s="260" t="s">
        <v>1835</v>
      </c>
      <c r="F29" s="260" t="s">
        <v>1836</v>
      </c>
      <c r="G29" s="260" t="s">
        <v>1837</v>
      </c>
      <c r="H29" s="260" t="s">
        <v>1838</v>
      </c>
      <c r="I29" s="46">
        <f>ROUND(SUMIF('Trial Balance'!P:P,Q29,'Trial Balance'!H:H),0)</f>
        <v/>
      </c>
      <c r="J29" s="46">
        <f>ROUND(SUMIF('Trial Balance'!Q:Q,R29,'Trial Balance'!I:I),0)</f>
        <v/>
      </c>
      <c r="K29" s="46">
        <f>ROUND(SUMIF('Trial Balance'!R:R,S29,'Trial Balance'!J:J),0)</f>
        <v/>
      </c>
      <c r="L29" s="133" t="n">
        <v>0</v>
      </c>
      <c r="M29" s="76">
        <f>I29+J29-K29</f>
        <v/>
      </c>
      <c r="Q29" t="s">
        <v>1834</v>
      </c>
      <c r="R29" t="s">
        <v>1835</v>
      </c>
      <c r="S29" t="s">
        <v>1836</v>
      </c>
      <c r="T29" t="s">
        <v>1837</v>
      </c>
      <c r="U29" t="s">
        <v>1838</v>
      </c>
    </row>
    <row r="30" spans="1:21">
      <c r="A30" s="45" t="s">
        <v>1839</v>
      </c>
      <c r="B30" s="45" t="s">
        <v>1840</v>
      </c>
      <c r="C30" s="45" t="n">
        <v>14</v>
      </c>
      <c r="D30" s="258" t="s">
        <v>1841</v>
      </c>
      <c r="E30" s="260" t="s">
        <v>1842</v>
      </c>
      <c r="F30" s="260" t="s">
        <v>1843</v>
      </c>
      <c r="G30" s="260" t="s">
        <v>1844</v>
      </c>
      <c r="H30" s="260" t="s">
        <v>1845</v>
      </c>
      <c r="I30" s="46">
        <f>ROUND(SUMIF('Trial Balance'!P:P,Q30,'Trial Balance'!H:H),0)</f>
        <v/>
      </c>
      <c r="J30" s="46">
        <f>ROUND(SUMIF('Trial Balance'!Q:Q,R30,'Trial Balance'!I:I),0)</f>
        <v/>
      </c>
      <c r="K30" s="46">
        <f>ROUND(SUMIF('Trial Balance'!R:R,S30,'Trial Balance'!J:J),0)</f>
        <v/>
      </c>
      <c r="L30" s="133" t="n">
        <v>0</v>
      </c>
      <c r="M30" s="76">
        <f>I30+J30-K30</f>
        <v/>
      </c>
      <c r="Q30" t="s">
        <v>1841</v>
      </c>
      <c r="R30" t="s">
        <v>1842</v>
      </c>
      <c r="S30" t="s">
        <v>1843</v>
      </c>
      <c r="T30" t="s">
        <v>1844</v>
      </c>
      <c r="U30" t="s">
        <v>1845</v>
      </c>
    </row>
    <row r="31" spans="1:21">
      <c r="A31" s="45" t="s">
        <v>1846</v>
      </c>
      <c r="B31" s="45" t="s">
        <v>1847</v>
      </c>
      <c r="C31" s="45" t="n">
        <v>15</v>
      </c>
      <c r="D31" s="258" t="s">
        <v>1848</v>
      </c>
      <c r="E31" s="260" t="s">
        <v>1849</v>
      </c>
      <c r="F31" s="260" t="s">
        <v>1850</v>
      </c>
      <c r="G31" s="260" t="s">
        <v>1851</v>
      </c>
      <c r="H31" s="260" t="s">
        <v>1852</v>
      </c>
      <c r="I31" s="46">
        <f>ROUND(SUMIF('Trial Balance'!P:P,Q31,'Trial Balance'!H:H),0)</f>
        <v/>
      </c>
      <c r="J31" s="46">
        <f>ROUND(SUMIF('Trial Balance'!Q:Q,R31,'Trial Balance'!I:I),0)</f>
        <v/>
      </c>
      <c r="K31" s="46">
        <f>ROUND(SUMIF('Trial Balance'!R:R,S31,'Trial Balance'!J:J),0)</f>
        <v/>
      </c>
      <c r="L31" s="133" t="n">
        <v>0</v>
      </c>
      <c r="M31" s="76">
        <f>I31+J31-K31</f>
        <v/>
      </c>
      <c r="Q31" t="s">
        <v>1848</v>
      </c>
      <c r="R31" t="s">
        <v>1849</v>
      </c>
      <c r="S31" t="s">
        <v>1850</v>
      </c>
      <c r="T31" t="s">
        <v>1851</v>
      </c>
      <c r="U31" t="s">
        <v>1852</v>
      </c>
    </row>
    <row r="32" spans="1:21">
      <c r="A32" s="45" t="s">
        <v>1853</v>
      </c>
      <c r="B32" s="45" t="s">
        <v>1854</v>
      </c>
      <c r="C32" s="45" t="n">
        <v>16</v>
      </c>
      <c r="D32" s="258" t="s">
        <v>1855</v>
      </c>
      <c r="E32" s="260" t="s">
        <v>1856</v>
      </c>
      <c r="F32" s="260" t="s">
        <v>1857</v>
      </c>
      <c r="G32" s="260" t="s">
        <v>1858</v>
      </c>
      <c r="H32" s="260" t="s">
        <v>1859</v>
      </c>
      <c r="I32" s="46">
        <f>ROUND(SUMIF('Trial Balance'!P:P,Q32,'Trial Balance'!H:H),0)</f>
        <v/>
      </c>
      <c r="J32" s="46">
        <f>ROUND(SUMIF('Trial Balance'!Q:Q,R32,'Trial Balance'!I:I),0)</f>
        <v/>
      </c>
      <c r="K32" s="46">
        <f>ROUND(SUMIF('Trial Balance'!R:R,S32,'Trial Balance'!J:J),0)</f>
        <v/>
      </c>
      <c r="L32" s="133" t="n">
        <v>0</v>
      </c>
      <c r="M32" s="76">
        <f>I32+J32-K32</f>
        <v/>
      </c>
      <c r="Q32" t="s">
        <v>1855</v>
      </c>
      <c r="R32" t="s">
        <v>1856</v>
      </c>
      <c r="S32" t="s">
        <v>1857</v>
      </c>
      <c r="T32" t="s">
        <v>1858</v>
      </c>
      <c r="U32" t="s">
        <v>1859</v>
      </c>
    </row>
    <row r="33" spans="1:21">
      <c r="A33" s="45" t="s">
        <v>1860</v>
      </c>
      <c r="B33" s="45" t="s">
        <v>1861</v>
      </c>
      <c r="C33" s="45" t="n">
        <v>17</v>
      </c>
      <c r="D33" s="258" t="s">
        <v>1862</v>
      </c>
      <c r="E33" s="260" t="s">
        <v>1863</v>
      </c>
      <c r="F33" s="260" t="s">
        <v>1864</v>
      </c>
      <c r="G33" s="260" t="s">
        <v>1865</v>
      </c>
      <c r="H33" s="260" t="s">
        <v>1866</v>
      </c>
      <c r="I33" s="46">
        <f>ROUND(SUMIF('Trial Balance'!P:P,Q33,'Trial Balance'!H:H),0)</f>
        <v/>
      </c>
      <c r="J33" s="46">
        <f>ROUND(SUMIF('Trial Balance'!Q:Q,R33,'Trial Balance'!I:I),0)</f>
        <v/>
      </c>
      <c r="K33" s="46">
        <f>ROUND(SUMIF('Trial Balance'!R:R,S33,'Trial Balance'!J:J),0)</f>
        <v/>
      </c>
      <c r="L33" s="133" t="n">
        <v>0</v>
      </c>
      <c r="M33" s="76">
        <f>I33+J33-K33</f>
        <v/>
      </c>
      <c r="Q33" t="s">
        <v>1862</v>
      </c>
      <c r="R33" t="s">
        <v>1863</v>
      </c>
      <c r="S33" t="s">
        <v>1864</v>
      </c>
      <c r="T33" t="s">
        <v>1865</v>
      </c>
      <c r="U33" t="s">
        <v>1866</v>
      </c>
    </row>
    <row r="34" spans="1:21">
      <c r="A34" s="44" t="s">
        <v>1867</v>
      </c>
      <c r="B34" s="44" t="s">
        <v>1868</v>
      </c>
      <c r="C34" s="44" t="n">
        <v>18</v>
      </c>
      <c r="D34" s="258" t="s">
        <v>1869</v>
      </c>
      <c r="E34" s="260" t="s">
        <v>1870</v>
      </c>
      <c r="F34" s="260" t="s">
        <v>1871</v>
      </c>
      <c r="G34" s="260" t="s">
        <v>1872</v>
      </c>
      <c r="H34" s="260" t="s">
        <v>1873</v>
      </c>
      <c r="I34" s="76">
        <f>SUM(I24:I33)</f>
        <v/>
      </c>
      <c r="J34" s="76">
        <f>SUM(J24:J33)</f>
        <v/>
      </c>
      <c r="K34" s="76">
        <f>SUM(K24:K33)</f>
        <v/>
      </c>
      <c r="L34" s="76">
        <f>SUM(L24:L33)</f>
        <v/>
      </c>
      <c r="M34" s="76">
        <f>SUM(M24:M33)</f>
        <v/>
      </c>
      <c r="Q34" t="s">
        <v>1869</v>
      </c>
      <c r="R34" t="s">
        <v>1870</v>
      </c>
      <c r="S34" t="s">
        <v>1871</v>
      </c>
      <c r="T34" t="s">
        <v>1872</v>
      </c>
      <c r="U34" t="s">
        <v>1873</v>
      </c>
    </row>
    <row r="35" spans="1:21">
      <c r="A35" s="45" t="s">
        <v>1874</v>
      </c>
      <c r="B35" s="45" t="s">
        <v>1875</v>
      </c>
      <c r="C35" s="45" t="n">
        <v>19</v>
      </c>
      <c r="D35" s="258" t="s">
        <v>1876</v>
      </c>
      <c r="E35" s="260" t="s">
        <v>1877</v>
      </c>
      <c r="F35" s="260" t="s">
        <v>1878</v>
      </c>
      <c r="G35" s="260" t="s">
        <v>1879</v>
      </c>
      <c r="H35" s="260" t="s">
        <v>1880</v>
      </c>
      <c r="I35" s="46">
        <f>ROUND(SUMIF('Trial Balance'!P:P,Q35,'Trial Balance'!H:H),0)</f>
        <v/>
      </c>
      <c r="J35" s="46">
        <f>ROUND(SUMIF('Trial Balance'!Q:Q,R35,'Trial Balance'!I:I),0)</f>
        <v/>
      </c>
      <c r="K35" s="46">
        <f>ROUND(SUMIF('Trial Balance'!R:R,S35,'Trial Balance'!J:J),0)</f>
        <v/>
      </c>
      <c r="L35" s="133" t="n">
        <v>0</v>
      </c>
      <c r="M35" s="76">
        <f>I35+J35-K35</f>
        <v/>
      </c>
      <c r="Q35" t="s">
        <v>1876</v>
      </c>
      <c r="R35" t="s">
        <v>1877</v>
      </c>
      <c r="S35" t="s">
        <v>1878</v>
      </c>
      <c r="T35" t="s">
        <v>1879</v>
      </c>
      <c r="U35" t="s">
        <v>1880</v>
      </c>
    </row>
    <row r="36" spans="1:21" customFormat="1" s="3">
      <c r="A36" s="44" t="s">
        <v>1881</v>
      </c>
      <c r="B36" s="44" t="s">
        <v>1882</v>
      </c>
      <c r="C36" s="44" t="n">
        <v>20</v>
      </c>
      <c r="D36" s="258" t="s">
        <v>1883</v>
      </c>
      <c r="E36" s="260" t="s">
        <v>1884</v>
      </c>
      <c r="F36" s="260" t="s">
        <v>1885</v>
      </c>
      <c r="G36" s="260" t="s">
        <v>1886</v>
      </c>
      <c r="H36" s="260" t="s">
        <v>1887</v>
      </c>
      <c r="I36" s="76">
        <f>I22+I34+I35</f>
        <v/>
      </c>
      <c r="J36" s="76">
        <f>J22+J34+J35</f>
        <v/>
      </c>
      <c r="K36" s="76">
        <f>K22+K34+K35</f>
        <v/>
      </c>
      <c r="L36" s="76">
        <f>L22+L34+L35</f>
        <v/>
      </c>
      <c r="M36" s="76">
        <f>M22+M34+M35</f>
        <v/>
      </c>
      <c r="Q36" s="3" t="s">
        <v>1883</v>
      </c>
      <c r="R36" s="3" t="s">
        <v>1884</v>
      </c>
      <c r="S36" s="3" t="s">
        <v>1885</v>
      </c>
      <c r="T36" s="3" t="s">
        <v>1886</v>
      </c>
      <c r="U36" s="3" t="s">
        <v>1887</v>
      </c>
    </row>
    <row r="37" spans="1:21">
      <c r="C37" t="s">
        <v>1730</v>
      </c>
      <c r="I37" t="s">
        <v>1730</v>
      </c>
      <c r="J37" t="s">
        <v>1730</v>
      </c>
      <c r="K37" t="s">
        <v>1730</v>
      </c>
      <c r="L37" t="s">
        <v>1730</v>
      </c>
      <c r="M37" t="s">
        <v>1730</v>
      </c>
    </row>
    <row r="39" spans="1:21" ht="36" customHeight="1">
      <c r="A39" s="131" t="s">
        <v>1723</v>
      </c>
      <c r="B39" s="131" t="s">
        <v>1724</v>
      </c>
      <c r="C39" s="131" t="s">
        <v>1725</v>
      </c>
      <c r="D39" s="131" t="n"/>
      <c r="E39" s="131" t="n"/>
      <c r="F39" s="131" t="n"/>
      <c r="G39" s="131" t="n"/>
      <c r="H39" s="131" t="n"/>
      <c r="I39" s="131" t="s">
        <v>1888</v>
      </c>
      <c r="J39" s="131" t="s">
        <v>1889</v>
      </c>
      <c r="K39" s="131" t="s">
        <v>1890</v>
      </c>
      <c r="L39" s="136" t="s">
        <v>1891</v>
      </c>
    </row>
    <row r="40" spans="1:21" customFormat="1" s="3">
      <c r="A40" s="44" t="s">
        <v>1043</v>
      </c>
      <c r="B40" s="44" t="s">
        <v>1733</v>
      </c>
      <c r="C40" s="44" t="s">
        <v>1734</v>
      </c>
      <c r="D40" s="44" t="n"/>
      <c r="E40" s="44" t="n"/>
      <c r="F40" s="44" t="n"/>
      <c r="G40" s="44" t="n"/>
      <c r="H40" s="44" t="n"/>
      <c r="I40" s="44" t="n">
        <v>6</v>
      </c>
      <c r="J40" s="44" t="n">
        <v>7</v>
      </c>
      <c r="K40" s="44" t="n">
        <v>8</v>
      </c>
      <c r="L40" s="44" t="n">
        <v>9</v>
      </c>
    </row>
    <row r="41" spans="1:21" customFormat="1" s="3">
      <c r="A41" s="44" t="s">
        <v>1735</v>
      </c>
      <c r="B41" s="44" t="s">
        <v>1736</v>
      </c>
      <c r="C41" s="44" t="s">
        <v>1730</v>
      </c>
      <c r="D41" s="44" t="n"/>
      <c r="E41" s="44" t="n"/>
      <c r="F41" s="44" t="n"/>
      <c r="G41" s="44" t="n"/>
      <c r="H41" s="44" t="n"/>
      <c r="I41" s="44" t="s">
        <v>1730</v>
      </c>
      <c r="J41" s="44" t="s">
        <v>1730</v>
      </c>
      <c r="K41" s="44" t="s">
        <v>1730</v>
      </c>
      <c r="L41" s="44" t="n"/>
    </row>
    <row r="42" spans="1:21">
      <c r="A42" s="45" t="s">
        <v>1737</v>
      </c>
      <c r="B42" s="45" t="s">
        <v>1738</v>
      </c>
      <c r="C42" s="45" t="n">
        <v>21</v>
      </c>
      <c r="D42" s="258" t="s">
        <v>1892</v>
      </c>
      <c r="E42" s="260" t="s">
        <v>1893</v>
      </c>
      <c r="F42" s="260" t="s">
        <v>1894</v>
      </c>
      <c r="G42" s="260" t="s">
        <v>1895</v>
      </c>
      <c r="H42" s="45" t="n"/>
      <c r="I42" s="46">
        <f>-ROUND(SUMIF('Trial Balance'!P:P,Q42,'Trial Balance'!H:H),0)</f>
        <v/>
      </c>
      <c r="J42" s="46">
        <f>ROUND(SUMIF('Trial Balance'!Q:Q,R42,'Trial Balance'!J:J),0)</f>
        <v/>
      </c>
      <c r="K42" s="46">
        <f>ROUND(SUMIF('Trial Balance'!R:R,S42,'Trial Balance'!I:I),0)</f>
        <v/>
      </c>
      <c r="L42" s="76">
        <f>I42+J42-K42</f>
        <v/>
      </c>
      <c r="Q42" t="s">
        <v>1892</v>
      </c>
      <c r="R42" t="s">
        <v>1893</v>
      </c>
      <c r="S42" t="s">
        <v>1894</v>
      </c>
      <c r="T42" t="s">
        <v>1895</v>
      </c>
    </row>
    <row r="43" spans="1:21">
      <c r="A43" s="45" t="s">
        <v>1745</v>
      </c>
      <c r="B43" s="45" t="s">
        <v>1746</v>
      </c>
      <c r="C43" s="45" t="n">
        <v>22</v>
      </c>
      <c r="D43" s="258" t="s">
        <v>1896</v>
      </c>
      <c r="E43" s="260" t="s">
        <v>1897</v>
      </c>
      <c r="F43" s="260" t="s">
        <v>1898</v>
      </c>
      <c r="G43" s="260" t="s">
        <v>1899</v>
      </c>
      <c r="H43" s="45" t="n"/>
      <c r="I43" s="46">
        <f>-ROUND(SUMIF('Trial Balance'!P:P,Q43,'Trial Balance'!H:H),0)</f>
        <v/>
      </c>
      <c r="J43" s="46">
        <f>ROUND(SUMIF('Trial Balance'!Q:Q,R43,'Trial Balance'!J:J),0)</f>
        <v/>
      </c>
      <c r="K43" s="46">
        <f>ROUND(SUMIF('Trial Balance'!R:R,S43,'Trial Balance'!I:I),0)</f>
        <v/>
      </c>
      <c r="L43" s="76">
        <f>I43+J43-K43</f>
        <v/>
      </c>
      <c r="Q43" t="s">
        <v>1896</v>
      </c>
      <c r="R43" t="s">
        <v>1897</v>
      </c>
      <c r="S43" t="s">
        <v>1898</v>
      </c>
      <c r="T43" t="s">
        <v>1899</v>
      </c>
    </row>
    <row r="44" spans="1:21">
      <c r="A44" s="45" t="s">
        <v>1753</v>
      </c>
      <c r="B44" s="45" t="s">
        <v>1754</v>
      </c>
      <c r="C44" s="45" t="n">
        <v>23</v>
      </c>
      <c r="D44" s="258" t="s">
        <v>1900</v>
      </c>
      <c r="E44" s="260" t="s">
        <v>1901</v>
      </c>
      <c r="F44" s="260" t="s">
        <v>1902</v>
      </c>
      <c r="G44" s="260" t="s">
        <v>1903</v>
      </c>
      <c r="H44" s="45" t="n"/>
      <c r="I44" s="46">
        <f>-ROUND(SUMIF('Trial Balance'!P:P,Q44,'Trial Balance'!H:H),0)</f>
        <v/>
      </c>
      <c r="J44" s="46">
        <f>ROUND(SUMIF('Trial Balance'!Q:Q,R44,'Trial Balance'!J:J),0)</f>
        <v/>
      </c>
      <c r="K44" s="46">
        <f>ROUND(SUMIF('Trial Balance'!R:R,S44,'Trial Balance'!I:I),0)</f>
        <v/>
      </c>
      <c r="L44" s="76">
        <f>I44+J44-K44</f>
        <v/>
      </c>
      <c r="Q44" t="s">
        <v>1900</v>
      </c>
      <c r="R44" t="s">
        <v>1901</v>
      </c>
      <c r="S44" t="s">
        <v>1902</v>
      </c>
      <c r="T44" t="s">
        <v>1903</v>
      </c>
    </row>
    <row r="45" spans="1:21">
      <c r="A45" s="45" t="s">
        <v>1761</v>
      </c>
      <c r="B45" s="45" t="s">
        <v>1762</v>
      </c>
      <c r="C45" s="45" t="n">
        <v>24</v>
      </c>
      <c r="D45" s="258" t="s">
        <v>1904</v>
      </c>
      <c r="E45" s="260" t="s">
        <v>1905</v>
      </c>
      <c r="F45" s="260" t="s">
        <v>1906</v>
      </c>
      <c r="G45" s="260" t="s">
        <v>1907</v>
      </c>
      <c r="H45" s="45" t="n"/>
      <c r="I45" s="46">
        <f>-ROUND(SUMIF('Trial Balance'!P:P,Q45,'Trial Balance'!H:H),0)</f>
        <v/>
      </c>
      <c r="J45" s="46">
        <f>ROUND(SUMIF('Trial Balance'!Q:Q,R45,'Trial Balance'!J:J),0)</f>
        <v/>
      </c>
      <c r="K45" s="46">
        <f>ROUND(SUMIF('Trial Balance'!R:R,S45,'Trial Balance'!I:I),0)</f>
        <v/>
      </c>
      <c r="L45" s="76">
        <f>I45+J45-K45</f>
        <v/>
      </c>
      <c r="Q45" t="s">
        <v>1904</v>
      </c>
      <c r="R45" t="s">
        <v>1905</v>
      </c>
      <c r="S45" t="s">
        <v>1906</v>
      </c>
      <c r="T45" t="s">
        <v>1907</v>
      </c>
    </row>
    <row r="46" spans="1:21">
      <c r="A46" s="45" t="s">
        <v>1769</v>
      </c>
      <c r="B46" s="45" t="s">
        <v>1770</v>
      </c>
      <c r="C46" s="45" t="n">
        <v>25</v>
      </c>
      <c r="D46" s="258" t="s">
        <v>1908</v>
      </c>
      <c r="E46" s="260" t="s">
        <v>1909</v>
      </c>
      <c r="F46" s="260" t="s">
        <v>1910</v>
      </c>
      <c r="G46" s="260" t="s">
        <v>1911</v>
      </c>
      <c r="H46" s="45" t="n"/>
      <c r="I46" s="46">
        <f>-ROUND(SUMIF('Trial Balance'!P:P,Q46,'Trial Balance'!H:H),0)</f>
        <v/>
      </c>
      <c r="J46" s="46">
        <f>ROUND(SUMIF('Trial Balance'!Q:Q,R46,'Trial Balance'!J:J),0)</f>
        <v/>
      </c>
      <c r="K46" s="46">
        <f>ROUND(SUMIF('Trial Balance'!R:R,S46,'Trial Balance'!I:I),0)</f>
        <v/>
      </c>
      <c r="L46" s="76">
        <f>I46+J46-K46</f>
        <v/>
      </c>
      <c r="Q46" t="s">
        <v>1908</v>
      </c>
      <c r="R46" t="s">
        <v>1909</v>
      </c>
      <c r="S46" t="s">
        <v>1910</v>
      </c>
      <c r="T46" t="s">
        <v>1911</v>
      </c>
    </row>
    <row r="47" spans="1:21" customFormat="1" s="3">
      <c r="A47" s="44" t="s">
        <v>1912</v>
      </c>
      <c r="B47" s="44" t="s">
        <v>1913</v>
      </c>
      <c r="C47" s="44" t="n">
        <v>26</v>
      </c>
      <c r="D47" s="258" t="s">
        <v>1914</v>
      </c>
      <c r="E47" s="261" t="s">
        <v>1915</v>
      </c>
      <c r="F47" s="261" t="s">
        <v>1916</v>
      </c>
      <c r="G47" s="261" t="s">
        <v>1917</v>
      </c>
      <c r="H47" s="44" t="n"/>
      <c r="I47" s="76">
        <f>SUM(I42:I46)</f>
        <v/>
      </c>
      <c r="J47" s="76">
        <f>SUM(J42:J46)</f>
        <v/>
      </c>
      <c r="K47" s="76">
        <f>SUM(K42:K46)</f>
        <v/>
      </c>
      <c r="L47" s="76">
        <f>I47+J47-K47</f>
        <v/>
      </c>
      <c r="Q47" s="3" t="s">
        <v>1914</v>
      </c>
      <c r="R47" s="3" t="s">
        <v>1915</v>
      </c>
      <c r="S47" s="3" t="s">
        <v>1916</v>
      </c>
      <c r="T47" s="3" t="s">
        <v>1917</v>
      </c>
    </row>
    <row r="48" spans="1:21" customFormat="1" s="3">
      <c r="A48" s="44" t="s">
        <v>1793</v>
      </c>
      <c r="B48" s="44" t="s">
        <v>1918</v>
      </c>
      <c r="C48" s="44" t="n"/>
      <c r="D48" s="44" t="n"/>
      <c r="E48" s="44" t="n"/>
      <c r="F48" s="44" t="n"/>
      <c r="G48" s="44" t="n"/>
      <c r="H48" s="44" t="n"/>
      <c r="I48" s="76" t="n"/>
      <c r="J48" s="76" t="n"/>
      <c r="K48" s="76" t="n"/>
      <c r="L48" s="76" t="n"/>
    </row>
    <row r="49" spans="1:21">
      <c r="A49" s="45" t="s">
        <v>1919</v>
      </c>
      <c r="B49" s="45" t="s">
        <v>1920</v>
      </c>
      <c r="C49" s="45" t="n">
        <v>27</v>
      </c>
      <c r="D49" s="258" t="s">
        <v>1921</v>
      </c>
      <c r="E49" s="260" t="s">
        <v>1922</v>
      </c>
      <c r="F49" s="260" t="s">
        <v>1923</v>
      </c>
      <c r="G49" s="260" t="s">
        <v>1924</v>
      </c>
      <c r="H49" s="45" t="n"/>
      <c r="I49" s="46">
        <f>-ROUND(SUMIF('Trial Balance'!P:P,Q49,'Trial Balance'!H:H),0)</f>
        <v/>
      </c>
      <c r="J49" s="46">
        <f>ROUND(SUMIF('Trial Balance'!Q:Q,R49,'Trial Balance'!J:J),0)</f>
        <v/>
      </c>
      <c r="K49" s="46">
        <f>ROUND(SUMIF('Trial Balance'!R:R,S49,'Trial Balance'!I:I),0)</f>
        <v/>
      </c>
      <c r="L49" s="76">
        <f>I49+J49-K49</f>
        <v/>
      </c>
      <c r="Q49" t="s">
        <v>1921</v>
      </c>
      <c r="R49" t="s">
        <v>1922</v>
      </c>
      <c r="S49" t="s">
        <v>1923</v>
      </c>
      <c r="T49" t="s">
        <v>1924</v>
      </c>
    </row>
    <row r="50" spans="1:21">
      <c r="A50" s="45" t="s">
        <v>1803</v>
      </c>
      <c r="B50" s="45" t="s">
        <v>1925</v>
      </c>
      <c r="C50" s="45" t="n">
        <v>28</v>
      </c>
      <c r="D50" s="258" t="s">
        <v>1926</v>
      </c>
      <c r="E50" s="260" t="s">
        <v>1927</v>
      </c>
      <c r="F50" s="260" t="s">
        <v>1928</v>
      </c>
      <c r="G50" s="260" t="s">
        <v>1929</v>
      </c>
      <c r="H50" s="45" t="n"/>
      <c r="I50" s="46">
        <f>-ROUND(SUMIF('Trial Balance'!P:P,Q50,'Trial Balance'!H:H),0)</f>
        <v/>
      </c>
      <c r="J50" s="46">
        <f>ROUND(SUMIF('Trial Balance'!Q:Q,R50,'Trial Balance'!J:J),0)</f>
        <v/>
      </c>
      <c r="K50" s="46">
        <f>ROUND(SUMIF('Trial Balance'!R:R,S50,'Trial Balance'!I:I),0)</f>
        <v/>
      </c>
      <c r="L50" s="76">
        <f>I50+J50-K50</f>
        <v/>
      </c>
      <c r="Q50" t="s">
        <v>1926</v>
      </c>
      <c r="R50" t="s">
        <v>1927</v>
      </c>
      <c r="S50" t="s">
        <v>1928</v>
      </c>
      <c r="T50" t="s">
        <v>1929</v>
      </c>
    </row>
    <row r="51" spans="1:21">
      <c r="A51" s="45" t="s">
        <v>1811</v>
      </c>
      <c r="B51" s="45" t="s">
        <v>1930</v>
      </c>
      <c r="C51" s="45" t="n">
        <v>29</v>
      </c>
      <c r="D51" s="258" t="s">
        <v>1931</v>
      </c>
      <c r="E51" s="260" t="s">
        <v>1932</v>
      </c>
      <c r="F51" s="260" t="s">
        <v>1933</v>
      </c>
      <c r="G51" s="260" t="s">
        <v>1934</v>
      </c>
      <c r="H51" s="45" t="n"/>
      <c r="I51" s="46">
        <f>-ROUND(SUMIF('Trial Balance'!P:P,Q51,'Trial Balance'!H:H),0)</f>
        <v/>
      </c>
      <c r="J51" s="46">
        <f>ROUND(SUMIF('Trial Balance'!Q:Q,R51,'Trial Balance'!J:J),0)</f>
        <v/>
      </c>
      <c r="K51" s="46">
        <f>ROUND(SUMIF('Trial Balance'!R:R,S51,'Trial Balance'!I:I),0)</f>
        <v/>
      </c>
      <c r="L51" s="76">
        <f>I51+J51-K51</f>
        <v/>
      </c>
      <c r="Q51" t="s">
        <v>1931</v>
      </c>
      <c r="R51" t="s">
        <v>1932</v>
      </c>
      <c r="S51" t="s">
        <v>1933</v>
      </c>
      <c r="T51" t="s">
        <v>1934</v>
      </c>
    </row>
    <row r="52" spans="1:21">
      <c r="A52" s="45" t="s">
        <v>1818</v>
      </c>
      <c r="B52" s="45" t="s">
        <v>1935</v>
      </c>
      <c r="C52" s="45" t="n">
        <v>30</v>
      </c>
      <c r="D52" s="258" t="s">
        <v>1936</v>
      </c>
      <c r="E52" s="260" t="s">
        <v>1937</v>
      </c>
      <c r="F52" s="260" t="s">
        <v>1938</v>
      </c>
      <c r="G52" s="260" t="s">
        <v>1939</v>
      </c>
      <c r="H52" s="45" t="n"/>
      <c r="I52" s="46">
        <f>-ROUND(SUMIF('Trial Balance'!P:P,Q52,'Trial Balance'!H:H),0)</f>
        <v/>
      </c>
      <c r="J52" s="46">
        <f>ROUND(SUMIF('Trial Balance'!Q:Q,R52,'Trial Balance'!J:J),0)</f>
        <v/>
      </c>
      <c r="K52" s="46">
        <f>ROUND(SUMIF('Trial Balance'!R:R,S52,'Trial Balance'!I:I),0)</f>
        <v/>
      </c>
      <c r="L52" s="76">
        <f>I52+J52-K52</f>
        <v/>
      </c>
      <c r="Q52" t="s">
        <v>1936</v>
      </c>
      <c r="R52" t="s">
        <v>1937</v>
      </c>
      <c r="S52" t="s">
        <v>1938</v>
      </c>
      <c r="T52" t="s">
        <v>1939</v>
      </c>
    </row>
    <row r="53" spans="1:21">
      <c r="A53" s="45" t="s">
        <v>1825</v>
      </c>
      <c r="B53" s="45" t="s">
        <v>1940</v>
      </c>
      <c r="C53" s="45" t="n">
        <v>31</v>
      </c>
      <c r="D53" s="258" t="s">
        <v>1941</v>
      </c>
      <c r="E53" s="260" t="s">
        <v>1942</v>
      </c>
      <c r="F53" s="260" t="s">
        <v>1943</v>
      </c>
      <c r="G53" s="260" t="s">
        <v>1944</v>
      </c>
      <c r="H53" s="45" t="n"/>
      <c r="I53" s="46">
        <f>-ROUND(SUMIF('Trial Balance'!P:P,Q53,'Trial Balance'!H:H),0)</f>
        <v/>
      </c>
      <c r="J53" s="46">
        <f>ROUND(SUMIF('Trial Balance'!Q:Q,R53,'Trial Balance'!J:J),0)</f>
        <v/>
      </c>
      <c r="K53" s="46">
        <f>ROUND(SUMIF('Trial Balance'!R:R,S53,'Trial Balance'!I:I),0)</f>
        <v/>
      </c>
      <c r="L53" s="76">
        <f>I53+J53-K53</f>
        <v/>
      </c>
      <c r="Q53" t="s">
        <v>1941</v>
      </c>
      <c r="R53" t="s">
        <v>1942</v>
      </c>
      <c r="S53" t="s">
        <v>1943</v>
      </c>
      <c r="T53" t="s">
        <v>1944</v>
      </c>
    </row>
    <row r="54" spans="1:21">
      <c r="A54" s="45" t="s">
        <v>1846</v>
      </c>
      <c r="B54" s="45" t="s">
        <v>1945</v>
      </c>
      <c r="C54" s="45" t="n">
        <v>32</v>
      </c>
      <c r="D54" s="258" t="s">
        <v>1946</v>
      </c>
      <c r="E54" s="260" t="s">
        <v>1947</v>
      </c>
      <c r="F54" s="260" t="s">
        <v>1948</v>
      </c>
      <c r="G54" s="260" t="s">
        <v>1949</v>
      </c>
      <c r="H54" s="45" t="n"/>
      <c r="I54" s="46">
        <f>-ROUND(SUMIF('Trial Balance'!P:P,Q54,'Trial Balance'!H:H),0)</f>
        <v/>
      </c>
      <c r="J54" s="46">
        <f>ROUND(SUMIF('Trial Balance'!Q:Q,R54,'Trial Balance'!J:J),0)</f>
        <v/>
      </c>
      <c r="K54" s="46">
        <f>ROUND(SUMIF('Trial Balance'!R:R,S54,'Trial Balance'!I:I),0)</f>
        <v/>
      </c>
      <c r="L54" s="76">
        <f>I54+J54-K54</f>
        <v/>
      </c>
      <c r="Q54" t="s">
        <v>1946</v>
      </c>
      <c r="R54" t="s">
        <v>1947</v>
      </c>
      <c r="S54" t="s">
        <v>1948</v>
      </c>
      <c r="T54" t="s">
        <v>1949</v>
      </c>
    </row>
    <row r="55" spans="1:21">
      <c r="A55" s="45" t="s">
        <v>1950</v>
      </c>
      <c r="B55" s="45" t="s">
        <v>1951</v>
      </c>
      <c r="C55" s="45" t="n">
        <v>33</v>
      </c>
      <c r="D55" s="258" t="s">
        <v>1952</v>
      </c>
      <c r="E55" s="260" t="s">
        <v>1953</v>
      </c>
      <c r="F55" s="260" t="s">
        <v>1954</v>
      </c>
      <c r="G55" s="260" t="s">
        <v>1955</v>
      </c>
      <c r="H55" s="45" t="n"/>
      <c r="I55" s="46">
        <f>-ROUND(SUMIF('Trial Balance'!P:P,Q55,'Trial Balance'!H:H),0)</f>
        <v/>
      </c>
      <c r="J55" s="46">
        <f>ROUND(SUMIF('Trial Balance'!Q:Q,R55,'Trial Balance'!J:J),0)</f>
        <v/>
      </c>
      <c r="K55" s="46">
        <f>ROUND(SUMIF('Trial Balance'!R:R,S55,'Trial Balance'!I:I),0)</f>
        <v/>
      </c>
      <c r="L55" s="76">
        <f>I55+J55-K55</f>
        <v/>
      </c>
      <c r="Q55" t="s">
        <v>1952</v>
      </c>
      <c r="R55" t="s">
        <v>1953</v>
      </c>
      <c r="S55" t="s">
        <v>1954</v>
      </c>
      <c r="T55" t="s">
        <v>1955</v>
      </c>
    </row>
    <row r="56" spans="1:21" customFormat="1" s="3">
      <c r="A56" s="44" t="s">
        <v>1956</v>
      </c>
      <c r="B56" s="44" t="s">
        <v>1957</v>
      </c>
      <c r="C56" s="44" t="n">
        <v>34</v>
      </c>
      <c r="D56" s="259" t="s">
        <v>1958</v>
      </c>
      <c r="E56" s="261" t="s">
        <v>1959</v>
      </c>
      <c r="F56" s="261" t="s">
        <v>1960</v>
      </c>
      <c r="G56" s="261" t="s">
        <v>1961</v>
      </c>
      <c r="H56" s="44" t="n"/>
      <c r="I56" s="76">
        <f>SUM(I49:I55)</f>
        <v/>
      </c>
      <c r="J56" s="76">
        <f>SUM(J49:J55)</f>
        <v/>
      </c>
      <c r="K56" s="76">
        <f>SUM(K49:K55)</f>
        <v/>
      </c>
      <c r="L56" s="76">
        <f>SUM(L49:L55)</f>
        <v/>
      </c>
      <c r="Q56" s="3" t="s">
        <v>1958</v>
      </c>
      <c r="R56" s="3" t="s">
        <v>1959</v>
      </c>
      <c r="S56" s="3" t="s">
        <v>1960</v>
      </c>
      <c r="T56" s="3" t="s">
        <v>1961</v>
      </c>
    </row>
    <row r="57" spans="1:21" customFormat="1" s="3">
      <c r="A57" s="44" t="s">
        <v>1962</v>
      </c>
      <c r="B57" s="44" t="s">
        <v>1963</v>
      </c>
      <c r="C57" s="44" t="n">
        <v>35</v>
      </c>
      <c r="D57" s="259" t="s">
        <v>1964</v>
      </c>
      <c r="E57" s="261" t="s">
        <v>1965</v>
      </c>
      <c r="F57" s="261" t="s">
        <v>1966</v>
      </c>
      <c r="G57" s="261" t="s">
        <v>1967</v>
      </c>
      <c r="H57" s="44" t="n"/>
      <c r="I57" s="76">
        <f>I47+I56</f>
        <v/>
      </c>
      <c r="J57" s="76">
        <f>J47+J56</f>
        <v/>
      </c>
      <c r="K57" s="76">
        <f>K47+K56</f>
        <v/>
      </c>
      <c r="L57" s="76">
        <f>L47+L56</f>
        <v/>
      </c>
      <c r="Q57" s="3" t="s">
        <v>1964</v>
      </c>
      <c r="R57" s="3" t="s">
        <v>1965</v>
      </c>
      <c r="S57" s="3" t="s">
        <v>1966</v>
      </c>
      <c r="T57" s="3" t="s">
        <v>1967</v>
      </c>
    </row>
    <row r="60" spans="1:21" ht="24" customHeight="1">
      <c r="A60" s="44" t="s">
        <v>1723</v>
      </c>
      <c r="B60" s="71" t="s">
        <v>1724</v>
      </c>
      <c r="C60" s="71" t="s">
        <v>1725</v>
      </c>
      <c r="D60" s="71" t="n"/>
      <c r="E60" s="71" t="n"/>
      <c r="F60" s="71" t="n"/>
      <c r="G60" s="71" t="n"/>
      <c r="H60" s="71" t="n"/>
      <c r="I60" s="71" t="s">
        <v>1888</v>
      </c>
      <c r="J60" s="167" t="s">
        <v>1968</v>
      </c>
      <c r="K60" s="167" t="s">
        <v>1969</v>
      </c>
      <c r="L60" s="167" t="s">
        <v>1970</v>
      </c>
    </row>
    <row r="61" spans="1:21">
      <c r="A61" s="44" t="s">
        <v>1733</v>
      </c>
      <c r="B61" s="44" t="s">
        <v>1733</v>
      </c>
      <c r="C61" s="44" t="s">
        <v>1734</v>
      </c>
      <c r="D61" s="44" t="n"/>
      <c r="E61" s="44" t="n"/>
      <c r="F61" s="44" t="n"/>
      <c r="G61" s="44" t="n"/>
      <c r="H61" s="44" t="n"/>
      <c r="I61" s="44" t="n">
        <v>10</v>
      </c>
      <c r="J61" s="44" t="n">
        <v>11</v>
      </c>
      <c r="K61" s="44" t="n">
        <v>12</v>
      </c>
      <c r="L61" s="44" t="n">
        <v>13</v>
      </c>
    </row>
    <row r="62" spans="1:21" customFormat="1" s="3">
      <c r="A62" s="44" t="s">
        <v>1971</v>
      </c>
      <c r="B62" s="44" t="s">
        <v>1972</v>
      </c>
      <c r="C62" s="44" t="s">
        <v>1730</v>
      </c>
      <c r="D62" s="44" t="n"/>
      <c r="E62" s="44" t="n"/>
      <c r="F62" s="44" t="n"/>
      <c r="G62" s="44" t="n"/>
      <c r="H62" s="44" t="n"/>
      <c r="I62" s="44" t="s">
        <v>1730</v>
      </c>
      <c r="J62" s="44" t="s">
        <v>1730</v>
      </c>
      <c r="K62" s="44" t="s">
        <v>1730</v>
      </c>
      <c r="L62" s="44" t="s">
        <v>1730</v>
      </c>
    </row>
    <row r="63" spans="1:21">
      <c r="A63" s="45" t="s">
        <v>1745</v>
      </c>
      <c r="B63" s="45" t="s">
        <v>1973</v>
      </c>
      <c r="C63" s="45" t="n">
        <v>36</v>
      </c>
      <c r="D63" s="258" t="s">
        <v>1974</v>
      </c>
      <c r="E63" s="260" t="s">
        <v>1975</v>
      </c>
      <c r="F63" s="260" t="s">
        <v>1976</v>
      </c>
      <c r="G63" s="260" t="s">
        <v>1977</v>
      </c>
      <c r="H63" s="45" t="n"/>
      <c r="I63" s="46">
        <f>-ROUND(SUMIF('Trial Balance'!P:P,Q63,'Trial Balance'!H:H),0)</f>
        <v/>
      </c>
      <c r="J63" s="46">
        <f>ROUND(SUMIF('Trial Balance'!Q:Q,R63,'Trial Balance'!J:J),0)</f>
        <v/>
      </c>
      <c r="K63" s="46">
        <f>ROUND(SUMIF('Trial Balance'!R:R,S63,'Trial Balance'!I:I),0)</f>
        <v/>
      </c>
      <c r="L63" s="46">
        <f>I63+J63-K63</f>
        <v/>
      </c>
      <c r="Q63" t="s">
        <v>1974</v>
      </c>
      <c r="R63" t="s">
        <v>1975</v>
      </c>
      <c r="S63" t="s">
        <v>1976</v>
      </c>
      <c r="T63" t="s">
        <v>1977</v>
      </c>
    </row>
    <row r="64" spans="1:21">
      <c r="A64" s="45" t="s">
        <v>1753</v>
      </c>
      <c r="B64" s="45" t="s">
        <v>1978</v>
      </c>
      <c r="C64" s="45" t="n">
        <v>37</v>
      </c>
      <c r="D64" s="258" t="s">
        <v>1979</v>
      </c>
      <c r="E64" s="260" t="s">
        <v>1980</v>
      </c>
      <c r="F64" s="260" t="s">
        <v>1981</v>
      </c>
      <c r="G64" s="260" t="s">
        <v>1982</v>
      </c>
      <c r="H64" s="45" t="n"/>
      <c r="I64" s="46">
        <f>-ROUND(SUMIF('Trial Balance'!P:P,Q64,'Trial Balance'!H:H),0)</f>
        <v/>
      </c>
      <c r="J64" s="46">
        <f>ROUND(SUMIF('Trial Balance'!Q:Q,R64,'Trial Balance'!J:J),0)</f>
        <v/>
      </c>
      <c r="K64" s="46">
        <f>ROUND(SUMIF('Trial Balance'!R:R,S64,'Trial Balance'!I:I),0)</f>
        <v/>
      </c>
      <c r="L64" s="46">
        <f>I64+J64-K64</f>
        <v/>
      </c>
      <c r="Q64" t="s">
        <v>1983</v>
      </c>
      <c r="R64" t="s">
        <v>1984</v>
      </c>
      <c r="S64" t="s">
        <v>1985</v>
      </c>
      <c r="T64" t="s">
        <v>1986</v>
      </c>
    </row>
    <row r="65" spans="1:21">
      <c r="A65" s="45" t="s">
        <v>1769</v>
      </c>
      <c r="B65" s="45" t="s">
        <v>1987</v>
      </c>
      <c r="C65" s="45" t="n">
        <v>38</v>
      </c>
      <c r="D65" s="258" t="s">
        <v>1988</v>
      </c>
      <c r="E65" s="260" t="s">
        <v>1989</v>
      </c>
      <c r="F65" s="260" t="s">
        <v>1990</v>
      </c>
      <c r="G65" s="260" t="s">
        <v>1991</v>
      </c>
      <c r="H65" s="45" t="n"/>
      <c r="I65" s="46">
        <f>-ROUND(SUMIF('Trial Balance'!P:P,Q65,'Trial Balance'!H:H),0)</f>
        <v/>
      </c>
      <c r="J65" s="46">
        <f>ROUND(SUMIF('Trial Balance'!Q:Q,R65,'Trial Balance'!J:J),0)</f>
        <v/>
      </c>
      <c r="K65" s="46">
        <f>ROUND(SUMIF('Trial Balance'!R:R,S65,'Trial Balance'!I:I),0)</f>
        <v/>
      </c>
      <c r="L65" s="46">
        <f>I65+J65-K65</f>
        <v/>
      </c>
      <c r="Q65" t="s">
        <v>1988</v>
      </c>
      <c r="R65" t="s">
        <v>1989</v>
      </c>
      <c r="S65" t="s">
        <v>1990</v>
      </c>
      <c r="T65" t="s">
        <v>1991</v>
      </c>
    </row>
    <row r="66" spans="1:21">
      <c r="A66" s="45" t="s">
        <v>1777</v>
      </c>
      <c r="B66" s="45" t="s">
        <v>1992</v>
      </c>
      <c r="C66" s="45" t="n">
        <v>39</v>
      </c>
      <c r="D66" s="259" t="s">
        <v>1993</v>
      </c>
      <c r="E66" s="261" t="s">
        <v>1994</v>
      </c>
      <c r="F66" s="261" t="s">
        <v>1995</v>
      </c>
      <c r="G66" s="261" t="s">
        <v>1996</v>
      </c>
      <c r="H66" s="45" t="n"/>
      <c r="I66" s="46">
        <f>-ROUND(SUMIF('Trial Balance'!P:P,Q66,'Trial Balance'!H:H),0)</f>
        <v/>
      </c>
      <c r="J66" s="46">
        <f>ROUND(SUMIF('Trial Balance'!Q:Q,R66,'Trial Balance'!J:J),0)</f>
        <v/>
      </c>
      <c r="K66" s="46">
        <f>ROUND(SUMIF('Trial Balance'!R:R,S66,'Trial Balance'!I:I),0)</f>
        <v/>
      </c>
      <c r="L66" s="46">
        <f>I66+J66-K66</f>
        <v/>
      </c>
      <c r="M66" s="70" t="s">
        <v>1997</v>
      </c>
      <c r="N66" s="168" t="s">
        <v>1998</v>
      </c>
      <c r="O66" s="38" t="s">
        <v>796</v>
      </c>
      <c r="Q66" s="169" t="s">
        <v>1993</v>
      </c>
      <c r="R66" s="169" t="s">
        <v>1994</v>
      </c>
      <c r="S66" s="169" t="s">
        <v>1995</v>
      </c>
      <c r="T66" s="169" t="s">
        <v>1996</v>
      </c>
    </row>
    <row r="67" spans="1:21" customFormat="1" s="3">
      <c r="A67" s="44" t="s">
        <v>1999</v>
      </c>
      <c r="B67" s="44" t="s">
        <v>2000</v>
      </c>
      <c r="C67" s="44" t="n">
        <v>40</v>
      </c>
      <c r="D67" s="259" t="s">
        <v>2001</v>
      </c>
      <c r="E67" s="261" t="s">
        <v>2002</v>
      </c>
      <c r="F67" s="261" t="s">
        <v>2003</v>
      </c>
      <c r="G67" s="261" t="s">
        <v>2004</v>
      </c>
      <c r="H67" s="44" t="n"/>
      <c r="I67" s="76">
        <f>SUM(I63:I66)</f>
        <v/>
      </c>
      <c r="J67" s="76">
        <f>SUM(J63:J66)</f>
        <v/>
      </c>
      <c r="K67" s="76">
        <f>SUM(K63:K66)</f>
        <v/>
      </c>
      <c r="L67" s="76">
        <f>SUM(L63:L66)</f>
        <v/>
      </c>
      <c r="M67" s="25">
        <f>M22-L47-L67</f>
        <v/>
      </c>
      <c r="N67" s="170">
        <f>SUMIF('1. F10'!F:F,"BS7",'1. F10'!E:E)</f>
        <v/>
      </c>
      <c r="O67" s="27">
        <f>M67-N67</f>
        <v/>
      </c>
      <c r="Q67" s="3" t="s">
        <v>2001</v>
      </c>
      <c r="R67" s="3" t="s">
        <v>2002</v>
      </c>
      <c r="S67" s="3" t="s">
        <v>2003</v>
      </c>
      <c r="T67" s="3" t="s">
        <v>2004</v>
      </c>
    </row>
    <row r="68" spans="1:21" customFormat="1" s="3">
      <c r="A68" s="44" t="s">
        <v>1793</v>
      </c>
      <c r="B68" s="44" t="s">
        <v>2005</v>
      </c>
      <c r="C68" s="44" t="s">
        <v>1730</v>
      </c>
      <c r="D68" s="44" t="n"/>
      <c r="E68" s="44" t="n"/>
      <c r="F68" s="44" t="n"/>
      <c r="G68" s="44" t="n"/>
      <c r="H68" s="44" t="n"/>
      <c r="I68" s="44" t="n"/>
      <c r="J68" s="44" t="n"/>
      <c r="K68" s="44" t="n"/>
      <c r="L68" s="44" t="n"/>
    </row>
    <row r="69" spans="1:21">
      <c r="A69" s="45" t="s">
        <v>1795</v>
      </c>
      <c r="B69" s="45" t="s">
        <v>1796</v>
      </c>
      <c r="C69" s="45" t="n">
        <v>41</v>
      </c>
      <c r="D69" s="259" t="s">
        <v>2006</v>
      </c>
      <c r="E69" s="261" t="s">
        <v>2007</v>
      </c>
      <c r="F69" s="261" t="s">
        <v>2008</v>
      </c>
      <c r="G69" s="261" t="s">
        <v>2009</v>
      </c>
      <c r="H69" s="45" t="n"/>
      <c r="I69" s="46">
        <f>-ROUND(SUMIF('Trial Balance'!P:P,Q69,'Trial Balance'!H:H),0)</f>
        <v/>
      </c>
      <c r="J69" s="46">
        <f>ROUND(SUMIF('Trial Balance'!Q:Q,R69,'Trial Balance'!J:J),0)</f>
        <v/>
      </c>
      <c r="K69" s="46">
        <f>ROUND(SUMIF('Trial Balance'!R:R,S69,'Trial Balance'!I:I),0)</f>
        <v/>
      </c>
      <c r="L69" s="46">
        <f>I69+J69-K69</f>
        <v/>
      </c>
      <c r="Q69" t="s">
        <v>2006</v>
      </c>
      <c r="R69" t="s">
        <v>2007</v>
      </c>
      <c r="S69" t="s">
        <v>2008</v>
      </c>
      <c r="T69" t="s">
        <v>2009</v>
      </c>
    </row>
    <row r="70" spans="1:21">
      <c r="A70" s="45" t="s">
        <v>1803</v>
      </c>
      <c r="B70" s="45" t="s">
        <v>1804</v>
      </c>
      <c r="C70" s="45" t="n">
        <v>42</v>
      </c>
      <c r="D70" s="258" t="s">
        <v>2010</v>
      </c>
      <c r="E70" s="260" t="s">
        <v>2011</v>
      </c>
      <c r="F70" s="260" t="s">
        <v>2012</v>
      </c>
      <c r="G70" s="260" t="s">
        <v>2013</v>
      </c>
      <c r="H70" s="45" t="n"/>
      <c r="I70" s="46">
        <f>-ROUND(SUMIF('Trial Balance'!P:P,Q70,'Trial Balance'!H:H),0)</f>
        <v/>
      </c>
      <c r="J70" s="46">
        <f>ROUND(SUMIF('Trial Balance'!Q:Q,R70,'Trial Balance'!J:J),0)</f>
        <v/>
      </c>
      <c r="K70" s="46">
        <f>ROUND(SUMIF('Trial Balance'!R:R,S70,'Trial Balance'!I:I),0)</f>
        <v/>
      </c>
      <c r="L70" s="46">
        <f>I70+J70-K70</f>
        <v/>
      </c>
      <c r="Q70" t="s">
        <v>2010</v>
      </c>
      <c r="R70" t="s">
        <v>2011</v>
      </c>
      <c r="S70" t="s">
        <v>2012</v>
      </c>
      <c r="T70" t="s">
        <v>2013</v>
      </c>
    </row>
    <row r="71" spans="1:21">
      <c r="A71" s="45" t="s">
        <v>1811</v>
      </c>
      <c r="B71" s="45" t="s">
        <v>1812</v>
      </c>
      <c r="C71" s="45" t="n">
        <v>43</v>
      </c>
      <c r="D71" s="258" t="s">
        <v>2014</v>
      </c>
      <c r="E71" s="260" t="s">
        <v>2015</v>
      </c>
      <c r="F71" s="260" t="s">
        <v>2016</v>
      </c>
      <c r="G71" s="260" t="s">
        <v>2017</v>
      </c>
      <c r="H71" s="45" t="n"/>
      <c r="I71" s="46">
        <f>-ROUND(SUMIF('Trial Balance'!P:P,Q71,'Trial Balance'!H:H),0)</f>
        <v/>
      </c>
      <c r="J71" s="46">
        <f>ROUND(SUMIF('Trial Balance'!Q:Q,R71,'Trial Balance'!J:J),0)</f>
        <v/>
      </c>
      <c r="K71" s="46">
        <f>ROUND(SUMIF('Trial Balance'!R:R,S71,'Trial Balance'!I:I),0)</f>
        <v/>
      </c>
      <c r="L71" s="46">
        <f>I71+J71-K71</f>
        <v/>
      </c>
      <c r="Q71" t="s">
        <v>2014</v>
      </c>
      <c r="R71" t="s">
        <v>2015</v>
      </c>
      <c r="S71" t="s">
        <v>2016</v>
      </c>
      <c r="T71" t="s">
        <v>2017</v>
      </c>
    </row>
    <row r="72" spans="1:21">
      <c r="A72" s="45" t="s">
        <v>1818</v>
      </c>
      <c r="B72" s="45" t="s">
        <v>1819</v>
      </c>
      <c r="C72" s="45" t="n">
        <v>44</v>
      </c>
      <c r="D72" s="258" t="s">
        <v>2018</v>
      </c>
      <c r="E72" s="260" t="s">
        <v>2019</v>
      </c>
      <c r="F72" s="260" t="s">
        <v>2020</v>
      </c>
      <c r="G72" s="260" t="s">
        <v>2021</v>
      </c>
      <c r="H72" s="45" t="n"/>
      <c r="I72" s="46">
        <f>-ROUND(SUMIF('Trial Balance'!P:P,Q72,'Trial Balance'!H:H),0)</f>
        <v/>
      </c>
      <c r="J72" s="46">
        <f>ROUND(SUMIF('Trial Balance'!Q:Q,R72,'Trial Balance'!J:J),0)</f>
        <v/>
      </c>
      <c r="K72" s="46">
        <f>ROUND(SUMIF('Trial Balance'!R:R,S72,'Trial Balance'!I:I),0)</f>
        <v/>
      </c>
      <c r="L72" s="46">
        <f>I72+J72-K72</f>
        <v/>
      </c>
      <c r="Q72" t="s">
        <v>2018</v>
      </c>
      <c r="R72" t="s">
        <v>2019</v>
      </c>
      <c r="S72" t="s">
        <v>2020</v>
      </c>
      <c r="T72" t="s">
        <v>2021</v>
      </c>
    </row>
    <row r="73" spans="1:21">
      <c r="A73" s="45" t="s">
        <v>1825</v>
      </c>
      <c r="B73" s="45" t="s">
        <v>1826</v>
      </c>
      <c r="C73" s="45" t="n">
        <v>45</v>
      </c>
      <c r="D73" s="258" t="s">
        <v>2022</v>
      </c>
      <c r="E73" s="260" t="s">
        <v>2023</v>
      </c>
      <c r="F73" s="260" t="s">
        <v>2024</v>
      </c>
      <c r="G73" s="260" t="s">
        <v>2025</v>
      </c>
      <c r="H73" s="45" t="n"/>
      <c r="I73" s="46">
        <f>-ROUND(SUMIF('Trial Balance'!P:P,Q73,'Trial Balance'!H:H),0)</f>
        <v/>
      </c>
      <c r="J73" s="46">
        <f>ROUND(SUMIF('Trial Balance'!Q:Q,R73,'Trial Balance'!J:J),0)</f>
        <v/>
      </c>
      <c r="K73" s="46">
        <f>ROUND(SUMIF('Trial Balance'!R:R,S73,'Trial Balance'!I:I),0)</f>
        <v/>
      </c>
      <c r="L73" s="46">
        <f>I73+J73-K73</f>
        <v/>
      </c>
      <c r="Q73" t="s">
        <v>2022</v>
      </c>
      <c r="R73" t="s">
        <v>2023</v>
      </c>
      <c r="S73" t="s">
        <v>2024</v>
      </c>
      <c r="T73" t="s">
        <v>2025</v>
      </c>
    </row>
    <row r="74" spans="1:21">
      <c r="A74" s="45" t="s">
        <v>1832</v>
      </c>
      <c r="B74" s="45" t="s">
        <v>1833</v>
      </c>
      <c r="C74" s="45" t="n">
        <v>46</v>
      </c>
      <c r="D74" s="258" t="s">
        <v>2026</v>
      </c>
      <c r="E74" s="260" t="s">
        <v>2027</v>
      </c>
      <c r="F74" s="260" t="s">
        <v>2028</v>
      </c>
      <c r="G74" s="260" t="s">
        <v>2029</v>
      </c>
      <c r="H74" s="45" t="n"/>
      <c r="I74" s="46">
        <f>-ROUND(SUMIF('Trial Balance'!P:P,Q74,'Trial Balance'!H:H),0)</f>
        <v/>
      </c>
      <c r="J74" s="46">
        <f>ROUND(SUMIF('Trial Balance'!Q:Q,R74,'Trial Balance'!J:J),0)</f>
        <v/>
      </c>
      <c r="K74" s="46">
        <f>ROUND(SUMIF('Trial Balance'!R:R,S74,'Trial Balance'!I:I),0)</f>
        <v/>
      </c>
      <c r="L74" s="46">
        <f>I74+J74-K74</f>
        <v/>
      </c>
      <c r="Q74" t="s">
        <v>2026</v>
      </c>
      <c r="R74" t="s">
        <v>2027</v>
      </c>
      <c r="S74" t="s">
        <v>2028</v>
      </c>
      <c r="T74" t="s">
        <v>2029</v>
      </c>
    </row>
    <row r="75" spans="1:21">
      <c r="A75" s="45" t="s">
        <v>1839</v>
      </c>
      <c r="B75" s="45" t="s">
        <v>1840</v>
      </c>
      <c r="C75" s="45" t="n">
        <v>47</v>
      </c>
      <c r="D75" s="258" t="s">
        <v>2030</v>
      </c>
      <c r="E75" s="260" t="s">
        <v>2031</v>
      </c>
      <c r="F75" s="260" t="s">
        <v>2032</v>
      </c>
      <c r="G75" s="260" t="s">
        <v>2033</v>
      </c>
      <c r="H75" s="45" t="n"/>
      <c r="I75" s="46">
        <f>-ROUND(SUMIF('Trial Balance'!P:P,Q75,'Trial Balance'!H:H),0)</f>
        <v/>
      </c>
      <c r="J75" s="46">
        <f>ROUND(SUMIF('Trial Balance'!Q:Q,R75,'Trial Balance'!J:J),0)</f>
        <v/>
      </c>
      <c r="K75" s="46">
        <f>ROUND(SUMIF('Trial Balance'!R:R,S75,'Trial Balance'!I:I),0)</f>
        <v/>
      </c>
      <c r="L75" s="46">
        <f>I75+J75-K75</f>
        <v/>
      </c>
      <c r="Q75" t="s">
        <v>2030</v>
      </c>
      <c r="R75" t="s">
        <v>2031</v>
      </c>
      <c r="S75" t="s">
        <v>2032</v>
      </c>
      <c r="T75" t="s">
        <v>2033</v>
      </c>
    </row>
    <row r="76" spans="1:21">
      <c r="A76" s="45" t="s">
        <v>1846</v>
      </c>
      <c r="B76" s="45" t="s">
        <v>1847</v>
      </c>
      <c r="C76" s="45" t="n">
        <v>48</v>
      </c>
      <c r="D76" s="258" t="s">
        <v>2034</v>
      </c>
      <c r="E76" s="260" t="s">
        <v>2035</v>
      </c>
      <c r="F76" s="260" t="s">
        <v>2036</v>
      </c>
      <c r="G76" s="260" t="s">
        <v>2037</v>
      </c>
      <c r="H76" s="45" t="n"/>
      <c r="I76" s="46">
        <f>-ROUND(SUMIF('Trial Balance'!P:P,Q76,'Trial Balance'!H:H),0)</f>
        <v/>
      </c>
      <c r="J76" s="46">
        <f>ROUND(SUMIF('Trial Balance'!Q:Q,R76,'Trial Balance'!J:J),0)</f>
        <v/>
      </c>
      <c r="K76" s="46">
        <f>ROUND(SUMIF('Trial Balance'!R:R,S76,'Trial Balance'!I:I),0)</f>
        <v/>
      </c>
      <c r="L76" s="46">
        <f>I76+J76-K76</f>
        <v/>
      </c>
      <c r="Q76" t="s">
        <v>2034</v>
      </c>
      <c r="R76" t="s">
        <v>2035</v>
      </c>
      <c r="S76" t="s">
        <v>2036</v>
      </c>
      <c r="T76" t="s">
        <v>2037</v>
      </c>
    </row>
    <row r="77" spans="1:21">
      <c r="A77" s="45" t="s">
        <v>1853</v>
      </c>
      <c r="B77" s="45" t="s">
        <v>1854</v>
      </c>
      <c r="C77" s="45" t="n">
        <v>49</v>
      </c>
      <c r="D77" s="258" t="s">
        <v>2038</v>
      </c>
      <c r="E77" s="260" t="s">
        <v>2039</v>
      </c>
      <c r="F77" s="260" t="s">
        <v>2040</v>
      </c>
      <c r="G77" s="260" t="s">
        <v>2041</v>
      </c>
      <c r="H77" s="45" t="n"/>
      <c r="I77" s="46">
        <f>-ROUND(SUMIF('Trial Balance'!P:P,Q77,'Trial Balance'!H:H),0)</f>
        <v/>
      </c>
      <c r="J77" s="46">
        <f>ROUND(SUMIF('Trial Balance'!Q:Q,R77,'Trial Balance'!J:J),0)</f>
        <v/>
      </c>
      <c r="K77" s="46">
        <f>ROUND(SUMIF('Trial Balance'!R:R,S77,'Trial Balance'!I:I),0)</f>
        <v/>
      </c>
      <c r="L77" s="46">
        <f>I77+J77-K77</f>
        <v/>
      </c>
      <c r="Q77" t="s">
        <v>2038</v>
      </c>
      <c r="R77" t="s">
        <v>2039</v>
      </c>
      <c r="S77" t="s">
        <v>2040</v>
      </c>
      <c r="T77" t="s">
        <v>2041</v>
      </c>
    </row>
    <row r="78" spans="1:21">
      <c r="A78" s="45" t="s">
        <v>1860</v>
      </c>
      <c r="B78" s="45" t="s">
        <v>1861</v>
      </c>
      <c r="C78" s="45" t="n">
        <v>50</v>
      </c>
      <c r="D78" s="258" t="s">
        <v>2042</v>
      </c>
      <c r="E78" s="260" t="s">
        <v>2043</v>
      </c>
      <c r="F78" s="260" t="s">
        <v>2044</v>
      </c>
      <c r="G78" s="260" t="s">
        <v>2045</v>
      </c>
      <c r="H78" s="45" t="n"/>
      <c r="I78" s="46">
        <f>-ROUND(SUMIF('Trial Balance'!P:P,Q78,'Trial Balance'!H:H),0)</f>
        <v/>
      </c>
      <c r="J78" s="46">
        <f>ROUND(SUMIF('Trial Balance'!Q:Q,R78,'Trial Balance'!J:J),0)</f>
        <v/>
      </c>
      <c r="K78" s="46">
        <f>ROUND(SUMIF('Trial Balance'!R:R,S78,'Trial Balance'!I:I),0)</f>
        <v/>
      </c>
      <c r="L78" s="46">
        <f>I78+J78-K78</f>
        <v/>
      </c>
      <c r="M78" s="70" t="s">
        <v>1997</v>
      </c>
      <c r="N78" s="168" t="s">
        <v>1998</v>
      </c>
      <c r="O78" s="38" t="s">
        <v>796</v>
      </c>
      <c r="Q78" t="s">
        <v>2046</v>
      </c>
      <c r="R78" t="s">
        <v>2047</v>
      </c>
      <c r="S78" t="s">
        <v>2048</v>
      </c>
      <c r="T78" t="s">
        <v>2049</v>
      </c>
    </row>
    <row r="79" spans="1:21" customFormat="1" s="3">
      <c r="A79" s="44" t="s">
        <v>2050</v>
      </c>
      <c r="B79" s="44" t="s">
        <v>2051</v>
      </c>
      <c r="C79" s="44" t="n">
        <v>51</v>
      </c>
      <c r="D79" s="259" t="s">
        <v>2052</v>
      </c>
      <c r="E79" s="261" t="s">
        <v>2053</v>
      </c>
      <c r="F79" s="261" t="s">
        <v>2054</v>
      </c>
      <c r="G79" s="261" t="s">
        <v>2055</v>
      </c>
      <c r="H79" s="44" t="n"/>
      <c r="I79" s="46">
        <f>SUM(I69:I78)</f>
        <v/>
      </c>
      <c r="J79" s="46">
        <f>SUM(J69:J78)</f>
        <v/>
      </c>
      <c r="K79" s="46">
        <f>SUM(K69:K78)</f>
        <v/>
      </c>
      <c r="L79" s="46">
        <f>SUM(L69:L78)</f>
        <v/>
      </c>
      <c r="M79" s="25">
        <f>M34-L56-L79</f>
        <v/>
      </c>
      <c r="N79" s="170">
        <f>SUMIF('1. F10'!F:F,"BS17",'1. F10'!E:E)</f>
        <v/>
      </c>
      <c r="O79" s="27">
        <f>M79-N79</f>
        <v/>
      </c>
      <c r="Q79" s="3" t="s">
        <v>2052</v>
      </c>
      <c r="R79" s="3" t="s">
        <v>2053</v>
      </c>
      <c r="S79" s="3" t="s">
        <v>2054</v>
      </c>
      <c r="T79" s="3" t="s">
        <v>2055</v>
      </c>
    </row>
    <row r="80" spans="1:21" customFormat="1" s="3">
      <c r="A80" s="44" t="s">
        <v>1874</v>
      </c>
      <c r="B80" s="44" t="s">
        <v>2056</v>
      </c>
      <c r="C80" s="44" t="n">
        <v>52</v>
      </c>
      <c r="D80" s="258" t="s">
        <v>2057</v>
      </c>
      <c r="E80" s="260" t="s">
        <v>2058</v>
      </c>
      <c r="F80" s="260" t="s">
        <v>2059</v>
      </c>
      <c r="G80" s="260" t="s">
        <v>2060</v>
      </c>
      <c r="H80" s="44" t="n"/>
      <c r="I80" s="76">
        <f>-ROUND(SUMIF('Trial Balance'!P:P,Q80,'Trial Balance'!H:H),0)</f>
        <v/>
      </c>
      <c r="J80" s="76">
        <f>ROUND(SUMIF('Trial Balance'!Q:Q,R80,'Trial Balance'!J:J),0)</f>
        <v/>
      </c>
      <c r="K80" s="76">
        <f>ROUND(SUMIF('Trial Balance'!R:R,S80,'Trial Balance'!I:I),0)</f>
        <v/>
      </c>
      <c r="L80" s="76">
        <f>I80+J80-K80</f>
        <v/>
      </c>
      <c r="M80" s="25">
        <f>M35-L80</f>
        <v/>
      </c>
      <c r="N80" s="170">
        <f>SUMIF('1. F10'!F:F,"BS24",'1. F10'!E:E)</f>
        <v/>
      </c>
      <c r="O80" s="27">
        <f>M80-N80</f>
        <v/>
      </c>
      <c r="Q80" s="3" t="s">
        <v>2057</v>
      </c>
      <c r="R80" s="3" t="s">
        <v>2058</v>
      </c>
      <c r="S80" s="3" t="s">
        <v>2059</v>
      </c>
      <c r="T80" s="3" t="s">
        <v>2060</v>
      </c>
    </row>
    <row r="81" spans="1:21" ht="24" customFormat="1" customHeight="1" s="3">
      <c r="A81" s="171" t="s">
        <v>2061</v>
      </c>
      <c r="B81" s="171" t="s">
        <v>2062</v>
      </c>
      <c r="C81" s="44" t="n">
        <v>53</v>
      </c>
      <c r="D81" s="259" t="s">
        <v>2063</v>
      </c>
      <c r="E81" s="261" t="s">
        <v>2064</v>
      </c>
      <c r="F81" s="261" t="s">
        <v>2065</v>
      </c>
      <c r="G81" s="261" t="s">
        <v>2066</v>
      </c>
      <c r="H81" s="44" t="n"/>
      <c r="I81" s="44" t="n">
        <v>0</v>
      </c>
      <c r="J81" s="44" t="n">
        <v>0</v>
      </c>
      <c r="K81" s="44" t="n">
        <v>0</v>
      </c>
      <c r="L81" s="44" t="n">
        <v>0</v>
      </c>
      <c r="Q81" s="3" t="s">
        <v>2063</v>
      </c>
      <c r="R81" s="3" t="s">
        <v>2064</v>
      </c>
      <c r="S81" s="3" t="s">
        <v>2065</v>
      </c>
      <c r="T81" s="3" t="s">
        <v>2066</v>
      </c>
    </row>
  </sheetData>
  <pageMargins left="0.7" right="0.7" top="0.75" bottom="0.75" header="0.3" footer="0.3"/>
</worksheet>
</file>

<file path=xl/worksheets/sheet8.xml><?xml version="1.0" encoding="utf-8"?>
<worksheet xmlns="http://schemas.openxmlformats.org/spreadsheetml/2006/main">
  <sheetPr>
    <tabColor rgb="FF00B050"/>
    <outlinePr summaryBelow="1" summaryRight="1"/>
    <pageSetUpPr/>
  </sheetPr>
  <dimension ref="A1:M40"/>
  <sheetViews>
    <sheetView showGridLines="0" topLeftCell="D22" workbookViewId="0">
      <selection activeCell="D37" sqref="D37"/>
    </sheetView>
  </sheetViews>
  <sheetFormatPr baseColWidth="8" defaultRowHeight="12" outlineLevelCol="1"/>
  <cols>
    <col outlineLevel="1" width="20.44140625" customWidth="1" min="1" max="1"/>
    <col outlineLevel="1" width="5" customWidth="1" min="2" max="2"/>
    <col outlineLevel="1" width="32.44140625" customWidth="1" min="3" max="3"/>
    <col outlineLevel="1" width="1.44140625" customWidth="1" min="4" max="4"/>
    <col width="55.77734375" bestFit="1" customWidth="1" min="5" max="5"/>
    <col width="6.44140625" bestFit="1" customWidth="1" min="6" max="6"/>
    <col width="11.44140625" bestFit="1" customWidth="1" min="7" max="7"/>
    <col width="15.33203125" bestFit="1" customWidth="1" min="8" max="8"/>
    <col width="12.6640625" bestFit="1" customWidth="1" min="9" max="9"/>
    <col width="15.33203125" bestFit="1" customWidth="1" min="10" max="10"/>
    <col width="12.6640625" bestFit="1" customWidth="1" min="11" max="11"/>
    <col width="11.44140625" bestFit="1" customWidth="1" min="12" max="12"/>
  </cols>
  <sheetData>
    <row r="1" spans="1:13">
      <c r="E1" s="1">
        <f>'Trial Balance'!A1</f>
        <v/>
      </c>
      <c r="F1" s="18">
        <f>'Trial Balance'!B1</f>
        <v/>
      </c>
    </row>
    <row r="2" spans="1:13">
      <c r="E2" s="1">
        <f>'Trial Balance'!A2</f>
        <v/>
      </c>
      <c r="F2" s="18">
        <f>'Trial Balance'!B2</f>
        <v/>
      </c>
    </row>
    <row r="3" spans="1:13">
      <c r="E3" s="1">
        <f>'Trial Balance'!A3</f>
        <v/>
      </c>
      <c r="F3" s="18">
        <f>'Trial Balance'!B3</f>
        <v/>
      </c>
    </row>
    <row r="4" spans="1:13">
      <c r="E4" s="1">
        <f>'Trial Balance'!A4</f>
        <v/>
      </c>
      <c r="F4" s="18">
        <f>'Trial Balance'!B4</f>
        <v/>
      </c>
    </row>
    <row r="5" spans="1:13">
      <c r="E5" s="1">
        <f>'Trial Balance'!A5</f>
        <v/>
      </c>
      <c r="F5" s="18">
        <f>'Trial Balance'!B5</f>
        <v/>
      </c>
    </row>
    <row r="6" spans="1:13">
      <c r="E6" s="1">
        <f>'Trial Balance'!A6</f>
        <v/>
      </c>
      <c r="F6" s="18">
        <f>'Trial Balance'!B6</f>
        <v/>
      </c>
    </row>
    <row r="7" spans="1:13">
      <c r="E7" s="1">
        <f>'Trial Balance'!A7</f>
        <v/>
      </c>
      <c r="F7" s="18">
        <f>'Trial Balance'!B7</f>
        <v/>
      </c>
    </row>
    <row r="9" spans="1:13" customFormat="1" s="3">
      <c r="E9" s="121" t="s">
        <v>425</v>
      </c>
      <c r="F9" s="122" t="n"/>
      <c r="G9" s="122" t="s">
        <v>2067</v>
      </c>
      <c r="H9" s="123" t="s">
        <v>2068</v>
      </c>
      <c r="I9" s="122" t="s">
        <v>2069</v>
      </c>
      <c r="J9" s="123" t="s">
        <v>2070</v>
      </c>
      <c r="K9" s="122" t="s">
        <v>2071</v>
      </c>
      <c r="L9" s="124" t="s">
        <v>2067</v>
      </c>
    </row>
    <row r="10" spans="1:13">
      <c r="A10" s="3" t="s">
        <v>424</v>
      </c>
      <c r="B10" s="3" t="s">
        <v>2</v>
      </c>
      <c r="C10" s="3" t="s">
        <v>23</v>
      </c>
      <c r="E10" s="125" t="n"/>
      <c r="F10" s="126" t="n"/>
      <c r="G10" s="127">
        <f>'Trial Balance'!J6</f>
        <v/>
      </c>
      <c r="H10" s="127" t="s">
        <v>2072</v>
      </c>
      <c r="I10" s="128" t="s">
        <v>2073</v>
      </c>
      <c r="J10" s="127" t="s">
        <v>2072</v>
      </c>
      <c r="K10" s="128" t="s">
        <v>2073</v>
      </c>
      <c r="L10" s="129">
        <f>'Trial Balance'!K6</f>
        <v/>
      </c>
    </row>
    <row r="11" spans="1:13">
      <c r="A11" t="s">
        <v>2074</v>
      </c>
      <c r="B11" t="n">
        <v>1012</v>
      </c>
      <c r="C11" t="s">
        <v>2075</v>
      </c>
      <c r="D11" t="s">
        <v>1730</v>
      </c>
      <c r="E11" s="45" t="s">
        <v>2076</v>
      </c>
      <c r="F11" s="45" t="n"/>
      <c r="G11" s="46">
        <f>-ROUND(SUMIF('Trial Balance'!E:E,B11,'Trial Balance'!H:H)+SUMIF('Trial Balance'!D:D,B11,'Trial Balance'!H:H),0)</f>
        <v/>
      </c>
      <c r="H11" s="46">
        <f>ROUND(SUMIF('Trial Balance'!E:E,B11,'Trial Balance'!J:J)+SUMIF('Trial Balance'!D:D,B11,'Trial Balance'!J:J),0)</f>
        <v/>
      </c>
      <c r="I11" s="46" t="n"/>
      <c r="J11" s="46">
        <f>ROUND(SUMIF('Trial Balance'!E:E,B11,'Trial Balance'!I:I)+SUMIF('Trial Balance'!D:D,B11,'Trial Balance'!I:I),0)</f>
        <v/>
      </c>
      <c r="K11" s="46" t="n"/>
      <c r="L11" s="46">
        <f>G11+H11-J11</f>
        <v/>
      </c>
    </row>
    <row r="12" spans="1:13">
      <c r="A12" t="s">
        <v>2077</v>
      </c>
      <c r="B12" t="n">
        <v>1011</v>
      </c>
      <c r="C12" t="s">
        <v>2078</v>
      </c>
      <c r="D12" t="s">
        <v>1730</v>
      </c>
      <c r="E12" s="45" t="s">
        <v>2079</v>
      </c>
      <c r="F12" s="45" t="n"/>
      <c r="G12" s="46">
        <f>-ROUND(SUMIF('Trial Balance'!E:E,B12,'Trial Balance'!H:H)+SUMIF('Trial Balance'!D:D,B12,'Trial Balance'!H:H),0)</f>
        <v/>
      </c>
      <c r="H12" s="46">
        <f>ROUND(SUMIF('Trial Balance'!E:E,B12,'Trial Balance'!J:J)+SUMIF('Trial Balance'!D:D,B12,'Trial Balance'!J:J),0)</f>
        <v/>
      </c>
      <c r="I12" s="46" t="n"/>
      <c r="J12" s="46">
        <f>ROUND(SUMIF('Trial Balance'!E:E,B12,'Trial Balance'!I:I)+SUMIF('Trial Balance'!D:D,B12,'Trial Balance'!I:I),0)</f>
        <v/>
      </c>
      <c r="K12" s="46" t="n"/>
      <c r="L12" s="46">
        <f>G12+H12-J12</f>
        <v/>
      </c>
    </row>
    <row r="13" spans="1:13">
      <c r="A13" t="s">
        <v>2080</v>
      </c>
      <c r="B13" t="n">
        <v>1015</v>
      </c>
      <c r="C13" t="s">
        <v>2081</v>
      </c>
      <c r="D13" t="s">
        <v>1730</v>
      </c>
      <c r="E13" s="45" t="s">
        <v>2082</v>
      </c>
      <c r="F13" s="45" t="n"/>
      <c r="G13" s="46">
        <f>-ROUND(SUMIF('Trial Balance'!E:E,B13,'Trial Balance'!H:H)+SUMIF('Trial Balance'!D:D,B13,'Trial Balance'!H:H),0)</f>
        <v/>
      </c>
      <c r="H13" s="46">
        <f>ROUND(SUMIF('Trial Balance'!E:E,B13,'Trial Balance'!J:J)+SUMIF('Trial Balance'!D:D,B13,'Trial Balance'!J:J),0)</f>
        <v/>
      </c>
      <c r="I13" s="46" t="n"/>
      <c r="J13" s="46">
        <f>ROUND(SUMIF('Trial Balance'!E:E,B13,'Trial Balance'!I:I)+SUMIF('Trial Balance'!D:D,B13,'Trial Balance'!I:I),0)</f>
        <v/>
      </c>
      <c r="K13" s="46" t="n"/>
      <c r="L13" s="46">
        <f>G13+H13-J13</f>
        <v/>
      </c>
    </row>
    <row r="14" spans="1:13">
      <c r="A14" t="s">
        <v>2083</v>
      </c>
      <c r="B14" t="n">
        <v>1018</v>
      </c>
      <c r="C14" t="s">
        <v>2084</v>
      </c>
      <c r="D14" t="s">
        <v>1730</v>
      </c>
      <c r="E14" s="45" t="s">
        <v>2085</v>
      </c>
      <c r="F14" s="45" t="n"/>
      <c r="G14" s="46">
        <f>-ROUND(SUMIF('Trial Balance'!E:E,B14,'Trial Balance'!H:H)+SUMIF('Trial Balance'!D:D,B14,'Trial Balance'!H:H),0)</f>
        <v/>
      </c>
      <c r="H14" s="46">
        <f>ROUND(SUMIF('Trial Balance'!E:E,B14,'Trial Balance'!J:J)+SUMIF('Trial Balance'!D:D,B14,'Trial Balance'!J:J),0)</f>
        <v/>
      </c>
      <c r="I14" s="46" t="n"/>
      <c r="J14" s="46">
        <f>ROUND(SUMIF('Trial Balance'!E:E,B14,'Trial Balance'!I:I)+SUMIF('Trial Balance'!D:D,B14,'Trial Balance'!I:I),0)</f>
        <v/>
      </c>
      <c r="K14" s="46" t="n"/>
      <c r="L14" s="46">
        <f>G14+H14-J14</f>
        <v/>
      </c>
    </row>
    <row r="15" spans="1:13">
      <c r="A15" t="s">
        <v>2086</v>
      </c>
      <c r="B15" t="n">
        <v>103</v>
      </c>
      <c r="C15" t="s">
        <v>2087</v>
      </c>
      <c r="D15" t="s">
        <v>1730</v>
      </c>
      <c r="E15" s="45" t="s">
        <v>2088</v>
      </c>
      <c r="F15" s="45" t="n"/>
      <c r="G15" s="46">
        <f>-ROUND(SUMIF('Trial Balance'!E:E,B15,'Trial Balance'!H:H)+SUMIF('Trial Balance'!D:D,B15,'Trial Balance'!H:H),0)</f>
        <v/>
      </c>
      <c r="H15" s="46">
        <f>ROUND(SUMIF('Trial Balance'!E:E,B15,'Trial Balance'!J:J)+SUMIF('Trial Balance'!D:D,B15,'Trial Balance'!J:J),0)</f>
        <v/>
      </c>
      <c r="I15" s="46" t="n"/>
      <c r="J15" s="46">
        <f>ROUND(SUMIF('Trial Balance'!E:E,B15,'Trial Balance'!I:I)+SUMIF('Trial Balance'!D:D,B15,'Trial Balance'!I:I),0)</f>
        <v/>
      </c>
      <c r="K15" s="46" t="n"/>
      <c r="L15" s="46">
        <f>G15+H15-J15</f>
        <v/>
      </c>
    </row>
    <row r="16" spans="1:13">
      <c r="A16" t="s">
        <v>2089</v>
      </c>
      <c r="B16" t="n">
        <v>104</v>
      </c>
      <c r="C16" t="s">
        <v>2090</v>
      </c>
      <c r="D16" t="s">
        <v>1730</v>
      </c>
      <c r="E16" s="45" t="s">
        <v>2091</v>
      </c>
      <c r="F16" s="45" t="n"/>
      <c r="G16" s="46">
        <f>-ROUND(SUMIF('Trial Balance'!E:E,B16,'Trial Balance'!H:H)+SUMIF('Trial Balance'!D:D,B16,'Trial Balance'!H:H),0)</f>
        <v/>
      </c>
      <c r="H16" s="46">
        <f>ROUND(SUMIF('Trial Balance'!E:E,B16,'Trial Balance'!J:J)+SUMIF('Trial Balance'!D:D,B16,'Trial Balance'!J:J),0)</f>
        <v/>
      </c>
      <c r="I16" s="46" t="n"/>
      <c r="J16" s="46">
        <f>ROUND(SUMIF('Trial Balance'!E:E,B16,'Trial Balance'!I:I)+SUMIF('Trial Balance'!D:D,B16,'Trial Balance'!I:I),0)</f>
        <v/>
      </c>
      <c r="K16" s="46" t="n"/>
      <c r="L16" s="46">
        <f>G16+H16-J16</f>
        <v/>
      </c>
    </row>
    <row r="17" spans="1:13">
      <c r="A17" t="s">
        <v>2092</v>
      </c>
      <c r="B17" t="n">
        <v>105</v>
      </c>
      <c r="C17" t="s">
        <v>2093</v>
      </c>
      <c r="D17" t="s">
        <v>1730</v>
      </c>
      <c r="E17" s="45" t="s">
        <v>2094</v>
      </c>
      <c r="F17" s="45" t="n"/>
      <c r="G17" s="46">
        <f>-ROUND(SUMIF('Trial Balance'!E:E,B17,'Trial Balance'!H:H)+SUMIF('Trial Balance'!D:D,B17,'Trial Balance'!H:H),0)</f>
        <v/>
      </c>
      <c r="H17" s="46">
        <f>ROUND(SUMIF('Trial Balance'!E:E,B17,'Trial Balance'!J:J)+SUMIF('Trial Balance'!D:D,B17,'Trial Balance'!J:J),0)</f>
        <v/>
      </c>
      <c r="I17" s="46" t="n"/>
      <c r="J17" s="46">
        <f>ROUND(SUMIF('Trial Balance'!E:E,B17,'Trial Balance'!I:I)+SUMIF('Trial Balance'!D:D,B17,'Trial Balance'!I:I),0)</f>
        <v/>
      </c>
      <c r="K17" s="46" t="n"/>
      <c r="L17" s="46">
        <f>G17+H17-J17</f>
        <v/>
      </c>
      <c r="M17" s="25" t="n"/>
    </row>
    <row r="18" spans="1:13">
      <c r="A18" t="s">
        <v>2095</v>
      </c>
      <c r="B18" t="n">
        <v>1061</v>
      </c>
      <c r="C18" t="s">
        <v>2096</v>
      </c>
      <c r="D18" t="s">
        <v>1730</v>
      </c>
      <c r="E18" s="45" t="s">
        <v>42</v>
      </c>
      <c r="F18" s="45" t="n"/>
      <c r="G18" s="46">
        <f>-ROUND(SUMIF('Trial Balance'!E:E,B18,'Trial Balance'!H:H)+SUMIF('Trial Balance'!D:D,B18,'Trial Balance'!H:H),0)</f>
        <v/>
      </c>
      <c r="H18" s="46">
        <f>ROUND(SUMIF('Trial Balance'!E:E,B18,'Trial Balance'!J:J)+SUMIF('Trial Balance'!D:D,B18,'Trial Balance'!J:J),0)</f>
        <v/>
      </c>
      <c r="I18" s="46" t="n"/>
      <c r="J18" s="46">
        <f>ROUND(SUMIF('Trial Balance'!E:E,B18,'Trial Balance'!I:I)+SUMIF('Trial Balance'!D:D,B18,'Trial Balance'!I:I),0)</f>
        <v/>
      </c>
      <c r="K18" s="46" t="n"/>
      <c r="L18" s="46">
        <f>G18+H18-J18</f>
        <v/>
      </c>
    </row>
    <row r="19" spans="1:13">
      <c r="A19" t="s">
        <v>2097</v>
      </c>
      <c r="B19" t="n">
        <v>1063</v>
      </c>
      <c r="C19" t="s">
        <v>2098</v>
      </c>
      <c r="D19" t="s">
        <v>1730</v>
      </c>
      <c r="E19" s="45" t="s">
        <v>2099</v>
      </c>
      <c r="F19" s="45" t="n"/>
      <c r="G19" s="46">
        <f>-ROUND(SUMIF('Trial Balance'!E:E,B19,'Trial Balance'!H:H)+SUMIF('Trial Balance'!D:D,B19,'Trial Balance'!H:H),0)</f>
        <v/>
      </c>
      <c r="H19" s="46">
        <f>ROUND(SUMIF('Trial Balance'!E:E,B19,'Trial Balance'!J:J)+SUMIF('Trial Balance'!D:D,B19,'Trial Balance'!J:J),0)</f>
        <v/>
      </c>
      <c r="I19" s="46" t="n"/>
      <c r="J19" s="46">
        <f>ROUND(SUMIF('Trial Balance'!E:E,B19,'Trial Balance'!I:I)+SUMIF('Trial Balance'!D:D,B19,'Trial Balance'!I:I),0)</f>
        <v/>
      </c>
      <c r="K19" s="46" t="n"/>
      <c r="L19" s="46">
        <f>G19+H19-J19</f>
        <v/>
      </c>
    </row>
    <row r="20" spans="1:13">
      <c r="A20" t="s">
        <v>2100</v>
      </c>
      <c r="B20" t="n">
        <v>1068</v>
      </c>
      <c r="C20" t="s">
        <v>2101</v>
      </c>
      <c r="D20" t="s">
        <v>1730</v>
      </c>
      <c r="E20" s="45" t="s">
        <v>2102</v>
      </c>
      <c r="F20" s="45" t="n"/>
      <c r="G20" s="46">
        <f>-ROUND(SUMIF('Trial Balance'!E:E,B20,'Trial Balance'!H:H)+SUMIF('Trial Balance'!D:D,B20,'Trial Balance'!H:H),0)</f>
        <v/>
      </c>
      <c r="H20" s="46">
        <f>ROUND(SUMIF('Trial Balance'!E:E,B20,'Trial Balance'!J:J)+SUMIF('Trial Balance'!D:D,B20,'Trial Balance'!J:J),0)</f>
        <v/>
      </c>
      <c r="I20" s="46" t="n"/>
      <c r="J20" s="46">
        <f>ROUND(SUMIF('Trial Balance'!E:E,B20,'Trial Balance'!I:I)+SUMIF('Trial Balance'!D:D,B20,'Trial Balance'!I:I),0)</f>
        <v/>
      </c>
      <c r="K20" s="46" t="n"/>
      <c r="L20" s="46">
        <f>G20+H20-J20</f>
        <v/>
      </c>
    </row>
    <row r="21" spans="1:13">
      <c r="A21" t="s">
        <v>2103</v>
      </c>
      <c r="B21" t="n">
        <v>109</v>
      </c>
      <c r="C21" t="s">
        <v>2104</v>
      </c>
      <c r="D21" t="s">
        <v>1730</v>
      </c>
      <c r="E21" s="45" t="s">
        <v>2105</v>
      </c>
      <c r="F21" s="45" t="n"/>
      <c r="G21" s="46">
        <f>-ROUND(SUMIF('Trial Balance'!E:E,B21,'Trial Balance'!H:H)+SUMIF('Trial Balance'!D:D,B21,'Trial Balance'!H:H),0)</f>
        <v/>
      </c>
      <c r="H21" s="46">
        <f>ROUND(SUMIF('Trial Balance'!E:E,B21,'Trial Balance'!J:J)+SUMIF('Trial Balance'!D:D,B21,'Trial Balance'!J:J),0)</f>
        <v/>
      </c>
      <c r="I21" s="46" t="n"/>
      <c r="J21" s="46">
        <f>ROUND(SUMIF('Trial Balance'!E:E,B21,'Trial Balance'!I:I)+SUMIF('Trial Balance'!D:D,B21,'Trial Balance'!I:I),0)</f>
        <v/>
      </c>
      <c r="K21" s="46" t="n"/>
      <c r="L21" s="46">
        <f>G21+H21-J21</f>
        <v/>
      </c>
    </row>
    <row r="22" spans="1:13">
      <c r="A22" t="s">
        <v>2106</v>
      </c>
      <c r="B22" t="n">
        <v>141</v>
      </c>
      <c r="C22" t="s">
        <v>2107</v>
      </c>
      <c r="D22" t="s">
        <v>1730</v>
      </c>
      <c r="E22" s="45" t="s">
        <v>2108</v>
      </c>
      <c r="F22" s="45" t="n"/>
      <c r="G22" s="46">
        <f>-ROUND(SUMIF('Trial Balance'!E:E,B22,'Trial Balance'!H:H)+SUMIF('Trial Balance'!D:D,B22,'Trial Balance'!H:H),0)</f>
        <v/>
      </c>
      <c r="H22" s="46">
        <f>ROUND(SUMIF('Trial Balance'!E:E,B22,'Trial Balance'!J:J)+SUMIF('Trial Balance'!D:D,B22,'Trial Balance'!J:J),0)</f>
        <v/>
      </c>
      <c r="I22" s="46" t="n"/>
      <c r="J22" s="46">
        <f>ROUND(SUMIF('Trial Balance'!E:E,B22,'Trial Balance'!I:I)+SUMIF('Trial Balance'!D:D,B22,'Trial Balance'!I:I),0)</f>
        <v/>
      </c>
      <c r="K22" s="46" t="n"/>
      <c r="L22" s="46">
        <f>G22+H22-J22</f>
        <v/>
      </c>
    </row>
    <row r="23" spans="1:13">
      <c r="A23" t="s">
        <v>2109</v>
      </c>
      <c r="B23" t="n">
        <v>149</v>
      </c>
      <c r="C23" t="s">
        <v>2110</v>
      </c>
      <c r="D23" t="s">
        <v>1730</v>
      </c>
      <c r="E23" s="45" t="s">
        <v>2111</v>
      </c>
      <c r="F23" s="45" t="n"/>
      <c r="G23" s="46">
        <f>-ROUND(SUMIF('Trial Balance'!E:E,B23,'Trial Balance'!H:H)+SUMIF('Trial Balance'!D:D,B23,'Trial Balance'!H:H),0)</f>
        <v/>
      </c>
      <c r="H23" s="46">
        <f>ROUND(SUMIF('Trial Balance'!E:E,B23,'Trial Balance'!J:J)+SUMIF('Trial Balance'!D:D,B23,'Trial Balance'!J:J),0)</f>
        <v/>
      </c>
      <c r="I23" s="46" t="n"/>
      <c r="J23" s="46">
        <f>ROUND(SUMIF('Trial Balance'!E:E,B23,'Trial Balance'!I:I)+SUMIF('Trial Balance'!D:D,B23,'Trial Balance'!I:I),0)</f>
        <v/>
      </c>
      <c r="K23" s="46" t="n"/>
      <c r="L23" s="46">
        <f>G23+H23-J23</f>
        <v/>
      </c>
    </row>
    <row r="24" spans="1:13">
      <c r="A24" t="s">
        <v>2112</v>
      </c>
      <c r="B24" t="n">
        <v>1171</v>
      </c>
      <c r="C24" t="s">
        <v>2113</v>
      </c>
      <c r="D24" t="s">
        <v>1730</v>
      </c>
      <c r="E24" s="45" t="s">
        <v>2114</v>
      </c>
      <c r="F24" s="45" t="s">
        <v>823</v>
      </c>
      <c r="G24" s="46">
        <f>IF('for SOCE'!$C$3="C",ABS('for SOCE'!$B$3),0)</f>
        <v/>
      </c>
      <c r="H24" s="46">
        <f>IF(G24=0,0,ROUND(SUMIF('Trial Balance'!E:E,B24,'Trial Balance'!J:J)+SUMIF('Trial Balance'!D:D,B24,'Trial Balance'!J:J),0))</f>
        <v/>
      </c>
      <c r="I24" s="46" t="n"/>
      <c r="J24" s="46">
        <f>IF(G24=0,0,ROUND(SUMIF('Trial Balance'!E:E,B24,'Trial Balance'!I:I)+SUMIF('Trial Balance'!D:D,B24,'Trial Balance'!I:I),0))</f>
        <v/>
      </c>
      <c r="K24" s="46" t="n"/>
      <c r="L24" s="46">
        <f>G24+H24-J24</f>
        <v/>
      </c>
    </row>
    <row r="25" spans="1:13">
      <c r="A25" t="s">
        <v>2115</v>
      </c>
      <c r="B25" t="n">
        <v>1171</v>
      </c>
      <c r="C25" t="s">
        <v>2113</v>
      </c>
      <c r="D25" t="s">
        <v>1730</v>
      </c>
      <c r="E25" s="45" t="s">
        <v>2116</v>
      </c>
      <c r="F25" s="45" t="s">
        <v>826</v>
      </c>
      <c r="G25" s="46">
        <f>IF('for SOCE'!$C$3="D",ABS('for SOCE'!$B$3),0)</f>
        <v/>
      </c>
      <c r="H25" s="46">
        <f>IF(G25=0,0,ROUND(SUMIF('Trial Balance'!E:E,B25,'Trial Balance'!I:I)+SUMIF('Trial Balance'!D:D,B25,'Trial Balance'!I:I),0))</f>
        <v/>
      </c>
      <c r="I25" s="46" t="n"/>
      <c r="J25" s="46">
        <f>IF(G25=0,0,ROUND(SUMIF('Trial Balance'!E:E,B25,'Trial Balance'!J:J)+SUMIF('Trial Balance'!D:D,B25,'Trial Balance'!J:J),0))</f>
        <v/>
      </c>
      <c r="K25" s="46" t="n"/>
      <c r="L25" s="46">
        <f>G25+H25-J25</f>
        <v/>
      </c>
    </row>
    <row r="26" spans="1:13">
      <c r="A26" t="s">
        <v>2112</v>
      </c>
      <c r="B26" t="n">
        <v>1172</v>
      </c>
      <c r="C26" t="s">
        <v>2117</v>
      </c>
      <c r="E26" s="45" t="s">
        <v>2118</v>
      </c>
      <c r="F26" s="45" t="s">
        <v>823</v>
      </c>
      <c r="G26" s="46">
        <f>IF('for SOCE'!$C$4="C",ABS('for SOCE'!$B$4),0)</f>
        <v/>
      </c>
      <c r="H26" s="46">
        <f>IF(G26=0,0,ROUND(SUMIF('Trial Balance'!E:E,B26,'Trial Balance'!J:J)+SUMIF('Trial Balance'!D:D,B26,'Trial Balance'!J:J),0))</f>
        <v/>
      </c>
      <c r="I26" s="46" t="n"/>
      <c r="J26" s="46">
        <f>IF(G26=0,0,ROUND(SUMIF('Trial Balance'!E:E,B26,'Trial Balance'!I:I)+SUMIF('Trial Balance'!D:D,B26,'Trial Balance'!I:I),0))</f>
        <v/>
      </c>
      <c r="K26" s="46" t="n"/>
      <c r="L26" s="46">
        <f>G26+H26-J26</f>
        <v/>
      </c>
    </row>
    <row r="27" spans="1:13">
      <c r="A27" t="s">
        <v>2115</v>
      </c>
      <c r="B27" t="n">
        <v>1172</v>
      </c>
      <c r="C27" t="s">
        <v>2117</v>
      </c>
      <c r="E27" s="45" t="s">
        <v>2119</v>
      </c>
      <c r="F27" s="45" t="s">
        <v>826</v>
      </c>
      <c r="G27" s="46">
        <f>IF('for SOCE'!$C$4="D",ABS('for SOCE'!$B$4),0)</f>
        <v/>
      </c>
      <c r="H27" s="46">
        <f>IF(G27=0,0,ROUND(SUMIF('Trial Balance'!E:E,B27,'Trial Balance'!I:I)+SUMIF('Trial Balance'!D:D,B27,'Trial Balance'!I:I),0))</f>
        <v/>
      </c>
      <c r="I27" s="46" t="n"/>
      <c r="J27" s="46">
        <f>IF(G27=0,0,ROUND(SUMIF('Trial Balance'!E:E,B27,'Trial Balance'!J:J)+SUMIF('Trial Balance'!D:D,B27,'Trial Balance'!J:J),0))</f>
        <v/>
      </c>
      <c r="K27" s="46" t="n"/>
      <c r="L27" s="46">
        <f>G27+H27-J27</f>
        <v/>
      </c>
    </row>
    <row r="28" spans="1:13">
      <c r="A28" t="s">
        <v>2112</v>
      </c>
      <c r="B28" t="n">
        <v>1173</v>
      </c>
      <c r="C28" t="s">
        <v>2120</v>
      </c>
      <c r="D28" t="s">
        <v>1730</v>
      </c>
      <c r="E28" s="45" t="s">
        <v>2121</v>
      </c>
      <c r="F28" s="45" t="s">
        <v>823</v>
      </c>
      <c r="G28" s="46">
        <f>IF('for SOCE'!$C$5="C",ABS('for SOCE'!$B$5),0)</f>
        <v/>
      </c>
      <c r="H28" s="46">
        <f>IF(G28=0,0,ROUND(SUMIF('Trial Balance'!E:E,B28,'Trial Balance'!J:J)+SUMIF('Trial Balance'!D:D,B28,'Trial Balance'!J:J),0))</f>
        <v/>
      </c>
      <c r="I28" s="46" t="n"/>
      <c r="J28" s="46">
        <f>IF(G28=0,0,ROUND(SUMIF('Trial Balance'!E:E,B28,'Trial Balance'!I:I)+SUMIF('Trial Balance'!D:D,B28,'Trial Balance'!I:I),0))</f>
        <v/>
      </c>
      <c r="K28" s="46" t="n"/>
      <c r="L28" s="46">
        <f>G28+H28-J28</f>
        <v/>
      </c>
    </row>
    <row r="29" spans="1:13">
      <c r="A29" t="s">
        <v>2115</v>
      </c>
      <c r="B29" t="n">
        <v>1173</v>
      </c>
      <c r="C29" t="s">
        <v>2120</v>
      </c>
      <c r="D29" t="s">
        <v>1730</v>
      </c>
      <c r="E29" s="45" t="s">
        <v>2122</v>
      </c>
      <c r="F29" s="45" t="s">
        <v>826</v>
      </c>
      <c r="G29" s="46">
        <f>IF('for SOCE'!$C$5="D",ABS('for SOCE'!$B$5),0)</f>
        <v/>
      </c>
      <c r="H29" s="46">
        <f>IF(G29=0,0,ROUND(SUMIF('Trial Balance'!E:E,B29,'Trial Balance'!I:I)+SUMIF('Trial Balance'!D:D,B29,'Trial Balance'!I:I),0))</f>
        <v/>
      </c>
      <c r="I29" s="46" t="n"/>
      <c r="J29" s="46">
        <f>IF(G29=0,0,ROUND(SUMIF('Trial Balance'!E:E,B29,'Trial Balance'!J:J)+SUMIF('Trial Balance'!D:D,B29,'Trial Balance'!J:J),0))</f>
        <v/>
      </c>
      <c r="K29" s="46" t="n"/>
      <c r="L29" s="46">
        <f>G29+H29-J29</f>
        <v/>
      </c>
    </row>
    <row r="30" spans="1:13">
      <c r="A30" t="s">
        <v>2112</v>
      </c>
      <c r="B30" t="n">
        <v>1174</v>
      </c>
      <c r="C30" t="s">
        <v>2123</v>
      </c>
      <c r="D30" t="s">
        <v>1730</v>
      </c>
      <c r="E30" s="45" t="s">
        <v>2124</v>
      </c>
      <c r="F30" s="45" t="s">
        <v>823</v>
      </c>
      <c r="G30" s="46">
        <f>IF('for SOCE'!$C$6="C",ABS('for SOCE'!$B$6),0)</f>
        <v/>
      </c>
      <c r="H30" s="46">
        <f>IF(G30=0,0,ROUND(SUMIF('Trial Balance'!E:E,B30,'Trial Balance'!J:J)+SUMIF('Trial Balance'!D:D,B30,'Trial Balance'!J:J),0))</f>
        <v/>
      </c>
      <c r="I30" s="46" t="n"/>
      <c r="J30" s="46">
        <f>IF(G30=0,0,ROUND(SUMIF('Trial Balance'!E:E,B30,'Trial Balance'!I:I)+SUMIF('Trial Balance'!D:D,B30,'Trial Balance'!I:I),0))</f>
        <v/>
      </c>
      <c r="K30" s="46" t="n"/>
      <c r="L30" s="46">
        <f>G30+H30-J30</f>
        <v/>
      </c>
    </row>
    <row r="31" spans="1:13">
      <c r="A31" t="s">
        <v>2115</v>
      </c>
      <c r="B31" t="n">
        <v>1174</v>
      </c>
      <c r="C31" t="s">
        <v>2123</v>
      </c>
      <c r="D31" t="s">
        <v>1730</v>
      </c>
      <c r="E31" s="45" t="s">
        <v>2125</v>
      </c>
      <c r="F31" s="45" t="s">
        <v>826</v>
      </c>
      <c r="G31" s="46">
        <f>IF('for SOCE'!$C$6="D",ABS('for SOCE'!$B$6),0)</f>
        <v/>
      </c>
      <c r="H31" s="46">
        <f>IF(G31=0,0,ROUND(SUMIF('Trial Balance'!E:E,B31,'Trial Balance'!I:I)+SUMIF('Trial Balance'!D:D,B31,'Trial Balance'!I:I),0))</f>
        <v/>
      </c>
      <c r="I31" s="46" t="n"/>
      <c r="J31" s="46">
        <f>IF(G31=0,0,ROUND(SUMIF('Trial Balance'!E:E,B31,'Trial Balance'!J:J)+SUMIF('Trial Balance'!D:D,B31,'Trial Balance'!J:J),0))</f>
        <v/>
      </c>
      <c r="K31" s="46" t="n"/>
      <c r="L31" s="46">
        <f>G31+H31-J31</f>
        <v/>
      </c>
    </row>
    <row r="32" spans="1:13">
      <c r="A32" t="s">
        <v>2112</v>
      </c>
      <c r="B32" t="n">
        <v>1175</v>
      </c>
      <c r="C32" t="s">
        <v>2126</v>
      </c>
      <c r="D32" t="s">
        <v>1730</v>
      </c>
      <c r="E32" s="45" t="s">
        <v>2127</v>
      </c>
      <c r="F32" s="45" t="s">
        <v>823</v>
      </c>
      <c r="G32" s="46">
        <f>-ROUND(SUMIF('Trial Balance'!E:E,B32,'Trial Balance'!H:H)+SUMIF('Trial Balance'!D:D,B32,'Trial Balance'!H:H),0)</f>
        <v/>
      </c>
      <c r="H32" s="46">
        <f>ROUND(SUMIF('Trial Balance'!E:E,B32,'Trial Balance'!J:J)+SUMIF('Trial Balance'!D:D,B32,'Trial Balance'!J:J),0)</f>
        <v/>
      </c>
      <c r="I32" s="46" t="n"/>
      <c r="J32" s="46">
        <f>ROUND(SUMIF('Trial Balance'!E:E,B32,'Trial Balance'!I:I)+SUMIF('Trial Balance'!D:D,B32,'Trial Balance'!I:I),0)</f>
        <v/>
      </c>
      <c r="K32" s="46" t="n"/>
      <c r="L32" s="46">
        <f>G32+H32-J32</f>
        <v/>
      </c>
    </row>
    <row r="33" spans="1:13">
      <c r="A33" t="s">
        <v>2112</v>
      </c>
      <c r="B33" t="n">
        <v>1176</v>
      </c>
      <c r="C33" t="s">
        <v>2128</v>
      </c>
      <c r="E33" s="45" t="s">
        <v>2129</v>
      </c>
      <c r="F33" s="45" t="s">
        <v>823</v>
      </c>
      <c r="G33" s="46">
        <f>IF('for SOCE'!$C$7="C",ABS('for SOCE'!$B$7),0)</f>
        <v/>
      </c>
      <c r="H33" s="46">
        <f>IF(G33=0,0,ROUND(SUMIF('Trial Balance'!E:E,B33,'Trial Balance'!J:J)+SUMIF('Trial Balance'!D:D,B33,'Trial Balance'!J:J),0))</f>
        <v/>
      </c>
      <c r="I33" s="46" t="n"/>
      <c r="J33" s="46">
        <f>IF(G33=0,0,ROUND(SUMIF('Trial Balance'!E:E,B33,'Trial Balance'!I:I)+SUMIF('Trial Balance'!D:D,B33,'Trial Balance'!I:I),0))</f>
        <v/>
      </c>
      <c r="K33" s="46" t="n"/>
      <c r="L33" s="46">
        <f>G33+H33-J33</f>
        <v/>
      </c>
    </row>
    <row r="34" spans="1:13">
      <c r="A34" t="s">
        <v>2115</v>
      </c>
      <c r="B34" t="n">
        <v>1176</v>
      </c>
      <c r="C34" t="s">
        <v>2128</v>
      </c>
      <c r="E34" s="45" t="s">
        <v>2130</v>
      </c>
      <c r="F34" s="45" t="s">
        <v>826</v>
      </c>
      <c r="G34" s="46">
        <f>IF('for SOCE'!$C$7="D",ABS('for SOCE'!$B$7),0)</f>
        <v/>
      </c>
      <c r="H34" s="46">
        <f>IF(G34=0,0,ROUND(SUMIF('Trial Balance'!E:E,B34,'Trial Balance'!I:I)+SUMIF('Trial Balance'!D:D,B34,'Trial Balance'!I:I),0))</f>
        <v/>
      </c>
      <c r="I34" s="46" t="n"/>
      <c r="J34" s="46">
        <f>IF(G34=0,0,ROUND(SUMIF('Trial Balance'!E:E,B34,'Trial Balance'!J:J)+SUMIF('Trial Balance'!D:D,B34,'Trial Balance'!J:J),0))</f>
        <v/>
      </c>
      <c r="K34" s="46" t="n"/>
      <c r="L34" s="46">
        <f>G34+H34-J34</f>
        <v/>
      </c>
    </row>
    <row r="35" spans="1:13">
      <c r="A35" t="s">
        <v>2131</v>
      </c>
      <c r="B35" t="n">
        <v>121</v>
      </c>
      <c r="C35" t="s">
        <v>2132</v>
      </c>
      <c r="D35" t="s">
        <v>1730</v>
      </c>
      <c r="E35" s="45" t="s">
        <v>2133</v>
      </c>
      <c r="F35" s="45" t="s">
        <v>823</v>
      </c>
      <c r="G35" s="46">
        <f>IF('Trial Balance'!S3="BS97",ABS('Trial Balance'!R3),0)</f>
        <v/>
      </c>
      <c r="H35" s="46">
        <f>IF(G35=0,0,ROUND(SUMIF('Trial Balance'!E:E,B35,'Trial Balance'!J:J)+SUMIF('Trial Balance'!D:D,B35,'Trial Balance'!J:J),0))</f>
        <v/>
      </c>
      <c r="I35" s="46" t="n"/>
      <c r="J35" s="46">
        <f>IF(G35=0,0,ROUND(SUMIF('Trial Balance'!E:E,B35,'Trial Balance'!I:I)+SUMIF('Trial Balance'!D:D,B35,'Trial Balance'!I:I),0))</f>
        <v/>
      </c>
      <c r="K35" s="46" t="n"/>
      <c r="L35" s="46">
        <f>G35+H35-J35</f>
        <v/>
      </c>
    </row>
    <row r="36" spans="1:13">
      <c r="A36" t="s">
        <v>2134</v>
      </c>
      <c r="B36" t="n">
        <v>121</v>
      </c>
      <c r="C36" t="s">
        <v>2132</v>
      </c>
      <c r="D36" t="s">
        <v>1730</v>
      </c>
      <c r="E36" s="45" t="s">
        <v>2133</v>
      </c>
      <c r="F36" s="45" t="s">
        <v>826</v>
      </c>
      <c r="G36" s="46">
        <f>IF('Trial Balance'!S3="BS98",ABS('Trial Balance'!R3),0)</f>
        <v/>
      </c>
      <c r="H36" s="46">
        <f>IF(G36=0,0,ROUND(SUMIF('Trial Balance'!E:E,B36,'Trial Balance'!I:I)+SUMIF('Trial Balance'!D:D,B36,'Trial Balance'!I:I),0))</f>
        <v/>
      </c>
      <c r="I36" s="46" t="n"/>
      <c r="J36" s="46">
        <f>IF(G36=0,0,ROUND(SUMIF('Trial Balance'!E:E,B36,'Trial Balance'!J:J)+SUMIF('Trial Balance'!D:D,B36,'Trial Balance'!J:J),0))</f>
        <v/>
      </c>
      <c r="K36" s="46" t="n"/>
      <c r="L36" s="46">
        <f>G36+H36-J36</f>
        <v/>
      </c>
    </row>
    <row r="37" spans="1:13">
      <c r="A37" t="s">
        <v>2135</v>
      </c>
      <c r="B37" t="n">
        <v>129</v>
      </c>
      <c r="C37" t="s">
        <v>2136</v>
      </c>
      <c r="D37" t="s">
        <v>1730</v>
      </c>
      <c r="E37" s="45" t="s">
        <v>50</v>
      </c>
      <c r="F37" s="45" t="n"/>
      <c r="G37" s="46">
        <f>ROUND(SUMIF('Trial Balance'!E:E,B37,'Trial Balance'!H:H)+SUMIF('Trial Balance'!D:D,B37,'Trial Balance'!H:H),0)</f>
        <v/>
      </c>
      <c r="H37" s="46">
        <f>IF(G37=0,0,ROUND(SUMIF('Trial Balance'!E:E,B37,'Trial Balance'!I:I)+SUMIF('Trial Balance'!D:D,B37,'Trial Balance'!I:I),0))</f>
        <v/>
      </c>
      <c r="I37" s="46" t="n"/>
      <c r="J37" s="46">
        <f>IF(G37=0,0,ROUND(SUMIF('Trial Balance'!E:E,B37,'Trial Balance'!J:J)+SUMIF('Trial Balance'!D:D,B37,'Trial Balance'!J:J),0))</f>
        <v/>
      </c>
      <c r="K37" s="46" t="n"/>
      <c r="L37" s="46">
        <f>G37+H37-J37</f>
        <v/>
      </c>
    </row>
    <row r="38" spans="1:13">
      <c r="A38" t="s">
        <v>2137</v>
      </c>
      <c r="B38" t="s">
        <v>2138</v>
      </c>
      <c r="C38" t="s">
        <v>2139</v>
      </c>
      <c r="D38" t="s">
        <v>1730</v>
      </c>
      <c r="E38" s="3" t="s">
        <v>2139</v>
      </c>
      <c r="F38" s="3" t="n"/>
      <c r="G38" s="25">
        <f>SUM(G11:G23,G24-G25,G28-G29,G30-G31,G32,G35-G36,-G37,G26,-G27,G33,-G34)</f>
        <v/>
      </c>
      <c r="H38" s="25">
        <f>SUM(H11:H23,H24-H25,H28-H29,H30-H31,H32,H35-H36,-H37,H26,-H27,H33,-H34)</f>
        <v/>
      </c>
      <c r="I38" s="25">
        <f>SUM(I11:I23,I24-I25,I28-I29,I30-I31,I32,I35-I36,-I37,I26,-I27,I33,-I34)</f>
        <v/>
      </c>
      <c r="J38" s="25" t="n">
        <v>0</v>
      </c>
      <c r="K38" s="25">
        <f>SUM(K11:K23,K24-K25,K28-K29,K30-K31,K32,K35-K36,-K37,K26,-K27,K33,-K34)</f>
        <v/>
      </c>
      <c r="L38" s="25">
        <f>SUM(L11:L23,L24-L25,L28-L29,L30-L31,L32,L35-L36,-L37,L26,-L27,L33,-L34)</f>
        <v/>
      </c>
    </row>
    <row r="39" spans="1:13">
      <c r="F39" s="3" t="s">
        <v>408</v>
      </c>
      <c r="L39" s="25">
        <f>'1. F10'!$E$132</f>
        <v/>
      </c>
    </row>
    <row r="40" spans="1:13">
      <c r="F40" s="26" t="s">
        <v>796</v>
      </c>
      <c r="L40" s="130">
        <f>L38-L39</f>
        <v/>
      </c>
    </row>
  </sheetData>
  <pageMargins left="0.7" right="0.7" top="0.75" bottom="0.75" header="0.3" footer="0.3"/>
</worksheet>
</file>

<file path=xl/worksheets/sheet9.xml><?xml version="1.0" encoding="utf-8"?>
<worksheet xmlns="http://schemas.openxmlformats.org/spreadsheetml/2006/main">
  <sheetPr>
    <tabColor rgb="FF00B050"/>
    <outlinePr summaryBelow="1" summaryRight="1"/>
    <pageSetUpPr/>
  </sheetPr>
  <dimension ref="A1:AR60"/>
  <sheetViews>
    <sheetView showGridLines="0" workbookViewId="0">
      <selection activeCell="A15" sqref="A15"/>
    </sheetView>
  </sheetViews>
  <sheetFormatPr baseColWidth="8" defaultRowHeight="12" outlineLevelCol="1"/>
  <cols>
    <col width="80.44140625" bestFit="1" customWidth="1" min="1" max="1"/>
    <col outlineLevel="1" width="8.77734375" customWidth="1" min="5" max="44"/>
    <col width="8.77734375" customWidth="1" min="45" max="45"/>
  </cols>
  <sheetData>
    <row r="1" spans="1:44">
      <c r="B1" s="26" t="s">
        <v>796</v>
      </c>
      <c r="C1" s="27">
        <f>C52</f>
        <v/>
      </c>
      <c r="D1" s="27" t="n"/>
      <c r="E1" s="27">
        <f>SUM(AN1:AR1)</f>
        <v/>
      </c>
      <c r="G1" s="158">
        <f>G7+SUM(G12:G51)</f>
        <v/>
      </c>
      <c r="H1" s="158">
        <f>H7+SUM(H12:H51)</f>
        <v/>
      </c>
      <c r="I1" s="158">
        <f>I7+SUM(I12:I51)</f>
        <v/>
      </c>
      <c r="J1" s="158">
        <f>J7+SUM(J12:J51)</f>
        <v/>
      </c>
      <c r="K1" s="158">
        <f>K7+SUM(K12:K51)</f>
        <v/>
      </c>
      <c r="L1" s="158">
        <f>L7+SUM(L12:L51)</f>
        <v/>
      </c>
      <c r="M1" s="158">
        <f>M7+SUM(M12:M51)</f>
        <v/>
      </c>
      <c r="N1" s="158">
        <f>N7+SUM(N12:N51)</f>
        <v/>
      </c>
      <c r="O1" s="158">
        <f>O7+SUM(O12:O51)</f>
        <v/>
      </c>
      <c r="P1" s="158">
        <f>P7+SUM(P12:P51)</f>
        <v/>
      </c>
      <c r="Q1" s="158">
        <f>Q7+SUM(Q12:Q51)</f>
        <v/>
      </c>
      <c r="R1" s="158">
        <f>R7+SUM(R12:R51)</f>
        <v/>
      </c>
      <c r="S1" s="158">
        <f>S7+SUM(S12:S51)</f>
        <v/>
      </c>
      <c r="T1" s="158">
        <f>T7+SUM(T12:T51)</f>
        <v/>
      </c>
      <c r="U1" s="158">
        <f>U7+SUM(U12:U51)</f>
        <v/>
      </c>
      <c r="V1" s="158">
        <f>V7+SUM(V12:V51)</f>
        <v/>
      </c>
      <c r="W1" s="158">
        <f>W7+SUM(W12:W51)</f>
        <v/>
      </c>
      <c r="X1" s="158">
        <f>X7+SUM(X12:X51)</f>
        <v/>
      </c>
      <c r="Y1" s="158">
        <f>Y7+SUM(Y12:Y51)</f>
        <v/>
      </c>
      <c r="Z1" s="158">
        <f>Z7+SUM(Z12:Z51)</f>
        <v/>
      </c>
      <c r="AA1" s="158">
        <f>AA7+SUM(AA12:AA51)</f>
        <v/>
      </c>
      <c r="AB1" s="158">
        <f>AB7+SUM(AB12:AB51)</f>
        <v/>
      </c>
      <c r="AC1" s="158">
        <f>AC7+SUM(AC12:AC51)</f>
        <v/>
      </c>
      <c r="AD1" s="158">
        <f>AD7+SUM(AD12:AD51)</f>
        <v/>
      </c>
      <c r="AE1" s="158">
        <f>AE7+SUM(AE12:AE51)</f>
        <v/>
      </c>
      <c r="AF1" s="158">
        <f>AF7+SUM(AF12:AF51)</f>
        <v/>
      </c>
      <c r="AG1" s="158">
        <f>AG7+SUM(AG12:AG51)</f>
        <v/>
      </c>
      <c r="AH1" s="158">
        <f>AH7+SUM(AH12:AH51)</f>
        <v/>
      </c>
      <c r="AI1" s="158">
        <f>AI7+SUM(AI12:AI51)</f>
        <v/>
      </c>
      <c r="AJ1" s="158">
        <f>AJ7+SUM(AJ12:AJ51)</f>
        <v/>
      </c>
      <c r="AK1" s="158">
        <f>AK7+SUM(AK12:AK51)</f>
        <v/>
      </c>
      <c r="AL1" s="158">
        <f>AL7+SUM(AL12:AL51)</f>
        <v/>
      </c>
      <c r="AM1" s="158">
        <f>AM7+SUM(AM12:AM51)</f>
        <v/>
      </c>
      <c r="AN1" s="158">
        <f>AN7+SUM(AN12:AN51)</f>
        <v/>
      </c>
      <c r="AO1" s="158">
        <f>AO7+SUM(AO12:AO51)</f>
        <v/>
      </c>
      <c r="AP1" s="158">
        <f>AP7+SUM(AP12:AP51)</f>
        <v/>
      </c>
      <c r="AQ1" s="158">
        <f>AQ7+SUM(AQ12:AQ51)</f>
        <v/>
      </c>
      <c r="AR1" s="158">
        <f>AR7+SUM(AR12:AR51)</f>
        <v/>
      </c>
    </row>
    <row r="2" spans="1:44">
      <c r="G2">
        <f>VLOOKUP(G4,'for CF captions'!$A:$B,2,0)</f>
        <v/>
      </c>
      <c r="H2">
        <f>VLOOKUP(H4,'for CF captions'!$A:$B,2,0)</f>
        <v/>
      </c>
      <c r="I2">
        <f>VLOOKUP(I4,'for CF captions'!$A:$B,2,0)</f>
        <v/>
      </c>
      <c r="J2">
        <f>VLOOKUP(J4,'for CF captions'!$A:$B,2,0)</f>
        <v/>
      </c>
      <c r="K2">
        <f>VLOOKUP(K4,'for CF captions'!$A:$B,2,0)</f>
        <v/>
      </c>
      <c r="L2">
        <f>VLOOKUP(L4,'for CF captions'!$A:$B,2,0)</f>
        <v/>
      </c>
      <c r="M2">
        <f>VLOOKUP(M4,'for CF captions'!$A:$B,2,0)</f>
        <v/>
      </c>
      <c r="N2">
        <f>VLOOKUP(N4,'for CF captions'!$A:$B,2,0)</f>
        <v/>
      </c>
      <c r="O2">
        <f>VLOOKUP(O4,'for CF captions'!$A:$B,2,0)</f>
        <v/>
      </c>
      <c r="P2">
        <f>VLOOKUP(P4,'for CF captions'!$A:$B,2,0)</f>
        <v/>
      </c>
      <c r="Q2">
        <f>VLOOKUP(Q4,'for CF captions'!$A:$B,2,0)</f>
        <v/>
      </c>
      <c r="R2">
        <f>VLOOKUP(R4,'for CF captions'!$A:$B,2,0)</f>
        <v/>
      </c>
      <c r="S2">
        <f>VLOOKUP(S4,'for CF captions'!$A:$B,2,0)</f>
        <v/>
      </c>
      <c r="T2">
        <f>VLOOKUP(T4,'for CF captions'!$A:$B,2,0)</f>
        <v/>
      </c>
      <c r="U2">
        <f>VLOOKUP(U4,'for CF captions'!$A:$B,2,0)</f>
        <v/>
      </c>
      <c r="V2">
        <f>VLOOKUP(V4,'for CF captions'!$A:$B,2,0)</f>
        <v/>
      </c>
      <c r="W2">
        <f>VLOOKUP(W4,'for CF captions'!$A:$B,2,0)</f>
        <v/>
      </c>
      <c r="X2">
        <f>VLOOKUP(X4,'for CF captions'!$A:$B,2,0)</f>
        <v/>
      </c>
      <c r="Y2">
        <f>VLOOKUP(Y4,'for CF captions'!$A:$B,2,0)</f>
        <v/>
      </c>
      <c r="Z2">
        <f>VLOOKUP(Z4,'for CF captions'!$A:$B,2,0)</f>
        <v/>
      </c>
      <c r="AA2">
        <f>VLOOKUP(AA4,'for CF captions'!$A:$B,2,0)</f>
        <v/>
      </c>
      <c r="AB2">
        <f>VLOOKUP(AB4,'for CF captions'!$A:$B,2,0)</f>
        <v/>
      </c>
      <c r="AC2">
        <f>VLOOKUP(AC4,'for CF captions'!$A:$B,2,0)</f>
        <v/>
      </c>
      <c r="AD2">
        <f>VLOOKUP(AD4,'for CF captions'!$A:$B,2,0)</f>
        <v/>
      </c>
      <c r="AE2">
        <f>VLOOKUP(AE4,'for CF captions'!$A:$B,2,0)</f>
        <v/>
      </c>
      <c r="AF2">
        <f>VLOOKUP(AF4,'for CF captions'!$A:$B,2,0)</f>
        <v/>
      </c>
      <c r="AG2">
        <f>VLOOKUP(AG4,'for CF captions'!$A:$B,2,0)</f>
        <v/>
      </c>
      <c r="AH2">
        <f>VLOOKUP(AH4,'for CF captions'!$A:$B,2,0)</f>
        <v/>
      </c>
      <c r="AI2">
        <f>VLOOKUP(AI4,'for CF captions'!$A:$B,2,0)</f>
        <v/>
      </c>
      <c r="AJ2">
        <f>VLOOKUP(AJ4,'for CF captions'!$A:$B,2,0)</f>
        <v/>
      </c>
      <c r="AK2">
        <f>VLOOKUP(AK4,'for CF captions'!$A:$B,2,0)</f>
        <v/>
      </c>
      <c r="AL2">
        <f>VLOOKUP(AL4,'for CF captions'!$A:$B,2,0)</f>
        <v/>
      </c>
      <c r="AM2">
        <f>VLOOKUP(AM4,'for CF captions'!$A:$B,2,0)</f>
        <v/>
      </c>
      <c r="AN2">
        <f>VLOOKUP(AN4,'for CF captions'!$A:$B,2,0)</f>
        <v/>
      </c>
      <c r="AO2">
        <f>VLOOKUP(AO4,'for CF captions'!$A:$B,2,0)</f>
        <v/>
      </c>
      <c r="AP2">
        <f>VLOOKUP(AP4,'for CF captions'!$A:$B,2,0)</f>
        <v/>
      </c>
      <c r="AQ2">
        <f>VLOOKUP(AQ4,'for CF captions'!$A:$B,2,0)</f>
        <v/>
      </c>
      <c r="AR2">
        <f>VLOOKUP(AR4,'for CF captions'!$A:$B,2,0)</f>
        <v/>
      </c>
    </row>
    <row r="3" spans="1:44">
      <c r="AP3">
        <f>AP2+1</f>
        <v/>
      </c>
      <c r="AQ3">
        <f>AQ2+1</f>
        <v/>
      </c>
    </row>
    <row r="4" spans="1:44">
      <c r="F4" s="70" t="s">
        <v>2140</v>
      </c>
      <c r="G4" s="3" t="s">
        <v>455</v>
      </c>
      <c r="H4" s="3" t="s">
        <v>487</v>
      </c>
      <c r="I4" s="3" t="s">
        <v>492</v>
      </c>
      <c r="J4" s="3" t="s">
        <v>496</v>
      </c>
      <c r="K4" s="3" t="s">
        <v>500</v>
      </c>
      <c r="L4" s="3" t="s">
        <v>504</v>
      </c>
      <c r="M4" s="3" t="s">
        <v>508</v>
      </c>
      <c r="N4" s="3" t="s">
        <v>512</v>
      </c>
      <c r="O4" s="3" t="s">
        <v>522</v>
      </c>
      <c r="P4" s="3" t="s">
        <v>559</v>
      </c>
      <c r="Q4" s="3" t="s">
        <v>570</v>
      </c>
      <c r="R4" s="3" t="s">
        <v>574</v>
      </c>
      <c r="S4" s="3" t="s">
        <v>581</v>
      </c>
      <c r="T4" s="3" t="s">
        <v>592</v>
      </c>
      <c r="U4" s="3" t="s">
        <v>596</v>
      </c>
      <c r="V4" s="3" t="s">
        <v>600</v>
      </c>
      <c r="W4" s="3" t="s">
        <v>604</v>
      </c>
      <c r="X4" s="3" t="s">
        <v>608</v>
      </c>
      <c r="Y4" s="3" t="s">
        <v>612</v>
      </c>
      <c r="Z4" s="3" t="s">
        <v>616</v>
      </c>
      <c r="AA4" s="3" t="s">
        <v>620</v>
      </c>
      <c r="AB4" s="3" t="s">
        <v>634</v>
      </c>
      <c r="AC4" s="3" t="s">
        <v>638</v>
      </c>
      <c r="AD4" s="3" t="s">
        <v>641</v>
      </c>
      <c r="AE4" s="3" t="s">
        <v>645</v>
      </c>
      <c r="AF4" s="3" t="s">
        <v>648</v>
      </c>
      <c r="AG4" s="3" t="s">
        <v>652</v>
      </c>
      <c r="AH4" s="3" t="s">
        <v>655</v>
      </c>
      <c r="AI4" s="3" t="s">
        <v>659</v>
      </c>
      <c r="AJ4" s="3" t="s">
        <v>676</v>
      </c>
      <c r="AK4" s="3" t="s">
        <v>711</v>
      </c>
      <c r="AL4" s="3" t="s">
        <v>715</v>
      </c>
      <c r="AM4" s="3" t="s">
        <v>735</v>
      </c>
      <c r="AN4" s="3" t="s">
        <v>739</v>
      </c>
      <c r="AO4" s="3" t="s">
        <v>742</v>
      </c>
      <c r="AP4" s="3" t="s">
        <v>766</v>
      </c>
      <c r="AQ4" s="3" t="s">
        <v>774</v>
      </c>
      <c r="AR4" s="3" t="s">
        <v>50</v>
      </c>
    </row>
    <row r="5" spans="1:44">
      <c r="E5" s="130">
        <f>SUM(G5:AR5)</f>
        <v/>
      </c>
      <c r="F5">
        <f>B9</f>
        <v/>
      </c>
      <c r="G5" s="9">
        <f>SUMIF('1. F10'!$C:$C,G$2,'1. F10'!$D:$D)</f>
        <v/>
      </c>
      <c r="H5" s="9">
        <f>SUMIF('1. F10'!$C:$C,H$2,'1. F10'!$D:$D)</f>
        <v/>
      </c>
      <c r="I5" s="9">
        <f>SUMIF('1. F10'!$C:$C,I$2,'1. F10'!$D:$D)</f>
        <v/>
      </c>
      <c r="J5" s="9">
        <f>SUMIF('1. F10'!$C:$C,J$2,'1. F10'!$D:$D)</f>
        <v/>
      </c>
      <c r="K5" s="9">
        <f>SUMIF('1. F10'!$C:$C,K$2,'1. F10'!$D:$D)</f>
        <v/>
      </c>
      <c r="L5" s="9">
        <f>SUMIF('1. F10'!$C:$C,L$2,'1. F10'!$D:$D)</f>
        <v/>
      </c>
      <c r="M5" s="9">
        <f>SUMIF('1. F10'!$C:$C,M$2,'1. F10'!$D:$D)</f>
        <v/>
      </c>
      <c r="N5" s="9">
        <f>SUMIF('1. F10'!$C:$C,N$2,'1. F10'!$D:$D)</f>
        <v/>
      </c>
      <c r="O5" s="9">
        <f>SUMIF('1. F10'!$C:$C,O$2,'1. F10'!$D:$D)</f>
        <v/>
      </c>
      <c r="P5" s="9">
        <f>SUMIF('1. F10'!$C:$C,P$2,'1. F10'!$D:$D)</f>
        <v/>
      </c>
      <c r="Q5" s="9">
        <f>SUMIF('1. F10'!$C:$C,Q$2,'1. F10'!$D:$D)</f>
        <v/>
      </c>
      <c r="R5" s="9">
        <f>SUMIF('1. F10'!$C:$C,R$2,'1. F10'!$D:$D)</f>
        <v/>
      </c>
      <c r="S5" s="9">
        <f>SUMIF('1. F10'!$C:$C,S$2,'1. F10'!$D:$D)</f>
        <v/>
      </c>
      <c r="T5" s="9">
        <f>-SUMIF('1. F10'!$C:$C,T$2,'1. F10'!$D:$D)</f>
        <v/>
      </c>
      <c r="U5" s="9">
        <f>-SUMIF('1. F10'!$C:$C,U$2,'1. F10'!$D:$D)</f>
        <v/>
      </c>
      <c r="V5" s="9">
        <f>-SUMIF('1. F10'!$C:$C,V$2,'1. F10'!$D:$D)</f>
        <v/>
      </c>
      <c r="W5" s="9">
        <f>-SUMIF('1. F10'!$C:$C,W$2,'1. F10'!$D:$D)</f>
        <v/>
      </c>
      <c r="X5" s="9">
        <f>-SUMIF('1. F10'!$C:$C,X$2,'1. F10'!$D:$D)</f>
        <v/>
      </c>
      <c r="Y5" s="9">
        <f>-SUMIF('1. F10'!$C:$C,Y$2,'1. F10'!$D:$D)</f>
        <v/>
      </c>
      <c r="Z5" s="9">
        <f>-SUMIF('1. F10'!$C:$C,Z$2,'1. F10'!$D:$D)</f>
        <v/>
      </c>
      <c r="AA5" s="9">
        <f>-SUMIF('1. F10'!$C:$C,AA$2,'1. F10'!$D:$D)</f>
        <v/>
      </c>
      <c r="AB5" s="9">
        <f>-SUMIF('1. F10'!$C:$C,AB$2,'1. F10'!$D:$D)</f>
        <v/>
      </c>
      <c r="AC5" s="9">
        <f>-SUMIF('1. F10'!$C:$C,AC$2,'1. F10'!$D:$D)</f>
        <v/>
      </c>
      <c r="AD5" s="9">
        <f>-SUMIF('1. F10'!$C:$C,AD$2,'1. F10'!$D:$D)</f>
        <v/>
      </c>
      <c r="AE5" s="9">
        <f>-SUMIF('1. F10'!$C:$C,AE$2,'1. F10'!$D:$D)</f>
        <v/>
      </c>
      <c r="AF5" s="9">
        <f>-SUMIF('1. F10'!$C:$C,AF$2,'1. F10'!$D:$D)</f>
        <v/>
      </c>
      <c r="AG5" s="9">
        <f>-SUMIF('1. F10'!$C:$C,AG$2,'1. F10'!$D:$D)</f>
        <v/>
      </c>
      <c r="AH5" s="9">
        <f>-SUMIF('1. F10'!$C:$C,AH$2,'1. F10'!$D:$D)</f>
        <v/>
      </c>
      <c r="AI5" s="9">
        <f>-SUMIF('1. F10'!$C:$C,AI$2,'1. F10'!$D:$D)</f>
        <v/>
      </c>
      <c r="AJ5" s="9">
        <f>-SUMIF('1. F10'!$C:$C,AJ$2,'1. F10'!$D:$D)</f>
        <v/>
      </c>
      <c r="AK5" s="9">
        <f>-SUMIF('1. F10'!$C:$C,AK$2,'1. F10'!$D:$D)</f>
        <v/>
      </c>
      <c r="AL5" s="9">
        <f>-SUMIF('1. F10'!$C:$C,AL$2,'1. F10'!$D:$D)</f>
        <v/>
      </c>
      <c r="AM5" s="9">
        <f>-SUMIF('1. F10'!$C:$C,AM$2,'1. F10'!$D:$D)</f>
        <v/>
      </c>
      <c r="AN5" s="9">
        <f>-SUMIF('1. F10'!$C:$C,AN$2,'1. F10'!$D:$D)</f>
        <v/>
      </c>
      <c r="AO5" s="9">
        <f>-SUMIF('1. F10'!$C:$C,AO$2,'1. F10'!$D:$D)</f>
        <v/>
      </c>
      <c r="AP5" s="9">
        <f>-SUMIF('1. F10'!$C:$C,AP$2,'1. F10'!$D:$D)+SUMIF('1. F10'!$C:$C,AP$3,'1. F10'!$D:$D)</f>
        <v/>
      </c>
      <c r="AQ5" s="9">
        <f>-SUMIF('1. F10'!$C:$C,AQ$2,'1. F10'!$D:$D)+SUMIF('1. F10'!$C:$C,AQ$3,'1. F10'!$D:$D)</f>
        <v/>
      </c>
      <c r="AR5" s="9">
        <f>SUMIF('1. F10'!$C:$C,AR$2,'1. F10'!$D:$D)</f>
        <v/>
      </c>
    </row>
    <row r="6" spans="1:44">
      <c r="E6" s="130">
        <f>SUM(G6:AR6)</f>
        <v/>
      </c>
      <c r="F6">
        <f>C9</f>
        <v/>
      </c>
      <c r="G6" s="9">
        <f>SUMIF('1. F10'!$C:$C,G$2,'1. F10'!$E:$E)</f>
        <v/>
      </c>
      <c r="H6" s="9">
        <f>SUMIF('1. F10'!$C:$C,H$2,'1. F10'!$E:$E)</f>
        <v/>
      </c>
      <c r="I6" s="9">
        <f>SUMIF('1. F10'!$C:$C,I$2,'1. F10'!$E:$E)</f>
        <v/>
      </c>
      <c r="J6" s="9">
        <f>SUMIF('1. F10'!$C:$C,J$2,'1. F10'!$E:$E)</f>
        <v/>
      </c>
      <c r="K6" s="9">
        <f>SUMIF('1. F10'!$C:$C,K$2,'1. F10'!$E:$E)</f>
        <v/>
      </c>
      <c r="L6" s="9">
        <f>SUMIF('1. F10'!$C:$C,L$2,'1. F10'!$E:$E)</f>
        <v/>
      </c>
      <c r="M6" s="9">
        <f>SUMIF('1. F10'!$C:$C,M$2,'1. F10'!$E:$E)</f>
        <v/>
      </c>
      <c r="N6" s="9">
        <f>SUMIF('1. F10'!$C:$C,N$2,'1. F10'!$E:$E)</f>
        <v/>
      </c>
      <c r="O6" s="9">
        <f>SUMIF('1. F10'!$C:$C,O$2,'1. F10'!$E:$E)</f>
        <v/>
      </c>
      <c r="P6" s="9">
        <f>SUMIF('1. F10'!$C:$C,P$2,'1. F10'!$E:$E)</f>
        <v/>
      </c>
      <c r="Q6" s="9">
        <f>SUMIF('1. F10'!$C:$C,Q$2,'1. F10'!$E:$E)</f>
        <v/>
      </c>
      <c r="R6" s="9">
        <f>SUMIF('1. F10'!$C:$C,R$2,'1. F10'!$E:$E)</f>
        <v/>
      </c>
      <c r="S6" s="9">
        <f>SUMIF('1. F10'!$C:$C,S$2,'1. F10'!$E:$E)</f>
        <v/>
      </c>
      <c r="T6" s="9">
        <f>-SUMIF('1. F10'!$C:$C,T$2,'1. F10'!$E:$E)</f>
        <v/>
      </c>
      <c r="U6" s="9">
        <f>-SUMIF('1. F10'!$C:$C,U$2,'1. F10'!$E:$E)</f>
        <v/>
      </c>
      <c r="V6" s="9">
        <f>-SUMIF('1. F10'!$C:$C,V$2,'1. F10'!$E:$E)</f>
        <v/>
      </c>
      <c r="W6" s="9">
        <f>-SUMIF('1. F10'!$C:$C,W$2,'1. F10'!$E:$E)</f>
        <v/>
      </c>
      <c r="X6" s="9">
        <f>-SUMIF('1. F10'!$C:$C,X$2,'1. F10'!$E:$E)</f>
        <v/>
      </c>
      <c r="Y6" s="9">
        <f>-SUMIF('1. F10'!$C:$C,Y$2,'1. F10'!$E:$E)</f>
        <v/>
      </c>
      <c r="Z6" s="9">
        <f>-SUMIF('1. F10'!$C:$C,Z$2,'1. F10'!$E:$E)</f>
        <v/>
      </c>
      <c r="AA6" s="9">
        <f>-SUMIF('1. F10'!$C:$C,AA$2,'1. F10'!$E:$E)</f>
        <v/>
      </c>
      <c r="AB6" s="9">
        <f>-SUMIF('1. F10'!$C:$C,AB$2,'1. F10'!$E:$E)</f>
        <v/>
      </c>
      <c r="AC6" s="9">
        <f>-SUMIF('1. F10'!$C:$C,AC$2,'1. F10'!$E:$E)</f>
        <v/>
      </c>
      <c r="AD6" s="9">
        <f>-SUMIF('1. F10'!$C:$C,AD$2,'1. F10'!$E:$E)</f>
        <v/>
      </c>
      <c r="AE6" s="9">
        <f>-SUMIF('1. F10'!$C:$C,AE$2,'1. F10'!$E:$E)</f>
        <v/>
      </c>
      <c r="AF6" s="9">
        <f>-SUMIF('1. F10'!$C:$C,AF$2,'1. F10'!$E:$E)</f>
        <v/>
      </c>
      <c r="AG6" s="9">
        <f>-SUMIF('1. F10'!$C:$C,AG$2,'1. F10'!$E:$E)</f>
        <v/>
      </c>
      <c r="AH6" s="9">
        <f>-SUMIF('1. F10'!$C:$C,AH$2,'1. F10'!$E:$E)</f>
        <v/>
      </c>
      <c r="AI6" s="9">
        <f>-SUMIF('1. F10'!$C:$C,AI$2,'1. F10'!$E:$E)</f>
        <v/>
      </c>
      <c r="AJ6" s="9">
        <f>-SUMIF('1. F10'!$C:$C,AJ$2,'1. F10'!$E:$E)</f>
        <v/>
      </c>
      <c r="AK6" s="9">
        <f>-SUMIF('1. F10'!$C:$C,AK$2,'1. F10'!$E:$E)</f>
        <v/>
      </c>
      <c r="AL6" s="9">
        <f>-SUMIF('1. F10'!$C:$C,AL$2,'1. F10'!$E:$E)</f>
        <v/>
      </c>
      <c r="AM6" s="9">
        <f>-SUMIF('1. F10'!$C:$C,AM$2,'1. F10'!$E:$E)</f>
        <v/>
      </c>
      <c r="AN6" s="9">
        <f>-SUMIF('1. F10'!$C:$C,AN$2,'1. F10'!$E:$E)</f>
        <v/>
      </c>
      <c r="AO6" s="9">
        <f>-SUMIF('1. F10'!$C:$C,AO$2,'1. F10'!$E:$E)</f>
        <v/>
      </c>
      <c r="AP6" s="9">
        <f>-SUMIF('1. F10'!$C:$C,AP$2,'1. F10'!$E:$E)+SUMIF('1. F10'!$C:$C,AP$3,'1. F10'!$E:$E)</f>
        <v/>
      </c>
      <c r="AQ6" s="9">
        <f>-SUMIF('1. F10'!$C:$C,AQ$2,'1. F10'!$E:$E)+SUMIF('1. F10'!$C:$C,AQ$3,'1. F10'!$E:$E)</f>
        <v/>
      </c>
      <c r="AR6" s="9">
        <f>SUMIF('1. F10'!$C:$C,AR$2,'1. F10'!$E:$E)</f>
        <v/>
      </c>
    </row>
    <row r="7" spans="1:44">
      <c r="E7" s="130">
        <f>SUM(G7:AR7)</f>
        <v/>
      </c>
      <c r="F7" s="159" t="s">
        <v>2141</v>
      </c>
      <c r="G7" s="27">
        <f>G6-G5</f>
        <v/>
      </c>
      <c r="H7" s="27">
        <f>H6-H5</f>
        <v/>
      </c>
      <c r="I7" s="27">
        <f>I6-I5</f>
        <v/>
      </c>
      <c r="J7" s="27">
        <f>J6-J5</f>
        <v/>
      </c>
      <c r="K7" s="27">
        <f>K6-K5</f>
        <v/>
      </c>
      <c r="L7" s="27">
        <f>L6-L5</f>
        <v/>
      </c>
      <c r="M7" s="27">
        <f>M6-M5</f>
        <v/>
      </c>
      <c r="N7" s="27">
        <f>N6-N5</f>
        <v/>
      </c>
      <c r="O7" s="27">
        <f>O6-O5</f>
        <v/>
      </c>
      <c r="P7" s="27">
        <f>P6-P5</f>
        <v/>
      </c>
      <c r="Q7" s="27">
        <f>Q6-Q5</f>
        <v/>
      </c>
      <c r="R7" s="27">
        <f>R6-R5</f>
        <v/>
      </c>
      <c r="S7" s="27">
        <f>S6-S5</f>
        <v/>
      </c>
      <c r="T7" s="27">
        <f>T6-T5</f>
        <v/>
      </c>
      <c r="U7" s="27">
        <f>U6-U5</f>
        <v/>
      </c>
      <c r="V7" s="27">
        <f>V6-V5</f>
        <v/>
      </c>
      <c r="W7" s="27">
        <f>W6-W5</f>
        <v/>
      </c>
      <c r="X7" s="27">
        <f>X6-X5</f>
        <v/>
      </c>
      <c r="Y7" s="27">
        <f>Y6-Y5</f>
        <v/>
      </c>
      <c r="Z7" s="27">
        <f>Z6-Z5</f>
        <v/>
      </c>
      <c r="AA7" s="27">
        <f>AA6-AA5</f>
        <v/>
      </c>
      <c r="AB7" s="27">
        <f>AB6-AB5</f>
        <v/>
      </c>
      <c r="AC7" s="27">
        <f>AC6-AC5</f>
        <v/>
      </c>
      <c r="AD7" s="27">
        <f>AD6-AD5</f>
        <v/>
      </c>
      <c r="AE7" s="27">
        <f>AE6-AE5</f>
        <v/>
      </c>
      <c r="AF7" s="27">
        <f>AF6-AF5</f>
        <v/>
      </c>
      <c r="AG7" s="27">
        <f>AG6-AG5</f>
        <v/>
      </c>
      <c r="AH7" s="27">
        <f>AH6-AH5</f>
        <v/>
      </c>
      <c r="AI7" s="27">
        <f>AI6-AI5</f>
        <v/>
      </c>
      <c r="AJ7" s="27">
        <f>AJ6-AJ5</f>
        <v/>
      </c>
      <c r="AK7" s="27">
        <f>AK6-AK5</f>
        <v/>
      </c>
      <c r="AL7" s="27">
        <f>AL6-AL5</f>
        <v/>
      </c>
      <c r="AM7" s="27">
        <f>AM6-AM5</f>
        <v/>
      </c>
      <c r="AN7" s="27">
        <f>AN6-AN5</f>
        <v/>
      </c>
      <c r="AO7" s="27">
        <f>AO6-AO5</f>
        <v/>
      </c>
      <c r="AP7" s="27">
        <f>AP6-AP5</f>
        <v/>
      </c>
      <c r="AQ7" s="27">
        <f>AQ6-AQ5</f>
        <v/>
      </c>
      <c r="AR7" s="27">
        <f>AR6-AR5</f>
        <v/>
      </c>
    </row>
    <row r="8" spans="1:44">
      <c r="A8" s="71" t="s">
        <v>425</v>
      </c>
      <c r="B8" s="172" t="s">
        <v>2142</v>
      </c>
      <c r="C8" s="173" t="n"/>
      <c r="D8" s="70" t="n"/>
    </row>
    <row r="9" spans="1:44">
      <c r="A9" s="71" t="n"/>
      <c r="B9" s="71">
        <f>'Trial Balance'!J6</f>
        <v/>
      </c>
      <c r="C9" s="71">
        <f>'Trial Balance'!K6</f>
        <v/>
      </c>
      <c r="D9" s="160" t="s">
        <v>2143</v>
      </c>
    </row>
    <row r="10" spans="1:44">
      <c r="A10" s="44" t="s">
        <v>1043</v>
      </c>
      <c r="B10" s="71" t="n">
        <v>1</v>
      </c>
      <c r="C10" s="71" t="n">
        <v>2</v>
      </c>
      <c r="D10" s="70" t="n"/>
    </row>
    <row r="11" spans="1:44">
      <c r="A11" s="44" t="s">
        <v>2144</v>
      </c>
      <c r="B11" s="45" t="n"/>
      <c r="C11" s="45" t="n"/>
    </row>
    <row r="12" spans="1:44">
      <c r="A12" s="44" t="s">
        <v>2145</v>
      </c>
      <c r="B12" s="45" t="n"/>
      <c r="C12" s="46">
        <f>SUM(G12:AR12)+D12</f>
        <v/>
      </c>
      <c r="D12" s="9" t="n"/>
      <c r="AA12" s="9">
        <f>'2. F20'!E84</f>
        <v/>
      </c>
      <c r="AL12" s="9">
        <f>AL7</f>
        <v/>
      </c>
      <c r="AP12" s="9" t="n"/>
      <c r="AQ12" s="9">
        <f>-AQ6</f>
        <v/>
      </c>
    </row>
    <row r="13" spans="1:44">
      <c r="A13" s="161" t="s">
        <v>2146</v>
      </c>
      <c r="B13" s="45" t="n"/>
      <c r="C13" s="46" t="n"/>
      <c r="D13" s="9" t="n"/>
    </row>
    <row r="14" spans="1:44">
      <c r="A14" s="45" t="s">
        <v>2147</v>
      </c>
      <c r="B14" s="45" t="n"/>
      <c r="C14" s="46">
        <f>SUM(G14:AR14)+D14</f>
        <v/>
      </c>
      <c r="D14" s="9" t="n"/>
      <c r="G14" s="9">
        <f>'N3 - NCA'!I22</f>
        <v/>
      </c>
      <c r="H14" s="9">
        <f>'N3 - NCA'!I37</f>
        <v/>
      </c>
    </row>
    <row r="15" spans="1:44">
      <c r="A15" s="45" t="s">
        <v>2148</v>
      </c>
      <c r="B15" s="45" t="n"/>
      <c r="C15" s="46">
        <f>SUM(G15:AR15)</f>
        <v/>
      </c>
      <c r="D15" s="9" t="n"/>
      <c r="N15" s="9">
        <f>'N3 - NCA'!$I$46</f>
        <v/>
      </c>
    </row>
    <row r="16" spans="1:44">
      <c r="A16" s="45" t="s">
        <v>2149</v>
      </c>
      <c r="B16" s="45" t="n"/>
      <c r="C16" s="46">
        <f>SUM(G16:AR16)+D16</f>
        <v/>
      </c>
      <c r="D16" s="9" t="n"/>
      <c r="O16" s="9">
        <f>'2. F20'!E43</f>
        <v/>
      </c>
    </row>
    <row r="17" spans="1:44">
      <c r="A17" s="45" t="s">
        <v>2150</v>
      </c>
      <c r="B17" s="45" t="n"/>
      <c r="C17" s="46">
        <f>SUM(G17:AR17)+D17</f>
        <v/>
      </c>
      <c r="D17" s="9" t="n"/>
      <c r="AJ17" s="9">
        <f>-AJ7</f>
        <v/>
      </c>
    </row>
    <row r="18" spans="1:44">
      <c r="A18" s="45" t="s">
        <v>2151</v>
      </c>
      <c r="B18" s="45" t="n"/>
      <c r="C18" s="46">
        <f>SUM(G18:AR18)+D18</f>
        <v/>
      </c>
      <c r="D18" s="9" t="n"/>
      <c r="R18" s="9">
        <f>-'2. F20'!E63</f>
        <v/>
      </c>
    </row>
    <row r="19" spans="1:44">
      <c r="A19" s="45" t="s">
        <v>2152</v>
      </c>
      <c r="B19" s="45" t="n"/>
      <c r="C19" s="46">
        <f>SUM(G19:AR19)+D19</f>
        <v/>
      </c>
      <c r="D19" s="9" t="n"/>
      <c r="R19" s="9">
        <f>'2. F20'!E72</f>
        <v/>
      </c>
    </row>
    <row r="20" spans="1:44">
      <c r="A20" s="45" t="s">
        <v>2153</v>
      </c>
      <c r="B20" s="45" t="n"/>
      <c r="C20" s="46">
        <f>SUM(G20:AR20)+D20</f>
        <v/>
      </c>
      <c r="D20" s="9" t="n"/>
      <c r="H20" s="9">
        <f>-'N3 - NCA'!K37</f>
        <v/>
      </c>
    </row>
    <row r="21" spans="1:44">
      <c r="A21" s="45" t="n"/>
      <c r="B21" s="45" t="n"/>
      <c r="C21" s="45" t="n"/>
    </row>
    <row r="22" spans="1:44">
      <c r="A22" s="44" t="s">
        <v>2154</v>
      </c>
      <c r="B22" s="44" t="n"/>
      <c r="C22" s="76">
        <f>SUM(C12:C20)</f>
        <v/>
      </c>
      <c r="D22" s="25" t="n"/>
    </row>
    <row r="23" spans="1:44">
      <c r="A23" s="45" t="n"/>
      <c r="B23" s="45" t="n"/>
      <c r="C23" s="45" t="n"/>
    </row>
    <row r="24" spans="1:44">
      <c r="A24" s="45" t="s">
        <v>2155</v>
      </c>
      <c r="B24" s="45" t="n"/>
      <c r="C24" s="46">
        <f>SUM(G24:AR24)+D24</f>
        <v/>
      </c>
      <c r="D24" s="9" t="n"/>
      <c r="P24" s="9">
        <f>-P7</f>
        <v/>
      </c>
      <c r="S24" s="9">
        <f>-S7</f>
        <v/>
      </c>
    </row>
    <row r="25" spans="1:44">
      <c r="A25" s="45" t="s">
        <v>2156</v>
      </c>
      <c r="B25" s="45" t="n"/>
      <c r="C25" s="46">
        <f>SUM(G25:AR25)+D25</f>
        <v/>
      </c>
      <c r="D25" s="9" t="n"/>
      <c r="O25" s="9">
        <f>-O7-O16</f>
        <v/>
      </c>
    </row>
    <row r="26" spans="1:44">
      <c r="A26" s="45" t="s">
        <v>2157</v>
      </c>
      <c r="B26" s="45" t="n"/>
      <c r="C26" s="46">
        <f>SUM(G26:AR26)+D26</f>
        <v/>
      </c>
      <c r="D26" s="9" t="n"/>
      <c r="V26" s="9">
        <f>-V7</f>
        <v/>
      </c>
      <c r="W26" s="9">
        <f>-W7</f>
        <v/>
      </c>
      <c r="X26" s="9">
        <f>-X7</f>
        <v/>
      </c>
      <c r="Y26" s="9">
        <f>-Y7</f>
        <v/>
      </c>
      <c r="Z26" s="9">
        <f>-Z7</f>
        <v/>
      </c>
      <c r="AA26" s="9">
        <f>-AA7-AA46-AA44-AA12</f>
        <v/>
      </c>
      <c r="AG26" s="9">
        <f>-AG7</f>
        <v/>
      </c>
    </row>
    <row r="27" spans="1:44">
      <c r="A27" s="45" t="n"/>
      <c r="B27" s="45" t="n"/>
      <c r="C27" s="45" t="n"/>
    </row>
    <row r="28" spans="1:44">
      <c r="A28" s="45" t="s">
        <v>2158</v>
      </c>
      <c r="B28" s="45" t="n"/>
      <c r="C28" s="46">
        <f>SUM(G28:AR28)+D28</f>
        <v/>
      </c>
      <c r="D28" s="9" t="n"/>
      <c r="R28" s="9">
        <f>-R19</f>
        <v/>
      </c>
    </row>
    <row r="29" spans="1:44">
      <c r="A29" s="45" t="s">
        <v>2159</v>
      </c>
      <c r="B29" s="45" t="n"/>
      <c r="C29" s="46">
        <f>B60+D29</f>
        <v/>
      </c>
      <c r="D29" s="9" t="n"/>
    </row>
    <row r="30" spans="1:44">
      <c r="A30" s="44" t="s">
        <v>2160</v>
      </c>
      <c r="B30" s="44" t="n"/>
      <c r="C30" s="76">
        <f>SUM(C22:C29)</f>
        <v/>
      </c>
      <c r="D30" s="25" t="n"/>
    </row>
    <row r="31" spans="1:44">
      <c r="A31" s="45" t="n"/>
      <c r="B31" s="45" t="n"/>
      <c r="C31" s="45" t="n"/>
    </row>
    <row r="32" spans="1:44">
      <c r="A32" s="44" t="s">
        <v>2161</v>
      </c>
      <c r="B32" s="45" t="n"/>
      <c r="C32" s="45" t="n"/>
    </row>
    <row r="33" spans="1:44">
      <c r="A33" s="45" t="s">
        <v>2162</v>
      </c>
      <c r="B33" s="45" t="n"/>
      <c r="C33" s="46">
        <f>SUM(G33:AR33)+D33</f>
        <v/>
      </c>
      <c r="D33" s="9" t="n"/>
      <c r="H33" s="9">
        <f>-'N3 - NCA'!C37</f>
        <v/>
      </c>
      <c r="AN33" s="9">
        <f>-AN7</f>
        <v/>
      </c>
      <c r="AP33" s="9">
        <f>-AP7</f>
        <v/>
      </c>
    </row>
    <row r="34" spans="1:44">
      <c r="A34" s="45" t="s">
        <v>2163</v>
      </c>
      <c r="B34" s="45" t="n"/>
      <c r="C34" s="46">
        <f>SUM(G34:AR34)+D34</f>
        <v/>
      </c>
      <c r="D34" s="9" t="n"/>
      <c r="G34" s="9">
        <f>-'N3 - NCA'!C22</f>
        <v/>
      </c>
    </row>
    <row r="35" spans="1:44">
      <c r="A35" s="45" t="s">
        <v>2164</v>
      </c>
      <c r="B35" s="45" t="n"/>
      <c r="C35" s="46">
        <f>SUM(G35:AR35)+D35</f>
        <v/>
      </c>
      <c r="D35" s="9" t="n"/>
      <c r="H35" s="9">
        <f>'N3 - NCA'!E22+'N3 - NCA'!E37</f>
        <v/>
      </c>
    </row>
    <row r="36" spans="1:44">
      <c r="A36" s="45" t="s">
        <v>2165</v>
      </c>
      <c r="B36" s="45" t="n"/>
      <c r="C36" s="46">
        <f>SUM(G36:AR36)+D36</f>
        <v/>
      </c>
      <c r="D36" s="9" t="n"/>
      <c r="I36" s="9">
        <f>-'N3 - NCA'!C46</f>
        <v/>
      </c>
    </row>
    <row r="37" spans="1:44">
      <c r="A37" s="45" t="s">
        <v>2166</v>
      </c>
      <c r="B37" s="45" t="n"/>
      <c r="C37" s="46">
        <f>SUM(G37:AR37)+D37</f>
        <v/>
      </c>
      <c r="D37" s="9" t="n"/>
      <c r="I37" s="9">
        <f>'N3 - NCA'!E46</f>
        <v/>
      </c>
    </row>
    <row r="38" spans="1:44">
      <c r="A38" s="45" t="s">
        <v>2167</v>
      </c>
      <c r="B38" s="45" t="n"/>
      <c r="C38" s="46">
        <f>SUM(G38:AR38)+D38</f>
        <v/>
      </c>
      <c r="D38" s="9" t="n"/>
      <c r="R38" s="9">
        <f>-R18</f>
        <v/>
      </c>
    </row>
    <row r="39" spans="1:44">
      <c r="A39" s="45" t="s">
        <v>2168</v>
      </c>
      <c r="B39" s="45" t="n"/>
      <c r="C39" s="46">
        <f>SUM(G39:AR39)+D39</f>
        <v/>
      </c>
      <c r="D39" s="9" t="n"/>
      <c r="Q39" s="9">
        <f>-Q7</f>
        <v/>
      </c>
      <c r="R39" s="9" t="n"/>
    </row>
    <row r="40" spans="1:44">
      <c r="A40" s="44" t="s">
        <v>2169</v>
      </c>
      <c r="B40" s="45" t="n"/>
      <c r="C40" s="76">
        <f>SUM(C33:C39)</f>
        <v/>
      </c>
      <c r="D40" s="25" t="n"/>
    </row>
    <row r="41" spans="1:44">
      <c r="A41" s="45" t="n"/>
      <c r="B41" s="45" t="n"/>
      <c r="C41" s="45" t="n"/>
    </row>
    <row r="42" spans="1:44">
      <c r="A42" s="44" t="s">
        <v>2170</v>
      </c>
      <c r="B42" s="45" t="n"/>
      <c r="C42" s="45" t="n"/>
    </row>
    <row r="43" spans="1:44">
      <c r="A43" s="45" t="s">
        <v>2171</v>
      </c>
      <c r="B43" s="45" t="n"/>
      <c r="C43" s="46">
        <f>SUM(G43:AR43)+D43</f>
        <v/>
      </c>
      <c r="D43" s="9" t="n"/>
      <c r="AC43" s="9">
        <f>ROUND(SUMIF('Trial Balance'!N:N,"BS57",'Trial Balance'!J:J),0)</f>
        <v/>
      </c>
    </row>
    <row r="44" spans="1:44">
      <c r="A44" s="45" t="s">
        <v>2172</v>
      </c>
      <c r="B44" s="45" t="n"/>
      <c r="C44" s="46">
        <f>SUM(G44:AR44)+D44</f>
        <v/>
      </c>
      <c r="D44" s="9" t="n"/>
      <c r="AA44" s="162">
        <f>-ROUND(SUMIF('Trial Balance'!$D:$D,"455",'Trial Balance'!$I:$I),0)</f>
        <v/>
      </c>
      <c r="AC44" s="9">
        <f>-ROUND(SUMIF('Trial Balance'!N:N,"BS57",'Trial Balance'!J:J),0)</f>
        <v/>
      </c>
    </row>
    <row r="45" spans="1:44">
      <c r="A45" s="45" t="s">
        <v>2173</v>
      </c>
      <c r="B45" s="45" t="n"/>
      <c r="C45" s="46">
        <f>SUM(G45:AR45)+D45</f>
        <v/>
      </c>
      <c r="D45" s="9" t="n"/>
    </row>
    <row r="46" spans="1:44">
      <c r="A46" s="45" t="s">
        <v>2174</v>
      </c>
      <c r="B46" s="45" t="n"/>
      <c r="C46" s="46">
        <f>SUM(G46:AR46)+D46</f>
        <v/>
      </c>
      <c r="D46" s="9" t="n"/>
      <c r="AA46" s="162">
        <f>-ROUND(SUMIF('Trial Balance'!$D:$D,"457",'Trial Balance'!$I:$I),0)</f>
        <v/>
      </c>
    </row>
    <row r="47" spans="1:44">
      <c r="A47" s="45" t="n"/>
      <c r="B47" s="45" t="n"/>
      <c r="C47" s="45" t="n"/>
    </row>
    <row r="48" spans="1:44">
      <c r="A48" s="44" t="s">
        <v>2175</v>
      </c>
      <c r="B48" s="44" t="n"/>
      <c r="C48" s="44">
        <f>SUM(C43:C46)</f>
        <v/>
      </c>
      <c r="D48" s="3" t="n"/>
    </row>
    <row r="49" spans="1:44">
      <c r="A49" s="45" t="s">
        <v>2176</v>
      </c>
      <c r="B49" s="45" t="n"/>
      <c r="C49" s="46">
        <f>C30+C40+C48</f>
        <v/>
      </c>
      <c r="D49" s="9" t="n"/>
      <c r="R49" s="9">
        <f>-R7</f>
        <v/>
      </c>
    </row>
    <row r="50" spans="1:44">
      <c r="A50" s="44" t="s">
        <v>2177</v>
      </c>
      <c r="B50" s="45" t="n"/>
      <c r="C50" s="76">
        <f>'1. F10'!D60</f>
        <v/>
      </c>
      <c r="D50" s="25" t="n"/>
    </row>
    <row r="51" spans="1:44">
      <c r="A51" s="44" t="s">
        <v>2178</v>
      </c>
      <c r="B51" s="45" t="n"/>
      <c r="C51" s="76">
        <f>'1. F10'!E60</f>
        <v/>
      </c>
      <c r="D51" s="25" t="n"/>
    </row>
    <row r="52" spans="1:44">
      <c r="A52" s="26" t="s">
        <v>796</v>
      </c>
      <c r="C52" s="27">
        <f>C51-C50-C49</f>
        <v/>
      </c>
      <c r="D52" s="27" t="n"/>
    </row>
    <row r="55" spans="1:44" ht="12.65" customHeight="1" thickBot="1"/>
    <row r="56" spans="1:44">
      <c r="A56" s="50" t="s">
        <v>2179</v>
      </c>
      <c r="B56" s="6" t="n"/>
    </row>
    <row r="57" spans="1:44">
      <c r="A57" s="8" t="s">
        <v>5</v>
      </c>
      <c r="B57" s="10">
        <f>SUMIF('Trial Balance'!$D:$D,"441",'Trial Balance'!H:H)</f>
        <v/>
      </c>
    </row>
    <row r="58" spans="1:44">
      <c r="A58" s="8" t="s">
        <v>3</v>
      </c>
      <c r="B58" s="10">
        <f>SUMIF('Trial Balance'!$D:$D,"441",'Trial Balance'!K:K)</f>
        <v/>
      </c>
    </row>
    <row r="59" spans="1:44">
      <c r="A59" s="8" t="s">
        <v>2180</v>
      </c>
      <c r="B59" s="163">
        <f>'2. F20'!E84</f>
        <v/>
      </c>
    </row>
    <row r="60" spans="1:44" ht="12.65" customHeight="1" thickBot="1">
      <c r="A60" s="12" t="s">
        <v>2181</v>
      </c>
      <c r="B60" s="164">
        <f>B58-SUM(B57+B59)</f>
        <v/>
      </c>
    </row>
  </sheetData>
  <pageMargins left="0.7" right="0.7" top="0.75" bottom="0.75" header="0.3" footer="0.3"/>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Bogdan Constantinescu</dc:creator>
  <dcterms:created xmlns:dcterms="http://purl.org/dc/terms/" xmlns:xsi="http://www.w3.org/2001/XMLSchema-instance" xsi:type="dcterms:W3CDTF">2023-01-27T08:46:25Z</dcterms:created>
  <dcterms:modified xmlns:dcterms="http://purl.org/dc/terms/" xmlns:xsi="http://www.w3.org/2001/XMLSchema-instance" xsi:type="dcterms:W3CDTF">2023-12-20T12:18:26Z</dcterms:modified>
  <cp:lastModifiedBy>Denis David</cp:lastModifiedBy>
</cp:coreProperties>
</file>